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90" yWindow="120" windowWidth="14085" windowHeight="10590" tabRatio="977"/>
  </bookViews>
  <sheets>
    <sheet name="Sheet1" sheetId="1" r:id="rId1"/>
    <sheet name="Chart100" sheetId="13" r:id="rId2"/>
    <sheet name="Chart200" sheetId="5" r:id="rId3"/>
    <sheet name="Chart500" sheetId="7" r:id="rId4"/>
    <sheet name="Chart1000" sheetId="9" r:id="rId5"/>
    <sheet name="Chart5000" sheetId="11" r:id="rId6"/>
    <sheet name="SimData100" sheetId="12" r:id="rId7"/>
    <sheet name="SimData200" sheetId="4" r:id="rId8"/>
    <sheet name="SimData500" sheetId="6" r:id="rId9"/>
    <sheet name="SimData1000" sheetId="8" r:id="rId10"/>
    <sheet name="SimData5000" sheetId="10" r:id="rId11"/>
    <sheet name="SummaryCharts" sheetId="2" r:id="rId12"/>
    <sheet name="Sheet3" sheetId="3" r:id="rId13"/>
  </sheets>
  <definedNames>
    <definedName name="_xlnm.Print_Area" localSheetId="11">SummaryCharts!$A$1:$AD$113</definedName>
  </definedNames>
  <calcPr calcId="125725"/>
</workbook>
</file>

<file path=xl/calcChain.xml><?xml version="1.0" encoding="utf-8"?>
<calcChain xmlns="http://schemas.openxmlformats.org/spreadsheetml/2006/main">
  <c r="C119" i="12"/>
  <c r="C117"/>
  <c r="C115"/>
  <c r="C113"/>
  <c r="C111"/>
  <c r="C8"/>
  <c r="C7"/>
  <c r="C6"/>
  <c r="C4"/>
  <c r="C3"/>
  <c r="C5" s="1"/>
  <c r="B119"/>
  <c r="B117"/>
  <c r="B115"/>
  <c r="B113"/>
  <c r="B111"/>
  <c r="B8"/>
  <c r="B7"/>
  <c r="B6"/>
  <c r="B4"/>
  <c r="B3"/>
  <c r="B5"/>
  <c r="B10" i="1"/>
  <c r="C5019" i="10"/>
  <c r="C5017"/>
  <c r="C5015"/>
  <c r="C5013"/>
  <c r="C5011"/>
  <c r="C8"/>
  <c r="C7"/>
  <c r="C6"/>
  <c r="C4"/>
  <c r="C5" s="1"/>
  <c r="C3"/>
  <c r="B5019"/>
  <c r="B5017"/>
  <c r="B5015"/>
  <c r="B5013"/>
  <c r="B5011"/>
  <c r="B8"/>
  <c r="B7"/>
  <c r="B6"/>
  <c r="B4"/>
  <c r="B5" s="1"/>
  <c r="B3"/>
  <c r="K5010"/>
  <c r="K5011" s="1"/>
  <c r="K5012" s="1"/>
  <c r="K5013" s="1"/>
  <c r="K5014" s="1"/>
  <c r="K5015" s="1"/>
  <c r="K5016" s="1"/>
  <c r="K5017" s="1"/>
  <c r="K5018" s="1"/>
  <c r="K5019" s="1"/>
  <c r="K5020" s="1"/>
  <c r="K5021" s="1"/>
  <c r="K5022" s="1"/>
  <c r="K5023" s="1"/>
  <c r="K5024" s="1"/>
  <c r="K5025" s="1"/>
  <c r="K5026" s="1"/>
  <c r="K5027" s="1"/>
  <c r="K5028" s="1"/>
  <c r="K5029" s="1"/>
  <c r="K5030" s="1"/>
  <c r="K5031" s="1"/>
  <c r="K5032" s="1"/>
  <c r="K5033" s="1"/>
  <c r="K5034" s="1"/>
  <c r="K5035" s="1"/>
  <c r="K5036" s="1"/>
  <c r="K5037" s="1"/>
  <c r="K5038" s="1"/>
  <c r="K5039" s="1"/>
  <c r="K5040" s="1"/>
  <c r="K5041" s="1"/>
  <c r="K5042" s="1"/>
  <c r="K5043" s="1"/>
  <c r="K5044" s="1"/>
  <c r="K5045" s="1"/>
  <c r="K5046" s="1"/>
  <c r="K5047" s="1"/>
  <c r="K5048" s="1"/>
  <c r="K5049" s="1"/>
  <c r="K5050" s="1"/>
  <c r="K5051" s="1"/>
  <c r="K5052" s="1"/>
  <c r="K5053" s="1"/>
  <c r="K5054" s="1"/>
  <c r="K5055" s="1"/>
  <c r="K5056" s="1"/>
  <c r="K5057" s="1"/>
  <c r="K5058" s="1"/>
  <c r="K5059" s="1"/>
  <c r="K5060" s="1"/>
  <c r="K5061" s="1"/>
  <c r="K5062" s="1"/>
  <c r="K5063" s="1"/>
  <c r="K5064" s="1"/>
  <c r="K5065" s="1"/>
  <c r="K5066" s="1"/>
  <c r="K5067" s="1"/>
  <c r="K5068" s="1"/>
  <c r="K5069" s="1"/>
  <c r="K5070" s="1"/>
  <c r="K5071" s="1"/>
  <c r="K5072" s="1"/>
  <c r="K5073" s="1"/>
  <c r="K5074" s="1"/>
  <c r="K5075" s="1"/>
  <c r="K5076" s="1"/>
  <c r="K5077" s="1"/>
  <c r="K5078" s="1"/>
  <c r="K5079" s="1"/>
  <c r="K5080" s="1"/>
  <c r="K5081" s="1"/>
  <c r="K5082" s="1"/>
  <c r="K5083" s="1"/>
  <c r="K5084" s="1"/>
  <c r="K5085" s="1"/>
  <c r="K5086" s="1"/>
  <c r="K5087" s="1"/>
  <c r="K5088" s="1"/>
  <c r="K5089" s="1"/>
  <c r="K5090" s="1"/>
  <c r="K5091" s="1"/>
  <c r="K5092" s="1"/>
  <c r="K5093" s="1"/>
  <c r="K5094" s="1"/>
  <c r="K5095" s="1"/>
  <c r="K5096" s="1"/>
  <c r="K5097" s="1"/>
  <c r="K5098" s="1"/>
  <c r="K5099" s="1"/>
  <c r="K5100" s="1"/>
  <c r="K5101" s="1"/>
  <c r="K5102" s="1"/>
  <c r="K5103" s="1"/>
  <c r="K5104" s="1"/>
  <c r="K5105" s="1"/>
  <c r="K5106" s="1"/>
  <c r="K5107" s="1"/>
  <c r="K5108" s="1"/>
  <c r="K5109" s="1"/>
  <c r="K5110" s="1"/>
  <c r="K5111" s="1"/>
  <c r="K5112" s="1"/>
  <c r="K5113" s="1"/>
  <c r="K5114" s="1"/>
  <c r="K5115" s="1"/>
  <c r="K5116" s="1"/>
  <c r="K5117" s="1"/>
  <c r="K5118" s="1"/>
  <c r="K5119" s="1"/>
  <c r="K5120" s="1"/>
  <c r="K5121" s="1"/>
  <c r="K5122" s="1"/>
  <c r="K5123" s="1"/>
  <c r="K5124" s="1"/>
  <c r="K5125" s="1"/>
  <c r="K5126" s="1"/>
  <c r="K5127" s="1"/>
  <c r="K5128" s="1"/>
  <c r="K5129" s="1"/>
  <c r="K5130" s="1"/>
  <c r="K5131" s="1"/>
  <c r="K5132" s="1"/>
  <c r="K5133" s="1"/>
  <c r="K5134" s="1"/>
  <c r="K5135" s="1"/>
  <c r="K5136" s="1"/>
  <c r="K5137" s="1"/>
  <c r="K5138" s="1"/>
  <c r="K5139" s="1"/>
  <c r="K5140" s="1"/>
  <c r="K5141" s="1"/>
  <c r="K5142" s="1"/>
  <c r="K5143" s="1"/>
  <c r="K5144" s="1"/>
  <c r="K5145" s="1"/>
  <c r="K5146" s="1"/>
  <c r="K5147" s="1"/>
  <c r="K5148" s="1"/>
  <c r="K5149" s="1"/>
  <c r="K5150" s="1"/>
  <c r="K5151" s="1"/>
  <c r="K5152" s="1"/>
  <c r="K5153" s="1"/>
  <c r="K5154" s="1"/>
  <c r="K5155" s="1"/>
  <c r="K5156" s="1"/>
  <c r="K5157" s="1"/>
  <c r="K5158" s="1"/>
  <c r="K5159" s="1"/>
  <c r="K5160" s="1"/>
  <c r="K5161" s="1"/>
  <c r="K5162" s="1"/>
  <c r="K5163" s="1"/>
  <c r="K5164" s="1"/>
  <c r="K5165" s="1"/>
  <c r="K5166" s="1"/>
  <c r="K5167" s="1"/>
  <c r="K5168" s="1"/>
  <c r="K5169" s="1"/>
  <c r="K5170" s="1"/>
  <c r="K5171" s="1"/>
  <c r="K5172" s="1"/>
  <c r="K5173" s="1"/>
  <c r="K5174" s="1"/>
  <c r="K5175" s="1"/>
  <c r="K5176" s="1"/>
  <c r="K5177" s="1"/>
  <c r="K5178" s="1"/>
  <c r="K5179" s="1"/>
  <c r="K5180" s="1"/>
  <c r="K5181" s="1"/>
  <c r="K5182" s="1"/>
  <c r="K5183" s="1"/>
  <c r="K5184" s="1"/>
  <c r="K5185" s="1"/>
  <c r="K5186" s="1"/>
  <c r="K5187" s="1"/>
  <c r="K5188" s="1"/>
  <c r="K5189" s="1"/>
  <c r="K5190" s="1"/>
  <c r="K5191" s="1"/>
  <c r="K5192" s="1"/>
  <c r="K5193" s="1"/>
  <c r="K5194" s="1"/>
  <c r="K5195" s="1"/>
  <c r="K5196" s="1"/>
  <c r="K5197" s="1"/>
  <c r="K5198" s="1"/>
  <c r="K5199" s="1"/>
  <c r="K5200" s="1"/>
  <c r="K5201" s="1"/>
  <c r="K5202" s="1"/>
  <c r="K5203" s="1"/>
  <c r="K5204" s="1"/>
  <c r="K5205" s="1"/>
  <c r="K5206" s="1"/>
  <c r="K5207" s="1"/>
  <c r="K5208" s="1"/>
  <c r="K5209" s="1"/>
  <c r="K5210" s="1"/>
  <c r="K5211" s="1"/>
  <c r="K5212" s="1"/>
  <c r="K5213" s="1"/>
  <c r="K5214" s="1"/>
  <c r="K5215" s="1"/>
  <c r="K5216" s="1"/>
  <c r="K5217" s="1"/>
  <c r="K5218" s="1"/>
  <c r="K5219" s="1"/>
  <c r="K5220" s="1"/>
  <c r="K5221" s="1"/>
  <c r="K5222" s="1"/>
  <c r="K5223" s="1"/>
  <c r="K5224" s="1"/>
  <c r="K5225" s="1"/>
  <c r="K5226" s="1"/>
  <c r="K5227" s="1"/>
  <c r="K5228" s="1"/>
  <c r="K5229" s="1"/>
  <c r="K5230" s="1"/>
  <c r="K5231" s="1"/>
  <c r="K5232" s="1"/>
  <c r="K5233" s="1"/>
  <c r="K5234" s="1"/>
  <c r="K5235" s="1"/>
  <c r="K5236" s="1"/>
  <c r="K5237" s="1"/>
  <c r="K5238" s="1"/>
  <c r="K5239" s="1"/>
  <c r="K5240" s="1"/>
  <c r="K5241" s="1"/>
  <c r="K5242" s="1"/>
  <c r="K5243" s="1"/>
  <c r="K5244" s="1"/>
  <c r="K5245" s="1"/>
  <c r="K5246" s="1"/>
  <c r="K5247" s="1"/>
  <c r="K5248" s="1"/>
  <c r="K5249" s="1"/>
  <c r="K5250" s="1"/>
  <c r="K5251" s="1"/>
  <c r="K5252" s="1"/>
  <c r="K5253" s="1"/>
  <c r="K5254" s="1"/>
  <c r="K5255" s="1"/>
  <c r="K5256" s="1"/>
  <c r="K5257" s="1"/>
  <c r="K5258" s="1"/>
  <c r="K5259" s="1"/>
  <c r="K5260" s="1"/>
  <c r="K5261" s="1"/>
  <c r="K5262" s="1"/>
  <c r="K5263" s="1"/>
  <c r="K5264" s="1"/>
  <c r="K5265" s="1"/>
  <c r="K5266" s="1"/>
  <c r="K5267" s="1"/>
  <c r="K5268" s="1"/>
  <c r="K5269" s="1"/>
  <c r="K5270" s="1"/>
  <c r="K5271" s="1"/>
  <c r="K5272" s="1"/>
  <c r="K5273" s="1"/>
  <c r="K5274" s="1"/>
  <c r="K5275" s="1"/>
  <c r="K5276" s="1"/>
  <c r="K5277" s="1"/>
  <c r="K5278" s="1"/>
  <c r="K5279" s="1"/>
  <c r="K5280" s="1"/>
  <c r="K5281" s="1"/>
  <c r="K5282" s="1"/>
  <c r="K5283" s="1"/>
  <c r="K5284" s="1"/>
  <c r="K5285" s="1"/>
  <c r="K5286" s="1"/>
  <c r="K5287" s="1"/>
  <c r="K5288" s="1"/>
  <c r="K5289" s="1"/>
  <c r="K5290" s="1"/>
  <c r="K5291" s="1"/>
  <c r="K5292" s="1"/>
  <c r="K5293" s="1"/>
  <c r="K5294" s="1"/>
  <c r="K5295" s="1"/>
  <c r="K5296" s="1"/>
  <c r="K5297" s="1"/>
  <c r="K5298" s="1"/>
  <c r="K5299" s="1"/>
  <c r="K5300" s="1"/>
  <c r="K5301" s="1"/>
  <c r="K5302" s="1"/>
  <c r="K5303" s="1"/>
  <c r="K5304" s="1"/>
  <c r="K5305" s="1"/>
  <c r="K5306" s="1"/>
  <c r="K5307" s="1"/>
  <c r="K5308" s="1"/>
  <c r="K5309" s="1"/>
  <c r="K5310" s="1"/>
  <c r="K5311" s="1"/>
  <c r="K5312" s="1"/>
  <c r="K5313" s="1"/>
  <c r="K5314" s="1"/>
  <c r="K5315" s="1"/>
  <c r="K5316" s="1"/>
  <c r="K5317" s="1"/>
  <c r="K5318" s="1"/>
  <c r="K5319" s="1"/>
  <c r="K5320" s="1"/>
  <c r="K5321" s="1"/>
  <c r="K5322" s="1"/>
  <c r="K5323" s="1"/>
  <c r="K5324" s="1"/>
  <c r="K5325" s="1"/>
  <c r="K5326" s="1"/>
  <c r="K5327" s="1"/>
  <c r="K5328" s="1"/>
  <c r="K5329" s="1"/>
  <c r="K5330" s="1"/>
  <c r="K5331" s="1"/>
  <c r="K5332" s="1"/>
  <c r="K5333" s="1"/>
  <c r="K5334" s="1"/>
  <c r="K5335" s="1"/>
  <c r="K5336" s="1"/>
  <c r="K5337" s="1"/>
  <c r="K5338" s="1"/>
  <c r="K5339" s="1"/>
  <c r="K5340" s="1"/>
  <c r="K5341" s="1"/>
  <c r="K5342" s="1"/>
  <c r="K5343" s="1"/>
  <c r="K5344" s="1"/>
  <c r="K5345" s="1"/>
  <c r="K5346" s="1"/>
  <c r="K5347" s="1"/>
  <c r="K5348" s="1"/>
  <c r="K5349" s="1"/>
  <c r="K5350" s="1"/>
  <c r="K5351" s="1"/>
  <c r="K5352" s="1"/>
  <c r="K5353" s="1"/>
  <c r="K5354" s="1"/>
  <c r="K5355" s="1"/>
  <c r="K5356" s="1"/>
  <c r="K5357" s="1"/>
  <c r="K5358" s="1"/>
  <c r="K5359" s="1"/>
  <c r="K5360" s="1"/>
  <c r="K5361" s="1"/>
  <c r="K5362" s="1"/>
  <c r="K5363" s="1"/>
  <c r="K5364" s="1"/>
  <c r="K5365" s="1"/>
  <c r="K5366" s="1"/>
  <c r="K5367" s="1"/>
  <c r="K5368" s="1"/>
  <c r="K5369" s="1"/>
  <c r="K5370" s="1"/>
  <c r="K5371" s="1"/>
  <c r="K5372" s="1"/>
  <c r="K5373" s="1"/>
  <c r="K5374" s="1"/>
  <c r="K5375" s="1"/>
  <c r="K5376" s="1"/>
  <c r="K5377" s="1"/>
  <c r="K5378" s="1"/>
  <c r="K5379" s="1"/>
  <c r="K5380" s="1"/>
  <c r="K5381" s="1"/>
  <c r="K5382" s="1"/>
  <c r="K5383" s="1"/>
  <c r="K5384" s="1"/>
  <c r="K5385" s="1"/>
  <c r="K5386" s="1"/>
  <c r="K5387" s="1"/>
  <c r="K5388" s="1"/>
  <c r="K5389" s="1"/>
  <c r="K5390" s="1"/>
  <c r="K5391" s="1"/>
  <c r="K5392" s="1"/>
  <c r="K5393" s="1"/>
  <c r="K5394" s="1"/>
  <c r="K5395" s="1"/>
  <c r="K5396" s="1"/>
  <c r="K5397" s="1"/>
  <c r="K5398" s="1"/>
  <c r="K5399" s="1"/>
  <c r="K5400" s="1"/>
  <c r="K5401" s="1"/>
  <c r="K5402" s="1"/>
  <c r="K5403" s="1"/>
  <c r="K5404" s="1"/>
  <c r="K5405" s="1"/>
  <c r="K5406" s="1"/>
  <c r="K5407" s="1"/>
  <c r="K5408" s="1"/>
  <c r="K5409" s="1"/>
  <c r="K5410" s="1"/>
  <c r="K5411" s="1"/>
  <c r="K5412" s="1"/>
  <c r="K5413" s="1"/>
  <c r="K5414" s="1"/>
  <c r="K5415" s="1"/>
  <c r="K5416" s="1"/>
  <c r="K5417" s="1"/>
  <c r="K5418" s="1"/>
  <c r="K5419" s="1"/>
  <c r="K5420" s="1"/>
  <c r="K5421" s="1"/>
  <c r="K5422" s="1"/>
  <c r="K5423" s="1"/>
  <c r="K5424" s="1"/>
  <c r="K5425" s="1"/>
  <c r="K5426" s="1"/>
  <c r="K5427" s="1"/>
  <c r="K5428" s="1"/>
  <c r="K5429" s="1"/>
  <c r="K5430" s="1"/>
  <c r="K5431" s="1"/>
  <c r="K5432" s="1"/>
  <c r="K5433" s="1"/>
  <c r="K5434" s="1"/>
  <c r="K5435" s="1"/>
  <c r="K5436" s="1"/>
  <c r="K5437" s="1"/>
  <c r="K5438" s="1"/>
  <c r="K5439" s="1"/>
  <c r="K5440" s="1"/>
  <c r="K5441" s="1"/>
  <c r="K5442" s="1"/>
  <c r="K5443" s="1"/>
  <c r="K5444" s="1"/>
  <c r="K5445" s="1"/>
  <c r="K5446" s="1"/>
  <c r="K5447" s="1"/>
  <c r="K5448" s="1"/>
  <c r="K5449" s="1"/>
  <c r="K5450" s="1"/>
  <c r="K5451" s="1"/>
  <c r="K5452" s="1"/>
  <c r="K5453" s="1"/>
  <c r="K5454" s="1"/>
  <c r="K5455" s="1"/>
  <c r="K5456" s="1"/>
  <c r="K5457" s="1"/>
  <c r="K5458" s="1"/>
  <c r="K5459" s="1"/>
  <c r="K5460" s="1"/>
  <c r="K5461" s="1"/>
  <c r="K5462" s="1"/>
  <c r="K5463" s="1"/>
  <c r="K5464" s="1"/>
  <c r="K5465" s="1"/>
  <c r="K5466" s="1"/>
  <c r="K5467" s="1"/>
  <c r="K5468" s="1"/>
  <c r="K5469" s="1"/>
  <c r="K5470" s="1"/>
  <c r="K5471" s="1"/>
  <c r="K5472" s="1"/>
  <c r="K5473" s="1"/>
  <c r="K5474" s="1"/>
  <c r="K5475" s="1"/>
  <c r="K5476" s="1"/>
  <c r="K5477" s="1"/>
  <c r="K5478" s="1"/>
  <c r="K5479" s="1"/>
  <c r="K5480" s="1"/>
  <c r="K5481" s="1"/>
  <c r="K5482" s="1"/>
  <c r="K5483" s="1"/>
  <c r="K5484" s="1"/>
  <c r="K5485" s="1"/>
  <c r="K5486" s="1"/>
  <c r="K5487" s="1"/>
  <c r="K5488" s="1"/>
  <c r="K5489" s="1"/>
  <c r="K5490" s="1"/>
  <c r="K5491" s="1"/>
  <c r="K5492" s="1"/>
  <c r="K5493" s="1"/>
  <c r="K5494" s="1"/>
  <c r="K5495" s="1"/>
  <c r="K5496" s="1"/>
  <c r="K5497" s="1"/>
  <c r="K5498" s="1"/>
  <c r="K5499" s="1"/>
  <c r="K5500" s="1"/>
  <c r="K5501" s="1"/>
  <c r="K5502" s="1"/>
  <c r="K5503" s="1"/>
  <c r="K5504" s="1"/>
  <c r="K5505" s="1"/>
  <c r="K5506" s="1"/>
  <c r="K5507" s="1"/>
  <c r="K5508" s="1"/>
  <c r="K5509" s="1"/>
  <c r="K5510" s="1"/>
  <c r="K5511" s="1"/>
  <c r="K5512" s="1"/>
  <c r="K5513" s="1"/>
  <c r="K5514" s="1"/>
  <c r="K5515" s="1"/>
  <c r="K5516" s="1"/>
  <c r="K5517" s="1"/>
  <c r="K5518" s="1"/>
  <c r="K5519" s="1"/>
  <c r="K5520" s="1"/>
  <c r="K5521" s="1"/>
  <c r="K5522" s="1"/>
  <c r="K5523" s="1"/>
  <c r="K5524" s="1"/>
  <c r="K5525" s="1"/>
  <c r="K5526" s="1"/>
  <c r="K5527" s="1"/>
  <c r="K5528" s="1"/>
  <c r="K5529" s="1"/>
  <c r="K5530" s="1"/>
  <c r="K5531" s="1"/>
  <c r="K5532" s="1"/>
  <c r="K5533" s="1"/>
  <c r="K5534" s="1"/>
  <c r="K5535" s="1"/>
  <c r="K5536" s="1"/>
  <c r="K5537" s="1"/>
  <c r="K5538" s="1"/>
  <c r="K5539" s="1"/>
  <c r="K5540" s="1"/>
  <c r="K5541" s="1"/>
  <c r="K5542" s="1"/>
  <c r="K5543" s="1"/>
  <c r="K5544" s="1"/>
  <c r="K5545" s="1"/>
  <c r="K5546" s="1"/>
  <c r="K5547" s="1"/>
  <c r="K5548" s="1"/>
  <c r="K5549" s="1"/>
  <c r="K5550" s="1"/>
  <c r="K5551" s="1"/>
  <c r="K5552" s="1"/>
  <c r="K5553" s="1"/>
  <c r="K5554" s="1"/>
  <c r="K5555" s="1"/>
  <c r="K5556" s="1"/>
  <c r="K5557" s="1"/>
  <c r="K5558" s="1"/>
  <c r="K5559" s="1"/>
  <c r="K5560" s="1"/>
  <c r="K5561" s="1"/>
  <c r="K5562" s="1"/>
  <c r="K5563" s="1"/>
  <c r="K5564" s="1"/>
  <c r="K5565" s="1"/>
  <c r="K5566" s="1"/>
  <c r="K5567" s="1"/>
  <c r="K5568" s="1"/>
  <c r="K5569" s="1"/>
  <c r="K5570" s="1"/>
  <c r="K5571" s="1"/>
  <c r="K5572" s="1"/>
  <c r="K5573" s="1"/>
  <c r="K5574" s="1"/>
  <c r="K5575" s="1"/>
  <c r="K5576" s="1"/>
  <c r="K5577" s="1"/>
  <c r="K5578" s="1"/>
  <c r="K5579" s="1"/>
  <c r="K5580" s="1"/>
  <c r="K5581" s="1"/>
  <c r="K5582" s="1"/>
  <c r="K5583" s="1"/>
  <c r="K5584" s="1"/>
  <c r="K5585" s="1"/>
  <c r="K5586" s="1"/>
  <c r="K5587" s="1"/>
  <c r="K5588" s="1"/>
  <c r="K5589" s="1"/>
  <c r="K5590" s="1"/>
  <c r="K5591" s="1"/>
  <c r="K5592" s="1"/>
  <c r="K5593" s="1"/>
  <c r="K5594" s="1"/>
  <c r="K5595" s="1"/>
  <c r="K5596" s="1"/>
  <c r="K5597" s="1"/>
  <c r="K5598" s="1"/>
  <c r="K5599" s="1"/>
  <c r="K5600" s="1"/>
  <c r="K5601" s="1"/>
  <c r="K5602" s="1"/>
  <c r="K5603" s="1"/>
  <c r="K5604" s="1"/>
  <c r="K5605" s="1"/>
  <c r="K5606" s="1"/>
  <c r="K5607" s="1"/>
  <c r="K5608" s="1"/>
  <c r="K5609" s="1"/>
  <c r="K5610" s="1"/>
  <c r="K5611" s="1"/>
  <c r="K5612" s="1"/>
  <c r="K5613" s="1"/>
  <c r="K5614" s="1"/>
  <c r="K5615" s="1"/>
  <c r="K5616" s="1"/>
  <c r="K5617" s="1"/>
  <c r="K5618" s="1"/>
  <c r="K5619" s="1"/>
  <c r="K5620" s="1"/>
  <c r="K5621" s="1"/>
  <c r="K5622" s="1"/>
  <c r="K5623" s="1"/>
  <c r="K5624" s="1"/>
  <c r="K5625" s="1"/>
  <c r="K5626" s="1"/>
  <c r="K5627" s="1"/>
  <c r="K5628" s="1"/>
  <c r="K5629" s="1"/>
  <c r="K5630" s="1"/>
  <c r="K5631" s="1"/>
  <c r="K5632" s="1"/>
  <c r="K5633" s="1"/>
  <c r="K5634" s="1"/>
  <c r="K5635" s="1"/>
  <c r="K5636" s="1"/>
  <c r="K5637" s="1"/>
  <c r="K5638" s="1"/>
  <c r="K5639" s="1"/>
  <c r="K5640" s="1"/>
  <c r="K5641" s="1"/>
  <c r="K5642" s="1"/>
  <c r="K5643" s="1"/>
  <c r="K5644" s="1"/>
  <c r="K5645" s="1"/>
  <c r="K5646" s="1"/>
  <c r="K5647" s="1"/>
  <c r="K5648" s="1"/>
  <c r="K5649" s="1"/>
  <c r="K5650" s="1"/>
  <c r="K5651" s="1"/>
  <c r="K5652" s="1"/>
  <c r="K5653" s="1"/>
  <c r="K5654" s="1"/>
  <c r="K5655" s="1"/>
  <c r="K5656" s="1"/>
  <c r="K5657" s="1"/>
  <c r="K5658" s="1"/>
  <c r="K5659" s="1"/>
  <c r="K5660" s="1"/>
  <c r="K5661" s="1"/>
  <c r="K5662" s="1"/>
  <c r="K5663" s="1"/>
  <c r="K5664" s="1"/>
  <c r="K5665" s="1"/>
  <c r="K5666" s="1"/>
  <c r="K5667" s="1"/>
  <c r="K5668" s="1"/>
  <c r="K5669" s="1"/>
  <c r="K5670" s="1"/>
  <c r="K5671" s="1"/>
  <c r="K5672" s="1"/>
  <c r="K5673" s="1"/>
  <c r="K5674" s="1"/>
  <c r="K5675" s="1"/>
  <c r="K5676" s="1"/>
  <c r="K5677" s="1"/>
  <c r="K5678" s="1"/>
  <c r="K5679" s="1"/>
  <c r="K5680" s="1"/>
  <c r="K5681" s="1"/>
  <c r="K5682" s="1"/>
  <c r="K5683" s="1"/>
  <c r="K5684" s="1"/>
  <c r="K5685" s="1"/>
  <c r="K5686" s="1"/>
  <c r="K5687" s="1"/>
  <c r="K5688" s="1"/>
  <c r="K5689" s="1"/>
  <c r="K5690" s="1"/>
  <c r="K5691" s="1"/>
  <c r="K5692" s="1"/>
  <c r="K5693" s="1"/>
  <c r="K5694" s="1"/>
  <c r="K5695" s="1"/>
  <c r="K5696" s="1"/>
  <c r="K5697" s="1"/>
  <c r="K5698" s="1"/>
  <c r="K5699" s="1"/>
  <c r="K5700" s="1"/>
  <c r="K5701" s="1"/>
  <c r="K5702" s="1"/>
  <c r="K5703" s="1"/>
  <c r="K5704" s="1"/>
  <c r="K5705" s="1"/>
  <c r="K5706" s="1"/>
  <c r="K5707" s="1"/>
  <c r="K5708" s="1"/>
  <c r="K5709" s="1"/>
  <c r="K5710" s="1"/>
  <c r="K5711" s="1"/>
  <c r="K5712" s="1"/>
  <c r="K5713" s="1"/>
  <c r="K5714" s="1"/>
  <c r="K5715" s="1"/>
  <c r="K5716" s="1"/>
  <c r="K5717" s="1"/>
  <c r="K5718" s="1"/>
  <c r="K5719" s="1"/>
  <c r="K5720" s="1"/>
  <c r="K5721" s="1"/>
  <c r="K5722" s="1"/>
  <c r="K5723" s="1"/>
  <c r="K5724" s="1"/>
  <c r="K5725" s="1"/>
  <c r="K5726" s="1"/>
  <c r="K5727" s="1"/>
  <c r="K5728" s="1"/>
  <c r="K5729" s="1"/>
  <c r="K5730" s="1"/>
  <c r="K5731" s="1"/>
  <c r="K5732" s="1"/>
  <c r="K5733" s="1"/>
  <c r="K5734" s="1"/>
  <c r="K5735" s="1"/>
  <c r="K5736" s="1"/>
  <c r="K5737" s="1"/>
  <c r="K5738" s="1"/>
  <c r="K5739" s="1"/>
  <c r="K5740" s="1"/>
  <c r="K5741" s="1"/>
  <c r="K5742" s="1"/>
  <c r="K5743" s="1"/>
  <c r="K5744" s="1"/>
  <c r="K5745" s="1"/>
  <c r="K5746" s="1"/>
  <c r="K5747" s="1"/>
  <c r="K5748" s="1"/>
  <c r="K5749" s="1"/>
  <c r="K5750" s="1"/>
  <c r="K5751" s="1"/>
  <c r="K5752" s="1"/>
  <c r="K5753" s="1"/>
  <c r="K5754" s="1"/>
  <c r="K5755" s="1"/>
  <c r="K5756" s="1"/>
  <c r="K5757" s="1"/>
  <c r="K5758" s="1"/>
  <c r="K5759" s="1"/>
  <c r="K5760" s="1"/>
  <c r="K5761" s="1"/>
  <c r="K5762" s="1"/>
  <c r="K5763" s="1"/>
  <c r="K5764" s="1"/>
  <c r="K5765" s="1"/>
  <c r="K5766" s="1"/>
  <c r="K5767" s="1"/>
  <c r="K5768" s="1"/>
  <c r="K5769" s="1"/>
  <c r="K5770" s="1"/>
  <c r="K5771" s="1"/>
  <c r="K5772" s="1"/>
  <c r="K5773" s="1"/>
  <c r="K5774" s="1"/>
  <c r="K5775" s="1"/>
  <c r="K5776" s="1"/>
  <c r="K5777" s="1"/>
  <c r="K5778" s="1"/>
  <c r="K5779" s="1"/>
  <c r="K5780" s="1"/>
  <c r="K5781" s="1"/>
  <c r="K5782" s="1"/>
  <c r="K5783" s="1"/>
  <c r="K5784" s="1"/>
  <c r="K5785" s="1"/>
  <c r="K5786" s="1"/>
  <c r="K5787" s="1"/>
  <c r="K5788" s="1"/>
  <c r="K5789" s="1"/>
  <c r="K5790" s="1"/>
  <c r="K5791" s="1"/>
  <c r="K5792" s="1"/>
  <c r="K5793" s="1"/>
  <c r="K5794" s="1"/>
  <c r="K5795" s="1"/>
  <c r="K5796" s="1"/>
  <c r="K5797" s="1"/>
  <c r="K5798" s="1"/>
  <c r="K5799" s="1"/>
  <c r="K5800" s="1"/>
  <c r="K5801" s="1"/>
  <c r="K5802" s="1"/>
  <c r="K5803" s="1"/>
  <c r="K5804" s="1"/>
  <c r="K5805" s="1"/>
  <c r="K5806" s="1"/>
  <c r="K5807" s="1"/>
  <c r="K5808" s="1"/>
  <c r="K5809" s="1"/>
  <c r="K5810" s="1"/>
  <c r="K5811" s="1"/>
  <c r="K5812" s="1"/>
  <c r="K5813" s="1"/>
  <c r="K5814" s="1"/>
  <c r="K5815" s="1"/>
  <c r="K5816" s="1"/>
  <c r="K5817" s="1"/>
  <c r="K5818" s="1"/>
  <c r="K5819" s="1"/>
  <c r="K5820" s="1"/>
  <c r="K5821" s="1"/>
  <c r="K5822" s="1"/>
  <c r="K5823" s="1"/>
  <c r="K5824" s="1"/>
  <c r="K5825" s="1"/>
  <c r="K5826" s="1"/>
  <c r="K5827" s="1"/>
  <c r="K5828" s="1"/>
  <c r="K5829" s="1"/>
  <c r="K5830" s="1"/>
  <c r="K5831" s="1"/>
  <c r="K5832" s="1"/>
  <c r="K5833" s="1"/>
  <c r="K5834" s="1"/>
  <c r="K5835" s="1"/>
  <c r="K5836" s="1"/>
  <c r="K5837" s="1"/>
  <c r="K5838" s="1"/>
  <c r="K5839" s="1"/>
  <c r="K5840" s="1"/>
  <c r="K5841" s="1"/>
  <c r="K5842" s="1"/>
  <c r="K5843" s="1"/>
  <c r="K5844" s="1"/>
  <c r="K5845" s="1"/>
  <c r="K5846" s="1"/>
  <c r="K5847" s="1"/>
  <c r="K5848" s="1"/>
  <c r="K5849" s="1"/>
  <c r="K5850" s="1"/>
  <c r="K5851" s="1"/>
  <c r="K5852" s="1"/>
  <c r="K5853" s="1"/>
  <c r="K5854" s="1"/>
  <c r="K5855" s="1"/>
  <c r="K5856" s="1"/>
  <c r="K5857" s="1"/>
  <c r="K5858" s="1"/>
  <c r="K5859" s="1"/>
  <c r="K5860" s="1"/>
  <c r="K5861" s="1"/>
  <c r="K5862" s="1"/>
  <c r="K5863" s="1"/>
  <c r="K5864" s="1"/>
  <c r="K5865" s="1"/>
  <c r="K5866" s="1"/>
  <c r="K5867" s="1"/>
  <c r="K5868" s="1"/>
  <c r="K5869" s="1"/>
  <c r="K5870" s="1"/>
  <c r="K5871" s="1"/>
  <c r="K5872" s="1"/>
  <c r="K5873" s="1"/>
  <c r="K5874" s="1"/>
  <c r="K5875" s="1"/>
  <c r="K5876" s="1"/>
  <c r="K5877" s="1"/>
  <c r="K5878" s="1"/>
  <c r="K5879" s="1"/>
  <c r="K5880" s="1"/>
  <c r="K5881" s="1"/>
  <c r="K5882" s="1"/>
  <c r="K5883" s="1"/>
  <c r="K5884" s="1"/>
  <c r="K5885" s="1"/>
  <c r="K5886" s="1"/>
  <c r="K5887" s="1"/>
  <c r="K5888" s="1"/>
  <c r="K5889" s="1"/>
  <c r="K5890" s="1"/>
  <c r="K5891" s="1"/>
  <c r="K5892" s="1"/>
  <c r="K5893" s="1"/>
  <c r="K5894" s="1"/>
  <c r="K5895" s="1"/>
  <c r="K5896" s="1"/>
  <c r="K5897" s="1"/>
  <c r="K5898" s="1"/>
  <c r="K5899" s="1"/>
  <c r="K5900" s="1"/>
  <c r="K5901" s="1"/>
  <c r="K5902" s="1"/>
  <c r="K5903" s="1"/>
  <c r="K5904" s="1"/>
  <c r="K5905" s="1"/>
  <c r="K5906" s="1"/>
  <c r="K5907" s="1"/>
  <c r="K5908" s="1"/>
  <c r="K5909" s="1"/>
  <c r="K5910" s="1"/>
  <c r="K5911" s="1"/>
  <c r="K5912" s="1"/>
  <c r="K5913" s="1"/>
  <c r="K5914" s="1"/>
  <c r="K5915" s="1"/>
  <c r="K5916" s="1"/>
  <c r="K5917" s="1"/>
  <c r="K5918" s="1"/>
  <c r="K5919" s="1"/>
  <c r="K5920" s="1"/>
  <c r="K5921" s="1"/>
  <c r="K5922" s="1"/>
  <c r="K5923" s="1"/>
  <c r="K5924" s="1"/>
  <c r="K5925" s="1"/>
  <c r="K5926" s="1"/>
  <c r="K5927" s="1"/>
  <c r="K5928" s="1"/>
  <c r="K5929" s="1"/>
  <c r="K5930" s="1"/>
  <c r="K5931" s="1"/>
  <c r="K5932" s="1"/>
  <c r="K5933" s="1"/>
  <c r="K5934" s="1"/>
  <c r="K5935" s="1"/>
  <c r="K5936" s="1"/>
  <c r="K5937" s="1"/>
  <c r="K5938" s="1"/>
  <c r="K5939" s="1"/>
  <c r="K5940" s="1"/>
  <c r="K5941" s="1"/>
  <c r="K5942" s="1"/>
  <c r="K5943" s="1"/>
  <c r="K5944" s="1"/>
  <c r="K5945" s="1"/>
  <c r="K5946" s="1"/>
  <c r="K5947" s="1"/>
  <c r="K5948" s="1"/>
  <c r="K5949" s="1"/>
  <c r="K5950" s="1"/>
  <c r="K5951" s="1"/>
  <c r="K5952" s="1"/>
  <c r="K5953" s="1"/>
  <c r="K5954" s="1"/>
  <c r="K5955" s="1"/>
  <c r="K5956" s="1"/>
  <c r="K5957" s="1"/>
  <c r="K5958" s="1"/>
  <c r="K5959" s="1"/>
  <c r="K5960" s="1"/>
  <c r="K5961" s="1"/>
  <c r="K5962" s="1"/>
  <c r="K5963" s="1"/>
  <c r="K5964" s="1"/>
  <c r="K5965" s="1"/>
  <c r="K5966" s="1"/>
  <c r="K5967" s="1"/>
  <c r="K5968" s="1"/>
  <c r="K5969" s="1"/>
  <c r="K5970" s="1"/>
  <c r="K5971" s="1"/>
  <c r="K5972" s="1"/>
  <c r="K5973" s="1"/>
  <c r="K5974" s="1"/>
  <c r="K5975" s="1"/>
  <c r="K5976" s="1"/>
  <c r="K5977" s="1"/>
  <c r="K5978" s="1"/>
  <c r="K5979" s="1"/>
  <c r="K5980" s="1"/>
  <c r="K5981" s="1"/>
  <c r="K5982" s="1"/>
  <c r="K5983" s="1"/>
  <c r="K5984" s="1"/>
  <c r="K5985" s="1"/>
  <c r="K5986" s="1"/>
  <c r="K5987" s="1"/>
  <c r="K5988" s="1"/>
  <c r="K5989" s="1"/>
  <c r="K5990" s="1"/>
  <c r="K5991" s="1"/>
  <c r="K5992" s="1"/>
  <c r="K5993" s="1"/>
  <c r="K5994" s="1"/>
  <c r="K5995" s="1"/>
  <c r="K5996" s="1"/>
  <c r="K5997" s="1"/>
  <c r="K5998" s="1"/>
  <c r="K5999" s="1"/>
  <c r="K6000" s="1"/>
  <c r="K6001" s="1"/>
  <c r="K6002" s="1"/>
  <c r="K6003" s="1"/>
  <c r="K6004" s="1"/>
  <c r="K6005" s="1"/>
  <c r="K6006" s="1"/>
  <c r="K6007" s="1"/>
  <c r="K6008" s="1"/>
  <c r="K6009" s="1"/>
  <c r="K6010" s="1"/>
  <c r="K6011" s="1"/>
  <c r="K6012" s="1"/>
  <c r="K6013" s="1"/>
  <c r="K6014" s="1"/>
  <c r="K6015" s="1"/>
  <c r="K6016" s="1"/>
  <c r="K6017" s="1"/>
  <c r="K6018" s="1"/>
  <c r="K6019" s="1"/>
  <c r="K6020" s="1"/>
  <c r="K6021" s="1"/>
  <c r="K6022" s="1"/>
  <c r="K6023" s="1"/>
  <c r="K6024" s="1"/>
  <c r="K6025" s="1"/>
  <c r="K6026" s="1"/>
  <c r="K6027" s="1"/>
  <c r="K6028" s="1"/>
  <c r="K6029" s="1"/>
  <c r="K6030" s="1"/>
  <c r="K6031" s="1"/>
  <c r="K6032" s="1"/>
  <c r="K6033" s="1"/>
  <c r="K6034" s="1"/>
  <c r="K6035" s="1"/>
  <c r="K6036" s="1"/>
  <c r="K6037" s="1"/>
  <c r="K6038" s="1"/>
  <c r="K6039" s="1"/>
  <c r="K6040" s="1"/>
  <c r="K6041" s="1"/>
  <c r="K6042" s="1"/>
  <c r="K6043" s="1"/>
  <c r="K6044" s="1"/>
  <c r="K6045" s="1"/>
  <c r="K6046" s="1"/>
  <c r="K6047" s="1"/>
  <c r="K6048" s="1"/>
  <c r="K6049" s="1"/>
  <c r="K6050" s="1"/>
  <c r="K6051" s="1"/>
  <c r="K6052" s="1"/>
  <c r="K6053" s="1"/>
  <c r="K6054" s="1"/>
  <c r="K6055" s="1"/>
  <c r="K6056" s="1"/>
  <c r="K6057" s="1"/>
  <c r="K6058" s="1"/>
  <c r="K6059" s="1"/>
  <c r="K6060" s="1"/>
  <c r="K6061" s="1"/>
  <c r="K6062" s="1"/>
  <c r="K6063" s="1"/>
  <c r="K6064" s="1"/>
  <c r="K6065" s="1"/>
  <c r="K6066" s="1"/>
  <c r="K6067" s="1"/>
  <c r="K6068" s="1"/>
  <c r="K6069" s="1"/>
  <c r="K6070" s="1"/>
  <c r="K6071" s="1"/>
  <c r="K6072" s="1"/>
  <c r="K6073" s="1"/>
  <c r="K6074" s="1"/>
  <c r="K6075" s="1"/>
  <c r="K6076" s="1"/>
  <c r="K6077" s="1"/>
  <c r="K6078" s="1"/>
  <c r="K6079" s="1"/>
  <c r="K6080" s="1"/>
  <c r="K6081" s="1"/>
  <c r="K6082" s="1"/>
  <c r="K6083" s="1"/>
  <c r="K6084" s="1"/>
  <c r="K6085" s="1"/>
  <c r="K6086" s="1"/>
  <c r="K6087" s="1"/>
  <c r="K6088" s="1"/>
  <c r="K6089" s="1"/>
  <c r="K6090" s="1"/>
  <c r="K6091" s="1"/>
  <c r="K6092" s="1"/>
  <c r="K6093" s="1"/>
  <c r="K6094" s="1"/>
  <c r="K6095" s="1"/>
  <c r="K6096" s="1"/>
  <c r="K6097" s="1"/>
  <c r="K6098" s="1"/>
  <c r="K6099" s="1"/>
  <c r="K6100" s="1"/>
  <c r="K6101" s="1"/>
  <c r="K6102" s="1"/>
  <c r="K6103" s="1"/>
  <c r="K6104" s="1"/>
  <c r="K6105" s="1"/>
  <c r="K6106" s="1"/>
  <c r="K6107" s="1"/>
  <c r="K6108" s="1"/>
  <c r="K6109" s="1"/>
  <c r="K6110" s="1"/>
  <c r="K6111" s="1"/>
  <c r="K6112" s="1"/>
  <c r="K6113" s="1"/>
  <c r="K6114" s="1"/>
  <c r="K6115" s="1"/>
  <c r="K6116" s="1"/>
  <c r="K6117" s="1"/>
  <c r="K6118" s="1"/>
  <c r="K6119" s="1"/>
  <c r="K6120" s="1"/>
  <c r="K6121" s="1"/>
  <c r="K6122" s="1"/>
  <c r="K6123" s="1"/>
  <c r="K6124" s="1"/>
  <c r="K6125" s="1"/>
  <c r="K6126" s="1"/>
  <c r="K6127" s="1"/>
  <c r="K6128" s="1"/>
  <c r="K6129" s="1"/>
  <c r="K6130" s="1"/>
  <c r="K6131" s="1"/>
  <c r="K6132" s="1"/>
  <c r="K6133" s="1"/>
  <c r="K6134" s="1"/>
  <c r="K6135" s="1"/>
  <c r="K6136" s="1"/>
  <c r="K6137" s="1"/>
  <c r="K6138" s="1"/>
  <c r="K6139" s="1"/>
  <c r="K6140" s="1"/>
  <c r="K6141" s="1"/>
  <c r="K6142" s="1"/>
  <c r="K6143" s="1"/>
  <c r="K6144" s="1"/>
  <c r="K6145" s="1"/>
  <c r="K6146" s="1"/>
  <c r="K6147" s="1"/>
  <c r="K6148" s="1"/>
  <c r="K6149" s="1"/>
  <c r="K6150" s="1"/>
  <c r="K6151" s="1"/>
  <c r="K6152" s="1"/>
  <c r="K6153" s="1"/>
  <c r="K6154" s="1"/>
  <c r="K6155" s="1"/>
  <c r="K6156" s="1"/>
  <c r="K6157" s="1"/>
  <c r="K6158" s="1"/>
  <c r="K6159" s="1"/>
  <c r="K6160" s="1"/>
  <c r="K6161" s="1"/>
  <c r="K6162" s="1"/>
  <c r="K6163" s="1"/>
  <c r="K6164" s="1"/>
  <c r="K6165" s="1"/>
  <c r="K6166" s="1"/>
  <c r="K6167" s="1"/>
  <c r="K6168" s="1"/>
  <c r="K6169" s="1"/>
  <c r="K6170" s="1"/>
  <c r="K6171" s="1"/>
  <c r="K6172" s="1"/>
  <c r="K6173" s="1"/>
  <c r="K6174" s="1"/>
  <c r="K6175" s="1"/>
  <c r="K6176" s="1"/>
  <c r="K6177" s="1"/>
  <c r="K6178" s="1"/>
  <c r="K6179" s="1"/>
  <c r="K6180" s="1"/>
  <c r="K6181" s="1"/>
  <c r="K6182" s="1"/>
  <c r="K6183" s="1"/>
  <c r="K6184" s="1"/>
  <c r="K6185" s="1"/>
  <c r="K6186" s="1"/>
  <c r="K6187" s="1"/>
  <c r="K6188" s="1"/>
  <c r="K6189" s="1"/>
  <c r="K6190" s="1"/>
  <c r="K6191" s="1"/>
  <c r="K6192" s="1"/>
  <c r="K6193" s="1"/>
  <c r="K6194" s="1"/>
  <c r="K6195" s="1"/>
  <c r="K6196" s="1"/>
  <c r="K6197" s="1"/>
  <c r="K6198" s="1"/>
  <c r="K6199" s="1"/>
  <c r="K6200" s="1"/>
  <c r="K6201" s="1"/>
  <c r="K6202" s="1"/>
  <c r="K6203" s="1"/>
  <c r="K6204" s="1"/>
  <c r="K6205" s="1"/>
  <c r="K6206" s="1"/>
  <c r="K6207" s="1"/>
  <c r="K6208" s="1"/>
  <c r="K6209" s="1"/>
  <c r="K6210" s="1"/>
  <c r="K6211" s="1"/>
  <c r="K6212" s="1"/>
  <c r="K6213" s="1"/>
  <c r="K6214" s="1"/>
  <c r="K6215" s="1"/>
  <c r="K6216" s="1"/>
  <c r="K6217" s="1"/>
  <c r="K6218" s="1"/>
  <c r="K6219" s="1"/>
  <c r="K6220" s="1"/>
  <c r="K6221" s="1"/>
  <c r="K6222" s="1"/>
  <c r="K6223" s="1"/>
  <c r="K6224" s="1"/>
  <c r="K6225" s="1"/>
  <c r="K6226" s="1"/>
  <c r="K6227" s="1"/>
  <c r="K6228" s="1"/>
  <c r="K6229" s="1"/>
  <c r="K6230" s="1"/>
  <c r="K6231" s="1"/>
  <c r="K6232" s="1"/>
  <c r="K6233" s="1"/>
  <c r="K6234" s="1"/>
  <c r="K6235" s="1"/>
  <c r="K6236" s="1"/>
  <c r="K6237" s="1"/>
  <c r="K6238" s="1"/>
  <c r="K6239" s="1"/>
  <c r="K6240" s="1"/>
  <c r="K6241" s="1"/>
  <c r="K6242" s="1"/>
  <c r="K6243" s="1"/>
  <c r="K6244" s="1"/>
  <c r="K6245" s="1"/>
  <c r="K6246" s="1"/>
  <c r="K6247" s="1"/>
  <c r="K6248" s="1"/>
  <c r="K6249" s="1"/>
  <c r="K6250" s="1"/>
  <c r="K6251" s="1"/>
  <c r="K6252" s="1"/>
  <c r="K6253" s="1"/>
  <c r="K6254" s="1"/>
  <c r="K6255" s="1"/>
  <c r="K6256" s="1"/>
  <c r="K6257" s="1"/>
  <c r="K6258" s="1"/>
  <c r="K6259" s="1"/>
  <c r="K6260" s="1"/>
  <c r="K6261" s="1"/>
  <c r="K6262" s="1"/>
  <c r="K6263" s="1"/>
  <c r="K6264" s="1"/>
  <c r="K6265" s="1"/>
  <c r="K6266" s="1"/>
  <c r="K6267" s="1"/>
  <c r="K6268" s="1"/>
  <c r="K6269" s="1"/>
  <c r="K6270" s="1"/>
  <c r="K6271" s="1"/>
  <c r="K6272" s="1"/>
  <c r="K6273" s="1"/>
  <c r="K6274" s="1"/>
  <c r="K6275" s="1"/>
  <c r="K6276" s="1"/>
  <c r="K6277" s="1"/>
  <c r="K6278" s="1"/>
  <c r="K6279" s="1"/>
  <c r="K6280" s="1"/>
  <c r="K6281" s="1"/>
  <c r="K6282" s="1"/>
  <c r="K6283" s="1"/>
  <c r="K6284" s="1"/>
  <c r="K6285" s="1"/>
  <c r="K6286" s="1"/>
  <c r="K6287" s="1"/>
  <c r="K6288" s="1"/>
  <c r="K6289" s="1"/>
  <c r="K6290" s="1"/>
  <c r="K6291" s="1"/>
  <c r="K6292" s="1"/>
  <c r="K6293" s="1"/>
  <c r="K6294" s="1"/>
  <c r="K6295" s="1"/>
  <c r="K6296" s="1"/>
  <c r="K6297" s="1"/>
  <c r="K6298" s="1"/>
  <c r="K6299" s="1"/>
  <c r="K6300" s="1"/>
  <c r="K6301" s="1"/>
  <c r="K6302" s="1"/>
  <c r="K6303" s="1"/>
  <c r="K6304" s="1"/>
  <c r="K6305" s="1"/>
  <c r="K6306" s="1"/>
  <c r="K6307" s="1"/>
  <c r="K6308" s="1"/>
  <c r="K6309" s="1"/>
  <c r="K6310" s="1"/>
  <c r="K6311" s="1"/>
  <c r="K6312" s="1"/>
  <c r="K6313" s="1"/>
  <c r="K6314" s="1"/>
  <c r="K6315" s="1"/>
  <c r="K6316" s="1"/>
  <c r="K6317" s="1"/>
  <c r="K6318" s="1"/>
  <c r="K6319" s="1"/>
  <c r="K6320" s="1"/>
  <c r="K6321" s="1"/>
  <c r="K6322" s="1"/>
  <c r="K6323" s="1"/>
  <c r="K6324" s="1"/>
  <c r="K6325" s="1"/>
  <c r="K6326" s="1"/>
  <c r="K6327" s="1"/>
  <c r="K6328" s="1"/>
  <c r="K6329" s="1"/>
  <c r="K6330" s="1"/>
  <c r="K6331" s="1"/>
  <c r="K6332" s="1"/>
  <c r="K6333" s="1"/>
  <c r="K6334" s="1"/>
  <c r="K6335" s="1"/>
  <c r="K6336" s="1"/>
  <c r="K6337" s="1"/>
  <c r="K6338" s="1"/>
  <c r="K6339" s="1"/>
  <c r="K6340" s="1"/>
  <c r="K6341" s="1"/>
  <c r="K6342" s="1"/>
  <c r="K6343" s="1"/>
  <c r="K6344" s="1"/>
  <c r="K6345" s="1"/>
  <c r="K6346" s="1"/>
  <c r="K6347" s="1"/>
  <c r="K6348" s="1"/>
  <c r="K6349" s="1"/>
  <c r="K6350" s="1"/>
  <c r="K6351" s="1"/>
  <c r="K6352" s="1"/>
  <c r="K6353" s="1"/>
  <c r="K6354" s="1"/>
  <c r="K6355" s="1"/>
  <c r="K6356" s="1"/>
  <c r="K6357" s="1"/>
  <c r="K6358" s="1"/>
  <c r="K6359" s="1"/>
  <c r="K6360" s="1"/>
  <c r="K6361" s="1"/>
  <c r="K6362" s="1"/>
  <c r="K6363" s="1"/>
  <c r="K6364" s="1"/>
  <c r="K6365" s="1"/>
  <c r="K6366" s="1"/>
  <c r="K6367" s="1"/>
  <c r="K6368" s="1"/>
  <c r="K6369" s="1"/>
  <c r="K6370" s="1"/>
  <c r="K6371" s="1"/>
  <c r="K6372" s="1"/>
  <c r="K6373" s="1"/>
  <c r="K6374" s="1"/>
  <c r="K6375" s="1"/>
  <c r="K6376" s="1"/>
  <c r="K6377" s="1"/>
  <c r="K6378" s="1"/>
  <c r="K6379" s="1"/>
  <c r="K6380" s="1"/>
  <c r="K6381" s="1"/>
  <c r="K6382" s="1"/>
  <c r="K6383" s="1"/>
  <c r="K6384" s="1"/>
  <c r="K6385" s="1"/>
  <c r="K6386" s="1"/>
  <c r="K6387" s="1"/>
  <c r="K6388" s="1"/>
  <c r="K6389" s="1"/>
  <c r="K6390" s="1"/>
  <c r="K6391" s="1"/>
  <c r="K6392" s="1"/>
  <c r="K6393" s="1"/>
  <c r="K6394" s="1"/>
  <c r="K6395" s="1"/>
  <c r="K6396" s="1"/>
  <c r="K6397" s="1"/>
  <c r="K6398" s="1"/>
  <c r="K6399" s="1"/>
  <c r="K6400" s="1"/>
  <c r="K6401" s="1"/>
  <c r="K6402" s="1"/>
  <c r="K6403" s="1"/>
  <c r="K6404" s="1"/>
  <c r="K6405" s="1"/>
  <c r="K6406" s="1"/>
  <c r="K6407" s="1"/>
  <c r="K6408" s="1"/>
  <c r="K6409" s="1"/>
  <c r="K6410" s="1"/>
  <c r="K6411" s="1"/>
  <c r="K6412" s="1"/>
  <c r="K6413" s="1"/>
  <c r="K6414" s="1"/>
  <c r="K6415" s="1"/>
  <c r="K6416" s="1"/>
  <c r="K6417" s="1"/>
  <c r="K6418" s="1"/>
  <c r="K6419" s="1"/>
  <c r="K6420" s="1"/>
  <c r="K6421" s="1"/>
  <c r="K6422" s="1"/>
  <c r="K6423" s="1"/>
  <c r="K6424" s="1"/>
  <c r="K6425" s="1"/>
  <c r="K6426" s="1"/>
  <c r="K6427" s="1"/>
  <c r="K6428" s="1"/>
  <c r="K6429" s="1"/>
  <c r="K6430" s="1"/>
  <c r="K6431" s="1"/>
  <c r="K6432" s="1"/>
  <c r="K6433" s="1"/>
  <c r="K6434" s="1"/>
  <c r="K6435" s="1"/>
  <c r="K6436" s="1"/>
  <c r="K6437" s="1"/>
  <c r="K6438" s="1"/>
  <c r="K6439" s="1"/>
  <c r="K6440" s="1"/>
  <c r="K6441" s="1"/>
  <c r="K6442" s="1"/>
  <c r="K6443" s="1"/>
  <c r="K6444" s="1"/>
  <c r="K6445" s="1"/>
  <c r="K6446" s="1"/>
  <c r="K6447" s="1"/>
  <c r="K6448" s="1"/>
  <c r="K6449" s="1"/>
  <c r="K6450" s="1"/>
  <c r="K6451" s="1"/>
  <c r="K6452" s="1"/>
  <c r="K6453" s="1"/>
  <c r="K6454" s="1"/>
  <c r="K6455" s="1"/>
  <c r="K6456" s="1"/>
  <c r="K6457" s="1"/>
  <c r="K6458" s="1"/>
  <c r="K6459" s="1"/>
  <c r="K6460" s="1"/>
  <c r="K6461" s="1"/>
  <c r="K6462" s="1"/>
  <c r="K6463" s="1"/>
  <c r="K6464" s="1"/>
  <c r="K6465" s="1"/>
  <c r="K6466" s="1"/>
  <c r="K6467" s="1"/>
  <c r="K6468" s="1"/>
  <c r="K6469" s="1"/>
  <c r="K6470" s="1"/>
  <c r="K6471" s="1"/>
  <c r="K6472" s="1"/>
  <c r="K6473" s="1"/>
  <c r="K6474" s="1"/>
  <c r="K6475" s="1"/>
  <c r="K6476" s="1"/>
  <c r="K6477" s="1"/>
  <c r="K6478" s="1"/>
  <c r="K6479" s="1"/>
  <c r="K6480" s="1"/>
  <c r="K6481" s="1"/>
  <c r="K6482" s="1"/>
  <c r="K6483" s="1"/>
  <c r="K6484" s="1"/>
  <c r="K6485" s="1"/>
  <c r="K6486" s="1"/>
  <c r="K6487" s="1"/>
  <c r="K6488" s="1"/>
  <c r="K6489" s="1"/>
  <c r="K6490" s="1"/>
  <c r="K6491" s="1"/>
  <c r="K6492" s="1"/>
  <c r="K6493" s="1"/>
  <c r="K6494" s="1"/>
  <c r="K6495" s="1"/>
  <c r="K6496" s="1"/>
  <c r="K6497" s="1"/>
  <c r="K6498" s="1"/>
  <c r="K6499" s="1"/>
  <c r="K6500" s="1"/>
  <c r="K6501" s="1"/>
  <c r="K6502" s="1"/>
  <c r="K6503" s="1"/>
  <c r="K6504" s="1"/>
  <c r="K6505" s="1"/>
  <c r="K6506" s="1"/>
  <c r="K6507" s="1"/>
  <c r="K6508" s="1"/>
  <c r="K6509" s="1"/>
  <c r="K6510" s="1"/>
  <c r="K6511" s="1"/>
  <c r="K6512" s="1"/>
  <c r="K6513" s="1"/>
  <c r="K6514" s="1"/>
  <c r="K6515" s="1"/>
  <c r="K6516" s="1"/>
  <c r="K6517" s="1"/>
  <c r="K6518" s="1"/>
  <c r="K6519" s="1"/>
  <c r="K6520" s="1"/>
  <c r="K6521" s="1"/>
  <c r="K6522" s="1"/>
  <c r="K6523" s="1"/>
  <c r="K6524" s="1"/>
  <c r="K6525" s="1"/>
  <c r="K6526" s="1"/>
  <c r="K6527" s="1"/>
  <c r="K6528" s="1"/>
  <c r="K6529" s="1"/>
  <c r="K6530" s="1"/>
  <c r="K6531" s="1"/>
  <c r="K6532" s="1"/>
  <c r="K6533" s="1"/>
  <c r="K6534" s="1"/>
  <c r="K6535" s="1"/>
  <c r="K6536" s="1"/>
  <c r="K6537" s="1"/>
  <c r="K6538" s="1"/>
  <c r="K6539" s="1"/>
  <c r="K6540" s="1"/>
  <c r="K6541" s="1"/>
  <c r="K6542" s="1"/>
  <c r="K6543" s="1"/>
  <c r="K6544" s="1"/>
  <c r="K6545" s="1"/>
  <c r="K6546" s="1"/>
  <c r="K6547" s="1"/>
  <c r="K6548" s="1"/>
  <c r="K6549" s="1"/>
  <c r="K6550" s="1"/>
  <c r="K6551" s="1"/>
  <c r="K6552" s="1"/>
  <c r="K6553" s="1"/>
  <c r="K6554" s="1"/>
  <c r="K6555" s="1"/>
  <c r="K6556" s="1"/>
  <c r="K6557" s="1"/>
  <c r="K6558" s="1"/>
  <c r="K6559" s="1"/>
  <c r="K6560" s="1"/>
  <c r="K6561" s="1"/>
  <c r="K6562" s="1"/>
  <c r="K6563" s="1"/>
  <c r="K6564" s="1"/>
  <c r="K6565" s="1"/>
  <c r="K6566" s="1"/>
  <c r="K6567" s="1"/>
  <c r="K6568" s="1"/>
  <c r="K6569" s="1"/>
  <c r="K6570" s="1"/>
  <c r="K6571" s="1"/>
  <c r="K6572" s="1"/>
  <c r="K6573" s="1"/>
  <c r="K6574" s="1"/>
  <c r="K6575" s="1"/>
  <c r="K6576" s="1"/>
  <c r="K6577" s="1"/>
  <c r="K6578" s="1"/>
  <c r="K6579" s="1"/>
  <c r="K6580" s="1"/>
  <c r="K6581" s="1"/>
  <c r="K6582" s="1"/>
  <c r="K6583" s="1"/>
  <c r="K6584" s="1"/>
  <c r="K6585" s="1"/>
  <c r="K6586" s="1"/>
  <c r="K6587" s="1"/>
  <c r="K6588" s="1"/>
  <c r="K6589" s="1"/>
  <c r="K6590" s="1"/>
  <c r="K6591" s="1"/>
  <c r="K6592" s="1"/>
  <c r="K6593" s="1"/>
  <c r="K6594" s="1"/>
  <c r="K6595" s="1"/>
  <c r="K6596" s="1"/>
  <c r="K6597" s="1"/>
  <c r="K6598" s="1"/>
  <c r="K6599" s="1"/>
  <c r="K6600" s="1"/>
  <c r="K6601" s="1"/>
  <c r="K6602" s="1"/>
  <c r="K6603" s="1"/>
  <c r="K6604" s="1"/>
  <c r="K6605" s="1"/>
  <c r="K6606" s="1"/>
  <c r="K6607" s="1"/>
  <c r="K6608" s="1"/>
  <c r="K6609" s="1"/>
  <c r="K6610" s="1"/>
  <c r="K6611" s="1"/>
  <c r="K6612" s="1"/>
  <c r="K6613" s="1"/>
  <c r="K6614" s="1"/>
  <c r="K6615" s="1"/>
  <c r="K6616" s="1"/>
  <c r="K6617" s="1"/>
  <c r="K6618" s="1"/>
  <c r="K6619" s="1"/>
  <c r="K6620" s="1"/>
  <c r="K6621" s="1"/>
  <c r="K6622" s="1"/>
  <c r="K6623" s="1"/>
  <c r="K6624" s="1"/>
  <c r="K6625" s="1"/>
  <c r="K6626" s="1"/>
  <c r="K6627" s="1"/>
  <c r="K6628" s="1"/>
  <c r="K6629" s="1"/>
  <c r="K6630" s="1"/>
  <c r="K6631" s="1"/>
  <c r="K6632" s="1"/>
  <c r="K6633" s="1"/>
  <c r="K6634" s="1"/>
  <c r="K6635" s="1"/>
  <c r="K6636" s="1"/>
  <c r="K6637" s="1"/>
  <c r="K6638" s="1"/>
  <c r="K6639" s="1"/>
  <c r="K6640" s="1"/>
  <c r="K6641" s="1"/>
  <c r="K6642" s="1"/>
  <c r="K6643" s="1"/>
  <c r="K6644" s="1"/>
  <c r="K6645" s="1"/>
  <c r="K6646" s="1"/>
  <c r="K6647" s="1"/>
  <c r="K6648" s="1"/>
  <c r="K6649" s="1"/>
  <c r="K6650" s="1"/>
  <c r="K6651" s="1"/>
  <c r="K6652" s="1"/>
  <c r="K6653" s="1"/>
  <c r="K6654" s="1"/>
  <c r="K6655" s="1"/>
  <c r="K6656" s="1"/>
  <c r="K6657" s="1"/>
  <c r="K6658" s="1"/>
  <c r="K6659" s="1"/>
  <c r="K6660" s="1"/>
  <c r="K6661" s="1"/>
  <c r="K6662" s="1"/>
  <c r="K6663" s="1"/>
  <c r="K6664" s="1"/>
  <c r="K6665" s="1"/>
  <c r="K6666" s="1"/>
  <c r="K6667" s="1"/>
  <c r="K6668" s="1"/>
  <c r="K6669" s="1"/>
  <c r="K6670" s="1"/>
  <c r="K6671" s="1"/>
  <c r="K6672" s="1"/>
  <c r="K6673" s="1"/>
  <c r="K6674" s="1"/>
  <c r="K6675" s="1"/>
  <c r="K6676" s="1"/>
  <c r="K6677" s="1"/>
  <c r="K6678" s="1"/>
  <c r="K6679" s="1"/>
  <c r="K6680" s="1"/>
  <c r="K6681" s="1"/>
  <c r="K6682" s="1"/>
  <c r="K6683" s="1"/>
  <c r="K6684" s="1"/>
  <c r="K6685" s="1"/>
  <c r="K6686" s="1"/>
  <c r="K6687" s="1"/>
  <c r="K6688" s="1"/>
  <c r="K6689" s="1"/>
  <c r="K6690" s="1"/>
  <c r="K6691" s="1"/>
  <c r="K6692" s="1"/>
  <c r="K6693" s="1"/>
  <c r="K6694" s="1"/>
  <c r="K6695" s="1"/>
  <c r="K6696" s="1"/>
  <c r="K6697" s="1"/>
  <c r="K6698" s="1"/>
  <c r="K6699" s="1"/>
  <c r="K6700" s="1"/>
  <c r="K6701" s="1"/>
  <c r="K6702" s="1"/>
  <c r="K6703" s="1"/>
  <c r="K6704" s="1"/>
  <c r="K6705" s="1"/>
  <c r="K6706" s="1"/>
  <c r="K6707" s="1"/>
  <c r="K6708" s="1"/>
  <c r="K6709" s="1"/>
  <c r="K6710" s="1"/>
  <c r="K6711" s="1"/>
  <c r="K6712" s="1"/>
  <c r="K6713" s="1"/>
  <c r="K6714" s="1"/>
  <c r="K6715" s="1"/>
  <c r="K6716" s="1"/>
  <c r="K6717" s="1"/>
  <c r="K6718" s="1"/>
  <c r="K6719" s="1"/>
  <c r="K6720" s="1"/>
  <c r="K6721" s="1"/>
  <c r="K6722" s="1"/>
  <c r="K6723" s="1"/>
  <c r="K6724" s="1"/>
  <c r="K6725" s="1"/>
  <c r="K6726" s="1"/>
  <c r="K6727" s="1"/>
  <c r="K6728" s="1"/>
  <c r="K6729" s="1"/>
  <c r="K6730" s="1"/>
  <c r="K6731" s="1"/>
  <c r="K6732" s="1"/>
  <c r="K6733" s="1"/>
  <c r="K6734" s="1"/>
  <c r="K6735" s="1"/>
  <c r="K6736" s="1"/>
  <c r="K6737" s="1"/>
  <c r="K6738" s="1"/>
  <c r="K6739" s="1"/>
  <c r="K6740" s="1"/>
  <c r="K6741" s="1"/>
  <c r="K6742" s="1"/>
  <c r="K6743" s="1"/>
  <c r="K6744" s="1"/>
  <c r="K6745" s="1"/>
  <c r="K6746" s="1"/>
  <c r="K6747" s="1"/>
  <c r="K6748" s="1"/>
  <c r="K6749" s="1"/>
  <c r="K6750" s="1"/>
  <c r="K6751" s="1"/>
  <c r="K6752" s="1"/>
  <c r="K6753" s="1"/>
  <c r="K6754" s="1"/>
  <c r="K6755" s="1"/>
  <c r="K6756" s="1"/>
  <c r="K6757" s="1"/>
  <c r="K6758" s="1"/>
  <c r="K6759" s="1"/>
  <c r="K6760" s="1"/>
  <c r="K6761" s="1"/>
  <c r="K6762" s="1"/>
  <c r="K6763" s="1"/>
  <c r="K6764" s="1"/>
  <c r="K6765" s="1"/>
  <c r="K6766" s="1"/>
  <c r="K6767" s="1"/>
  <c r="K6768" s="1"/>
  <c r="K6769" s="1"/>
  <c r="K6770" s="1"/>
  <c r="K6771" s="1"/>
  <c r="K6772" s="1"/>
  <c r="K6773" s="1"/>
  <c r="K6774" s="1"/>
  <c r="K6775" s="1"/>
  <c r="K6776" s="1"/>
  <c r="K6777" s="1"/>
  <c r="K6778" s="1"/>
  <c r="K6779" s="1"/>
  <c r="K6780" s="1"/>
  <c r="K6781" s="1"/>
  <c r="K6782" s="1"/>
  <c r="K6783" s="1"/>
  <c r="K6784" s="1"/>
  <c r="K6785" s="1"/>
  <c r="K6786" s="1"/>
  <c r="K6787" s="1"/>
  <c r="K6788" s="1"/>
  <c r="K6789" s="1"/>
  <c r="K6790" s="1"/>
  <c r="K6791" s="1"/>
  <c r="K6792" s="1"/>
  <c r="K6793" s="1"/>
  <c r="K6794" s="1"/>
  <c r="K6795" s="1"/>
  <c r="K6796" s="1"/>
  <c r="K6797" s="1"/>
  <c r="K6798" s="1"/>
  <c r="K6799" s="1"/>
  <c r="K6800" s="1"/>
  <c r="K6801" s="1"/>
  <c r="K6802" s="1"/>
  <c r="K6803" s="1"/>
  <c r="K6804" s="1"/>
  <c r="K6805" s="1"/>
  <c r="K6806" s="1"/>
  <c r="K6807" s="1"/>
  <c r="K6808" s="1"/>
  <c r="K6809" s="1"/>
  <c r="K6810" s="1"/>
  <c r="K6811" s="1"/>
  <c r="K6812" s="1"/>
  <c r="K6813" s="1"/>
  <c r="K6814" s="1"/>
  <c r="K6815" s="1"/>
  <c r="K6816" s="1"/>
  <c r="K6817" s="1"/>
  <c r="K6818" s="1"/>
  <c r="K6819" s="1"/>
  <c r="K6820" s="1"/>
  <c r="K6821" s="1"/>
  <c r="K6822" s="1"/>
  <c r="K6823" s="1"/>
  <c r="K6824" s="1"/>
  <c r="K6825" s="1"/>
  <c r="K6826" s="1"/>
  <c r="K6827" s="1"/>
  <c r="K6828" s="1"/>
  <c r="K6829" s="1"/>
  <c r="K6830" s="1"/>
  <c r="K6831" s="1"/>
  <c r="K6832" s="1"/>
  <c r="K6833" s="1"/>
  <c r="K6834" s="1"/>
  <c r="K6835" s="1"/>
  <c r="K6836" s="1"/>
  <c r="K6837" s="1"/>
  <c r="K6838" s="1"/>
  <c r="K6839" s="1"/>
  <c r="K6840" s="1"/>
  <c r="K6841" s="1"/>
  <c r="K6842" s="1"/>
  <c r="K6843" s="1"/>
  <c r="K6844" s="1"/>
  <c r="K6845" s="1"/>
  <c r="K6846" s="1"/>
  <c r="K6847" s="1"/>
  <c r="K6848" s="1"/>
  <c r="K6849" s="1"/>
  <c r="K6850" s="1"/>
  <c r="K6851" s="1"/>
  <c r="K6852" s="1"/>
  <c r="K6853" s="1"/>
  <c r="K6854" s="1"/>
  <c r="K6855" s="1"/>
  <c r="K6856" s="1"/>
  <c r="K6857" s="1"/>
  <c r="K6858" s="1"/>
  <c r="K6859" s="1"/>
  <c r="K6860" s="1"/>
  <c r="K6861" s="1"/>
  <c r="K6862" s="1"/>
  <c r="K6863" s="1"/>
  <c r="K6864" s="1"/>
  <c r="K6865" s="1"/>
  <c r="K6866" s="1"/>
  <c r="K6867" s="1"/>
  <c r="K6868" s="1"/>
  <c r="K6869" s="1"/>
  <c r="K6870" s="1"/>
  <c r="K6871" s="1"/>
  <c r="K6872" s="1"/>
  <c r="K6873" s="1"/>
  <c r="K6874" s="1"/>
  <c r="K6875" s="1"/>
  <c r="K6876" s="1"/>
  <c r="K6877" s="1"/>
  <c r="K6878" s="1"/>
  <c r="K6879" s="1"/>
  <c r="K6880" s="1"/>
  <c r="K6881" s="1"/>
  <c r="K6882" s="1"/>
  <c r="K6883" s="1"/>
  <c r="K6884" s="1"/>
  <c r="K6885" s="1"/>
  <c r="K6886" s="1"/>
  <c r="K6887" s="1"/>
  <c r="K6888" s="1"/>
  <c r="K6889" s="1"/>
  <c r="K6890" s="1"/>
  <c r="K6891" s="1"/>
  <c r="K6892" s="1"/>
  <c r="K6893" s="1"/>
  <c r="K6894" s="1"/>
  <c r="K6895" s="1"/>
  <c r="K6896" s="1"/>
  <c r="K6897" s="1"/>
  <c r="K6898" s="1"/>
  <c r="K6899" s="1"/>
  <c r="K6900" s="1"/>
  <c r="K6901" s="1"/>
  <c r="K6902" s="1"/>
  <c r="K6903" s="1"/>
  <c r="K6904" s="1"/>
  <c r="K6905" s="1"/>
  <c r="K6906" s="1"/>
  <c r="K6907" s="1"/>
  <c r="K6908" s="1"/>
  <c r="K6909" s="1"/>
  <c r="K6910" s="1"/>
  <c r="K6911" s="1"/>
  <c r="K6912" s="1"/>
  <c r="K6913" s="1"/>
  <c r="K6914" s="1"/>
  <c r="K6915" s="1"/>
  <c r="K6916" s="1"/>
  <c r="K6917" s="1"/>
  <c r="K6918" s="1"/>
  <c r="K6919" s="1"/>
  <c r="K6920" s="1"/>
  <c r="K6921" s="1"/>
  <c r="K6922" s="1"/>
  <c r="K6923" s="1"/>
  <c r="K6924" s="1"/>
  <c r="K6925" s="1"/>
  <c r="K6926" s="1"/>
  <c r="K6927" s="1"/>
  <c r="K6928" s="1"/>
  <c r="K6929" s="1"/>
  <c r="K6930" s="1"/>
  <c r="K6931" s="1"/>
  <c r="K6932" s="1"/>
  <c r="K6933" s="1"/>
  <c r="K6934" s="1"/>
  <c r="K6935" s="1"/>
  <c r="K6936" s="1"/>
  <c r="K6937" s="1"/>
  <c r="K6938" s="1"/>
  <c r="K6939" s="1"/>
  <c r="K6940" s="1"/>
  <c r="K6941" s="1"/>
  <c r="K6942" s="1"/>
  <c r="K6943" s="1"/>
  <c r="K6944" s="1"/>
  <c r="K6945" s="1"/>
  <c r="K6946" s="1"/>
  <c r="K6947" s="1"/>
  <c r="K6948" s="1"/>
  <c r="K6949" s="1"/>
  <c r="K6950" s="1"/>
  <c r="K6951" s="1"/>
  <c r="K6952" s="1"/>
  <c r="K6953" s="1"/>
  <c r="K6954" s="1"/>
  <c r="K6955" s="1"/>
  <c r="K6956" s="1"/>
  <c r="K6957" s="1"/>
  <c r="K6958" s="1"/>
  <c r="K6959" s="1"/>
  <c r="K6960" s="1"/>
  <c r="K6961" s="1"/>
  <c r="K6962" s="1"/>
  <c r="K6963" s="1"/>
  <c r="K6964" s="1"/>
  <c r="K6965" s="1"/>
  <c r="K6966" s="1"/>
  <c r="K6967" s="1"/>
  <c r="K6968" s="1"/>
  <c r="K6969" s="1"/>
  <c r="K6970" s="1"/>
  <c r="K6971" s="1"/>
  <c r="K6972" s="1"/>
  <c r="K6973" s="1"/>
  <c r="K6974" s="1"/>
  <c r="K6975" s="1"/>
  <c r="K6976" s="1"/>
  <c r="K6977" s="1"/>
  <c r="K6978" s="1"/>
  <c r="K6979" s="1"/>
  <c r="K6980" s="1"/>
  <c r="K6981" s="1"/>
  <c r="K6982" s="1"/>
  <c r="K6983" s="1"/>
  <c r="K6984" s="1"/>
  <c r="K6985" s="1"/>
  <c r="K6986" s="1"/>
  <c r="K6987" s="1"/>
  <c r="K6988" s="1"/>
  <c r="K6989" s="1"/>
  <c r="K6990" s="1"/>
  <c r="K6991" s="1"/>
  <c r="K6992" s="1"/>
  <c r="K6993" s="1"/>
  <c r="K6994" s="1"/>
  <c r="K6995" s="1"/>
  <c r="K6996" s="1"/>
  <c r="K6997" s="1"/>
  <c r="K6998" s="1"/>
  <c r="K6999" s="1"/>
  <c r="K7000" s="1"/>
  <c r="K7001" s="1"/>
  <c r="K7002" s="1"/>
  <c r="K7003" s="1"/>
  <c r="K7004" s="1"/>
  <c r="K7005" s="1"/>
  <c r="K7006" s="1"/>
  <c r="K7007" s="1"/>
  <c r="K7008" s="1"/>
  <c r="K7009" s="1"/>
  <c r="K7010" s="1"/>
  <c r="K7011" s="1"/>
  <c r="K7012" s="1"/>
  <c r="K7013" s="1"/>
  <c r="K7014" s="1"/>
  <c r="K7015" s="1"/>
  <c r="K7016" s="1"/>
  <c r="K7017" s="1"/>
  <c r="K7018" s="1"/>
  <c r="K7019" s="1"/>
  <c r="K7020" s="1"/>
  <c r="K7021" s="1"/>
  <c r="K7022" s="1"/>
  <c r="K7023" s="1"/>
  <c r="K7024" s="1"/>
  <c r="K7025" s="1"/>
  <c r="K7026" s="1"/>
  <c r="K7027" s="1"/>
  <c r="K7028" s="1"/>
  <c r="K7029" s="1"/>
  <c r="K7030" s="1"/>
  <c r="K7031" s="1"/>
  <c r="K7032" s="1"/>
  <c r="K7033" s="1"/>
  <c r="K7034" s="1"/>
  <c r="K7035" s="1"/>
  <c r="K7036" s="1"/>
  <c r="K7037" s="1"/>
  <c r="K7038" s="1"/>
  <c r="K7039" s="1"/>
  <c r="K7040" s="1"/>
  <c r="K7041" s="1"/>
  <c r="K7042" s="1"/>
  <c r="K7043" s="1"/>
  <c r="K7044" s="1"/>
  <c r="K7045" s="1"/>
  <c r="K7046" s="1"/>
  <c r="K7047" s="1"/>
  <c r="K7048" s="1"/>
  <c r="K7049" s="1"/>
  <c r="K7050" s="1"/>
  <c r="K7051" s="1"/>
  <c r="K7052" s="1"/>
  <c r="K7053" s="1"/>
  <c r="K7054" s="1"/>
  <c r="K7055" s="1"/>
  <c r="K7056" s="1"/>
  <c r="K7057" s="1"/>
  <c r="K7058" s="1"/>
  <c r="K7059" s="1"/>
  <c r="K7060" s="1"/>
  <c r="K7061" s="1"/>
  <c r="K7062" s="1"/>
  <c r="K7063" s="1"/>
  <c r="K7064" s="1"/>
  <c r="K7065" s="1"/>
  <c r="K7066" s="1"/>
  <c r="K7067" s="1"/>
  <c r="K7068" s="1"/>
  <c r="K7069" s="1"/>
  <c r="K7070" s="1"/>
  <c r="K7071" s="1"/>
  <c r="K7072" s="1"/>
  <c r="K7073" s="1"/>
  <c r="K7074" s="1"/>
  <c r="K7075" s="1"/>
  <c r="K7076" s="1"/>
  <c r="K7077" s="1"/>
  <c r="K7078" s="1"/>
  <c r="K7079" s="1"/>
  <c r="K7080" s="1"/>
  <c r="K7081" s="1"/>
  <c r="K7082" s="1"/>
  <c r="K7083" s="1"/>
  <c r="K7084" s="1"/>
  <c r="K7085" s="1"/>
  <c r="K7086" s="1"/>
  <c r="K7087" s="1"/>
  <c r="K7088" s="1"/>
  <c r="K7089" s="1"/>
  <c r="K7090" s="1"/>
  <c r="K7091" s="1"/>
  <c r="K7092" s="1"/>
  <c r="K7093" s="1"/>
  <c r="K7094" s="1"/>
  <c r="K7095" s="1"/>
  <c r="K7096" s="1"/>
  <c r="K7097" s="1"/>
  <c r="K7098" s="1"/>
  <c r="K7099" s="1"/>
  <c r="K7100" s="1"/>
  <c r="K7101" s="1"/>
  <c r="K7102" s="1"/>
  <c r="K7103" s="1"/>
  <c r="K7104" s="1"/>
  <c r="K7105" s="1"/>
  <c r="K7106" s="1"/>
  <c r="K7107" s="1"/>
  <c r="K7108" s="1"/>
  <c r="K7109" s="1"/>
  <c r="K7110" s="1"/>
  <c r="K7111" s="1"/>
  <c r="K7112" s="1"/>
  <c r="K7113" s="1"/>
  <c r="K7114" s="1"/>
  <c r="K7115" s="1"/>
  <c r="K7116" s="1"/>
  <c r="K7117" s="1"/>
  <c r="K7118" s="1"/>
  <c r="K7119" s="1"/>
  <c r="K7120" s="1"/>
  <c r="K7121" s="1"/>
  <c r="K7122" s="1"/>
  <c r="K7123" s="1"/>
  <c r="K7124" s="1"/>
  <c r="K7125" s="1"/>
  <c r="K7126" s="1"/>
  <c r="K7127" s="1"/>
  <c r="K7128" s="1"/>
  <c r="K7129" s="1"/>
  <c r="K7130" s="1"/>
  <c r="K7131" s="1"/>
  <c r="K7132" s="1"/>
  <c r="K7133" s="1"/>
  <c r="K7134" s="1"/>
  <c r="K7135" s="1"/>
  <c r="K7136" s="1"/>
  <c r="K7137" s="1"/>
  <c r="K7138" s="1"/>
  <c r="K7139" s="1"/>
  <c r="K7140" s="1"/>
  <c r="K7141" s="1"/>
  <c r="K7142" s="1"/>
  <c r="K7143" s="1"/>
  <c r="K7144" s="1"/>
  <c r="K7145" s="1"/>
  <c r="K7146" s="1"/>
  <c r="K7147" s="1"/>
  <c r="K7148" s="1"/>
  <c r="K7149" s="1"/>
  <c r="K7150" s="1"/>
  <c r="K7151" s="1"/>
  <c r="K7152" s="1"/>
  <c r="K7153" s="1"/>
  <c r="K7154" s="1"/>
  <c r="K7155" s="1"/>
  <c r="K7156" s="1"/>
  <c r="K7157" s="1"/>
  <c r="K7158" s="1"/>
  <c r="K7159" s="1"/>
  <c r="K7160" s="1"/>
  <c r="K7161" s="1"/>
  <c r="K7162" s="1"/>
  <c r="K7163" s="1"/>
  <c r="K7164" s="1"/>
  <c r="K7165" s="1"/>
  <c r="K7166" s="1"/>
  <c r="K7167" s="1"/>
  <c r="K7168" s="1"/>
  <c r="K7169" s="1"/>
  <c r="K7170" s="1"/>
  <c r="K7171" s="1"/>
  <c r="K7172" s="1"/>
  <c r="K7173" s="1"/>
  <c r="K7174" s="1"/>
  <c r="K7175" s="1"/>
  <c r="K7176" s="1"/>
  <c r="K7177" s="1"/>
  <c r="K7178" s="1"/>
  <c r="K7179" s="1"/>
  <c r="K7180" s="1"/>
  <c r="K7181" s="1"/>
  <c r="K7182" s="1"/>
  <c r="K7183" s="1"/>
  <c r="K7184" s="1"/>
  <c r="K7185" s="1"/>
  <c r="K7186" s="1"/>
  <c r="K7187" s="1"/>
  <c r="K7188" s="1"/>
  <c r="K7189" s="1"/>
  <c r="K7190" s="1"/>
  <c r="K7191" s="1"/>
  <c r="K7192" s="1"/>
  <c r="K7193" s="1"/>
  <c r="K7194" s="1"/>
  <c r="K7195" s="1"/>
  <c r="K7196" s="1"/>
  <c r="K7197" s="1"/>
  <c r="K7198" s="1"/>
  <c r="K7199" s="1"/>
  <c r="K7200" s="1"/>
  <c r="K7201" s="1"/>
  <c r="K7202" s="1"/>
  <c r="K7203" s="1"/>
  <c r="K7204" s="1"/>
  <c r="K7205" s="1"/>
  <c r="K7206" s="1"/>
  <c r="K7207" s="1"/>
  <c r="K7208" s="1"/>
  <c r="K7209" s="1"/>
  <c r="K7210" s="1"/>
  <c r="K7211" s="1"/>
  <c r="K7212" s="1"/>
  <c r="K7213" s="1"/>
  <c r="K7214" s="1"/>
  <c r="K7215" s="1"/>
  <c r="K7216" s="1"/>
  <c r="K7217" s="1"/>
  <c r="K7218" s="1"/>
  <c r="K7219" s="1"/>
  <c r="K7220" s="1"/>
  <c r="K7221" s="1"/>
  <c r="K7222" s="1"/>
  <c r="K7223" s="1"/>
  <c r="K7224" s="1"/>
  <c r="K7225" s="1"/>
  <c r="K7226" s="1"/>
  <c r="K7227" s="1"/>
  <c r="K7228" s="1"/>
  <c r="K7229" s="1"/>
  <c r="K7230" s="1"/>
  <c r="K7231" s="1"/>
  <c r="K7232" s="1"/>
  <c r="K7233" s="1"/>
  <c r="K7234" s="1"/>
  <c r="K7235" s="1"/>
  <c r="K7236" s="1"/>
  <c r="K7237" s="1"/>
  <c r="K7238" s="1"/>
  <c r="K7239" s="1"/>
  <c r="K7240" s="1"/>
  <c r="K7241" s="1"/>
  <c r="K7242" s="1"/>
  <c r="K7243" s="1"/>
  <c r="K7244" s="1"/>
  <c r="K7245" s="1"/>
  <c r="K7246" s="1"/>
  <c r="K7247" s="1"/>
  <c r="K7248" s="1"/>
  <c r="K7249" s="1"/>
  <c r="K7250" s="1"/>
  <c r="K7251" s="1"/>
  <c r="K7252" s="1"/>
  <c r="K7253" s="1"/>
  <c r="K7254" s="1"/>
  <c r="K7255" s="1"/>
  <c r="K7256" s="1"/>
  <c r="K7257" s="1"/>
  <c r="K7258" s="1"/>
  <c r="K7259" s="1"/>
  <c r="K7260" s="1"/>
  <c r="K7261" s="1"/>
  <c r="K7262" s="1"/>
  <c r="K7263" s="1"/>
  <c r="K7264" s="1"/>
  <c r="K7265" s="1"/>
  <c r="K7266" s="1"/>
  <c r="K7267" s="1"/>
  <c r="K7268" s="1"/>
  <c r="K7269" s="1"/>
  <c r="K7270" s="1"/>
  <c r="K7271" s="1"/>
  <c r="K7272" s="1"/>
  <c r="K7273" s="1"/>
  <c r="K7274" s="1"/>
  <c r="K7275" s="1"/>
  <c r="K7276" s="1"/>
  <c r="K7277" s="1"/>
  <c r="K7278" s="1"/>
  <c r="K7279" s="1"/>
  <c r="K7280" s="1"/>
  <c r="K7281" s="1"/>
  <c r="K7282" s="1"/>
  <c r="K7283" s="1"/>
  <c r="K7284" s="1"/>
  <c r="K7285" s="1"/>
  <c r="K7286" s="1"/>
  <c r="K7287" s="1"/>
  <c r="K7288" s="1"/>
  <c r="K7289" s="1"/>
  <c r="K7290" s="1"/>
  <c r="K7291" s="1"/>
  <c r="K7292" s="1"/>
  <c r="K7293" s="1"/>
  <c r="K7294" s="1"/>
  <c r="K7295" s="1"/>
  <c r="K7296" s="1"/>
  <c r="K7297" s="1"/>
  <c r="K7298" s="1"/>
  <c r="K7299" s="1"/>
  <c r="K7300" s="1"/>
  <c r="K7301" s="1"/>
  <c r="K7302" s="1"/>
  <c r="K7303" s="1"/>
  <c r="K7304" s="1"/>
  <c r="K7305" s="1"/>
  <c r="K7306" s="1"/>
  <c r="K7307" s="1"/>
  <c r="K7308" s="1"/>
  <c r="K7309" s="1"/>
  <c r="K7310" s="1"/>
  <c r="K7311" s="1"/>
  <c r="K7312" s="1"/>
  <c r="K7313" s="1"/>
  <c r="K7314" s="1"/>
  <c r="K7315" s="1"/>
  <c r="K7316" s="1"/>
  <c r="K7317" s="1"/>
  <c r="K7318" s="1"/>
  <c r="K7319" s="1"/>
  <c r="K7320" s="1"/>
  <c r="K7321" s="1"/>
  <c r="K7322" s="1"/>
  <c r="K7323" s="1"/>
  <c r="K7324" s="1"/>
  <c r="K7325" s="1"/>
  <c r="K7326" s="1"/>
  <c r="K7327" s="1"/>
  <c r="K7328" s="1"/>
  <c r="K7329" s="1"/>
  <c r="K7330" s="1"/>
  <c r="K7331" s="1"/>
  <c r="K7332" s="1"/>
  <c r="K7333" s="1"/>
  <c r="K7334" s="1"/>
  <c r="K7335" s="1"/>
  <c r="K7336" s="1"/>
  <c r="K7337" s="1"/>
  <c r="K7338" s="1"/>
  <c r="K7339" s="1"/>
  <c r="K7340" s="1"/>
  <c r="K7341" s="1"/>
  <c r="K7342" s="1"/>
  <c r="K7343" s="1"/>
  <c r="K7344" s="1"/>
  <c r="K7345" s="1"/>
  <c r="K7346" s="1"/>
  <c r="K7347" s="1"/>
  <c r="K7348" s="1"/>
  <c r="K7349" s="1"/>
  <c r="K7350" s="1"/>
  <c r="K7351" s="1"/>
  <c r="K7352" s="1"/>
  <c r="K7353" s="1"/>
  <c r="K7354" s="1"/>
  <c r="K7355" s="1"/>
  <c r="K7356" s="1"/>
  <c r="K7357" s="1"/>
  <c r="K7358" s="1"/>
  <c r="K7359" s="1"/>
  <c r="K7360" s="1"/>
  <c r="K7361" s="1"/>
  <c r="K7362" s="1"/>
  <c r="K7363" s="1"/>
  <c r="K7364" s="1"/>
  <c r="K7365" s="1"/>
  <c r="K7366" s="1"/>
  <c r="K7367" s="1"/>
  <c r="K7368" s="1"/>
  <c r="K7369" s="1"/>
  <c r="K7370" s="1"/>
  <c r="K7371" s="1"/>
  <c r="K7372" s="1"/>
  <c r="K7373" s="1"/>
  <c r="K7374" s="1"/>
  <c r="K7375" s="1"/>
  <c r="K7376" s="1"/>
  <c r="K7377" s="1"/>
  <c r="K7378" s="1"/>
  <c r="K7379" s="1"/>
  <c r="K7380" s="1"/>
  <c r="K7381" s="1"/>
  <c r="K7382" s="1"/>
  <c r="K7383" s="1"/>
  <c r="K7384" s="1"/>
  <c r="K7385" s="1"/>
  <c r="K7386" s="1"/>
  <c r="K7387" s="1"/>
  <c r="K7388" s="1"/>
  <c r="K7389" s="1"/>
  <c r="K7390" s="1"/>
  <c r="K7391" s="1"/>
  <c r="K7392" s="1"/>
  <c r="K7393" s="1"/>
  <c r="K7394" s="1"/>
  <c r="K7395" s="1"/>
  <c r="K7396" s="1"/>
  <c r="K7397" s="1"/>
  <c r="K7398" s="1"/>
  <c r="K7399" s="1"/>
  <c r="K7400" s="1"/>
  <c r="K7401" s="1"/>
  <c r="K7402" s="1"/>
  <c r="K7403" s="1"/>
  <c r="K7404" s="1"/>
  <c r="K7405" s="1"/>
  <c r="K7406" s="1"/>
  <c r="K7407" s="1"/>
  <c r="K7408" s="1"/>
  <c r="K7409" s="1"/>
  <c r="K7410" s="1"/>
  <c r="K7411" s="1"/>
  <c r="K7412" s="1"/>
  <c r="K7413" s="1"/>
  <c r="K7414" s="1"/>
  <c r="K7415" s="1"/>
  <c r="K7416" s="1"/>
  <c r="K7417" s="1"/>
  <c r="K7418" s="1"/>
  <c r="K7419" s="1"/>
  <c r="K7420" s="1"/>
  <c r="K7421" s="1"/>
  <c r="K7422" s="1"/>
  <c r="K7423" s="1"/>
  <c r="K7424" s="1"/>
  <c r="K7425" s="1"/>
  <c r="K7426" s="1"/>
  <c r="K7427" s="1"/>
  <c r="K7428" s="1"/>
  <c r="K7429" s="1"/>
  <c r="K7430" s="1"/>
  <c r="K7431" s="1"/>
  <c r="K7432" s="1"/>
  <c r="K7433" s="1"/>
  <c r="K7434" s="1"/>
  <c r="K7435" s="1"/>
  <c r="K7436" s="1"/>
  <c r="K7437" s="1"/>
  <c r="K7438" s="1"/>
  <c r="K7439" s="1"/>
  <c r="K7440" s="1"/>
  <c r="K7441" s="1"/>
  <c r="K7442" s="1"/>
  <c r="K7443" s="1"/>
  <c r="K7444" s="1"/>
  <c r="K7445" s="1"/>
  <c r="K7446" s="1"/>
  <c r="K7447" s="1"/>
  <c r="K7448" s="1"/>
  <c r="K7449" s="1"/>
  <c r="K7450" s="1"/>
  <c r="K7451" s="1"/>
  <c r="K7452" s="1"/>
  <c r="K7453" s="1"/>
  <c r="K7454" s="1"/>
  <c r="K7455" s="1"/>
  <c r="K7456" s="1"/>
  <c r="K7457" s="1"/>
  <c r="K7458" s="1"/>
  <c r="K7459" s="1"/>
  <c r="K7460" s="1"/>
  <c r="K7461" s="1"/>
  <c r="K7462" s="1"/>
  <c r="K7463" s="1"/>
  <c r="K7464" s="1"/>
  <c r="K7465" s="1"/>
  <c r="K7466" s="1"/>
  <c r="K7467" s="1"/>
  <c r="K7468" s="1"/>
  <c r="K7469" s="1"/>
  <c r="K7470" s="1"/>
  <c r="K7471" s="1"/>
  <c r="K7472" s="1"/>
  <c r="K7473" s="1"/>
  <c r="K7474" s="1"/>
  <c r="K7475" s="1"/>
  <c r="K7476" s="1"/>
  <c r="K7477" s="1"/>
  <c r="K7478" s="1"/>
  <c r="K7479" s="1"/>
  <c r="K7480" s="1"/>
  <c r="K7481" s="1"/>
  <c r="K7482" s="1"/>
  <c r="K7483" s="1"/>
  <c r="K7484" s="1"/>
  <c r="K7485" s="1"/>
  <c r="K7486" s="1"/>
  <c r="K7487" s="1"/>
  <c r="K7488" s="1"/>
  <c r="K7489" s="1"/>
  <c r="K7490" s="1"/>
  <c r="K7491" s="1"/>
  <c r="K7492" s="1"/>
  <c r="K7493" s="1"/>
  <c r="K7494" s="1"/>
  <c r="K7495" s="1"/>
  <c r="K7496" s="1"/>
  <c r="K7497" s="1"/>
  <c r="K7498" s="1"/>
  <c r="K7499" s="1"/>
  <c r="K7500" s="1"/>
  <c r="K7501" s="1"/>
  <c r="K7502" s="1"/>
  <c r="K7503" s="1"/>
  <c r="K7504" s="1"/>
  <c r="K7505" s="1"/>
  <c r="K7506" s="1"/>
  <c r="K7507" s="1"/>
  <c r="K7508" s="1"/>
  <c r="K7509" s="1"/>
  <c r="K7510" s="1"/>
  <c r="K7511" s="1"/>
  <c r="K7512" s="1"/>
  <c r="K7513" s="1"/>
  <c r="K7514" s="1"/>
  <c r="K7515" s="1"/>
  <c r="K7516" s="1"/>
  <c r="K7517" s="1"/>
  <c r="K7518" s="1"/>
  <c r="K7519" s="1"/>
  <c r="K7520" s="1"/>
  <c r="K7521" s="1"/>
  <c r="K7522" s="1"/>
  <c r="K7523" s="1"/>
  <c r="K7524" s="1"/>
  <c r="K7525" s="1"/>
  <c r="K7526" s="1"/>
  <c r="K7527" s="1"/>
  <c r="K7528" s="1"/>
  <c r="K7529" s="1"/>
  <c r="K7530" s="1"/>
  <c r="K7531" s="1"/>
  <c r="K7532" s="1"/>
  <c r="K7533" s="1"/>
  <c r="K7534" s="1"/>
  <c r="K7535" s="1"/>
  <c r="K7536" s="1"/>
  <c r="K7537" s="1"/>
  <c r="K7538" s="1"/>
  <c r="K7539" s="1"/>
  <c r="K7540" s="1"/>
  <c r="K7541" s="1"/>
  <c r="K7542" s="1"/>
  <c r="K7543" s="1"/>
  <c r="K7544" s="1"/>
  <c r="K7545" s="1"/>
  <c r="K7546" s="1"/>
  <c r="K7547" s="1"/>
  <c r="K7548" s="1"/>
  <c r="K7549" s="1"/>
  <c r="K7550" s="1"/>
  <c r="K7551" s="1"/>
  <c r="K7552" s="1"/>
  <c r="K7553" s="1"/>
  <c r="K7554" s="1"/>
  <c r="K7555" s="1"/>
  <c r="K7556" s="1"/>
  <c r="K7557" s="1"/>
  <c r="K7558" s="1"/>
  <c r="K7559" s="1"/>
  <c r="K7560" s="1"/>
  <c r="K7561" s="1"/>
  <c r="K7562" s="1"/>
  <c r="K7563" s="1"/>
  <c r="K7564" s="1"/>
  <c r="K7565" s="1"/>
  <c r="K7566" s="1"/>
  <c r="K7567" s="1"/>
  <c r="K7568" s="1"/>
  <c r="K7569" s="1"/>
  <c r="K7570" s="1"/>
  <c r="K7571" s="1"/>
  <c r="K7572" s="1"/>
  <c r="K7573" s="1"/>
  <c r="K7574" s="1"/>
  <c r="K7575" s="1"/>
  <c r="K7576" s="1"/>
  <c r="K7577" s="1"/>
  <c r="K7578" s="1"/>
  <c r="K7579" s="1"/>
  <c r="K7580" s="1"/>
  <c r="K7581" s="1"/>
  <c r="K7582" s="1"/>
  <c r="K7583" s="1"/>
  <c r="K7584" s="1"/>
  <c r="K7585" s="1"/>
  <c r="K7586" s="1"/>
  <c r="K7587" s="1"/>
  <c r="K7588" s="1"/>
  <c r="K7589" s="1"/>
  <c r="K7590" s="1"/>
  <c r="K7591" s="1"/>
  <c r="K7592" s="1"/>
  <c r="K7593" s="1"/>
  <c r="K7594" s="1"/>
  <c r="K7595" s="1"/>
  <c r="K7596" s="1"/>
  <c r="K7597" s="1"/>
  <c r="K7598" s="1"/>
  <c r="K7599" s="1"/>
  <c r="K7600" s="1"/>
  <c r="K7601" s="1"/>
  <c r="K7602" s="1"/>
  <c r="K7603" s="1"/>
  <c r="K7604" s="1"/>
  <c r="K7605" s="1"/>
  <c r="K7606" s="1"/>
  <c r="K7607" s="1"/>
  <c r="K7608" s="1"/>
  <c r="K7609" s="1"/>
  <c r="K7610" s="1"/>
  <c r="K7611" s="1"/>
  <c r="K7612" s="1"/>
  <c r="K7613" s="1"/>
  <c r="K7614" s="1"/>
  <c r="K7615" s="1"/>
  <c r="K7616" s="1"/>
  <c r="K7617" s="1"/>
  <c r="K7618" s="1"/>
  <c r="K7619" s="1"/>
  <c r="K7620" s="1"/>
  <c r="K7621" s="1"/>
  <c r="K7622" s="1"/>
  <c r="K7623" s="1"/>
  <c r="K7624" s="1"/>
  <c r="K7625" s="1"/>
  <c r="K7626" s="1"/>
  <c r="K7627" s="1"/>
  <c r="K7628" s="1"/>
  <c r="K7629" s="1"/>
  <c r="K7630" s="1"/>
  <c r="K7631" s="1"/>
  <c r="K7632" s="1"/>
  <c r="K7633" s="1"/>
  <c r="K7634" s="1"/>
  <c r="K7635" s="1"/>
  <c r="K7636" s="1"/>
  <c r="K7637" s="1"/>
  <c r="K7638" s="1"/>
  <c r="K7639" s="1"/>
  <c r="K7640" s="1"/>
  <c r="K7641" s="1"/>
  <c r="K7642" s="1"/>
  <c r="K7643" s="1"/>
  <c r="K7644" s="1"/>
  <c r="K7645" s="1"/>
  <c r="K7646" s="1"/>
  <c r="K7647" s="1"/>
  <c r="K7648" s="1"/>
  <c r="K7649" s="1"/>
  <c r="K7650" s="1"/>
  <c r="K7651" s="1"/>
  <c r="K7652" s="1"/>
  <c r="K7653" s="1"/>
  <c r="K7654" s="1"/>
  <c r="K7655" s="1"/>
  <c r="K7656" s="1"/>
  <c r="K7657" s="1"/>
  <c r="K7658" s="1"/>
  <c r="K7659" s="1"/>
  <c r="K7660" s="1"/>
  <c r="K7661" s="1"/>
  <c r="K7662" s="1"/>
  <c r="K7663" s="1"/>
  <c r="K7664" s="1"/>
  <c r="K7665" s="1"/>
  <c r="K7666" s="1"/>
  <c r="K7667" s="1"/>
  <c r="K7668" s="1"/>
  <c r="K7669" s="1"/>
  <c r="K7670" s="1"/>
  <c r="K7671" s="1"/>
  <c r="K7672" s="1"/>
  <c r="K7673" s="1"/>
  <c r="K7674" s="1"/>
  <c r="K7675" s="1"/>
  <c r="K7676" s="1"/>
  <c r="K7677" s="1"/>
  <c r="K7678" s="1"/>
  <c r="K7679" s="1"/>
  <c r="K7680" s="1"/>
  <c r="K7681" s="1"/>
  <c r="K7682" s="1"/>
  <c r="K7683" s="1"/>
  <c r="K7684" s="1"/>
  <c r="K7685" s="1"/>
  <c r="K7686" s="1"/>
  <c r="K7687" s="1"/>
  <c r="K7688" s="1"/>
  <c r="K7689" s="1"/>
  <c r="K7690" s="1"/>
  <c r="K7691" s="1"/>
  <c r="K7692" s="1"/>
  <c r="K7693" s="1"/>
  <c r="K7694" s="1"/>
  <c r="K7695" s="1"/>
  <c r="K7696" s="1"/>
  <c r="K7697" s="1"/>
  <c r="K7698" s="1"/>
  <c r="K7699" s="1"/>
  <c r="K7700" s="1"/>
  <c r="K7701" s="1"/>
  <c r="K7702" s="1"/>
  <c r="K7703" s="1"/>
  <c r="K7704" s="1"/>
  <c r="K7705" s="1"/>
  <c r="K7706" s="1"/>
  <c r="K7707" s="1"/>
  <c r="K7708" s="1"/>
  <c r="K7709" s="1"/>
  <c r="K7710" s="1"/>
  <c r="K7711" s="1"/>
  <c r="K7712" s="1"/>
  <c r="K7713" s="1"/>
  <c r="K7714" s="1"/>
  <c r="K7715" s="1"/>
  <c r="K7716" s="1"/>
  <c r="K7717" s="1"/>
  <c r="K7718" s="1"/>
  <c r="K7719" s="1"/>
  <c r="K7720" s="1"/>
  <c r="K7721" s="1"/>
  <c r="K7722" s="1"/>
  <c r="K7723" s="1"/>
  <c r="K7724" s="1"/>
  <c r="K7725" s="1"/>
  <c r="K7726" s="1"/>
  <c r="K7727" s="1"/>
  <c r="K7728" s="1"/>
  <c r="K7729" s="1"/>
  <c r="K7730" s="1"/>
  <c r="K7731" s="1"/>
  <c r="K7732" s="1"/>
  <c r="K7733" s="1"/>
  <c r="K7734" s="1"/>
  <c r="K7735" s="1"/>
  <c r="K7736" s="1"/>
  <c r="K7737" s="1"/>
  <c r="K7738" s="1"/>
  <c r="K7739" s="1"/>
  <c r="K7740" s="1"/>
  <c r="K7741" s="1"/>
  <c r="K7742" s="1"/>
  <c r="K7743" s="1"/>
  <c r="K7744" s="1"/>
  <c r="K7745" s="1"/>
  <c r="K7746" s="1"/>
  <c r="K7747" s="1"/>
  <c r="K7748" s="1"/>
  <c r="K7749" s="1"/>
  <c r="K7750" s="1"/>
  <c r="K7751" s="1"/>
  <c r="K7752" s="1"/>
  <c r="K7753" s="1"/>
  <c r="K7754" s="1"/>
  <c r="K7755" s="1"/>
  <c r="K7756" s="1"/>
  <c r="K7757" s="1"/>
  <c r="K7758" s="1"/>
  <c r="K7759" s="1"/>
  <c r="K7760" s="1"/>
  <c r="K7761" s="1"/>
  <c r="K7762" s="1"/>
  <c r="K7763" s="1"/>
  <c r="K7764" s="1"/>
  <c r="K7765" s="1"/>
  <c r="K7766" s="1"/>
  <c r="K7767" s="1"/>
  <c r="K7768" s="1"/>
  <c r="K7769" s="1"/>
  <c r="K7770" s="1"/>
  <c r="K7771" s="1"/>
  <c r="K7772" s="1"/>
  <c r="K7773" s="1"/>
  <c r="K7774" s="1"/>
  <c r="K7775" s="1"/>
  <c r="K7776" s="1"/>
  <c r="K7777" s="1"/>
  <c r="K7778" s="1"/>
  <c r="K7779" s="1"/>
  <c r="K7780" s="1"/>
  <c r="K7781" s="1"/>
  <c r="K7782" s="1"/>
  <c r="K7783" s="1"/>
  <c r="K7784" s="1"/>
  <c r="K7785" s="1"/>
  <c r="K7786" s="1"/>
  <c r="K7787" s="1"/>
  <c r="K7788" s="1"/>
  <c r="K7789" s="1"/>
  <c r="K7790" s="1"/>
  <c r="K7791" s="1"/>
  <c r="K7792" s="1"/>
  <c r="K7793" s="1"/>
  <c r="K7794" s="1"/>
  <c r="K7795" s="1"/>
  <c r="K7796" s="1"/>
  <c r="K7797" s="1"/>
  <c r="K7798" s="1"/>
  <c r="K7799" s="1"/>
  <c r="K7800" s="1"/>
  <c r="K7801" s="1"/>
  <c r="K7802" s="1"/>
  <c r="K7803" s="1"/>
  <c r="K7804" s="1"/>
  <c r="K7805" s="1"/>
  <c r="K7806" s="1"/>
  <c r="K7807" s="1"/>
  <c r="K7808" s="1"/>
  <c r="K7809" s="1"/>
  <c r="K7810" s="1"/>
  <c r="K7811" s="1"/>
  <c r="K7812" s="1"/>
  <c r="K7813" s="1"/>
  <c r="K7814" s="1"/>
  <c r="K7815" s="1"/>
  <c r="K7816" s="1"/>
  <c r="K7817" s="1"/>
  <c r="K7818" s="1"/>
  <c r="K7819" s="1"/>
  <c r="K7820" s="1"/>
  <c r="K7821" s="1"/>
  <c r="K7822" s="1"/>
  <c r="K7823" s="1"/>
  <c r="K7824" s="1"/>
  <c r="K7825" s="1"/>
  <c r="K7826" s="1"/>
  <c r="K7827" s="1"/>
  <c r="K7828" s="1"/>
  <c r="K7829" s="1"/>
  <c r="K7830" s="1"/>
  <c r="K7831" s="1"/>
  <c r="K7832" s="1"/>
  <c r="K7833" s="1"/>
  <c r="K7834" s="1"/>
  <c r="K7835" s="1"/>
  <c r="K7836" s="1"/>
  <c r="K7837" s="1"/>
  <c r="K7838" s="1"/>
  <c r="K7839" s="1"/>
  <c r="K7840" s="1"/>
  <c r="K7841" s="1"/>
  <c r="K7842" s="1"/>
  <c r="K7843" s="1"/>
  <c r="K7844" s="1"/>
  <c r="K7845" s="1"/>
  <c r="K7846" s="1"/>
  <c r="K7847" s="1"/>
  <c r="K7848" s="1"/>
  <c r="K7849" s="1"/>
  <c r="K7850" s="1"/>
  <c r="K7851" s="1"/>
  <c r="K7852" s="1"/>
  <c r="K7853" s="1"/>
  <c r="K7854" s="1"/>
  <c r="K7855" s="1"/>
  <c r="K7856" s="1"/>
  <c r="K7857" s="1"/>
  <c r="K7858" s="1"/>
  <c r="K7859" s="1"/>
  <c r="K7860" s="1"/>
  <c r="K7861" s="1"/>
  <c r="K7862" s="1"/>
  <c r="K7863" s="1"/>
  <c r="K7864" s="1"/>
  <c r="K7865" s="1"/>
  <c r="K7866" s="1"/>
  <c r="K7867" s="1"/>
  <c r="K7868" s="1"/>
  <c r="K7869" s="1"/>
  <c r="K7870" s="1"/>
  <c r="K7871" s="1"/>
  <c r="K7872" s="1"/>
  <c r="K7873" s="1"/>
  <c r="K7874" s="1"/>
  <c r="K7875" s="1"/>
  <c r="K7876" s="1"/>
  <c r="K7877" s="1"/>
  <c r="K7878" s="1"/>
  <c r="K7879" s="1"/>
  <c r="K7880" s="1"/>
  <c r="K7881" s="1"/>
  <c r="K7882" s="1"/>
  <c r="K7883" s="1"/>
  <c r="K7884" s="1"/>
  <c r="K7885" s="1"/>
  <c r="K7886" s="1"/>
  <c r="K7887" s="1"/>
  <c r="K7888" s="1"/>
  <c r="K7889" s="1"/>
  <c r="K7890" s="1"/>
  <c r="K7891" s="1"/>
  <c r="K7892" s="1"/>
  <c r="K7893" s="1"/>
  <c r="K7894" s="1"/>
  <c r="K7895" s="1"/>
  <c r="K7896" s="1"/>
  <c r="K7897" s="1"/>
  <c r="K7898" s="1"/>
  <c r="K7899" s="1"/>
  <c r="K7900" s="1"/>
  <c r="K7901" s="1"/>
  <c r="K7902" s="1"/>
  <c r="K7903" s="1"/>
  <c r="K7904" s="1"/>
  <c r="K7905" s="1"/>
  <c r="K7906" s="1"/>
  <c r="K7907" s="1"/>
  <c r="K7908" s="1"/>
  <c r="K7909" s="1"/>
  <c r="K7910" s="1"/>
  <c r="K7911" s="1"/>
  <c r="K7912" s="1"/>
  <c r="K7913" s="1"/>
  <c r="K7914" s="1"/>
  <c r="K7915" s="1"/>
  <c r="K7916" s="1"/>
  <c r="K7917" s="1"/>
  <c r="K7918" s="1"/>
  <c r="K7919" s="1"/>
  <c r="K7920" s="1"/>
  <c r="K7921" s="1"/>
  <c r="K7922" s="1"/>
  <c r="K7923" s="1"/>
  <c r="K7924" s="1"/>
  <c r="K7925" s="1"/>
  <c r="K7926" s="1"/>
  <c r="K7927" s="1"/>
  <c r="K7928" s="1"/>
  <c r="K7929" s="1"/>
  <c r="K7930" s="1"/>
  <c r="K7931" s="1"/>
  <c r="K7932" s="1"/>
  <c r="K7933" s="1"/>
  <c r="K7934" s="1"/>
  <c r="K7935" s="1"/>
  <c r="K7936" s="1"/>
  <c r="K7937" s="1"/>
  <c r="K7938" s="1"/>
  <c r="K7939" s="1"/>
  <c r="K7940" s="1"/>
  <c r="K7941" s="1"/>
  <c r="K7942" s="1"/>
  <c r="K7943" s="1"/>
  <c r="K7944" s="1"/>
  <c r="K7945" s="1"/>
  <c r="K7946" s="1"/>
  <c r="K7947" s="1"/>
  <c r="K7948" s="1"/>
  <c r="K7949" s="1"/>
  <c r="K7950" s="1"/>
  <c r="K7951" s="1"/>
  <c r="K7952" s="1"/>
  <c r="K7953" s="1"/>
  <c r="K7954" s="1"/>
  <c r="K7955" s="1"/>
  <c r="K7956" s="1"/>
  <c r="K7957" s="1"/>
  <c r="K7958" s="1"/>
  <c r="K7959" s="1"/>
  <c r="K7960" s="1"/>
  <c r="K7961" s="1"/>
  <c r="K7962" s="1"/>
  <c r="K7963" s="1"/>
  <c r="K7964" s="1"/>
  <c r="K7965" s="1"/>
  <c r="K7966" s="1"/>
  <c r="K7967" s="1"/>
  <c r="K7968" s="1"/>
  <c r="K7969" s="1"/>
  <c r="K7970" s="1"/>
  <c r="K7971" s="1"/>
  <c r="K7972" s="1"/>
  <c r="K7973" s="1"/>
  <c r="K7974" s="1"/>
  <c r="K7975" s="1"/>
  <c r="K7976" s="1"/>
  <c r="K7977" s="1"/>
  <c r="K7978" s="1"/>
  <c r="K7979" s="1"/>
  <c r="K7980" s="1"/>
  <c r="K7981" s="1"/>
  <c r="K7982" s="1"/>
  <c r="K7983" s="1"/>
  <c r="K7984" s="1"/>
  <c r="K7985" s="1"/>
  <c r="K7986" s="1"/>
  <c r="K7987" s="1"/>
  <c r="K7988" s="1"/>
  <c r="K7989" s="1"/>
  <c r="K7990" s="1"/>
  <c r="K7991" s="1"/>
  <c r="K7992" s="1"/>
  <c r="K7993" s="1"/>
  <c r="K7994" s="1"/>
  <c r="K7995" s="1"/>
  <c r="K7996" s="1"/>
  <c r="K7997" s="1"/>
  <c r="K7998" s="1"/>
  <c r="K7999" s="1"/>
  <c r="K8000" s="1"/>
  <c r="K8001" s="1"/>
  <c r="K8002" s="1"/>
  <c r="K8003" s="1"/>
  <c r="K8004" s="1"/>
  <c r="K8005" s="1"/>
  <c r="K8006" s="1"/>
  <c r="K8007" s="1"/>
  <c r="K8008" s="1"/>
  <c r="K8009" s="1"/>
  <c r="K8010" s="1"/>
  <c r="K8011" s="1"/>
  <c r="K8012" s="1"/>
  <c r="K8013" s="1"/>
  <c r="K8014" s="1"/>
  <c r="K8015" s="1"/>
  <c r="K8016" s="1"/>
  <c r="K8017" s="1"/>
  <c r="K8018" s="1"/>
  <c r="K8019" s="1"/>
  <c r="K8020" s="1"/>
  <c r="K8021" s="1"/>
  <c r="K8022" s="1"/>
  <c r="K8023" s="1"/>
  <c r="K8024" s="1"/>
  <c r="K8025" s="1"/>
  <c r="K8026" s="1"/>
  <c r="K8027" s="1"/>
  <c r="K8028" s="1"/>
  <c r="K8029" s="1"/>
  <c r="K8030" s="1"/>
  <c r="K8031" s="1"/>
  <c r="K8032" s="1"/>
  <c r="K8033" s="1"/>
  <c r="K8034" s="1"/>
  <c r="K8035" s="1"/>
  <c r="K8036" s="1"/>
  <c r="K8037" s="1"/>
  <c r="K8038" s="1"/>
  <c r="K8039" s="1"/>
  <c r="K8040" s="1"/>
  <c r="K8041" s="1"/>
  <c r="K8042" s="1"/>
  <c r="K8043" s="1"/>
  <c r="K8044" s="1"/>
  <c r="K8045" s="1"/>
  <c r="K8046" s="1"/>
  <c r="K8047" s="1"/>
  <c r="K8048" s="1"/>
  <c r="K8049" s="1"/>
  <c r="K8050" s="1"/>
  <c r="K8051" s="1"/>
  <c r="K8052" s="1"/>
  <c r="K8053" s="1"/>
  <c r="K8054" s="1"/>
  <c r="K8055" s="1"/>
  <c r="K8056" s="1"/>
  <c r="K8057" s="1"/>
  <c r="K8058" s="1"/>
  <c r="K8059" s="1"/>
  <c r="K8060" s="1"/>
  <c r="K8061" s="1"/>
  <c r="K8062" s="1"/>
  <c r="K8063" s="1"/>
  <c r="K8064" s="1"/>
  <c r="K8065" s="1"/>
  <c r="K8066" s="1"/>
  <c r="K8067" s="1"/>
  <c r="K8068" s="1"/>
  <c r="K8069" s="1"/>
  <c r="K8070" s="1"/>
  <c r="K8071" s="1"/>
  <c r="K8072" s="1"/>
  <c r="K8073" s="1"/>
  <c r="K8074" s="1"/>
  <c r="K8075" s="1"/>
  <c r="K8076" s="1"/>
  <c r="K8077" s="1"/>
  <c r="K8078" s="1"/>
  <c r="K8079" s="1"/>
  <c r="K8080" s="1"/>
  <c r="K8081" s="1"/>
  <c r="K8082" s="1"/>
  <c r="K8083" s="1"/>
  <c r="K8084" s="1"/>
  <c r="K8085" s="1"/>
  <c r="K8086" s="1"/>
  <c r="K8087" s="1"/>
  <c r="K8088" s="1"/>
  <c r="K8089" s="1"/>
  <c r="K8090" s="1"/>
  <c r="K8091" s="1"/>
  <c r="K8092" s="1"/>
  <c r="K8093" s="1"/>
  <c r="K8094" s="1"/>
  <c r="K8095" s="1"/>
  <c r="K8096" s="1"/>
  <c r="K8097" s="1"/>
  <c r="K8098" s="1"/>
  <c r="K8099" s="1"/>
  <c r="K8100" s="1"/>
  <c r="K8101" s="1"/>
  <c r="K8102" s="1"/>
  <c r="K8103" s="1"/>
  <c r="K8104" s="1"/>
  <c r="K8105" s="1"/>
  <c r="K8106" s="1"/>
  <c r="K8107" s="1"/>
  <c r="K8108" s="1"/>
  <c r="K8109" s="1"/>
  <c r="K8110" s="1"/>
  <c r="K8111" s="1"/>
  <c r="K8112" s="1"/>
  <c r="K8113" s="1"/>
  <c r="K8114" s="1"/>
  <c r="K8115" s="1"/>
  <c r="K8116" s="1"/>
  <c r="K8117" s="1"/>
  <c r="K8118" s="1"/>
  <c r="K8119" s="1"/>
  <c r="K8120" s="1"/>
  <c r="K8121" s="1"/>
  <c r="K8122" s="1"/>
  <c r="K8123" s="1"/>
  <c r="K8124" s="1"/>
  <c r="K8125" s="1"/>
  <c r="K8126" s="1"/>
  <c r="K8127" s="1"/>
  <c r="K8128" s="1"/>
  <c r="K8129" s="1"/>
  <c r="K8130" s="1"/>
  <c r="K8131" s="1"/>
  <c r="K8132" s="1"/>
  <c r="K8133" s="1"/>
  <c r="K8134" s="1"/>
  <c r="K8135" s="1"/>
  <c r="K8136" s="1"/>
  <c r="K8137" s="1"/>
  <c r="K8138" s="1"/>
  <c r="K8139" s="1"/>
  <c r="K8140" s="1"/>
  <c r="K8141" s="1"/>
  <c r="K8142" s="1"/>
  <c r="K8143" s="1"/>
  <c r="K8144" s="1"/>
  <c r="K8145" s="1"/>
  <c r="K8146" s="1"/>
  <c r="K8147" s="1"/>
  <c r="K8148" s="1"/>
  <c r="K8149" s="1"/>
  <c r="K8150" s="1"/>
  <c r="K8151" s="1"/>
  <c r="K8152" s="1"/>
  <c r="K8153" s="1"/>
  <c r="K8154" s="1"/>
  <c r="K8155" s="1"/>
  <c r="K8156" s="1"/>
  <c r="K8157" s="1"/>
  <c r="K8158" s="1"/>
  <c r="K8159" s="1"/>
  <c r="K8160" s="1"/>
  <c r="K8161" s="1"/>
  <c r="K8162" s="1"/>
  <c r="K8163" s="1"/>
  <c r="K8164" s="1"/>
  <c r="K8165" s="1"/>
  <c r="K8166" s="1"/>
  <c r="K8167" s="1"/>
  <c r="K8168" s="1"/>
  <c r="K8169" s="1"/>
  <c r="K8170" s="1"/>
  <c r="K8171" s="1"/>
  <c r="K8172" s="1"/>
  <c r="K8173" s="1"/>
  <c r="K8174" s="1"/>
  <c r="K8175" s="1"/>
  <c r="K8176" s="1"/>
  <c r="K8177" s="1"/>
  <c r="K8178" s="1"/>
  <c r="K8179" s="1"/>
  <c r="K8180" s="1"/>
  <c r="K8181" s="1"/>
  <c r="K8182" s="1"/>
  <c r="K8183" s="1"/>
  <c r="K8184" s="1"/>
  <c r="K8185" s="1"/>
  <c r="K8186" s="1"/>
  <c r="K8187" s="1"/>
  <c r="K8188" s="1"/>
  <c r="K8189" s="1"/>
  <c r="K8190" s="1"/>
  <c r="K8191" s="1"/>
  <c r="K8192" s="1"/>
  <c r="K8193" s="1"/>
  <c r="K8194" s="1"/>
  <c r="K8195" s="1"/>
  <c r="K8196" s="1"/>
  <c r="K8197" s="1"/>
  <c r="K8198" s="1"/>
  <c r="K8199" s="1"/>
  <c r="K8200" s="1"/>
  <c r="K8201" s="1"/>
  <c r="K8202" s="1"/>
  <c r="K8203" s="1"/>
  <c r="K8204" s="1"/>
  <c r="K8205" s="1"/>
  <c r="K8206" s="1"/>
  <c r="K8207" s="1"/>
  <c r="K8208" s="1"/>
  <c r="K8209" s="1"/>
  <c r="K8210" s="1"/>
  <c r="K8211" s="1"/>
  <c r="K8212" s="1"/>
  <c r="K8213" s="1"/>
  <c r="K8214" s="1"/>
  <c r="K8215" s="1"/>
  <c r="K8216" s="1"/>
  <c r="K8217" s="1"/>
  <c r="K8218" s="1"/>
  <c r="K8219" s="1"/>
  <c r="K8220" s="1"/>
  <c r="K8221" s="1"/>
  <c r="K8222" s="1"/>
  <c r="K8223" s="1"/>
  <c r="K8224" s="1"/>
  <c r="K8225" s="1"/>
  <c r="K8226" s="1"/>
  <c r="K8227" s="1"/>
  <c r="K8228" s="1"/>
  <c r="K8229" s="1"/>
  <c r="K8230" s="1"/>
  <c r="K8231" s="1"/>
  <c r="K8232" s="1"/>
  <c r="K8233" s="1"/>
  <c r="K8234" s="1"/>
  <c r="K8235" s="1"/>
  <c r="K8236" s="1"/>
  <c r="K8237" s="1"/>
  <c r="K8238" s="1"/>
  <c r="K8239" s="1"/>
  <c r="K8240" s="1"/>
  <c r="K8241" s="1"/>
  <c r="K8242" s="1"/>
  <c r="K8243" s="1"/>
  <c r="K8244" s="1"/>
  <c r="K8245" s="1"/>
  <c r="K8246" s="1"/>
  <c r="K8247" s="1"/>
  <c r="K8248" s="1"/>
  <c r="K8249" s="1"/>
  <c r="K8250" s="1"/>
  <c r="K8251" s="1"/>
  <c r="K8252" s="1"/>
  <c r="K8253" s="1"/>
  <c r="K8254" s="1"/>
  <c r="K8255" s="1"/>
  <c r="K8256" s="1"/>
  <c r="K8257" s="1"/>
  <c r="K8258" s="1"/>
  <c r="K8259" s="1"/>
  <c r="K8260" s="1"/>
  <c r="K8261" s="1"/>
  <c r="K8262" s="1"/>
  <c r="K8263" s="1"/>
  <c r="K8264" s="1"/>
  <c r="K8265" s="1"/>
  <c r="K8266" s="1"/>
  <c r="K8267" s="1"/>
  <c r="K8268" s="1"/>
  <c r="K8269" s="1"/>
  <c r="K8270" s="1"/>
  <c r="K8271" s="1"/>
  <c r="K8272" s="1"/>
  <c r="K8273" s="1"/>
  <c r="K8274" s="1"/>
  <c r="K8275" s="1"/>
  <c r="K8276" s="1"/>
  <c r="K8277" s="1"/>
  <c r="K8278" s="1"/>
  <c r="K8279" s="1"/>
  <c r="K8280" s="1"/>
  <c r="K8281" s="1"/>
  <c r="K8282" s="1"/>
  <c r="K8283" s="1"/>
  <c r="K8284" s="1"/>
  <c r="K8285" s="1"/>
  <c r="K8286" s="1"/>
  <c r="K8287" s="1"/>
  <c r="K8288" s="1"/>
  <c r="K8289" s="1"/>
  <c r="K8290" s="1"/>
  <c r="K8291" s="1"/>
  <c r="K8292" s="1"/>
  <c r="K8293" s="1"/>
  <c r="K8294" s="1"/>
  <c r="K8295" s="1"/>
  <c r="K8296" s="1"/>
  <c r="K8297" s="1"/>
  <c r="K8298" s="1"/>
  <c r="K8299" s="1"/>
  <c r="K8300" s="1"/>
  <c r="K8301" s="1"/>
  <c r="K8302" s="1"/>
  <c r="K8303" s="1"/>
  <c r="K8304" s="1"/>
  <c r="K8305" s="1"/>
  <c r="K8306" s="1"/>
  <c r="K8307" s="1"/>
  <c r="K8308" s="1"/>
  <c r="K8309" s="1"/>
  <c r="K8310" s="1"/>
  <c r="K8311" s="1"/>
  <c r="K8312" s="1"/>
  <c r="K8313" s="1"/>
  <c r="K8314" s="1"/>
  <c r="K8315" s="1"/>
  <c r="K8316" s="1"/>
  <c r="K8317" s="1"/>
  <c r="K8318" s="1"/>
  <c r="K8319" s="1"/>
  <c r="K8320" s="1"/>
  <c r="K8321" s="1"/>
  <c r="K8322" s="1"/>
  <c r="K8323" s="1"/>
  <c r="K8324" s="1"/>
  <c r="K8325" s="1"/>
  <c r="K8326" s="1"/>
  <c r="K8327" s="1"/>
  <c r="K8328" s="1"/>
  <c r="K8329" s="1"/>
  <c r="K8330" s="1"/>
  <c r="K8331" s="1"/>
  <c r="K8332" s="1"/>
  <c r="K8333" s="1"/>
  <c r="K8334" s="1"/>
  <c r="K8335" s="1"/>
  <c r="K8336" s="1"/>
  <c r="K8337" s="1"/>
  <c r="K8338" s="1"/>
  <c r="K8339" s="1"/>
  <c r="K8340" s="1"/>
  <c r="K8341" s="1"/>
  <c r="K8342" s="1"/>
  <c r="K8343" s="1"/>
  <c r="K8344" s="1"/>
  <c r="K8345" s="1"/>
  <c r="K8346" s="1"/>
  <c r="K8347" s="1"/>
  <c r="K8348" s="1"/>
  <c r="K8349" s="1"/>
  <c r="K8350" s="1"/>
  <c r="K8351" s="1"/>
  <c r="K8352" s="1"/>
  <c r="K8353" s="1"/>
  <c r="K8354" s="1"/>
  <c r="K8355" s="1"/>
  <c r="K8356" s="1"/>
  <c r="K8357" s="1"/>
  <c r="K8358" s="1"/>
  <c r="K8359" s="1"/>
  <c r="K8360" s="1"/>
  <c r="K8361" s="1"/>
  <c r="K8362" s="1"/>
  <c r="K8363" s="1"/>
  <c r="K8364" s="1"/>
  <c r="K8365" s="1"/>
  <c r="K8366" s="1"/>
  <c r="K8367" s="1"/>
  <c r="K8368" s="1"/>
  <c r="K8369" s="1"/>
  <c r="K8370" s="1"/>
  <c r="K8371" s="1"/>
  <c r="K8372" s="1"/>
  <c r="K8373" s="1"/>
  <c r="K8374" s="1"/>
  <c r="K8375" s="1"/>
  <c r="K8376" s="1"/>
  <c r="K8377" s="1"/>
  <c r="K8378" s="1"/>
  <c r="K8379" s="1"/>
  <c r="K8380" s="1"/>
  <c r="K8381" s="1"/>
  <c r="K8382" s="1"/>
  <c r="K8383" s="1"/>
  <c r="K8384" s="1"/>
  <c r="K8385" s="1"/>
  <c r="K8386" s="1"/>
  <c r="K8387" s="1"/>
  <c r="K8388" s="1"/>
  <c r="K8389" s="1"/>
  <c r="K8390" s="1"/>
  <c r="K8391" s="1"/>
  <c r="K8392" s="1"/>
  <c r="K8393" s="1"/>
  <c r="K8394" s="1"/>
  <c r="K8395" s="1"/>
  <c r="K8396" s="1"/>
  <c r="K8397" s="1"/>
  <c r="K8398" s="1"/>
  <c r="K8399" s="1"/>
  <c r="K8400" s="1"/>
  <c r="K8401" s="1"/>
  <c r="K8402" s="1"/>
  <c r="K8403" s="1"/>
  <c r="K8404" s="1"/>
  <c r="K8405" s="1"/>
  <c r="K8406" s="1"/>
  <c r="K8407" s="1"/>
  <c r="K8408" s="1"/>
  <c r="K8409" s="1"/>
  <c r="K8410" s="1"/>
  <c r="K8411" s="1"/>
  <c r="K8412" s="1"/>
  <c r="K8413" s="1"/>
  <c r="K8414" s="1"/>
  <c r="K8415" s="1"/>
  <c r="K8416" s="1"/>
  <c r="K8417" s="1"/>
  <c r="K8418" s="1"/>
  <c r="K8419" s="1"/>
  <c r="K8420" s="1"/>
  <c r="K8421" s="1"/>
  <c r="K8422" s="1"/>
  <c r="K8423" s="1"/>
  <c r="K8424" s="1"/>
  <c r="K8425" s="1"/>
  <c r="K8426" s="1"/>
  <c r="K8427" s="1"/>
  <c r="K8428" s="1"/>
  <c r="K8429" s="1"/>
  <c r="K8430" s="1"/>
  <c r="K8431" s="1"/>
  <c r="K8432" s="1"/>
  <c r="K8433" s="1"/>
  <c r="K8434" s="1"/>
  <c r="K8435" s="1"/>
  <c r="K8436" s="1"/>
  <c r="K8437" s="1"/>
  <c r="K8438" s="1"/>
  <c r="K8439" s="1"/>
  <c r="K8440" s="1"/>
  <c r="K8441" s="1"/>
  <c r="K8442" s="1"/>
  <c r="K8443" s="1"/>
  <c r="K8444" s="1"/>
  <c r="K8445" s="1"/>
  <c r="K8446" s="1"/>
  <c r="K8447" s="1"/>
  <c r="K8448" s="1"/>
  <c r="K8449" s="1"/>
  <c r="K8450" s="1"/>
  <c r="K8451" s="1"/>
  <c r="K8452" s="1"/>
  <c r="K8453" s="1"/>
  <c r="K8454" s="1"/>
  <c r="K8455" s="1"/>
  <c r="K8456" s="1"/>
  <c r="K8457" s="1"/>
  <c r="K8458" s="1"/>
  <c r="K8459" s="1"/>
  <c r="K8460" s="1"/>
  <c r="K8461" s="1"/>
  <c r="K8462" s="1"/>
  <c r="K8463" s="1"/>
  <c r="K8464" s="1"/>
  <c r="K8465" s="1"/>
  <c r="K8466" s="1"/>
  <c r="K8467" s="1"/>
  <c r="K8468" s="1"/>
  <c r="K8469" s="1"/>
  <c r="K8470" s="1"/>
  <c r="K8471" s="1"/>
  <c r="K8472" s="1"/>
  <c r="K8473" s="1"/>
  <c r="K8474" s="1"/>
  <c r="K8475" s="1"/>
  <c r="K8476" s="1"/>
  <c r="K8477" s="1"/>
  <c r="K8478" s="1"/>
  <c r="K8479" s="1"/>
  <c r="K8480" s="1"/>
  <c r="K8481" s="1"/>
  <c r="K8482" s="1"/>
  <c r="K8483" s="1"/>
  <c r="K8484" s="1"/>
  <c r="K8485" s="1"/>
  <c r="K8486" s="1"/>
  <c r="K8487" s="1"/>
  <c r="K8488" s="1"/>
  <c r="K8489" s="1"/>
  <c r="K8490" s="1"/>
  <c r="K8491" s="1"/>
  <c r="K8492" s="1"/>
  <c r="K8493" s="1"/>
  <c r="K8494" s="1"/>
  <c r="K8495" s="1"/>
  <c r="K8496" s="1"/>
  <c r="K8497" s="1"/>
  <c r="K8498" s="1"/>
  <c r="K8499" s="1"/>
  <c r="K8500" s="1"/>
  <c r="K8501" s="1"/>
  <c r="K8502" s="1"/>
  <c r="K8503" s="1"/>
  <c r="K8504" s="1"/>
  <c r="K8505" s="1"/>
  <c r="K8506" s="1"/>
  <c r="K8507" s="1"/>
  <c r="K8508" s="1"/>
  <c r="K8509" s="1"/>
  <c r="K8510" s="1"/>
  <c r="K8511" s="1"/>
  <c r="K8512" s="1"/>
  <c r="K8513" s="1"/>
  <c r="K8514" s="1"/>
  <c r="K8515" s="1"/>
  <c r="K8516" s="1"/>
  <c r="K8517" s="1"/>
  <c r="K8518" s="1"/>
  <c r="K8519" s="1"/>
  <c r="K8520" s="1"/>
  <c r="K8521" s="1"/>
  <c r="K8522" s="1"/>
  <c r="K8523" s="1"/>
  <c r="K8524" s="1"/>
  <c r="K8525" s="1"/>
  <c r="K8526" s="1"/>
  <c r="K8527" s="1"/>
  <c r="K8528" s="1"/>
  <c r="K8529" s="1"/>
  <c r="K8530" s="1"/>
  <c r="K8531" s="1"/>
  <c r="K8532" s="1"/>
  <c r="K8533" s="1"/>
  <c r="K8534" s="1"/>
  <c r="K8535" s="1"/>
  <c r="K8536" s="1"/>
  <c r="K8537" s="1"/>
  <c r="K8538" s="1"/>
  <c r="K8539" s="1"/>
  <c r="K8540" s="1"/>
  <c r="K8541" s="1"/>
  <c r="K8542" s="1"/>
  <c r="K8543" s="1"/>
  <c r="K8544" s="1"/>
  <c r="K8545" s="1"/>
  <c r="K8546" s="1"/>
  <c r="K8547" s="1"/>
  <c r="K8548" s="1"/>
  <c r="K8549" s="1"/>
  <c r="K8550" s="1"/>
  <c r="K8551" s="1"/>
  <c r="K8552" s="1"/>
  <c r="K8553" s="1"/>
  <c r="K8554" s="1"/>
  <c r="K8555" s="1"/>
  <c r="K8556" s="1"/>
  <c r="K8557" s="1"/>
  <c r="K8558" s="1"/>
  <c r="K8559" s="1"/>
  <c r="K8560" s="1"/>
  <c r="K8561" s="1"/>
  <c r="K8562" s="1"/>
  <c r="K8563" s="1"/>
  <c r="K8564" s="1"/>
  <c r="K8565" s="1"/>
  <c r="K8566" s="1"/>
  <c r="K8567" s="1"/>
  <c r="K8568" s="1"/>
  <c r="K8569" s="1"/>
  <c r="K8570" s="1"/>
  <c r="K8571" s="1"/>
  <c r="K8572" s="1"/>
  <c r="K8573" s="1"/>
  <c r="K8574" s="1"/>
  <c r="K8575" s="1"/>
  <c r="K8576" s="1"/>
  <c r="K8577" s="1"/>
  <c r="K8578" s="1"/>
  <c r="K8579" s="1"/>
  <c r="K8580" s="1"/>
  <c r="K8581" s="1"/>
  <c r="K8582" s="1"/>
  <c r="K8583" s="1"/>
  <c r="K8584" s="1"/>
  <c r="K8585" s="1"/>
  <c r="K8586" s="1"/>
  <c r="K8587" s="1"/>
  <c r="K8588" s="1"/>
  <c r="K8589" s="1"/>
  <c r="K8590" s="1"/>
  <c r="K8591" s="1"/>
  <c r="K8592" s="1"/>
  <c r="K8593" s="1"/>
  <c r="K8594" s="1"/>
  <c r="K8595" s="1"/>
  <c r="K8596" s="1"/>
  <c r="K8597" s="1"/>
  <c r="K8598" s="1"/>
  <c r="K8599" s="1"/>
  <c r="K8600" s="1"/>
  <c r="K8601" s="1"/>
  <c r="K8602" s="1"/>
  <c r="K8603" s="1"/>
  <c r="K8604" s="1"/>
  <c r="K8605" s="1"/>
  <c r="K8606" s="1"/>
  <c r="K8607" s="1"/>
  <c r="K8608" s="1"/>
  <c r="K8609" s="1"/>
  <c r="K8610" s="1"/>
  <c r="K8611" s="1"/>
  <c r="K8612" s="1"/>
  <c r="K8613" s="1"/>
  <c r="K8614" s="1"/>
  <c r="K8615" s="1"/>
  <c r="K8616" s="1"/>
  <c r="K8617" s="1"/>
  <c r="K8618" s="1"/>
  <c r="K8619" s="1"/>
  <c r="K8620" s="1"/>
  <c r="K8621" s="1"/>
  <c r="K8622" s="1"/>
  <c r="K8623" s="1"/>
  <c r="K8624" s="1"/>
  <c r="K8625" s="1"/>
  <c r="K8626" s="1"/>
  <c r="K8627" s="1"/>
  <c r="K8628" s="1"/>
  <c r="K8629" s="1"/>
  <c r="K8630" s="1"/>
  <c r="K8631" s="1"/>
  <c r="K8632" s="1"/>
  <c r="K8633" s="1"/>
  <c r="K8634" s="1"/>
  <c r="K8635" s="1"/>
  <c r="K8636" s="1"/>
  <c r="K8637" s="1"/>
  <c r="K8638" s="1"/>
  <c r="K8639" s="1"/>
  <c r="K8640" s="1"/>
  <c r="K8641" s="1"/>
  <c r="K8642" s="1"/>
  <c r="K8643" s="1"/>
  <c r="K8644" s="1"/>
  <c r="K8645" s="1"/>
  <c r="K8646" s="1"/>
  <c r="K8647" s="1"/>
  <c r="K8648" s="1"/>
  <c r="K8649" s="1"/>
  <c r="K8650" s="1"/>
  <c r="K8651" s="1"/>
  <c r="K8652" s="1"/>
  <c r="K8653" s="1"/>
  <c r="K8654" s="1"/>
  <c r="K8655" s="1"/>
  <c r="K8656" s="1"/>
  <c r="K8657" s="1"/>
  <c r="K8658" s="1"/>
  <c r="K8659" s="1"/>
  <c r="K8660" s="1"/>
  <c r="K8661" s="1"/>
  <c r="K8662" s="1"/>
  <c r="K8663" s="1"/>
  <c r="K8664" s="1"/>
  <c r="K8665" s="1"/>
  <c r="K8666" s="1"/>
  <c r="K8667" s="1"/>
  <c r="K8668" s="1"/>
  <c r="K8669" s="1"/>
  <c r="K8670" s="1"/>
  <c r="K8671" s="1"/>
  <c r="K8672" s="1"/>
  <c r="K8673" s="1"/>
  <c r="K8674" s="1"/>
  <c r="K8675" s="1"/>
  <c r="K8676" s="1"/>
  <c r="K8677" s="1"/>
  <c r="K8678" s="1"/>
  <c r="K8679" s="1"/>
  <c r="K8680" s="1"/>
  <c r="K8681" s="1"/>
  <c r="K8682" s="1"/>
  <c r="K8683" s="1"/>
  <c r="K8684" s="1"/>
  <c r="K8685" s="1"/>
  <c r="K8686" s="1"/>
  <c r="K8687" s="1"/>
  <c r="K8688" s="1"/>
  <c r="K8689" s="1"/>
  <c r="K8690" s="1"/>
  <c r="K8691" s="1"/>
  <c r="K8692" s="1"/>
  <c r="K8693" s="1"/>
  <c r="K8694" s="1"/>
  <c r="K8695" s="1"/>
  <c r="K8696" s="1"/>
  <c r="K8697" s="1"/>
  <c r="K8698" s="1"/>
  <c r="K8699" s="1"/>
  <c r="K8700" s="1"/>
  <c r="K8701" s="1"/>
  <c r="K8702" s="1"/>
  <c r="K8703" s="1"/>
  <c r="K8704" s="1"/>
  <c r="K8705" s="1"/>
  <c r="K8706" s="1"/>
  <c r="K8707" s="1"/>
  <c r="K8708" s="1"/>
  <c r="K8709" s="1"/>
  <c r="K8710" s="1"/>
  <c r="K8711" s="1"/>
  <c r="K8712" s="1"/>
  <c r="K8713" s="1"/>
  <c r="K8714" s="1"/>
  <c r="K8715" s="1"/>
  <c r="K8716" s="1"/>
  <c r="K8717" s="1"/>
  <c r="K8718" s="1"/>
  <c r="K8719" s="1"/>
  <c r="K8720" s="1"/>
  <c r="K8721" s="1"/>
  <c r="K8722" s="1"/>
  <c r="K8723" s="1"/>
  <c r="K8724" s="1"/>
  <c r="K8725" s="1"/>
  <c r="K8726" s="1"/>
  <c r="K8727" s="1"/>
  <c r="K8728" s="1"/>
  <c r="K8729" s="1"/>
  <c r="K8730" s="1"/>
  <c r="K8731" s="1"/>
  <c r="K8732" s="1"/>
  <c r="K8733" s="1"/>
  <c r="K8734" s="1"/>
  <c r="K8735" s="1"/>
  <c r="K8736" s="1"/>
  <c r="K8737" s="1"/>
  <c r="K8738" s="1"/>
  <c r="K8739" s="1"/>
  <c r="K8740" s="1"/>
  <c r="K8741" s="1"/>
  <c r="K8742" s="1"/>
  <c r="K8743" s="1"/>
  <c r="K8744" s="1"/>
  <c r="K8745" s="1"/>
  <c r="K8746" s="1"/>
  <c r="K8747" s="1"/>
  <c r="K8748" s="1"/>
  <c r="K8749" s="1"/>
  <c r="K8750" s="1"/>
  <c r="K8751" s="1"/>
  <c r="K8752" s="1"/>
  <c r="K8753" s="1"/>
  <c r="K8754" s="1"/>
  <c r="K8755" s="1"/>
  <c r="K8756" s="1"/>
  <c r="K8757" s="1"/>
  <c r="K8758" s="1"/>
  <c r="K8759" s="1"/>
  <c r="K8760" s="1"/>
  <c r="K8761" s="1"/>
  <c r="K8762" s="1"/>
  <c r="K8763" s="1"/>
  <c r="K8764" s="1"/>
  <c r="K8765" s="1"/>
  <c r="K8766" s="1"/>
  <c r="K8767" s="1"/>
  <c r="K8768" s="1"/>
  <c r="K8769" s="1"/>
  <c r="K8770" s="1"/>
  <c r="K8771" s="1"/>
  <c r="K8772" s="1"/>
  <c r="K8773" s="1"/>
  <c r="K8774" s="1"/>
  <c r="K8775" s="1"/>
  <c r="K8776" s="1"/>
  <c r="K8777" s="1"/>
  <c r="K8778" s="1"/>
  <c r="K8779" s="1"/>
  <c r="K8780" s="1"/>
  <c r="K8781" s="1"/>
  <c r="K8782" s="1"/>
  <c r="K8783" s="1"/>
  <c r="K8784" s="1"/>
  <c r="K8785" s="1"/>
  <c r="K8786" s="1"/>
  <c r="K8787" s="1"/>
  <c r="K8788" s="1"/>
  <c r="K8789" s="1"/>
  <c r="K8790" s="1"/>
  <c r="K8791" s="1"/>
  <c r="K8792" s="1"/>
  <c r="K8793" s="1"/>
  <c r="K8794" s="1"/>
  <c r="K8795" s="1"/>
  <c r="K8796" s="1"/>
  <c r="K8797" s="1"/>
  <c r="K8798" s="1"/>
  <c r="K8799" s="1"/>
  <c r="K8800" s="1"/>
  <c r="K8801" s="1"/>
  <c r="K8802" s="1"/>
  <c r="K8803" s="1"/>
  <c r="K8804" s="1"/>
  <c r="K8805" s="1"/>
  <c r="K8806" s="1"/>
  <c r="K8807" s="1"/>
  <c r="K8808" s="1"/>
  <c r="K8809" s="1"/>
  <c r="K8810" s="1"/>
  <c r="K8811" s="1"/>
  <c r="K8812" s="1"/>
  <c r="K8813" s="1"/>
  <c r="K8814" s="1"/>
  <c r="K8815" s="1"/>
  <c r="K8816" s="1"/>
  <c r="K8817" s="1"/>
  <c r="K8818" s="1"/>
  <c r="K8819" s="1"/>
  <c r="K8820" s="1"/>
  <c r="K8821" s="1"/>
  <c r="K8822" s="1"/>
  <c r="K8823" s="1"/>
  <c r="K8824" s="1"/>
  <c r="K8825" s="1"/>
  <c r="K8826" s="1"/>
  <c r="K8827" s="1"/>
  <c r="K8828" s="1"/>
  <c r="K8829" s="1"/>
  <c r="K8830" s="1"/>
  <c r="K8831" s="1"/>
  <c r="K8832" s="1"/>
  <c r="K8833" s="1"/>
  <c r="K8834" s="1"/>
  <c r="K8835" s="1"/>
  <c r="K8836" s="1"/>
  <c r="K8837" s="1"/>
  <c r="K8838" s="1"/>
  <c r="K8839" s="1"/>
  <c r="K8840" s="1"/>
  <c r="K8841" s="1"/>
  <c r="K8842" s="1"/>
  <c r="K8843" s="1"/>
  <c r="K8844" s="1"/>
  <c r="K8845" s="1"/>
  <c r="K8846" s="1"/>
  <c r="K8847" s="1"/>
  <c r="K8848" s="1"/>
  <c r="K8849" s="1"/>
  <c r="K8850" s="1"/>
  <c r="K8851" s="1"/>
  <c r="K8852" s="1"/>
  <c r="K8853" s="1"/>
  <c r="K8854" s="1"/>
  <c r="K8855" s="1"/>
  <c r="K8856" s="1"/>
  <c r="K8857" s="1"/>
  <c r="K8858" s="1"/>
  <c r="K8859" s="1"/>
  <c r="K8860" s="1"/>
  <c r="K8861" s="1"/>
  <c r="K8862" s="1"/>
  <c r="K8863" s="1"/>
  <c r="K8864" s="1"/>
  <c r="K8865" s="1"/>
  <c r="K8866" s="1"/>
  <c r="K8867" s="1"/>
  <c r="K8868" s="1"/>
  <c r="K8869" s="1"/>
  <c r="K8870" s="1"/>
  <c r="K8871" s="1"/>
  <c r="K8872" s="1"/>
  <c r="K8873" s="1"/>
  <c r="K8874" s="1"/>
  <c r="K8875" s="1"/>
  <c r="K8876" s="1"/>
  <c r="K8877" s="1"/>
  <c r="K8878" s="1"/>
  <c r="K8879" s="1"/>
  <c r="K8880" s="1"/>
  <c r="K8881" s="1"/>
  <c r="K8882" s="1"/>
  <c r="K8883" s="1"/>
  <c r="K8884" s="1"/>
  <c r="K8885" s="1"/>
  <c r="K8886" s="1"/>
  <c r="K8887" s="1"/>
  <c r="K8888" s="1"/>
  <c r="K8889" s="1"/>
  <c r="K8890" s="1"/>
  <c r="K8891" s="1"/>
  <c r="K8892" s="1"/>
  <c r="K8893" s="1"/>
  <c r="K8894" s="1"/>
  <c r="K8895" s="1"/>
  <c r="K8896" s="1"/>
  <c r="K8897" s="1"/>
  <c r="K8898" s="1"/>
  <c r="K8899" s="1"/>
  <c r="K8900" s="1"/>
  <c r="K8901" s="1"/>
  <c r="K8902" s="1"/>
  <c r="K8903" s="1"/>
  <c r="K8904" s="1"/>
  <c r="K8905" s="1"/>
  <c r="K8906" s="1"/>
  <c r="K8907" s="1"/>
  <c r="K8908" s="1"/>
  <c r="K8909" s="1"/>
  <c r="K8910" s="1"/>
  <c r="K8911" s="1"/>
  <c r="K8912" s="1"/>
  <c r="K8913" s="1"/>
  <c r="K8914" s="1"/>
  <c r="K8915" s="1"/>
  <c r="K8916" s="1"/>
  <c r="K8917" s="1"/>
  <c r="K8918" s="1"/>
  <c r="K8919" s="1"/>
  <c r="K8920" s="1"/>
  <c r="K8921" s="1"/>
  <c r="K8922" s="1"/>
  <c r="K8923" s="1"/>
  <c r="K8924" s="1"/>
  <c r="K8925" s="1"/>
  <c r="K8926" s="1"/>
  <c r="K8927" s="1"/>
  <c r="K8928" s="1"/>
  <c r="K8929" s="1"/>
  <c r="K8930" s="1"/>
  <c r="K8931" s="1"/>
  <c r="K8932" s="1"/>
  <c r="K8933" s="1"/>
  <c r="K8934" s="1"/>
  <c r="K8935" s="1"/>
  <c r="K8936" s="1"/>
  <c r="K8937" s="1"/>
  <c r="K8938" s="1"/>
  <c r="K8939" s="1"/>
  <c r="K8940" s="1"/>
  <c r="K8941" s="1"/>
  <c r="K8942" s="1"/>
  <c r="K8943" s="1"/>
  <c r="K8944" s="1"/>
  <c r="K8945" s="1"/>
  <c r="K8946" s="1"/>
  <c r="K8947" s="1"/>
  <c r="K8948" s="1"/>
  <c r="K8949" s="1"/>
  <c r="K8950" s="1"/>
  <c r="K8951" s="1"/>
  <c r="K8952" s="1"/>
  <c r="K8953" s="1"/>
  <c r="K8954" s="1"/>
  <c r="K8955" s="1"/>
  <c r="K8956" s="1"/>
  <c r="K8957" s="1"/>
  <c r="K8958" s="1"/>
  <c r="K8959" s="1"/>
  <c r="K8960" s="1"/>
  <c r="K8961" s="1"/>
  <c r="K8962" s="1"/>
  <c r="K8963" s="1"/>
  <c r="K8964" s="1"/>
  <c r="K8965" s="1"/>
  <c r="K8966" s="1"/>
  <c r="K8967" s="1"/>
  <c r="K8968" s="1"/>
  <c r="K8969" s="1"/>
  <c r="K8970" s="1"/>
  <c r="K8971" s="1"/>
  <c r="K8972" s="1"/>
  <c r="K8973" s="1"/>
  <c r="K8974" s="1"/>
  <c r="K8975" s="1"/>
  <c r="K8976" s="1"/>
  <c r="K8977" s="1"/>
  <c r="K8978" s="1"/>
  <c r="K8979" s="1"/>
  <c r="K8980" s="1"/>
  <c r="K8981" s="1"/>
  <c r="K8982" s="1"/>
  <c r="K8983" s="1"/>
  <c r="K8984" s="1"/>
  <c r="K8985" s="1"/>
  <c r="K8986" s="1"/>
  <c r="K8987" s="1"/>
  <c r="K8988" s="1"/>
  <c r="K8989" s="1"/>
  <c r="K8990" s="1"/>
  <c r="K8991" s="1"/>
  <c r="K8992" s="1"/>
  <c r="K8993" s="1"/>
  <c r="K8994" s="1"/>
  <c r="K8995" s="1"/>
  <c r="K8996" s="1"/>
  <c r="K8997" s="1"/>
  <c r="K8998" s="1"/>
  <c r="K8999" s="1"/>
  <c r="K9000" s="1"/>
  <c r="K9001" s="1"/>
  <c r="K9002" s="1"/>
  <c r="K9003" s="1"/>
  <c r="K9004" s="1"/>
  <c r="K9005" s="1"/>
  <c r="K9006" s="1"/>
  <c r="K9007" s="1"/>
  <c r="K9008" s="1"/>
  <c r="K9009" s="1"/>
  <c r="K9010" s="1"/>
  <c r="K9011" s="1"/>
  <c r="K9012" s="1"/>
  <c r="K9013" s="1"/>
  <c r="K9014" s="1"/>
  <c r="K9015" s="1"/>
  <c r="K9016" s="1"/>
  <c r="K9017" s="1"/>
  <c r="K9018" s="1"/>
  <c r="K9019" s="1"/>
  <c r="K9020" s="1"/>
  <c r="K9021" s="1"/>
  <c r="K9022" s="1"/>
  <c r="K9023" s="1"/>
  <c r="K9024" s="1"/>
  <c r="K9025" s="1"/>
  <c r="K9026" s="1"/>
  <c r="K9027" s="1"/>
  <c r="K9028" s="1"/>
  <c r="K9029" s="1"/>
  <c r="K9030" s="1"/>
  <c r="K9031" s="1"/>
  <c r="K9032" s="1"/>
  <c r="K9033" s="1"/>
  <c r="K9034" s="1"/>
  <c r="K9035" s="1"/>
  <c r="K9036" s="1"/>
  <c r="K9037" s="1"/>
  <c r="K9038" s="1"/>
  <c r="K9039" s="1"/>
  <c r="K9040" s="1"/>
  <c r="K9041" s="1"/>
  <c r="K9042" s="1"/>
  <c r="K9043" s="1"/>
  <c r="K9044" s="1"/>
  <c r="K9045" s="1"/>
  <c r="K9046" s="1"/>
  <c r="K9047" s="1"/>
  <c r="K9048" s="1"/>
  <c r="K9049" s="1"/>
  <c r="K9050" s="1"/>
  <c r="K9051" s="1"/>
  <c r="K9052" s="1"/>
  <c r="K9053" s="1"/>
  <c r="K9054" s="1"/>
  <c r="K9055" s="1"/>
  <c r="K9056" s="1"/>
  <c r="K9057" s="1"/>
  <c r="K9058" s="1"/>
  <c r="K9059" s="1"/>
  <c r="K9060" s="1"/>
  <c r="K9061" s="1"/>
  <c r="K9062" s="1"/>
  <c r="K9063" s="1"/>
  <c r="K9064" s="1"/>
  <c r="K9065" s="1"/>
  <c r="K9066" s="1"/>
  <c r="K9067" s="1"/>
  <c r="K9068" s="1"/>
  <c r="K9069" s="1"/>
  <c r="K9070" s="1"/>
  <c r="K9071" s="1"/>
  <c r="K9072" s="1"/>
  <c r="K9073" s="1"/>
  <c r="K9074" s="1"/>
  <c r="K9075" s="1"/>
  <c r="K9076" s="1"/>
  <c r="K9077" s="1"/>
  <c r="K9078" s="1"/>
  <c r="K9079" s="1"/>
  <c r="K9080" s="1"/>
  <c r="K9081" s="1"/>
  <c r="K9082" s="1"/>
  <c r="K9083" s="1"/>
  <c r="K9084" s="1"/>
  <c r="K9085" s="1"/>
  <c r="K9086" s="1"/>
  <c r="K9087" s="1"/>
  <c r="K9088" s="1"/>
  <c r="K9089" s="1"/>
  <c r="K9090" s="1"/>
  <c r="K9091" s="1"/>
  <c r="K9092" s="1"/>
  <c r="K9093" s="1"/>
  <c r="K9094" s="1"/>
  <c r="K9095" s="1"/>
  <c r="K9096" s="1"/>
  <c r="K9097" s="1"/>
  <c r="K9098" s="1"/>
  <c r="K9099" s="1"/>
  <c r="K9100" s="1"/>
  <c r="K9101" s="1"/>
  <c r="K9102" s="1"/>
  <c r="K9103" s="1"/>
  <c r="K9104" s="1"/>
  <c r="K9105" s="1"/>
  <c r="K9106" s="1"/>
  <c r="K9107" s="1"/>
  <c r="K9108" s="1"/>
  <c r="K9109" s="1"/>
  <c r="K9110" s="1"/>
  <c r="K9111" s="1"/>
  <c r="K9112" s="1"/>
  <c r="K9113" s="1"/>
  <c r="K9114" s="1"/>
  <c r="K9115" s="1"/>
  <c r="K9116" s="1"/>
  <c r="K9117" s="1"/>
  <c r="K9118" s="1"/>
  <c r="K9119" s="1"/>
  <c r="K9120" s="1"/>
  <c r="K9121" s="1"/>
  <c r="K9122" s="1"/>
  <c r="K9123" s="1"/>
  <c r="K9124" s="1"/>
  <c r="K9125" s="1"/>
  <c r="K9126" s="1"/>
  <c r="K9127" s="1"/>
  <c r="K9128" s="1"/>
  <c r="K9129" s="1"/>
  <c r="K9130" s="1"/>
  <c r="K9131" s="1"/>
  <c r="K9132" s="1"/>
  <c r="K9133" s="1"/>
  <c r="K9134" s="1"/>
  <c r="K9135" s="1"/>
  <c r="K9136" s="1"/>
  <c r="K9137" s="1"/>
  <c r="K9138" s="1"/>
  <c r="K9139" s="1"/>
  <c r="K9140" s="1"/>
  <c r="K9141" s="1"/>
  <c r="K9142" s="1"/>
  <c r="K9143" s="1"/>
  <c r="K9144" s="1"/>
  <c r="K9145" s="1"/>
  <c r="K9146" s="1"/>
  <c r="K9147" s="1"/>
  <c r="K9148" s="1"/>
  <c r="K9149" s="1"/>
  <c r="K9150" s="1"/>
  <c r="K9151" s="1"/>
  <c r="K9152" s="1"/>
  <c r="K9153" s="1"/>
  <c r="K9154" s="1"/>
  <c r="K9155" s="1"/>
  <c r="K9156" s="1"/>
  <c r="K9157" s="1"/>
  <c r="K9158" s="1"/>
  <c r="K9159" s="1"/>
  <c r="K9160" s="1"/>
  <c r="K9161" s="1"/>
  <c r="K9162" s="1"/>
  <c r="K9163" s="1"/>
  <c r="K9164" s="1"/>
  <c r="K9165" s="1"/>
  <c r="K9166" s="1"/>
  <c r="K9167" s="1"/>
  <c r="K9168" s="1"/>
  <c r="K9169" s="1"/>
  <c r="K9170" s="1"/>
  <c r="K9171" s="1"/>
  <c r="K9172" s="1"/>
  <c r="K9173" s="1"/>
  <c r="K9174" s="1"/>
  <c r="K9175" s="1"/>
  <c r="K9176" s="1"/>
  <c r="K9177" s="1"/>
  <c r="K9178" s="1"/>
  <c r="K9179" s="1"/>
  <c r="K9180" s="1"/>
  <c r="K9181" s="1"/>
  <c r="K9182" s="1"/>
  <c r="K9183" s="1"/>
  <c r="K9184" s="1"/>
  <c r="K9185" s="1"/>
  <c r="K9186" s="1"/>
  <c r="K9187" s="1"/>
  <c r="K9188" s="1"/>
  <c r="K9189" s="1"/>
  <c r="K9190" s="1"/>
  <c r="K9191" s="1"/>
  <c r="K9192" s="1"/>
  <c r="K9193" s="1"/>
  <c r="K9194" s="1"/>
  <c r="K9195" s="1"/>
  <c r="K9196" s="1"/>
  <c r="K9197" s="1"/>
  <c r="K9198" s="1"/>
  <c r="K9199" s="1"/>
  <c r="K9200" s="1"/>
  <c r="K9201" s="1"/>
  <c r="K9202" s="1"/>
  <c r="K9203" s="1"/>
  <c r="K9204" s="1"/>
  <c r="K9205" s="1"/>
  <c r="K9206" s="1"/>
  <c r="K9207" s="1"/>
  <c r="K9208" s="1"/>
  <c r="K9209" s="1"/>
  <c r="K9210" s="1"/>
  <c r="K9211" s="1"/>
  <c r="K9212" s="1"/>
  <c r="K9213" s="1"/>
  <c r="K9214" s="1"/>
  <c r="K9215" s="1"/>
  <c r="K9216" s="1"/>
  <c r="K9217" s="1"/>
  <c r="K9218" s="1"/>
  <c r="K9219" s="1"/>
  <c r="K9220" s="1"/>
  <c r="K9221" s="1"/>
  <c r="K9222" s="1"/>
  <c r="K9223" s="1"/>
  <c r="K9224" s="1"/>
  <c r="K9225" s="1"/>
  <c r="K9226" s="1"/>
  <c r="K9227" s="1"/>
  <c r="K9228" s="1"/>
  <c r="K9229" s="1"/>
  <c r="K9230" s="1"/>
  <c r="K9231" s="1"/>
  <c r="K9232" s="1"/>
  <c r="K9233" s="1"/>
  <c r="K9234" s="1"/>
  <c r="K9235" s="1"/>
  <c r="K9236" s="1"/>
  <c r="K9237" s="1"/>
  <c r="K9238" s="1"/>
  <c r="K9239" s="1"/>
  <c r="K9240" s="1"/>
  <c r="K9241" s="1"/>
  <c r="K9242" s="1"/>
  <c r="K9243" s="1"/>
  <c r="K9244" s="1"/>
  <c r="K9245" s="1"/>
  <c r="K9246" s="1"/>
  <c r="K9247" s="1"/>
  <c r="K9248" s="1"/>
  <c r="K9249" s="1"/>
  <c r="K9250" s="1"/>
  <c r="K9251" s="1"/>
  <c r="K9252" s="1"/>
  <c r="K9253" s="1"/>
  <c r="K9254" s="1"/>
  <c r="K9255" s="1"/>
  <c r="K9256" s="1"/>
  <c r="K9257" s="1"/>
  <c r="K9258" s="1"/>
  <c r="K9259" s="1"/>
  <c r="K9260" s="1"/>
  <c r="K9261" s="1"/>
  <c r="K9262" s="1"/>
  <c r="K9263" s="1"/>
  <c r="K9264" s="1"/>
  <c r="K9265" s="1"/>
  <c r="K9266" s="1"/>
  <c r="K9267" s="1"/>
  <c r="K9268" s="1"/>
  <c r="K9269" s="1"/>
  <c r="K9270" s="1"/>
  <c r="K9271" s="1"/>
  <c r="K9272" s="1"/>
  <c r="K9273" s="1"/>
  <c r="K9274" s="1"/>
  <c r="K9275" s="1"/>
  <c r="K9276" s="1"/>
  <c r="K9277" s="1"/>
  <c r="K9278" s="1"/>
  <c r="K9279" s="1"/>
  <c r="K9280" s="1"/>
  <c r="K9281" s="1"/>
  <c r="K9282" s="1"/>
  <c r="K9283" s="1"/>
  <c r="K9284" s="1"/>
  <c r="K9285" s="1"/>
  <c r="K9286" s="1"/>
  <c r="K9287" s="1"/>
  <c r="K9288" s="1"/>
  <c r="K9289" s="1"/>
  <c r="K9290" s="1"/>
  <c r="K9291" s="1"/>
  <c r="K9292" s="1"/>
  <c r="K9293" s="1"/>
  <c r="K9294" s="1"/>
  <c r="K9295" s="1"/>
  <c r="K9296" s="1"/>
  <c r="K9297" s="1"/>
  <c r="K9298" s="1"/>
  <c r="K9299" s="1"/>
  <c r="K9300" s="1"/>
  <c r="K9301" s="1"/>
  <c r="K9302" s="1"/>
  <c r="K9303" s="1"/>
  <c r="K9304" s="1"/>
  <c r="K9305" s="1"/>
  <c r="K9306" s="1"/>
  <c r="K9307" s="1"/>
  <c r="K9308" s="1"/>
  <c r="K9309" s="1"/>
  <c r="K9310" s="1"/>
  <c r="K9311" s="1"/>
  <c r="K9312" s="1"/>
  <c r="K9313" s="1"/>
  <c r="K9314" s="1"/>
  <c r="K9315" s="1"/>
  <c r="K9316" s="1"/>
  <c r="K9317" s="1"/>
  <c r="K9318" s="1"/>
  <c r="K9319" s="1"/>
  <c r="K9320" s="1"/>
  <c r="K9321" s="1"/>
  <c r="K9322" s="1"/>
  <c r="K9323" s="1"/>
  <c r="K9324" s="1"/>
  <c r="K9325" s="1"/>
  <c r="K9326" s="1"/>
  <c r="K9327" s="1"/>
  <c r="K9328" s="1"/>
  <c r="K9329" s="1"/>
  <c r="K9330" s="1"/>
  <c r="K9331" s="1"/>
  <c r="K9332" s="1"/>
  <c r="K9333" s="1"/>
  <c r="K9334" s="1"/>
  <c r="K9335" s="1"/>
  <c r="K9336" s="1"/>
  <c r="K9337" s="1"/>
  <c r="K9338" s="1"/>
  <c r="K9339" s="1"/>
  <c r="K9340" s="1"/>
  <c r="K9341" s="1"/>
  <c r="K9342" s="1"/>
  <c r="K9343" s="1"/>
  <c r="K9344" s="1"/>
  <c r="K9345" s="1"/>
  <c r="K9346" s="1"/>
  <c r="K9347" s="1"/>
  <c r="K9348" s="1"/>
  <c r="K9349" s="1"/>
  <c r="K9350" s="1"/>
  <c r="K9351" s="1"/>
  <c r="K9352" s="1"/>
  <c r="K9353" s="1"/>
  <c r="K9354" s="1"/>
  <c r="K9355" s="1"/>
  <c r="K9356" s="1"/>
  <c r="K9357" s="1"/>
  <c r="K9358" s="1"/>
  <c r="K9359" s="1"/>
  <c r="K9360" s="1"/>
  <c r="K9361" s="1"/>
  <c r="K9362" s="1"/>
  <c r="K9363" s="1"/>
  <c r="K9364" s="1"/>
  <c r="K9365" s="1"/>
  <c r="K9366" s="1"/>
  <c r="K9367" s="1"/>
  <c r="K9368" s="1"/>
  <c r="K9369" s="1"/>
  <c r="K9370" s="1"/>
  <c r="K9371" s="1"/>
  <c r="K9372" s="1"/>
  <c r="K9373" s="1"/>
  <c r="K9374" s="1"/>
  <c r="K9375" s="1"/>
  <c r="K9376" s="1"/>
  <c r="K9377" s="1"/>
  <c r="K9378" s="1"/>
  <c r="K9379" s="1"/>
  <c r="K9380" s="1"/>
  <c r="K9381" s="1"/>
  <c r="K9382" s="1"/>
  <c r="K9383" s="1"/>
  <c r="K9384" s="1"/>
  <c r="K9385" s="1"/>
  <c r="K9386" s="1"/>
  <c r="K9387" s="1"/>
  <c r="K9388" s="1"/>
  <c r="K9389" s="1"/>
  <c r="K9390" s="1"/>
  <c r="K9391" s="1"/>
  <c r="K9392" s="1"/>
  <c r="K9393" s="1"/>
  <c r="K9394" s="1"/>
  <c r="K9395" s="1"/>
  <c r="K9396" s="1"/>
  <c r="K9397" s="1"/>
  <c r="K9398" s="1"/>
  <c r="K9399" s="1"/>
  <c r="K9400" s="1"/>
  <c r="K9401" s="1"/>
  <c r="K9402" s="1"/>
  <c r="K9403" s="1"/>
  <c r="K9404" s="1"/>
  <c r="K9405" s="1"/>
  <c r="K9406" s="1"/>
  <c r="K9407" s="1"/>
  <c r="K9408" s="1"/>
  <c r="K9409" s="1"/>
  <c r="K9410" s="1"/>
  <c r="K9411" s="1"/>
  <c r="K9412" s="1"/>
  <c r="K9413" s="1"/>
  <c r="K9414" s="1"/>
  <c r="K9415" s="1"/>
  <c r="K9416" s="1"/>
  <c r="K9417" s="1"/>
  <c r="K9418" s="1"/>
  <c r="K9419" s="1"/>
  <c r="K9420" s="1"/>
  <c r="K9421" s="1"/>
  <c r="K9422" s="1"/>
  <c r="K9423" s="1"/>
  <c r="K9424" s="1"/>
  <c r="K9425" s="1"/>
  <c r="K9426" s="1"/>
  <c r="K9427" s="1"/>
  <c r="K9428" s="1"/>
  <c r="K9429" s="1"/>
  <c r="K9430" s="1"/>
  <c r="K9431" s="1"/>
  <c r="K9432" s="1"/>
  <c r="K9433" s="1"/>
  <c r="K9434" s="1"/>
  <c r="K9435" s="1"/>
  <c r="K9436" s="1"/>
  <c r="K9437" s="1"/>
  <c r="K9438" s="1"/>
  <c r="K9439" s="1"/>
  <c r="K9440" s="1"/>
  <c r="K9441" s="1"/>
  <c r="K9442" s="1"/>
  <c r="K9443" s="1"/>
  <c r="K9444" s="1"/>
  <c r="K9445" s="1"/>
  <c r="K9446" s="1"/>
  <c r="K9447" s="1"/>
  <c r="K9448" s="1"/>
  <c r="K9449" s="1"/>
  <c r="K9450" s="1"/>
  <c r="K9451" s="1"/>
  <c r="K9452" s="1"/>
  <c r="K9453" s="1"/>
  <c r="K9454" s="1"/>
  <c r="K9455" s="1"/>
  <c r="K9456" s="1"/>
  <c r="K9457" s="1"/>
  <c r="K9458" s="1"/>
  <c r="K9459" s="1"/>
  <c r="K9460" s="1"/>
  <c r="K9461" s="1"/>
  <c r="K9462" s="1"/>
  <c r="K9463" s="1"/>
  <c r="K9464" s="1"/>
  <c r="K9465" s="1"/>
  <c r="K9466" s="1"/>
  <c r="K9467" s="1"/>
  <c r="K9468" s="1"/>
  <c r="K9469" s="1"/>
  <c r="K9470" s="1"/>
  <c r="K9471" s="1"/>
  <c r="K9472" s="1"/>
  <c r="K9473" s="1"/>
  <c r="K9474" s="1"/>
  <c r="K9475" s="1"/>
  <c r="K9476" s="1"/>
  <c r="K9477" s="1"/>
  <c r="K9478" s="1"/>
  <c r="K9479" s="1"/>
  <c r="K9480" s="1"/>
  <c r="K9481" s="1"/>
  <c r="K9482" s="1"/>
  <c r="K9483" s="1"/>
  <c r="K9484" s="1"/>
  <c r="K9485" s="1"/>
  <c r="K9486" s="1"/>
  <c r="K9487" s="1"/>
  <c r="K9488" s="1"/>
  <c r="K9489" s="1"/>
  <c r="K9490" s="1"/>
  <c r="K9491" s="1"/>
  <c r="K9492" s="1"/>
  <c r="K9493" s="1"/>
  <c r="K9494" s="1"/>
  <c r="K9495" s="1"/>
  <c r="K9496" s="1"/>
  <c r="K9497" s="1"/>
  <c r="K9498" s="1"/>
  <c r="K9499" s="1"/>
  <c r="K9500" s="1"/>
  <c r="K9501" s="1"/>
  <c r="K9502" s="1"/>
  <c r="K9503" s="1"/>
  <c r="K9504" s="1"/>
  <c r="K9505" s="1"/>
  <c r="K9506" s="1"/>
  <c r="K9507" s="1"/>
  <c r="K9508" s="1"/>
  <c r="K9509" s="1"/>
  <c r="K9510" s="1"/>
  <c r="K9511" s="1"/>
  <c r="K9512" s="1"/>
  <c r="K9513" s="1"/>
  <c r="K9514" s="1"/>
  <c r="K9515" s="1"/>
  <c r="K9516" s="1"/>
  <c r="K9517" s="1"/>
  <c r="K9518" s="1"/>
  <c r="K9519" s="1"/>
  <c r="K9520" s="1"/>
  <c r="K9521" s="1"/>
  <c r="K9522" s="1"/>
  <c r="K9523" s="1"/>
  <c r="K9524" s="1"/>
  <c r="K9525" s="1"/>
  <c r="K9526" s="1"/>
  <c r="K9527" s="1"/>
  <c r="K9528" s="1"/>
  <c r="K9529" s="1"/>
  <c r="K9530" s="1"/>
  <c r="K9531" s="1"/>
  <c r="K9532" s="1"/>
  <c r="K9533" s="1"/>
  <c r="K9534" s="1"/>
  <c r="K9535" s="1"/>
  <c r="K9536" s="1"/>
  <c r="K9537" s="1"/>
  <c r="K9538" s="1"/>
  <c r="K9539" s="1"/>
  <c r="K9540" s="1"/>
  <c r="K9541" s="1"/>
  <c r="K9542" s="1"/>
  <c r="K9543" s="1"/>
  <c r="K9544" s="1"/>
  <c r="K9545" s="1"/>
  <c r="K9546" s="1"/>
  <c r="K9547" s="1"/>
  <c r="K9548" s="1"/>
  <c r="K9549" s="1"/>
  <c r="K9550" s="1"/>
  <c r="K9551" s="1"/>
  <c r="K9552" s="1"/>
  <c r="K9553" s="1"/>
  <c r="K9554" s="1"/>
  <c r="K9555" s="1"/>
  <c r="K9556" s="1"/>
  <c r="K9557" s="1"/>
  <c r="K9558" s="1"/>
  <c r="K9559" s="1"/>
  <c r="K9560" s="1"/>
  <c r="K9561" s="1"/>
  <c r="K9562" s="1"/>
  <c r="K9563" s="1"/>
  <c r="K9564" s="1"/>
  <c r="K9565" s="1"/>
  <c r="K9566" s="1"/>
  <c r="K9567" s="1"/>
  <c r="K9568" s="1"/>
  <c r="K9569" s="1"/>
  <c r="K9570" s="1"/>
  <c r="K9571" s="1"/>
  <c r="K9572" s="1"/>
  <c r="K9573" s="1"/>
  <c r="K9574" s="1"/>
  <c r="K9575" s="1"/>
  <c r="K9576" s="1"/>
  <c r="K9577" s="1"/>
  <c r="K9578" s="1"/>
  <c r="K9579" s="1"/>
  <c r="K9580" s="1"/>
  <c r="K9581" s="1"/>
  <c r="K9582" s="1"/>
  <c r="K9583" s="1"/>
  <c r="K9584" s="1"/>
  <c r="K9585" s="1"/>
  <c r="K9586" s="1"/>
  <c r="K9587" s="1"/>
  <c r="K9588" s="1"/>
  <c r="K9589" s="1"/>
  <c r="K9590" s="1"/>
  <c r="K9591" s="1"/>
  <c r="K9592" s="1"/>
  <c r="K9593" s="1"/>
  <c r="K9594" s="1"/>
  <c r="K9595" s="1"/>
  <c r="K9596" s="1"/>
  <c r="K9597" s="1"/>
  <c r="K9598" s="1"/>
  <c r="K9599" s="1"/>
  <c r="K9600" s="1"/>
  <c r="K9601" s="1"/>
  <c r="K9602" s="1"/>
  <c r="K9603" s="1"/>
  <c r="K9604" s="1"/>
  <c r="K9605" s="1"/>
  <c r="K9606" s="1"/>
  <c r="K9607" s="1"/>
  <c r="K9608" s="1"/>
  <c r="K9609" s="1"/>
  <c r="K9610" s="1"/>
  <c r="K9611" s="1"/>
  <c r="K9612" s="1"/>
  <c r="K9613" s="1"/>
  <c r="K9614" s="1"/>
  <c r="K9615" s="1"/>
  <c r="K9616" s="1"/>
  <c r="K9617" s="1"/>
  <c r="K9618" s="1"/>
  <c r="K9619" s="1"/>
  <c r="K9620" s="1"/>
  <c r="K9621" s="1"/>
  <c r="K9622" s="1"/>
  <c r="K9623" s="1"/>
  <c r="K9624" s="1"/>
  <c r="K9625" s="1"/>
  <c r="K9626" s="1"/>
  <c r="K9627" s="1"/>
  <c r="K9628" s="1"/>
  <c r="K9629" s="1"/>
  <c r="K9630" s="1"/>
  <c r="K9631" s="1"/>
  <c r="K9632" s="1"/>
  <c r="K9633" s="1"/>
  <c r="K9634" s="1"/>
  <c r="K9635" s="1"/>
  <c r="K9636" s="1"/>
  <c r="K9637" s="1"/>
  <c r="K9638" s="1"/>
  <c r="K9639" s="1"/>
  <c r="K9640" s="1"/>
  <c r="K9641" s="1"/>
  <c r="K9642" s="1"/>
  <c r="K9643" s="1"/>
  <c r="K9644" s="1"/>
  <c r="K9645" s="1"/>
  <c r="K9646" s="1"/>
  <c r="K9647" s="1"/>
  <c r="K9648" s="1"/>
  <c r="K9649" s="1"/>
  <c r="K9650" s="1"/>
  <c r="K9651" s="1"/>
  <c r="K9652" s="1"/>
  <c r="K9653" s="1"/>
  <c r="K9654" s="1"/>
  <c r="K9655" s="1"/>
  <c r="K9656" s="1"/>
  <c r="K9657" s="1"/>
  <c r="K9658" s="1"/>
  <c r="K9659" s="1"/>
  <c r="K9660" s="1"/>
  <c r="K9661" s="1"/>
  <c r="K9662" s="1"/>
  <c r="K9663" s="1"/>
  <c r="K9664" s="1"/>
  <c r="K9665" s="1"/>
  <c r="K9666" s="1"/>
  <c r="K9667" s="1"/>
  <c r="K9668" s="1"/>
  <c r="K9669" s="1"/>
  <c r="K9670" s="1"/>
  <c r="K9671" s="1"/>
  <c r="K9672" s="1"/>
  <c r="K9673" s="1"/>
  <c r="K9674" s="1"/>
  <c r="K9675" s="1"/>
  <c r="K9676" s="1"/>
  <c r="K9677" s="1"/>
  <c r="K9678" s="1"/>
  <c r="K9679" s="1"/>
  <c r="K9680" s="1"/>
  <c r="K9681" s="1"/>
  <c r="K9682" s="1"/>
  <c r="K9683" s="1"/>
  <c r="K9684" s="1"/>
  <c r="K9685" s="1"/>
  <c r="K9686" s="1"/>
  <c r="K9687" s="1"/>
  <c r="K9688" s="1"/>
  <c r="K9689" s="1"/>
  <c r="K9690" s="1"/>
  <c r="K9691" s="1"/>
  <c r="K9692" s="1"/>
  <c r="K9693" s="1"/>
  <c r="K9694" s="1"/>
  <c r="K9695" s="1"/>
  <c r="K9696" s="1"/>
  <c r="K9697" s="1"/>
  <c r="K9698" s="1"/>
  <c r="K9699" s="1"/>
  <c r="K9700" s="1"/>
  <c r="K9701" s="1"/>
  <c r="K9702" s="1"/>
  <c r="K9703" s="1"/>
  <c r="K9704" s="1"/>
  <c r="K9705" s="1"/>
  <c r="K9706" s="1"/>
  <c r="K9707" s="1"/>
  <c r="K9708" s="1"/>
  <c r="K9709" s="1"/>
  <c r="K9710" s="1"/>
  <c r="K9711" s="1"/>
  <c r="K9712" s="1"/>
  <c r="K9713" s="1"/>
  <c r="K9714" s="1"/>
  <c r="K9715" s="1"/>
  <c r="K9716" s="1"/>
  <c r="K9717" s="1"/>
  <c r="K9718" s="1"/>
  <c r="K9719" s="1"/>
  <c r="K9720" s="1"/>
  <c r="K9721" s="1"/>
  <c r="K9722" s="1"/>
  <c r="K9723" s="1"/>
  <c r="K9724" s="1"/>
  <c r="K9725" s="1"/>
  <c r="K9726" s="1"/>
  <c r="K9727" s="1"/>
  <c r="K9728" s="1"/>
  <c r="K9729" s="1"/>
  <c r="K9730" s="1"/>
  <c r="K9731" s="1"/>
  <c r="K9732" s="1"/>
  <c r="K9733" s="1"/>
  <c r="K9734" s="1"/>
  <c r="K9735" s="1"/>
  <c r="K9736" s="1"/>
  <c r="K9737" s="1"/>
  <c r="K9738" s="1"/>
  <c r="K9739" s="1"/>
  <c r="K9740" s="1"/>
  <c r="K9741" s="1"/>
  <c r="K9742" s="1"/>
  <c r="K9743" s="1"/>
  <c r="K9744" s="1"/>
  <c r="K9745" s="1"/>
  <c r="K9746" s="1"/>
  <c r="K9747" s="1"/>
  <c r="K9748" s="1"/>
  <c r="K9749" s="1"/>
  <c r="K9750" s="1"/>
  <c r="K9751" s="1"/>
  <c r="K9752" s="1"/>
  <c r="K9753" s="1"/>
  <c r="K9754" s="1"/>
  <c r="K9755" s="1"/>
  <c r="K9756" s="1"/>
  <c r="K9757" s="1"/>
  <c r="K9758" s="1"/>
  <c r="K9759" s="1"/>
  <c r="K9760" s="1"/>
  <c r="K9761" s="1"/>
  <c r="K9762" s="1"/>
  <c r="K9763" s="1"/>
  <c r="K9764" s="1"/>
  <c r="K9765" s="1"/>
  <c r="K9766" s="1"/>
  <c r="K9767" s="1"/>
  <c r="K9768" s="1"/>
  <c r="K9769" s="1"/>
  <c r="K9770" s="1"/>
  <c r="K9771" s="1"/>
  <c r="K9772" s="1"/>
  <c r="K9773" s="1"/>
  <c r="K9774" s="1"/>
  <c r="K9775" s="1"/>
  <c r="K9776" s="1"/>
  <c r="K9777" s="1"/>
  <c r="K9778" s="1"/>
  <c r="K9779" s="1"/>
  <c r="K9780" s="1"/>
  <c r="K9781" s="1"/>
  <c r="K9782" s="1"/>
  <c r="K9783" s="1"/>
  <c r="K9784" s="1"/>
  <c r="K9785" s="1"/>
  <c r="K9786" s="1"/>
  <c r="K9787" s="1"/>
  <c r="K9788" s="1"/>
  <c r="K9789" s="1"/>
  <c r="K9790" s="1"/>
  <c r="K9791" s="1"/>
  <c r="K9792" s="1"/>
  <c r="K9793" s="1"/>
  <c r="K9794" s="1"/>
  <c r="K9795" s="1"/>
  <c r="K9796" s="1"/>
  <c r="K9797" s="1"/>
  <c r="K9798" s="1"/>
  <c r="K9799" s="1"/>
  <c r="K9800" s="1"/>
  <c r="K9801" s="1"/>
  <c r="K9802" s="1"/>
  <c r="K9803" s="1"/>
  <c r="K9804" s="1"/>
  <c r="K9805" s="1"/>
  <c r="K9806" s="1"/>
  <c r="K9807" s="1"/>
  <c r="K9808" s="1"/>
  <c r="K9809" s="1"/>
  <c r="K9810" s="1"/>
  <c r="K9811" s="1"/>
  <c r="K9812" s="1"/>
  <c r="K9813" s="1"/>
  <c r="K9814" s="1"/>
  <c r="K9815" s="1"/>
  <c r="K9816" s="1"/>
  <c r="K9817" s="1"/>
  <c r="K9818" s="1"/>
  <c r="K9819" s="1"/>
  <c r="K9820" s="1"/>
  <c r="K9821" s="1"/>
  <c r="K9822" s="1"/>
  <c r="K9823" s="1"/>
  <c r="K9824" s="1"/>
  <c r="K9825" s="1"/>
  <c r="K9826" s="1"/>
  <c r="K9827" s="1"/>
  <c r="K9828" s="1"/>
  <c r="K9829" s="1"/>
  <c r="K9830" s="1"/>
  <c r="K9831" s="1"/>
  <c r="K9832" s="1"/>
  <c r="K9833" s="1"/>
  <c r="K9834" s="1"/>
  <c r="K9835" s="1"/>
  <c r="K9836" s="1"/>
  <c r="K9837" s="1"/>
  <c r="K9838" s="1"/>
  <c r="K9839" s="1"/>
  <c r="K9840" s="1"/>
  <c r="K9841" s="1"/>
  <c r="K9842" s="1"/>
  <c r="K9843" s="1"/>
  <c r="K9844" s="1"/>
  <c r="K9845" s="1"/>
  <c r="K9846" s="1"/>
  <c r="K9847" s="1"/>
  <c r="K9848" s="1"/>
  <c r="K9849" s="1"/>
  <c r="K9850" s="1"/>
  <c r="K9851" s="1"/>
  <c r="K9852" s="1"/>
  <c r="K9853" s="1"/>
  <c r="K9854" s="1"/>
  <c r="K9855" s="1"/>
  <c r="K9856" s="1"/>
  <c r="K9857" s="1"/>
  <c r="K9858" s="1"/>
  <c r="K9859" s="1"/>
  <c r="K9860" s="1"/>
  <c r="K9861" s="1"/>
  <c r="K9862" s="1"/>
  <c r="K9863" s="1"/>
  <c r="K9864" s="1"/>
  <c r="K9865" s="1"/>
  <c r="K9866" s="1"/>
  <c r="K9867" s="1"/>
  <c r="K9868" s="1"/>
  <c r="K9869" s="1"/>
  <c r="K9870" s="1"/>
  <c r="K9871" s="1"/>
  <c r="K9872" s="1"/>
  <c r="K9873" s="1"/>
  <c r="K9874" s="1"/>
  <c r="K9875" s="1"/>
  <c r="K9876" s="1"/>
  <c r="K9877" s="1"/>
  <c r="K9878" s="1"/>
  <c r="K9879" s="1"/>
  <c r="K9880" s="1"/>
  <c r="K9881" s="1"/>
  <c r="K9882" s="1"/>
  <c r="K9883" s="1"/>
  <c r="K9884" s="1"/>
  <c r="K9885" s="1"/>
  <c r="K9886" s="1"/>
  <c r="K9887" s="1"/>
  <c r="K9888" s="1"/>
  <c r="K9889" s="1"/>
  <c r="K9890" s="1"/>
  <c r="K9891" s="1"/>
  <c r="K9892" s="1"/>
  <c r="K9893" s="1"/>
  <c r="K9894" s="1"/>
  <c r="K9895" s="1"/>
  <c r="K9896" s="1"/>
  <c r="K9897" s="1"/>
  <c r="K9898" s="1"/>
  <c r="K9899" s="1"/>
  <c r="K9900" s="1"/>
  <c r="K9901" s="1"/>
  <c r="K9902" s="1"/>
  <c r="K9903" s="1"/>
  <c r="K9904" s="1"/>
  <c r="K9905" s="1"/>
  <c r="K9906" s="1"/>
  <c r="K9907" s="1"/>
  <c r="K9908" s="1"/>
  <c r="K9909" s="1"/>
  <c r="K9910" s="1"/>
  <c r="K9911" s="1"/>
  <c r="K9912" s="1"/>
  <c r="K9913" s="1"/>
  <c r="K9914" s="1"/>
  <c r="K9915" s="1"/>
  <c r="K9916" s="1"/>
  <c r="K9917" s="1"/>
  <c r="K9918" s="1"/>
  <c r="K9919" s="1"/>
  <c r="K9920" s="1"/>
  <c r="K9921" s="1"/>
  <c r="K9922" s="1"/>
  <c r="K9923" s="1"/>
  <c r="K9924" s="1"/>
  <c r="K9925" s="1"/>
  <c r="K9926" s="1"/>
  <c r="K9927" s="1"/>
  <c r="K9928" s="1"/>
  <c r="K9929" s="1"/>
  <c r="K9930" s="1"/>
  <c r="K9931" s="1"/>
  <c r="K9932" s="1"/>
  <c r="K9933" s="1"/>
  <c r="K9934" s="1"/>
  <c r="K9935" s="1"/>
  <c r="K9936" s="1"/>
  <c r="K9937" s="1"/>
  <c r="K9938" s="1"/>
  <c r="K9939" s="1"/>
  <c r="K9940" s="1"/>
  <c r="K9941" s="1"/>
  <c r="K9942" s="1"/>
  <c r="K9943" s="1"/>
  <c r="K9944" s="1"/>
  <c r="K9945" s="1"/>
  <c r="K9946" s="1"/>
  <c r="K9947" s="1"/>
  <c r="K9948" s="1"/>
  <c r="K9949" s="1"/>
  <c r="K9950" s="1"/>
  <c r="K9951" s="1"/>
  <c r="K9952" s="1"/>
  <c r="K9953" s="1"/>
  <c r="K9954" s="1"/>
  <c r="K9955" s="1"/>
  <c r="K9956" s="1"/>
  <c r="K9957" s="1"/>
  <c r="K9958" s="1"/>
  <c r="K9959" s="1"/>
  <c r="K9960" s="1"/>
  <c r="K9961" s="1"/>
  <c r="K9962" s="1"/>
  <c r="K9963" s="1"/>
  <c r="K9964" s="1"/>
  <c r="K9965" s="1"/>
  <c r="K9966" s="1"/>
  <c r="K9967" s="1"/>
  <c r="K9968" s="1"/>
  <c r="K9969" s="1"/>
  <c r="K9970" s="1"/>
  <c r="K9971" s="1"/>
  <c r="K9972" s="1"/>
  <c r="K9973" s="1"/>
  <c r="K9974" s="1"/>
  <c r="K9975" s="1"/>
  <c r="K9976" s="1"/>
  <c r="K9977" s="1"/>
  <c r="K9978" s="1"/>
  <c r="K9979" s="1"/>
  <c r="K9980" s="1"/>
  <c r="K9981" s="1"/>
  <c r="K9982" s="1"/>
  <c r="K9983" s="1"/>
  <c r="K9984" s="1"/>
  <c r="K9985" s="1"/>
  <c r="K9986" s="1"/>
  <c r="K9987" s="1"/>
  <c r="K9988" s="1"/>
  <c r="K9989" s="1"/>
  <c r="K9990" s="1"/>
  <c r="K9991" s="1"/>
  <c r="K9992" s="1"/>
  <c r="K9993" s="1"/>
  <c r="K9994" s="1"/>
  <c r="K9995" s="1"/>
  <c r="K9996" s="1"/>
  <c r="K9997" s="1"/>
  <c r="K9998" s="1"/>
  <c r="K9999" s="1"/>
  <c r="K10000" s="1"/>
  <c r="K10001" s="1"/>
  <c r="K10002" s="1"/>
  <c r="K10003" s="1"/>
  <c r="K10004" s="1"/>
  <c r="K10005" s="1"/>
  <c r="K10006" s="1"/>
  <c r="K10007" s="1"/>
  <c r="K10008" s="1"/>
  <c r="J10008"/>
  <c r="I5010"/>
  <c r="I5011"/>
  <c r="I5012" s="1"/>
  <c r="I5013" s="1"/>
  <c r="I5014" s="1"/>
  <c r="I5015" s="1"/>
  <c r="I5016" s="1"/>
  <c r="I5017"/>
  <c r="I5018" s="1"/>
  <c r="I5019" s="1"/>
  <c r="I5020" s="1"/>
  <c r="I5021" s="1"/>
  <c r="I5022" s="1"/>
  <c r="I5023" s="1"/>
  <c r="I5024" s="1"/>
  <c r="I5025" s="1"/>
  <c r="I5026" s="1"/>
  <c r="I5027" s="1"/>
  <c r="I5028" s="1"/>
  <c r="I5029" s="1"/>
  <c r="I5030" s="1"/>
  <c r="I5031" s="1"/>
  <c r="I5032" s="1"/>
  <c r="I5033" s="1"/>
  <c r="I5034" s="1"/>
  <c r="I5035" s="1"/>
  <c r="I5036" s="1"/>
  <c r="I5037" s="1"/>
  <c r="I5038" s="1"/>
  <c r="I5039" s="1"/>
  <c r="I5040" s="1"/>
  <c r="I5041" s="1"/>
  <c r="I5042" s="1"/>
  <c r="I5043" s="1"/>
  <c r="I5044" s="1"/>
  <c r="I5045" s="1"/>
  <c r="I5046" s="1"/>
  <c r="I5047" s="1"/>
  <c r="I5048" s="1"/>
  <c r="I5049" s="1"/>
  <c r="I5050" s="1"/>
  <c r="I5051" s="1"/>
  <c r="I5052" s="1"/>
  <c r="I5053" s="1"/>
  <c r="I5054" s="1"/>
  <c r="I5055" s="1"/>
  <c r="I5056" s="1"/>
  <c r="I5057" s="1"/>
  <c r="I5058" s="1"/>
  <c r="I5059" s="1"/>
  <c r="I5060" s="1"/>
  <c r="I5061" s="1"/>
  <c r="I5062" s="1"/>
  <c r="I5063" s="1"/>
  <c r="I5064" s="1"/>
  <c r="I5065" s="1"/>
  <c r="I5066" s="1"/>
  <c r="I5067" s="1"/>
  <c r="I5068" s="1"/>
  <c r="I5069" s="1"/>
  <c r="I5070" s="1"/>
  <c r="I5071" s="1"/>
  <c r="I5072" s="1"/>
  <c r="I5073" s="1"/>
  <c r="I5074" s="1"/>
  <c r="I5075" s="1"/>
  <c r="I5076" s="1"/>
  <c r="I5077" s="1"/>
  <c r="I5078" s="1"/>
  <c r="I5079" s="1"/>
  <c r="I5080" s="1"/>
  <c r="I5081" s="1"/>
  <c r="I5082" s="1"/>
  <c r="I5083" s="1"/>
  <c r="I5084" s="1"/>
  <c r="I5085" s="1"/>
  <c r="I5086" s="1"/>
  <c r="I5087" s="1"/>
  <c r="I5088" s="1"/>
  <c r="I5089" s="1"/>
  <c r="I5090" s="1"/>
  <c r="I5091" s="1"/>
  <c r="I5092" s="1"/>
  <c r="I5093" s="1"/>
  <c r="I5094" s="1"/>
  <c r="I5095" s="1"/>
  <c r="I5096" s="1"/>
  <c r="I5097" s="1"/>
  <c r="I5098" s="1"/>
  <c r="I5099" s="1"/>
  <c r="I5100" s="1"/>
  <c r="I5101" s="1"/>
  <c r="I5102" s="1"/>
  <c r="I5103" s="1"/>
  <c r="I5104" s="1"/>
  <c r="I5105" s="1"/>
  <c r="I5106" s="1"/>
  <c r="I5107" s="1"/>
  <c r="I5108" s="1"/>
  <c r="I5109" s="1"/>
  <c r="I5110" s="1"/>
  <c r="I5111" s="1"/>
  <c r="I5112" s="1"/>
  <c r="I5113" s="1"/>
  <c r="I5114" s="1"/>
  <c r="I5115" s="1"/>
  <c r="I5116" s="1"/>
  <c r="I5117" s="1"/>
  <c r="I5118" s="1"/>
  <c r="I5119" s="1"/>
  <c r="I5120" s="1"/>
  <c r="I5121" s="1"/>
  <c r="I5122" s="1"/>
  <c r="I5123" s="1"/>
  <c r="I5124" s="1"/>
  <c r="I5125" s="1"/>
  <c r="I5126" s="1"/>
  <c r="I5127" s="1"/>
  <c r="I5128" s="1"/>
  <c r="I5129" s="1"/>
  <c r="I5130" s="1"/>
  <c r="I5131" s="1"/>
  <c r="I5132" s="1"/>
  <c r="I5133" s="1"/>
  <c r="I5134" s="1"/>
  <c r="I5135" s="1"/>
  <c r="I5136" s="1"/>
  <c r="I5137" s="1"/>
  <c r="I5138" s="1"/>
  <c r="I5139" s="1"/>
  <c r="I5140" s="1"/>
  <c r="I5141" s="1"/>
  <c r="I5142" s="1"/>
  <c r="I5143" s="1"/>
  <c r="I5144" s="1"/>
  <c r="I5145" s="1"/>
  <c r="I5146" s="1"/>
  <c r="I5147" s="1"/>
  <c r="I5148" s="1"/>
  <c r="I5149" s="1"/>
  <c r="I5150" s="1"/>
  <c r="I5151" s="1"/>
  <c r="I5152" s="1"/>
  <c r="I5153" s="1"/>
  <c r="I5154" s="1"/>
  <c r="I5155" s="1"/>
  <c r="I5156" s="1"/>
  <c r="I5157" s="1"/>
  <c r="I5158" s="1"/>
  <c r="I5159" s="1"/>
  <c r="I5160" s="1"/>
  <c r="I5161" s="1"/>
  <c r="I5162" s="1"/>
  <c r="I5163" s="1"/>
  <c r="I5164" s="1"/>
  <c r="I5165" s="1"/>
  <c r="I5166" s="1"/>
  <c r="I5167" s="1"/>
  <c r="I5168" s="1"/>
  <c r="I5169" s="1"/>
  <c r="I5170" s="1"/>
  <c r="I5171" s="1"/>
  <c r="I5172" s="1"/>
  <c r="I5173" s="1"/>
  <c r="I5174" s="1"/>
  <c r="I5175" s="1"/>
  <c r="I5176" s="1"/>
  <c r="I5177" s="1"/>
  <c r="I5178" s="1"/>
  <c r="I5179" s="1"/>
  <c r="I5180" s="1"/>
  <c r="I5181" s="1"/>
  <c r="I5182" s="1"/>
  <c r="I5183" s="1"/>
  <c r="I5184" s="1"/>
  <c r="I5185" s="1"/>
  <c r="I5186" s="1"/>
  <c r="I5187" s="1"/>
  <c r="I5188" s="1"/>
  <c r="I5189" s="1"/>
  <c r="I5190" s="1"/>
  <c r="I5191" s="1"/>
  <c r="I5192" s="1"/>
  <c r="I5193" s="1"/>
  <c r="I5194" s="1"/>
  <c r="I5195" s="1"/>
  <c r="I5196" s="1"/>
  <c r="I5197" s="1"/>
  <c r="I5198" s="1"/>
  <c r="I5199" s="1"/>
  <c r="I5200" s="1"/>
  <c r="I5201" s="1"/>
  <c r="I5202" s="1"/>
  <c r="I5203" s="1"/>
  <c r="I5204" s="1"/>
  <c r="I5205" s="1"/>
  <c r="I5206" s="1"/>
  <c r="I5207" s="1"/>
  <c r="I5208" s="1"/>
  <c r="I5209" s="1"/>
  <c r="I5210" s="1"/>
  <c r="I5211" s="1"/>
  <c r="I5212" s="1"/>
  <c r="I5213" s="1"/>
  <c r="I5214" s="1"/>
  <c r="I5215" s="1"/>
  <c r="I5216" s="1"/>
  <c r="I5217" s="1"/>
  <c r="I5218" s="1"/>
  <c r="I5219" s="1"/>
  <c r="I5220" s="1"/>
  <c r="I5221" s="1"/>
  <c r="I5222" s="1"/>
  <c r="I5223" s="1"/>
  <c r="I5224" s="1"/>
  <c r="I5225" s="1"/>
  <c r="I5226" s="1"/>
  <c r="I5227" s="1"/>
  <c r="I5228" s="1"/>
  <c r="I5229" s="1"/>
  <c r="I5230" s="1"/>
  <c r="I5231" s="1"/>
  <c r="I5232" s="1"/>
  <c r="I5233" s="1"/>
  <c r="I5234" s="1"/>
  <c r="I5235" s="1"/>
  <c r="I5236" s="1"/>
  <c r="I5237" s="1"/>
  <c r="I5238" s="1"/>
  <c r="I5239" s="1"/>
  <c r="I5240" s="1"/>
  <c r="I5241" s="1"/>
  <c r="I5242" s="1"/>
  <c r="I5243" s="1"/>
  <c r="I5244" s="1"/>
  <c r="I5245" s="1"/>
  <c r="I5246" s="1"/>
  <c r="I5247" s="1"/>
  <c r="I5248" s="1"/>
  <c r="I5249" s="1"/>
  <c r="I5250" s="1"/>
  <c r="I5251" s="1"/>
  <c r="I5252" s="1"/>
  <c r="I5253" s="1"/>
  <c r="I5254" s="1"/>
  <c r="I5255" s="1"/>
  <c r="I5256" s="1"/>
  <c r="I5257" s="1"/>
  <c r="I5258" s="1"/>
  <c r="I5259" s="1"/>
  <c r="I5260" s="1"/>
  <c r="I5261" s="1"/>
  <c r="I5262" s="1"/>
  <c r="I5263" s="1"/>
  <c r="I5264" s="1"/>
  <c r="I5265" s="1"/>
  <c r="I5266" s="1"/>
  <c r="I5267" s="1"/>
  <c r="I5268" s="1"/>
  <c r="I5269" s="1"/>
  <c r="I5270" s="1"/>
  <c r="I5271" s="1"/>
  <c r="I5272" s="1"/>
  <c r="I5273" s="1"/>
  <c r="I5274" s="1"/>
  <c r="I5275" s="1"/>
  <c r="I5276" s="1"/>
  <c r="I5277" s="1"/>
  <c r="I5278" s="1"/>
  <c r="I5279" s="1"/>
  <c r="I5280" s="1"/>
  <c r="I5281" s="1"/>
  <c r="I5282" s="1"/>
  <c r="I5283" s="1"/>
  <c r="I5284" s="1"/>
  <c r="I5285" s="1"/>
  <c r="I5286" s="1"/>
  <c r="I5287" s="1"/>
  <c r="I5288" s="1"/>
  <c r="I5289" s="1"/>
  <c r="I5290" s="1"/>
  <c r="I5291" s="1"/>
  <c r="I5292" s="1"/>
  <c r="I5293" s="1"/>
  <c r="I5294" s="1"/>
  <c r="I5295" s="1"/>
  <c r="I5296" s="1"/>
  <c r="I5297" s="1"/>
  <c r="I5298" s="1"/>
  <c r="I5299" s="1"/>
  <c r="I5300" s="1"/>
  <c r="I5301" s="1"/>
  <c r="I5302" s="1"/>
  <c r="I5303" s="1"/>
  <c r="I5304" s="1"/>
  <c r="I5305" s="1"/>
  <c r="I5306" s="1"/>
  <c r="I5307" s="1"/>
  <c r="I5308" s="1"/>
  <c r="I5309" s="1"/>
  <c r="I5310" s="1"/>
  <c r="I5311" s="1"/>
  <c r="I5312" s="1"/>
  <c r="I5313" s="1"/>
  <c r="I5314" s="1"/>
  <c r="I5315" s="1"/>
  <c r="I5316" s="1"/>
  <c r="I5317" s="1"/>
  <c r="I5318" s="1"/>
  <c r="I5319" s="1"/>
  <c r="I5320" s="1"/>
  <c r="I5321" s="1"/>
  <c r="I5322" s="1"/>
  <c r="I5323" s="1"/>
  <c r="I5324" s="1"/>
  <c r="I5325" s="1"/>
  <c r="I5326" s="1"/>
  <c r="I5327" s="1"/>
  <c r="I5328" s="1"/>
  <c r="I5329" s="1"/>
  <c r="I5330" s="1"/>
  <c r="I5331" s="1"/>
  <c r="I5332" s="1"/>
  <c r="I5333" s="1"/>
  <c r="I5334" s="1"/>
  <c r="I5335" s="1"/>
  <c r="I5336" s="1"/>
  <c r="I5337" s="1"/>
  <c r="I5338" s="1"/>
  <c r="I5339" s="1"/>
  <c r="I5340" s="1"/>
  <c r="I5341" s="1"/>
  <c r="I5342" s="1"/>
  <c r="I5343" s="1"/>
  <c r="I5344" s="1"/>
  <c r="I5345" s="1"/>
  <c r="I5346" s="1"/>
  <c r="I5347" s="1"/>
  <c r="I5348" s="1"/>
  <c r="I5349" s="1"/>
  <c r="I5350" s="1"/>
  <c r="I5351" s="1"/>
  <c r="I5352" s="1"/>
  <c r="I5353" s="1"/>
  <c r="I5354" s="1"/>
  <c r="I5355" s="1"/>
  <c r="I5356" s="1"/>
  <c r="I5357" s="1"/>
  <c r="I5358" s="1"/>
  <c r="I5359" s="1"/>
  <c r="I5360" s="1"/>
  <c r="I5361" s="1"/>
  <c r="I5362" s="1"/>
  <c r="I5363" s="1"/>
  <c r="I5364" s="1"/>
  <c r="I5365" s="1"/>
  <c r="I5366" s="1"/>
  <c r="I5367" s="1"/>
  <c r="I5368" s="1"/>
  <c r="I5369" s="1"/>
  <c r="I5370" s="1"/>
  <c r="I5371" s="1"/>
  <c r="I5372" s="1"/>
  <c r="I5373" s="1"/>
  <c r="I5374" s="1"/>
  <c r="I5375" s="1"/>
  <c r="I5376" s="1"/>
  <c r="I5377" s="1"/>
  <c r="I5378" s="1"/>
  <c r="I5379" s="1"/>
  <c r="I5380" s="1"/>
  <c r="I5381" s="1"/>
  <c r="I5382" s="1"/>
  <c r="I5383" s="1"/>
  <c r="I5384" s="1"/>
  <c r="I5385" s="1"/>
  <c r="I5386" s="1"/>
  <c r="I5387" s="1"/>
  <c r="I5388" s="1"/>
  <c r="I5389" s="1"/>
  <c r="I5390" s="1"/>
  <c r="I5391" s="1"/>
  <c r="I5392" s="1"/>
  <c r="I5393" s="1"/>
  <c r="I5394" s="1"/>
  <c r="I5395" s="1"/>
  <c r="I5396" s="1"/>
  <c r="I5397" s="1"/>
  <c r="I5398" s="1"/>
  <c r="I5399" s="1"/>
  <c r="I5400" s="1"/>
  <c r="I5401" s="1"/>
  <c r="I5402" s="1"/>
  <c r="I5403" s="1"/>
  <c r="I5404" s="1"/>
  <c r="I5405" s="1"/>
  <c r="I5406" s="1"/>
  <c r="I5407" s="1"/>
  <c r="I5408" s="1"/>
  <c r="I5409" s="1"/>
  <c r="I5410" s="1"/>
  <c r="I5411" s="1"/>
  <c r="I5412" s="1"/>
  <c r="I5413" s="1"/>
  <c r="I5414" s="1"/>
  <c r="I5415" s="1"/>
  <c r="I5416" s="1"/>
  <c r="I5417" s="1"/>
  <c r="I5418" s="1"/>
  <c r="I5419" s="1"/>
  <c r="I5420" s="1"/>
  <c r="I5421" s="1"/>
  <c r="I5422" s="1"/>
  <c r="I5423" s="1"/>
  <c r="I5424" s="1"/>
  <c r="I5425" s="1"/>
  <c r="I5426" s="1"/>
  <c r="I5427" s="1"/>
  <c r="I5428" s="1"/>
  <c r="I5429" s="1"/>
  <c r="I5430" s="1"/>
  <c r="I5431" s="1"/>
  <c r="I5432" s="1"/>
  <c r="I5433" s="1"/>
  <c r="I5434" s="1"/>
  <c r="I5435" s="1"/>
  <c r="I5436" s="1"/>
  <c r="I5437" s="1"/>
  <c r="I5438" s="1"/>
  <c r="I5439" s="1"/>
  <c r="I5440" s="1"/>
  <c r="I5441" s="1"/>
  <c r="I5442" s="1"/>
  <c r="I5443" s="1"/>
  <c r="I5444" s="1"/>
  <c r="I5445" s="1"/>
  <c r="I5446" s="1"/>
  <c r="I5447" s="1"/>
  <c r="I5448" s="1"/>
  <c r="I5449" s="1"/>
  <c r="I5450" s="1"/>
  <c r="I5451" s="1"/>
  <c r="I5452" s="1"/>
  <c r="I5453" s="1"/>
  <c r="I5454" s="1"/>
  <c r="I5455" s="1"/>
  <c r="I5456" s="1"/>
  <c r="I5457" s="1"/>
  <c r="I5458" s="1"/>
  <c r="I5459" s="1"/>
  <c r="I5460" s="1"/>
  <c r="I5461" s="1"/>
  <c r="I5462" s="1"/>
  <c r="I5463" s="1"/>
  <c r="I5464" s="1"/>
  <c r="I5465" s="1"/>
  <c r="I5466" s="1"/>
  <c r="I5467" s="1"/>
  <c r="I5468" s="1"/>
  <c r="I5469" s="1"/>
  <c r="I5470" s="1"/>
  <c r="I5471" s="1"/>
  <c r="I5472" s="1"/>
  <c r="I5473" s="1"/>
  <c r="I5474" s="1"/>
  <c r="I5475" s="1"/>
  <c r="I5476" s="1"/>
  <c r="I5477" s="1"/>
  <c r="I5478" s="1"/>
  <c r="I5479" s="1"/>
  <c r="I5480" s="1"/>
  <c r="I5481" s="1"/>
  <c r="I5482" s="1"/>
  <c r="I5483" s="1"/>
  <c r="I5484" s="1"/>
  <c r="I5485" s="1"/>
  <c r="I5486" s="1"/>
  <c r="I5487" s="1"/>
  <c r="I5488" s="1"/>
  <c r="I5489" s="1"/>
  <c r="I5490" s="1"/>
  <c r="I5491" s="1"/>
  <c r="I5492" s="1"/>
  <c r="I5493" s="1"/>
  <c r="I5494" s="1"/>
  <c r="I5495" s="1"/>
  <c r="I5496" s="1"/>
  <c r="I5497" s="1"/>
  <c r="I5498" s="1"/>
  <c r="I5499" s="1"/>
  <c r="I5500" s="1"/>
  <c r="I5501" s="1"/>
  <c r="I5502" s="1"/>
  <c r="I5503" s="1"/>
  <c r="I5504" s="1"/>
  <c r="I5505" s="1"/>
  <c r="I5506" s="1"/>
  <c r="I5507" s="1"/>
  <c r="I5508" s="1"/>
  <c r="I5509" s="1"/>
  <c r="I5510" s="1"/>
  <c r="I5511" s="1"/>
  <c r="I5512" s="1"/>
  <c r="I5513" s="1"/>
  <c r="I5514" s="1"/>
  <c r="I5515" s="1"/>
  <c r="I5516" s="1"/>
  <c r="I5517" s="1"/>
  <c r="I5518" s="1"/>
  <c r="I5519" s="1"/>
  <c r="I5520" s="1"/>
  <c r="I5521" s="1"/>
  <c r="I5522" s="1"/>
  <c r="I5523" s="1"/>
  <c r="I5524" s="1"/>
  <c r="I5525" s="1"/>
  <c r="I5526" s="1"/>
  <c r="I5527" s="1"/>
  <c r="I5528" s="1"/>
  <c r="I5529" s="1"/>
  <c r="I5530" s="1"/>
  <c r="I5531" s="1"/>
  <c r="I5532" s="1"/>
  <c r="I5533" s="1"/>
  <c r="I5534" s="1"/>
  <c r="I5535" s="1"/>
  <c r="I5536" s="1"/>
  <c r="I5537" s="1"/>
  <c r="I5538" s="1"/>
  <c r="I5539" s="1"/>
  <c r="I5540" s="1"/>
  <c r="I5541" s="1"/>
  <c r="I5542" s="1"/>
  <c r="I5543" s="1"/>
  <c r="I5544" s="1"/>
  <c r="I5545" s="1"/>
  <c r="I5546" s="1"/>
  <c r="I5547" s="1"/>
  <c r="I5548" s="1"/>
  <c r="I5549" s="1"/>
  <c r="I5550" s="1"/>
  <c r="I5551" s="1"/>
  <c r="I5552" s="1"/>
  <c r="I5553" s="1"/>
  <c r="I5554" s="1"/>
  <c r="I5555" s="1"/>
  <c r="I5556" s="1"/>
  <c r="I5557" s="1"/>
  <c r="I5558" s="1"/>
  <c r="I5559" s="1"/>
  <c r="I5560" s="1"/>
  <c r="I5561" s="1"/>
  <c r="I5562" s="1"/>
  <c r="I5563" s="1"/>
  <c r="I5564" s="1"/>
  <c r="I5565" s="1"/>
  <c r="I5566" s="1"/>
  <c r="I5567" s="1"/>
  <c r="I5568" s="1"/>
  <c r="I5569" s="1"/>
  <c r="I5570" s="1"/>
  <c r="I5571" s="1"/>
  <c r="I5572" s="1"/>
  <c r="I5573" s="1"/>
  <c r="I5574" s="1"/>
  <c r="I5575" s="1"/>
  <c r="I5576" s="1"/>
  <c r="I5577" s="1"/>
  <c r="I5578" s="1"/>
  <c r="I5579" s="1"/>
  <c r="I5580" s="1"/>
  <c r="I5581" s="1"/>
  <c r="I5582" s="1"/>
  <c r="I5583" s="1"/>
  <c r="I5584" s="1"/>
  <c r="I5585" s="1"/>
  <c r="I5586" s="1"/>
  <c r="I5587" s="1"/>
  <c r="I5588" s="1"/>
  <c r="I5589" s="1"/>
  <c r="I5590" s="1"/>
  <c r="I5591" s="1"/>
  <c r="I5592" s="1"/>
  <c r="I5593" s="1"/>
  <c r="I5594" s="1"/>
  <c r="I5595" s="1"/>
  <c r="I5596" s="1"/>
  <c r="I5597" s="1"/>
  <c r="I5598" s="1"/>
  <c r="I5599" s="1"/>
  <c r="I5600" s="1"/>
  <c r="I5601" s="1"/>
  <c r="I5602" s="1"/>
  <c r="I5603" s="1"/>
  <c r="I5604" s="1"/>
  <c r="I5605" s="1"/>
  <c r="I5606" s="1"/>
  <c r="I5607" s="1"/>
  <c r="I5608" s="1"/>
  <c r="I5609" s="1"/>
  <c r="I5610" s="1"/>
  <c r="I5611" s="1"/>
  <c r="I5612" s="1"/>
  <c r="I5613" s="1"/>
  <c r="I5614" s="1"/>
  <c r="I5615" s="1"/>
  <c r="I5616" s="1"/>
  <c r="I5617" s="1"/>
  <c r="I5618" s="1"/>
  <c r="I5619" s="1"/>
  <c r="I5620" s="1"/>
  <c r="I5621" s="1"/>
  <c r="I5622" s="1"/>
  <c r="I5623" s="1"/>
  <c r="I5624" s="1"/>
  <c r="I5625" s="1"/>
  <c r="I5626" s="1"/>
  <c r="I5627" s="1"/>
  <c r="I5628" s="1"/>
  <c r="I5629" s="1"/>
  <c r="I5630" s="1"/>
  <c r="I5631" s="1"/>
  <c r="I5632" s="1"/>
  <c r="I5633" s="1"/>
  <c r="I5634" s="1"/>
  <c r="I5635" s="1"/>
  <c r="I5636" s="1"/>
  <c r="I5637" s="1"/>
  <c r="I5638" s="1"/>
  <c r="I5639" s="1"/>
  <c r="I5640" s="1"/>
  <c r="I5641" s="1"/>
  <c r="I5642" s="1"/>
  <c r="I5643" s="1"/>
  <c r="I5644" s="1"/>
  <c r="I5645" s="1"/>
  <c r="I5646" s="1"/>
  <c r="I5647" s="1"/>
  <c r="I5648" s="1"/>
  <c r="I5649" s="1"/>
  <c r="I5650" s="1"/>
  <c r="I5651" s="1"/>
  <c r="I5652" s="1"/>
  <c r="I5653" s="1"/>
  <c r="I5654" s="1"/>
  <c r="I5655" s="1"/>
  <c r="I5656" s="1"/>
  <c r="I5657" s="1"/>
  <c r="I5658" s="1"/>
  <c r="I5659" s="1"/>
  <c r="I5660" s="1"/>
  <c r="I5661" s="1"/>
  <c r="I5662" s="1"/>
  <c r="I5663" s="1"/>
  <c r="I5664" s="1"/>
  <c r="I5665" s="1"/>
  <c r="I5666" s="1"/>
  <c r="I5667" s="1"/>
  <c r="I5668" s="1"/>
  <c r="I5669" s="1"/>
  <c r="I5670" s="1"/>
  <c r="I5671" s="1"/>
  <c r="I5672" s="1"/>
  <c r="I5673" s="1"/>
  <c r="I5674" s="1"/>
  <c r="I5675" s="1"/>
  <c r="I5676" s="1"/>
  <c r="I5677" s="1"/>
  <c r="I5678" s="1"/>
  <c r="I5679" s="1"/>
  <c r="I5680" s="1"/>
  <c r="I5681" s="1"/>
  <c r="I5682" s="1"/>
  <c r="I5683" s="1"/>
  <c r="I5684" s="1"/>
  <c r="I5685" s="1"/>
  <c r="I5686" s="1"/>
  <c r="I5687" s="1"/>
  <c r="I5688" s="1"/>
  <c r="I5689" s="1"/>
  <c r="I5690" s="1"/>
  <c r="I5691" s="1"/>
  <c r="I5692" s="1"/>
  <c r="I5693" s="1"/>
  <c r="I5694" s="1"/>
  <c r="I5695" s="1"/>
  <c r="I5696" s="1"/>
  <c r="I5697" s="1"/>
  <c r="I5698" s="1"/>
  <c r="I5699" s="1"/>
  <c r="I5700" s="1"/>
  <c r="I5701" s="1"/>
  <c r="I5702" s="1"/>
  <c r="I5703" s="1"/>
  <c r="I5704" s="1"/>
  <c r="I5705" s="1"/>
  <c r="I5706" s="1"/>
  <c r="I5707" s="1"/>
  <c r="I5708" s="1"/>
  <c r="I5709" s="1"/>
  <c r="I5710" s="1"/>
  <c r="I5711" s="1"/>
  <c r="I5712" s="1"/>
  <c r="I5713" s="1"/>
  <c r="I5714" s="1"/>
  <c r="I5715" s="1"/>
  <c r="I5716" s="1"/>
  <c r="I5717" s="1"/>
  <c r="I5718" s="1"/>
  <c r="I5719" s="1"/>
  <c r="I5720" s="1"/>
  <c r="I5721" s="1"/>
  <c r="I5722" s="1"/>
  <c r="I5723" s="1"/>
  <c r="I5724" s="1"/>
  <c r="I5725" s="1"/>
  <c r="I5726" s="1"/>
  <c r="I5727" s="1"/>
  <c r="I5728" s="1"/>
  <c r="I5729" s="1"/>
  <c r="I5730" s="1"/>
  <c r="I5731" s="1"/>
  <c r="I5732" s="1"/>
  <c r="I5733" s="1"/>
  <c r="I5734" s="1"/>
  <c r="I5735" s="1"/>
  <c r="I5736" s="1"/>
  <c r="I5737" s="1"/>
  <c r="I5738" s="1"/>
  <c r="I5739" s="1"/>
  <c r="I5740" s="1"/>
  <c r="I5741" s="1"/>
  <c r="I5742" s="1"/>
  <c r="I5743" s="1"/>
  <c r="I5744" s="1"/>
  <c r="I5745" s="1"/>
  <c r="I5746" s="1"/>
  <c r="I5747" s="1"/>
  <c r="I5748" s="1"/>
  <c r="I5749" s="1"/>
  <c r="I5750" s="1"/>
  <c r="I5751" s="1"/>
  <c r="I5752" s="1"/>
  <c r="I5753" s="1"/>
  <c r="I5754" s="1"/>
  <c r="I5755" s="1"/>
  <c r="I5756" s="1"/>
  <c r="I5757" s="1"/>
  <c r="I5758" s="1"/>
  <c r="I5759" s="1"/>
  <c r="I5760" s="1"/>
  <c r="I5761" s="1"/>
  <c r="I5762" s="1"/>
  <c r="I5763" s="1"/>
  <c r="I5764" s="1"/>
  <c r="I5765" s="1"/>
  <c r="I5766" s="1"/>
  <c r="I5767" s="1"/>
  <c r="I5768" s="1"/>
  <c r="I5769" s="1"/>
  <c r="I5770" s="1"/>
  <c r="I5771" s="1"/>
  <c r="I5772" s="1"/>
  <c r="I5773" s="1"/>
  <c r="I5774" s="1"/>
  <c r="I5775" s="1"/>
  <c r="I5776" s="1"/>
  <c r="I5777" s="1"/>
  <c r="I5778" s="1"/>
  <c r="I5779" s="1"/>
  <c r="I5780" s="1"/>
  <c r="I5781" s="1"/>
  <c r="I5782" s="1"/>
  <c r="I5783" s="1"/>
  <c r="I5784" s="1"/>
  <c r="I5785" s="1"/>
  <c r="I5786" s="1"/>
  <c r="I5787" s="1"/>
  <c r="I5788" s="1"/>
  <c r="I5789" s="1"/>
  <c r="I5790" s="1"/>
  <c r="I5791" s="1"/>
  <c r="I5792" s="1"/>
  <c r="I5793" s="1"/>
  <c r="I5794" s="1"/>
  <c r="I5795" s="1"/>
  <c r="I5796" s="1"/>
  <c r="I5797" s="1"/>
  <c r="I5798" s="1"/>
  <c r="I5799" s="1"/>
  <c r="I5800" s="1"/>
  <c r="I5801" s="1"/>
  <c r="I5802" s="1"/>
  <c r="I5803" s="1"/>
  <c r="I5804" s="1"/>
  <c r="I5805" s="1"/>
  <c r="I5806" s="1"/>
  <c r="I5807" s="1"/>
  <c r="I5808" s="1"/>
  <c r="I5809" s="1"/>
  <c r="I5810" s="1"/>
  <c r="I5811" s="1"/>
  <c r="I5812" s="1"/>
  <c r="I5813" s="1"/>
  <c r="I5814" s="1"/>
  <c r="I5815" s="1"/>
  <c r="I5816" s="1"/>
  <c r="I5817" s="1"/>
  <c r="I5818" s="1"/>
  <c r="I5819" s="1"/>
  <c r="I5820" s="1"/>
  <c r="I5821" s="1"/>
  <c r="I5822" s="1"/>
  <c r="I5823" s="1"/>
  <c r="I5824" s="1"/>
  <c r="I5825" s="1"/>
  <c r="I5826" s="1"/>
  <c r="I5827" s="1"/>
  <c r="I5828" s="1"/>
  <c r="I5829" s="1"/>
  <c r="I5830" s="1"/>
  <c r="I5831" s="1"/>
  <c r="I5832" s="1"/>
  <c r="I5833" s="1"/>
  <c r="I5834" s="1"/>
  <c r="I5835" s="1"/>
  <c r="I5836" s="1"/>
  <c r="I5837" s="1"/>
  <c r="I5838" s="1"/>
  <c r="I5839" s="1"/>
  <c r="I5840" s="1"/>
  <c r="I5841" s="1"/>
  <c r="I5842" s="1"/>
  <c r="I5843" s="1"/>
  <c r="I5844" s="1"/>
  <c r="I5845" s="1"/>
  <c r="I5846" s="1"/>
  <c r="I5847" s="1"/>
  <c r="I5848" s="1"/>
  <c r="I5849" s="1"/>
  <c r="I5850" s="1"/>
  <c r="I5851" s="1"/>
  <c r="I5852" s="1"/>
  <c r="I5853" s="1"/>
  <c r="I5854" s="1"/>
  <c r="I5855" s="1"/>
  <c r="I5856" s="1"/>
  <c r="I5857" s="1"/>
  <c r="I5858" s="1"/>
  <c r="I5859" s="1"/>
  <c r="I5860" s="1"/>
  <c r="I5861" s="1"/>
  <c r="I5862" s="1"/>
  <c r="I5863" s="1"/>
  <c r="I5864" s="1"/>
  <c r="I5865" s="1"/>
  <c r="I5866" s="1"/>
  <c r="I5867" s="1"/>
  <c r="I5868" s="1"/>
  <c r="I5869" s="1"/>
  <c r="I5870" s="1"/>
  <c r="I5871" s="1"/>
  <c r="I5872" s="1"/>
  <c r="I5873" s="1"/>
  <c r="I5874" s="1"/>
  <c r="I5875" s="1"/>
  <c r="I5876" s="1"/>
  <c r="I5877" s="1"/>
  <c r="I5878" s="1"/>
  <c r="I5879" s="1"/>
  <c r="I5880" s="1"/>
  <c r="I5881" s="1"/>
  <c r="I5882" s="1"/>
  <c r="I5883" s="1"/>
  <c r="I5884" s="1"/>
  <c r="I5885" s="1"/>
  <c r="I5886" s="1"/>
  <c r="I5887" s="1"/>
  <c r="I5888" s="1"/>
  <c r="I5889" s="1"/>
  <c r="I5890" s="1"/>
  <c r="I5891" s="1"/>
  <c r="I5892" s="1"/>
  <c r="I5893" s="1"/>
  <c r="I5894" s="1"/>
  <c r="I5895" s="1"/>
  <c r="I5896" s="1"/>
  <c r="I5897" s="1"/>
  <c r="I5898" s="1"/>
  <c r="I5899" s="1"/>
  <c r="I5900" s="1"/>
  <c r="I5901" s="1"/>
  <c r="I5902" s="1"/>
  <c r="I5903" s="1"/>
  <c r="I5904" s="1"/>
  <c r="I5905" s="1"/>
  <c r="I5906" s="1"/>
  <c r="I5907" s="1"/>
  <c r="I5908" s="1"/>
  <c r="I5909" s="1"/>
  <c r="I5910" s="1"/>
  <c r="I5911" s="1"/>
  <c r="I5912" s="1"/>
  <c r="I5913" s="1"/>
  <c r="I5914" s="1"/>
  <c r="I5915" s="1"/>
  <c r="I5916" s="1"/>
  <c r="I5917" s="1"/>
  <c r="I5918" s="1"/>
  <c r="I5919" s="1"/>
  <c r="I5920" s="1"/>
  <c r="I5921" s="1"/>
  <c r="I5922" s="1"/>
  <c r="I5923" s="1"/>
  <c r="I5924" s="1"/>
  <c r="I5925" s="1"/>
  <c r="I5926" s="1"/>
  <c r="I5927" s="1"/>
  <c r="I5928" s="1"/>
  <c r="I5929" s="1"/>
  <c r="I5930" s="1"/>
  <c r="I5931" s="1"/>
  <c r="I5932" s="1"/>
  <c r="I5933" s="1"/>
  <c r="I5934" s="1"/>
  <c r="I5935" s="1"/>
  <c r="I5936" s="1"/>
  <c r="I5937" s="1"/>
  <c r="I5938" s="1"/>
  <c r="I5939" s="1"/>
  <c r="I5940" s="1"/>
  <c r="I5941" s="1"/>
  <c r="I5942" s="1"/>
  <c r="I5943" s="1"/>
  <c r="I5944" s="1"/>
  <c r="I5945" s="1"/>
  <c r="I5946" s="1"/>
  <c r="I5947" s="1"/>
  <c r="I5948" s="1"/>
  <c r="I5949" s="1"/>
  <c r="I5950" s="1"/>
  <c r="I5951" s="1"/>
  <c r="I5952" s="1"/>
  <c r="I5953" s="1"/>
  <c r="I5954" s="1"/>
  <c r="I5955" s="1"/>
  <c r="I5956" s="1"/>
  <c r="I5957" s="1"/>
  <c r="I5958" s="1"/>
  <c r="I5959" s="1"/>
  <c r="I5960" s="1"/>
  <c r="I5961" s="1"/>
  <c r="I5962" s="1"/>
  <c r="I5963" s="1"/>
  <c r="I5964" s="1"/>
  <c r="I5965" s="1"/>
  <c r="I5966" s="1"/>
  <c r="I5967" s="1"/>
  <c r="I5968" s="1"/>
  <c r="I5969" s="1"/>
  <c r="I5970" s="1"/>
  <c r="I5971" s="1"/>
  <c r="I5972" s="1"/>
  <c r="I5973" s="1"/>
  <c r="I5974" s="1"/>
  <c r="I5975" s="1"/>
  <c r="I5976" s="1"/>
  <c r="I5977" s="1"/>
  <c r="I5978" s="1"/>
  <c r="I5979" s="1"/>
  <c r="I5980" s="1"/>
  <c r="I5981" s="1"/>
  <c r="I5982" s="1"/>
  <c r="I5983" s="1"/>
  <c r="I5984" s="1"/>
  <c r="I5985" s="1"/>
  <c r="I5986" s="1"/>
  <c r="I5987" s="1"/>
  <c r="I5988" s="1"/>
  <c r="I5989" s="1"/>
  <c r="I5990" s="1"/>
  <c r="I5991" s="1"/>
  <c r="I5992" s="1"/>
  <c r="I5993" s="1"/>
  <c r="I5994" s="1"/>
  <c r="I5995" s="1"/>
  <c r="I5996" s="1"/>
  <c r="I5997" s="1"/>
  <c r="I5998" s="1"/>
  <c r="I5999" s="1"/>
  <c r="I6000" s="1"/>
  <c r="I6001" s="1"/>
  <c r="I6002" s="1"/>
  <c r="I6003" s="1"/>
  <c r="I6004" s="1"/>
  <c r="I6005" s="1"/>
  <c r="I6006" s="1"/>
  <c r="I6007" s="1"/>
  <c r="I6008" s="1"/>
  <c r="I6009" s="1"/>
  <c r="I6010" s="1"/>
  <c r="I6011" s="1"/>
  <c r="I6012" s="1"/>
  <c r="I6013" s="1"/>
  <c r="I6014" s="1"/>
  <c r="I6015" s="1"/>
  <c r="I6016" s="1"/>
  <c r="I6017" s="1"/>
  <c r="I6018" s="1"/>
  <c r="I6019" s="1"/>
  <c r="I6020" s="1"/>
  <c r="I6021" s="1"/>
  <c r="I6022" s="1"/>
  <c r="I6023" s="1"/>
  <c r="I6024" s="1"/>
  <c r="I6025" s="1"/>
  <c r="I6026" s="1"/>
  <c r="I6027" s="1"/>
  <c r="I6028" s="1"/>
  <c r="I6029" s="1"/>
  <c r="I6030" s="1"/>
  <c r="I6031" s="1"/>
  <c r="I6032" s="1"/>
  <c r="I6033" s="1"/>
  <c r="I6034" s="1"/>
  <c r="I6035" s="1"/>
  <c r="I6036" s="1"/>
  <c r="I6037" s="1"/>
  <c r="I6038" s="1"/>
  <c r="I6039" s="1"/>
  <c r="I6040" s="1"/>
  <c r="I6041" s="1"/>
  <c r="I6042" s="1"/>
  <c r="I6043" s="1"/>
  <c r="I6044" s="1"/>
  <c r="I6045" s="1"/>
  <c r="I6046" s="1"/>
  <c r="I6047" s="1"/>
  <c r="I6048" s="1"/>
  <c r="I6049" s="1"/>
  <c r="I6050" s="1"/>
  <c r="I6051" s="1"/>
  <c r="I6052" s="1"/>
  <c r="I6053" s="1"/>
  <c r="I6054" s="1"/>
  <c r="I6055" s="1"/>
  <c r="I6056" s="1"/>
  <c r="I6057" s="1"/>
  <c r="I6058" s="1"/>
  <c r="I6059" s="1"/>
  <c r="I6060" s="1"/>
  <c r="I6061" s="1"/>
  <c r="I6062" s="1"/>
  <c r="I6063" s="1"/>
  <c r="I6064" s="1"/>
  <c r="I6065" s="1"/>
  <c r="I6066" s="1"/>
  <c r="I6067" s="1"/>
  <c r="I6068" s="1"/>
  <c r="I6069" s="1"/>
  <c r="I6070" s="1"/>
  <c r="I6071" s="1"/>
  <c r="I6072" s="1"/>
  <c r="I6073" s="1"/>
  <c r="I6074" s="1"/>
  <c r="I6075" s="1"/>
  <c r="I6076" s="1"/>
  <c r="I6077" s="1"/>
  <c r="I6078" s="1"/>
  <c r="I6079" s="1"/>
  <c r="I6080" s="1"/>
  <c r="I6081" s="1"/>
  <c r="I6082" s="1"/>
  <c r="I6083" s="1"/>
  <c r="I6084" s="1"/>
  <c r="I6085" s="1"/>
  <c r="I6086" s="1"/>
  <c r="I6087" s="1"/>
  <c r="I6088" s="1"/>
  <c r="I6089" s="1"/>
  <c r="I6090" s="1"/>
  <c r="I6091" s="1"/>
  <c r="I6092" s="1"/>
  <c r="I6093" s="1"/>
  <c r="I6094" s="1"/>
  <c r="I6095" s="1"/>
  <c r="I6096" s="1"/>
  <c r="I6097" s="1"/>
  <c r="I6098" s="1"/>
  <c r="I6099" s="1"/>
  <c r="I6100" s="1"/>
  <c r="I6101" s="1"/>
  <c r="I6102" s="1"/>
  <c r="I6103" s="1"/>
  <c r="I6104" s="1"/>
  <c r="I6105" s="1"/>
  <c r="I6106" s="1"/>
  <c r="I6107" s="1"/>
  <c r="I6108" s="1"/>
  <c r="I6109" s="1"/>
  <c r="I6110" s="1"/>
  <c r="I6111" s="1"/>
  <c r="I6112" s="1"/>
  <c r="I6113" s="1"/>
  <c r="I6114" s="1"/>
  <c r="I6115" s="1"/>
  <c r="I6116" s="1"/>
  <c r="I6117" s="1"/>
  <c r="I6118" s="1"/>
  <c r="I6119" s="1"/>
  <c r="I6120" s="1"/>
  <c r="I6121" s="1"/>
  <c r="I6122" s="1"/>
  <c r="I6123" s="1"/>
  <c r="I6124" s="1"/>
  <c r="I6125" s="1"/>
  <c r="I6126" s="1"/>
  <c r="I6127" s="1"/>
  <c r="I6128" s="1"/>
  <c r="I6129" s="1"/>
  <c r="I6130" s="1"/>
  <c r="I6131" s="1"/>
  <c r="I6132" s="1"/>
  <c r="I6133" s="1"/>
  <c r="I6134" s="1"/>
  <c r="I6135" s="1"/>
  <c r="I6136" s="1"/>
  <c r="I6137" s="1"/>
  <c r="I6138" s="1"/>
  <c r="I6139" s="1"/>
  <c r="I6140" s="1"/>
  <c r="I6141" s="1"/>
  <c r="I6142" s="1"/>
  <c r="I6143" s="1"/>
  <c r="I6144" s="1"/>
  <c r="I6145" s="1"/>
  <c r="I6146" s="1"/>
  <c r="I6147" s="1"/>
  <c r="I6148" s="1"/>
  <c r="I6149" s="1"/>
  <c r="I6150" s="1"/>
  <c r="I6151" s="1"/>
  <c r="I6152" s="1"/>
  <c r="I6153" s="1"/>
  <c r="I6154" s="1"/>
  <c r="I6155" s="1"/>
  <c r="I6156" s="1"/>
  <c r="I6157" s="1"/>
  <c r="I6158" s="1"/>
  <c r="I6159" s="1"/>
  <c r="I6160" s="1"/>
  <c r="I6161" s="1"/>
  <c r="I6162" s="1"/>
  <c r="I6163" s="1"/>
  <c r="I6164" s="1"/>
  <c r="I6165" s="1"/>
  <c r="I6166" s="1"/>
  <c r="I6167" s="1"/>
  <c r="I6168" s="1"/>
  <c r="I6169" s="1"/>
  <c r="I6170" s="1"/>
  <c r="I6171" s="1"/>
  <c r="I6172" s="1"/>
  <c r="I6173" s="1"/>
  <c r="I6174" s="1"/>
  <c r="I6175" s="1"/>
  <c r="I6176" s="1"/>
  <c r="I6177" s="1"/>
  <c r="I6178" s="1"/>
  <c r="I6179" s="1"/>
  <c r="I6180" s="1"/>
  <c r="I6181" s="1"/>
  <c r="I6182" s="1"/>
  <c r="I6183" s="1"/>
  <c r="I6184" s="1"/>
  <c r="I6185" s="1"/>
  <c r="I6186" s="1"/>
  <c r="I6187" s="1"/>
  <c r="I6188" s="1"/>
  <c r="I6189" s="1"/>
  <c r="I6190" s="1"/>
  <c r="I6191" s="1"/>
  <c r="I6192" s="1"/>
  <c r="I6193" s="1"/>
  <c r="I6194" s="1"/>
  <c r="I6195" s="1"/>
  <c r="I6196" s="1"/>
  <c r="I6197" s="1"/>
  <c r="I6198" s="1"/>
  <c r="I6199" s="1"/>
  <c r="I6200" s="1"/>
  <c r="I6201" s="1"/>
  <c r="I6202" s="1"/>
  <c r="I6203" s="1"/>
  <c r="I6204" s="1"/>
  <c r="I6205" s="1"/>
  <c r="I6206" s="1"/>
  <c r="I6207" s="1"/>
  <c r="I6208" s="1"/>
  <c r="I6209" s="1"/>
  <c r="I6210" s="1"/>
  <c r="I6211" s="1"/>
  <c r="I6212" s="1"/>
  <c r="I6213" s="1"/>
  <c r="I6214" s="1"/>
  <c r="I6215" s="1"/>
  <c r="I6216" s="1"/>
  <c r="I6217" s="1"/>
  <c r="I6218" s="1"/>
  <c r="I6219" s="1"/>
  <c r="I6220" s="1"/>
  <c r="I6221" s="1"/>
  <c r="I6222" s="1"/>
  <c r="I6223" s="1"/>
  <c r="I6224" s="1"/>
  <c r="I6225" s="1"/>
  <c r="I6226" s="1"/>
  <c r="I6227" s="1"/>
  <c r="I6228" s="1"/>
  <c r="I6229" s="1"/>
  <c r="I6230" s="1"/>
  <c r="I6231" s="1"/>
  <c r="I6232" s="1"/>
  <c r="I6233" s="1"/>
  <c r="I6234" s="1"/>
  <c r="I6235" s="1"/>
  <c r="I6236" s="1"/>
  <c r="I6237" s="1"/>
  <c r="I6238" s="1"/>
  <c r="I6239" s="1"/>
  <c r="I6240" s="1"/>
  <c r="I6241" s="1"/>
  <c r="I6242" s="1"/>
  <c r="I6243" s="1"/>
  <c r="I6244" s="1"/>
  <c r="I6245" s="1"/>
  <c r="I6246" s="1"/>
  <c r="I6247" s="1"/>
  <c r="I6248" s="1"/>
  <c r="I6249" s="1"/>
  <c r="I6250" s="1"/>
  <c r="I6251" s="1"/>
  <c r="I6252" s="1"/>
  <c r="I6253" s="1"/>
  <c r="I6254" s="1"/>
  <c r="I6255" s="1"/>
  <c r="I6256" s="1"/>
  <c r="I6257" s="1"/>
  <c r="I6258" s="1"/>
  <c r="I6259" s="1"/>
  <c r="I6260" s="1"/>
  <c r="I6261" s="1"/>
  <c r="I6262" s="1"/>
  <c r="I6263" s="1"/>
  <c r="I6264" s="1"/>
  <c r="I6265" s="1"/>
  <c r="I6266" s="1"/>
  <c r="I6267" s="1"/>
  <c r="I6268" s="1"/>
  <c r="I6269" s="1"/>
  <c r="I6270" s="1"/>
  <c r="I6271" s="1"/>
  <c r="I6272" s="1"/>
  <c r="I6273" s="1"/>
  <c r="I6274" s="1"/>
  <c r="I6275" s="1"/>
  <c r="I6276" s="1"/>
  <c r="I6277" s="1"/>
  <c r="I6278" s="1"/>
  <c r="I6279" s="1"/>
  <c r="I6280" s="1"/>
  <c r="I6281" s="1"/>
  <c r="I6282" s="1"/>
  <c r="I6283" s="1"/>
  <c r="I6284" s="1"/>
  <c r="I6285" s="1"/>
  <c r="I6286" s="1"/>
  <c r="I6287" s="1"/>
  <c r="I6288" s="1"/>
  <c r="I6289" s="1"/>
  <c r="I6290" s="1"/>
  <c r="I6291" s="1"/>
  <c r="I6292" s="1"/>
  <c r="I6293" s="1"/>
  <c r="I6294" s="1"/>
  <c r="I6295" s="1"/>
  <c r="I6296" s="1"/>
  <c r="I6297" s="1"/>
  <c r="I6298" s="1"/>
  <c r="I6299" s="1"/>
  <c r="I6300" s="1"/>
  <c r="I6301" s="1"/>
  <c r="I6302" s="1"/>
  <c r="I6303" s="1"/>
  <c r="I6304" s="1"/>
  <c r="I6305" s="1"/>
  <c r="I6306" s="1"/>
  <c r="I6307" s="1"/>
  <c r="I6308" s="1"/>
  <c r="I6309" s="1"/>
  <c r="I6310" s="1"/>
  <c r="I6311" s="1"/>
  <c r="I6312" s="1"/>
  <c r="I6313" s="1"/>
  <c r="I6314" s="1"/>
  <c r="I6315" s="1"/>
  <c r="I6316" s="1"/>
  <c r="I6317" s="1"/>
  <c r="I6318" s="1"/>
  <c r="I6319" s="1"/>
  <c r="I6320" s="1"/>
  <c r="I6321" s="1"/>
  <c r="I6322" s="1"/>
  <c r="I6323" s="1"/>
  <c r="I6324" s="1"/>
  <c r="I6325" s="1"/>
  <c r="I6326" s="1"/>
  <c r="I6327" s="1"/>
  <c r="I6328" s="1"/>
  <c r="I6329" s="1"/>
  <c r="I6330" s="1"/>
  <c r="I6331" s="1"/>
  <c r="I6332" s="1"/>
  <c r="I6333" s="1"/>
  <c r="I6334" s="1"/>
  <c r="I6335" s="1"/>
  <c r="I6336" s="1"/>
  <c r="I6337" s="1"/>
  <c r="I6338" s="1"/>
  <c r="I6339" s="1"/>
  <c r="I6340" s="1"/>
  <c r="I6341" s="1"/>
  <c r="I6342" s="1"/>
  <c r="I6343" s="1"/>
  <c r="I6344" s="1"/>
  <c r="I6345" s="1"/>
  <c r="I6346" s="1"/>
  <c r="I6347" s="1"/>
  <c r="I6348" s="1"/>
  <c r="I6349" s="1"/>
  <c r="I6350" s="1"/>
  <c r="I6351" s="1"/>
  <c r="I6352" s="1"/>
  <c r="I6353" s="1"/>
  <c r="I6354" s="1"/>
  <c r="I6355" s="1"/>
  <c r="I6356" s="1"/>
  <c r="I6357" s="1"/>
  <c r="I6358" s="1"/>
  <c r="I6359" s="1"/>
  <c r="I6360" s="1"/>
  <c r="I6361" s="1"/>
  <c r="I6362" s="1"/>
  <c r="I6363" s="1"/>
  <c r="I6364" s="1"/>
  <c r="I6365" s="1"/>
  <c r="I6366" s="1"/>
  <c r="I6367" s="1"/>
  <c r="I6368" s="1"/>
  <c r="I6369" s="1"/>
  <c r="I6370" s="1"/>
  <c r="I6371" s="1"/>
  <c r="I6372" s="1"/>
  <c r="I6373" s="1"/>
  <c r="I6374" s="1"/>
  <c r="I6375" s="1"/>
  <c r="I6376" s="1"/>
  <c r="I6377" s="1"/>
  <c r="I6378" s="1"/>
  <c r="I6379" s="1"/>
  <c r="I6380" s="1"/>
  <c r="I6381" s="1"/>
  <c r="I6382" s="1"/>
  <c r="I6383" s="1"/>
  <c r="I6384" s="1"/>
  <c r="I6385" s="1"/>
  <c r="I6386" s="1"/>
  <c r="I6387" s="1"/>
  <c r="I6388" s="1"/>
  <c r="I6389" s="1"/>
  <c r="I6390" s="1"/>
  <c r="I6391" s="1"/>
  <c r="I6392" s="1"/>
  <c r="I6393" s="1"/>
  <c r="I6394" s="1"/>
  <c r="I6395" s="1"/>
  <c r="I6396" s="1"/>
  <c r="I6397" s="1"/>
  <c r="I6398" s="1"/>
  <c r="I6399" s="1"/>
  <c r="I6400" s="1"/>
  <c r="I6401" s="1"/>
  <c r="I6402" s="1"/>
  <c r="I6403" s="1"/>
  <c r="I6404" s="1"/>
  <c r="I6405" s="1"/>
  <c r="I6406" s="1"/>
  <c r="I6407" s="1"/>
  <c r="I6408" s="1"/>
  <c r="I6409" s="1"/>
  <c r="I6410" s="1"/>
  <c r="I6411" s="1"/>
  <c r="I6412" s="1"/>
  <c r="I6413" s="1"/>
  <c r="I6414" s="1"/>
  <c r="I6415" s="1"/>
  <c r="I6416" s="1"/>
  <c r="I6417" s="1"/>
  <c r="I6418" s="1"/>
  <c r="I6419" s="1"/>
  <c r="I6420" s="1"/>
  <c r="I6421" s="1"/>
  <c r="I6422" s="1"/>
  <c r="I6423" s="1"/>
  <c r="I6424" s="1"/>
  <c r="I6425" s="1"/>
  <c r="I6426" s="1"/>
  <c r="I6427" s="1"/>
  <c r="I6428" s="1"/>
  <c r="I6429" s="1"/>
  <c r="I6430" s="1"/>
  <c r="I6431" s="1"/>
  <c r="I6432" s="1"/>
  <c r="I6433" s="1"/>
  <c r="I6434" s="1"/>
  <c r="I6435" s="1"/>
  <c r="I6436" s="1"/>
  <c r="I6437" s="1"/>
  <c r="I6438" s="1"/>
  <c r="I6439" s="1"/>
  <c r="I6440" s="1"/>
  <c r="I6441" s="1"/>
  <c r="I6442" s="1"/>
  <c r="I6443" s="1"/>
  <c r="I6444" s="1"/>
  <c r="I6445" s="1"/>
  <c r="I6446" s="1"/>
  <c r="I6447" s="1"/>
  <c r="I6448" s="1"/>
  <c r="I6449" s="1"/>
  <c r="I6450" s="1"/>
  <c r="I6451" s="1"/>
  <c r="I6452" s="1"/>
  <c r="I6453" s="1"/>
  <c r="I6454" s="1"/>
  <c r="I6455" s="1"/>
  <c r="I6456" s="1"/>
  <c r="I6457" s="1"/>
  <c r="I6458" s="1"/>
  <c r="I6459" s="1"/>
  <c r="I6460" s="1"/>
  <c r="I6461" s="1"/>
  <c r="I6462" s="1"/>
  <c r="I6463" s="1"/>
  <c r="I6464" s="1"/>
  <c r="I6465" s="1"/>
  <c r="I6466" s="1"/>
  <c r="I6467" s="1"/>
  <c r="I6468" s="1"/>
  <c r="I6469" s="1"/>
  <c r="I6470" s="1"/>
  <c r="I6471" s="1"/>
  <c r="I6472" s="1"/>
  <c r="I6473" s="1"/>
  <c r="I6474" s="1"/>
  <c r="I6475" s="1"/>
  <c r="I6476" s="1"/>
  <c r="I6477" s="1"/>
  <c r="I6478" s="1"/>
  <c r="I6479" s="1"/>
  <c r="I6480" s="1"/>
  <c r="I6481" s="1"/>
  <c r="I6482" s="1"/>
  <c r="I6483" s="1"/>
  <c r="I6484" s="1"/>
  <c r="I6485" s="1"/>
  <c r="I6486" s="1"/>
  <c r="I6487" s="1"/>
  <c r="I6488" s="1"/>
  <c r="I6489" s="1"/>
  <c r="I6490" s="1"/>
  <c r="I6491" s="1"/>
  <c r="I6492" s="1"/>
  <c r="I6493" s="1"/>
  <c r="I6494" s="1"/>
  <c r="I6495" s="1"/>
  <c r="I6496" s="1"/>
  <c r="I6497" s="1"/>
  <c r="I6498" s="1"/>
  <c r="I6499" s="1"/>
  <c r="I6500" s="1"/>
  <c r="I6501" s="1"/>
  <c r="I6502" s="1"/>
  <c r="I6503" s="1"/>
  <c r="I6504" s="1"/>
  <c r="I6505" s="1"/>
  <c r="I6506" s="1"/>
  <c r="I6507" s="1"/>
  <c r="I6508" s="1"/>
  <c r="I6509" s="1"/>
  <c r="I6510" s="1"/>
  <c r="I6511" s="1"/>
  <c r="I6512" s="1"/>
  <c r="I6513" s="1"/>
  <c r="I6514" s="1"/>
  <c r="I6515" s="1"/>
  <c r="I6516" s="1"/>
  <c r="I6517" s="1"/>
  <c r="I6518" s="1"/>
  <c r="I6519" s="1"/>
  <c r="I6520" s="1"/>
  <c r="I6521" s="1"/>
  <c r="I6522" s="1"/>
  <c r="I6523" s="1"/>
  <c r="I6524" s="1"/>
  <c r="I6525" s="1"/>
  <c r="I6526" s="1"/>
  <c r="I6527" s="1"/>
  <c r="I6528" s="1"/>
  <c r="I6529" s="1"/>
  <c r="I6530" s="1"/>
  <c r="I6531" s="1"/>
  <c r="I6532" s="1"/>
  <c r="I6533" s="1"/>
  <c r="I6534" s="1"/>
  <c r="I6535" s="1"/>
  <c r="I6536" s="1"/>
  <c r="I6537" s="1"/>
  <c r="I6538" s="1"/>
  <c r="I6539" s="1"/>
  <c r="I6540" s="1"/>
  <c r="I6541" s="1"/>
  <c r="I6542" s="1"/>
  <c r="I6543" s="1"/>
  <c r="I6544" s="1"/>
  <c r="I6545" s="1"/>
  <c r="I6546" s="1"/>
  <c r="I6547" s="1"/>
  <c r="I6548" s="1"/>
  <c r="I6549" s="1"/>
  <c r="I6550" s="1"/>
  <c r="I6551" s="1"/>
  <c r="I6552" s="1"/>
  <c r="I6553" s="1"/>
  <c r="I6554" s="1"/>
  <c r="I6555" s="1"/>
  <c r="I6556" s="1"/>
  <c r="I6557" s="1"/>
  <c r="I6558" s="1"/>
  <c r="I6559" s="1"/>
  <c r="I6560" s="1"/>
  <c r="I6561" s="1"/>
  <c r="I6562" s="1"/>
  <c r="I6563" s="1"/>
  <c r="I6564" s="1"/>
  <c r="I6565" s="1"/>
  <c r="I6566" s="1"/>
  <c r="I6567" s="1"/>
  <c r="I6568" s="1"/>
  <c r="I6569" s="1"/>
  <c r="I6570" s="1"/>
  <c r="I6571" s="1"/>
  <c r="I6572" s="1"/>
  <c r="I6573" s="1"/>
  <c r="I6574" s="1"/>
  <c r="I6575" s="1"/>
  <c r="I6576" s="1"/>
  <c r="I6577" s="1"/>
  <c r="I6578" s="1"/>
  <c r="I6579" s="1"/>
  <c r="I6580" s="1"/>
  <c r="I6581" s="1"/>
  <c r="I6582" s="1"/>
  <c r="I6583" s="1"/>
  <c r="I6584" s="1"/>
  <c r="I6585" s="1"/>
  <c r="I6586" s="1"/>
  <c r="I6587" s="1"/>
  <c r="I6588" s="1"/>
  <c r="I6589" s="1"/>
  <c r="I6590" s="1"/>
  <c r="I6591" s="1"/>
  <c r="I6592" s="1"/>
  <c r="I6593" s="1"/>
  <c r="I6594" s="1"/>
  <c r="I6595" s="1"/>
  <c r="I6596" s="1"/>
  <c r="I6597" s="1"/>
  <c r="I6598" s="1"/>
  <c r="I6599" s="1"/>
  <c r="I6600" s="1"/>
  <c r="I6601" s="1"/>
  <c r="I6602" s="1"/>
  <c r="I6603" s="1"/>
  <c r="I6604" s="1"/>
  <c r="I6605" s="1"/>
  <c r="I6606" s="1"/>
  <c r="I6607" s="1"/>
  <c r="I6608" s="1"/>
  <c r="I6609" s="1"/>
  <c r="I6610" s="1"/>
  <c r="I6611" s="1"/>
  <c r="I6612" s="1"/>
  <c r="I6613" s="1"/>
  <c r="I6614" s="1"/>
  <c r="I6615" s="1"/>
  <c r="I6616" s="1"/>
  <c r="I6617" s="1"/>
  <c r="I6618" s="1"/>
  <c r="I6619" s="1"/>
  <c r="I6620" s="1"/>
  <c r="I6621" s="1"/>
  <c r="I6622" s="1"/>
  <c r="I6623" s="1"/>
  <c r="I6624" s="1"/>
  <c r="I6625" s="1"/>
  <c r="I6626" s="1"/>
  <c r="I6627" s="1"/>
  <c r="I6628" s="1"/>
  <c r="I6629" s="1"/>
  <c r="I6630" s="1"/>
  <c r="I6631" s="1"/>
  <c r="I6632" s="1"/>
  <c r="I6633" s="1"/>
  <c r="I6634" s="1"/>
  <c r="I6635" s="1"/>
  <c r="I6636" s="1"/>
  <c r="I6637" s="1"/>
  <c r="I6638" s="1"/>
  <c r="I6639" s="1"/>
  <c r="I6640" s="1"/>
  <c r="I6641" s="1"/>
  <c r="I6642" s="1"/>
  <c r="I6643" s="1"/>
  <c r="I6644" s="1"/>
  <c r="I6645" s="1"/>
  <c r="I6646" s="1"/>
  <c r="I6647" s="1"/>
  <c r="I6648" s="1"/>
  <c r="I6649" s="1"/>
  <c r="I6650" s="1"/>
  <c r="I6651" s="1"/>
  <c r="I6652" s="1"/>
  <c r="I6653" s="1"/>
  <c r="I6654" s="1"/>
  <c r="I6655" s="1"/>
  <c r="I6656" s="1"/>
  <c r="I6657" s="1"/>
  <c r="I6658" s="1"/>
  <c r="I6659" s="1"/>
  <c r="I6660" s="1"/>
  <c r="I6661" s="1"/>
  <c r="I6662" s="1"/>
  <c r="I6663" s="1"/>
  <c r="I6664" s="1"/>
  <c r="I6665" s="1"/>
  <c r="I6666" s="1"/>
  <c r="I6667" s="1"/>
  <c r="I6668" s="1"/>
  <c r="I6669" s="1"/>
  <c r="I6670" s="1"/>
  <c r="I6671" s="1"/>
  <c r="I6672" s="1"/>
  <c r="I6673" s="1"/>
  <c r="I6674" s="1"/>
  <c r="I6675" s="1"/>
  <c r="I6676" s="1"/>
  <c r="I6677" s="1"/>
  <c r="I6678" s="1"/>
  <c r="I6679" s="1"/>
  <c r="I6680" s="1"/>
  <c r="I6681" s="1"/>
  <c r="I6682" s="1"/>
  <c r="I6683" s="1"/>
  <c r="I6684" s="1"/>
  <c r="I6685" s="1"/>
  <c r="I6686" s="1"/>
  <c r="I6687" s="1"/>
  <c r="I6688" s="1"/>
  <c r="I6689" s="1"/>
  <c r="I6690" s="1"/>
  <c r="I6691" s="1"/>
  <c r="I6692" s="1"/>
  <c r="I6693" s="1"/>
  <c r="I6694" s="1"/>
  <c r="I6695" s="1"/>
  <c r="I6696" s="1"/>
  <c r="I6697" s="1"/>
  <c r="I6698" s="1"/>
  <c r="I6699" s="1"/>
  <c r="I6700" s="1"/>
  <c r="I6701" s="1"/>
  <c r="I6702" s="1"/>
  <c r="I6703" s="1"/>
  <c r="I6704" s="1"/>
  <c r="I6705" s="1"/>
  <c r="I6706" s="1"/>
  <c r="I6707" s="1"/>
  <c r="I6708" s="1"/>
  <c r="I6709" s="1"/>
  <c r="I6710" s="1"/>
  <c r="I6711" s="1"/>
  <c r="I6712" s="1"/>
  <c r="I6713" s="1"/>
  <c r="I6714" s="1"/>
  <c r="I6715" s="1"/>
  <c r="I6716" s="1"/>
  <c r="I6717" s="1"/>
  <c r="I6718" s="1"/>
  <c r="I6719" s="1"/>
  <c r="I6720" s="1"/>
  <c r="I6721" s="1"/>
  <c r="I6722" s="1"/>
  <c r="I6723" s="1"/>
  <c r="I6724" s="1"/>
  <c r="I6725" s="1"/>
  <c r="I6726" s="1"/>
  <c r="I6727" s="1"/>
  <c r="I6728" s="1"/>
  <c r="I6729" s="1"/>
  <c r="I6730" s="1"/>
  <c r="I6731" s="1"/>
  <c r="I6732" s="1"/>
  <c r="I6733" s="1"/>
  <c r="I6734" s="1"/>
  <c r="I6735" s="1"/>
  <c r="I6736" s="1"/>
  <c r="I6737" s="1"/>
  <c r="I6738" s="1"/>
  <c r="I6739" s="1"/>
  <c r="I6740" s="1"/>
  <c r="I6741" s="1"/>
  <c r="I6742" s="1"/>
  <c r="I6743" s="1"/>
  <c r="I6744" s="1"/>
  <c r="I6745" s="1"/>
  <c r="I6746" s="1"/>
  <c r="I6747" s="1"/>
  <c r="I6748" s="1"/>
  <c r="I6749" s="1"/>
  <c r="I6750" s="1"/>
  <c r="I6751" s="1"/>
  <c r="I6752" s="1"/>
  <c r="I6753" s="1"/>
  <c r="I6754" s="1"/>
  <c r="I6755" s="1"/>
  <c r="I6756" s="1"/>
  <c r="I6757" s="1"/>
  <c r="I6758" s="1"/>
  <c r="I6759" s="1"/>
  <c r="I6760" s="1"/>
  <c r="I6761" s="1"/>
  <c r="I6762" s="1"/>
  <c r="I6763" s="1"/>
  <c r="I6764" s="1"/>
  <c r="I6765" s="1"/>
  <c r="I6766" s="1"/>
  <c r="I6767" s="1"/>
  <c r="I6768" s="1"/>
  <c r="I6769" s="1"/>
  <c r="I6770" s="1"/>
  <c r="I6771" s="1"/>
  <c r="I6772" s="1"/>
  <c r="I6773" s="1"/>
  <c r="I6774" s="1"/>
  <c r="I6775" s="1"/>
  <c r="I6776" s="1"/>
  <c r="I6777" s="1"/>
  <c r="I6778" s="1"/>
  <c r="I6779" s="1"/>
  <c r="I6780" s="1"/>
  <c r="I6781" s="1"/>
  <c r="I6782" s="1"/>
  <c r="I6783" s="1"/>
  <c r="I6784" s="1"/>
  <c r="I6785" s="1"/>
  <c r="I6786" s="1"/>
  <c r="I6787" s="1"/>
  <c r="I6788" s="1"/>
  <c r="I6789" s="1"/>
  <c r="I6790" s="1"/>
  <c r="I6791" s="1"/>
  <c r="I6792" s="1"/>
  <c r="I6793" s="1"/>
  <c r="I6794" s="1"/>
  <c r="I6795" s="1"/>
  <c r="I6796" s="1"/>
  <c r="I6797" s="1"/>
  <c r="I6798" s="1"/>
  <c r="I6799" s="1"/>
  <c r="I6800" s="1"/>
  <c r="I6801" s="1"/>
  <c r="I6802" s="1"/>
  <c r="I6803" s="1"/>
  <c r="I6804" s="1"/>
  <c r="I6805" s="1"/>
  <c r="I6806" s="1"/>
  <c r="I6807" s="1"/>
  <c r="I6808" s="1"/>
  <c r="I6809" s="1"/>
  <c r="I6810" s="1"/>
  <c r="I6811" s="1"/>
  <c r="I6812" s="1"/>
  <c r="I6813" s="1"/>
  <c r="I6814" s="1"/>
  <c r="I6815" s="1"/>
  <c r="I6816" s="1"/>
  <c r="I6817" s="1"/>
  <c r="I6818" s="1"/>
  <c r="I6819" s="1"/>
  <c r="I6820" s="1"/>
  <c r="I6821" s="1"/>
  <c r="I6822" s="1"/>
  <c r="I6823" s="1"/>
  <c r="I6824" s="1"/>
  <c r="I6825" s="1"/>
  <c r="I6826" s="1"/>
  <c r="I6827" s="1"/>
  <c r="I6828" s="1"/>
  <c r="I6829" s="1"/>
  <c r="I6830" s="1"/>
  <c r="I6831" s="1"/>
  <c r="I6832" s="1"/>
  <c r="I6833" s="1"/>
  <c r="I6834" s="1"/>
  <c r="I6835" s="1"/>
  <c r="I6836" s="1"/>
  <c r="I6837" s="1"/>
  <c r="I6838" s="1"/>
  <c r="I6839" s="1"/>
  <c r="I6840" s="1"/>
  <c r="I6841" s="1"/>
  <c r="I6842" s="1"/>
  <c r="I6843" s="1"/>
  <c r="I6844" s="1"/>
  <c r="I6845" s="1"/>
  <c r="I6846" s="1"/>
  <c r="I6847" s="1"/>
  <c r="I6848" s="1"/>
  <c r="I6849" s="1"/>
  <c r="I6850" s="1"/>
  <c r="I6851" s="1"/>
  <c r="I6852" s="1"/>
  <c r="I6853" s="1"/>
  <c r="I6854" s="1"/>
  <c r="I6855" s="1"/>
  <c r="I6856" s="1"/>
  <c r="I6857" s="1"/>
  <c r="I6858" s="1"/>
  <c r="I6859" s="1"/>
  <c r="I6860" s="1"/>
  <c r="I6861" s="1"/>
  <c r="I6862" s="1"/>
  <c r="I6863" s="1"/>
  <c r="I6864" s="1"/>
  <c r="I6865" s="1"/>
  <c r="I6866" s="1"/>
  <c r="I6867" s="1"/>
  <c r="I6868" s="1"/>
  <c r="I6869" s="1"/>
  <c r="I6870" s="1"/>
  <c r="I6871" s="1"/>
  <c r="I6872" s="1"/>
  <c r="I6873" s="1"/>
  <c r="I6874" s="1"/>
  <c r="I6875" s="1"/>
  <c r="I6876" s="1"/>
  <c r="I6877" s="1"/>
  <c r="I6878" s="1"/>
  <c r="I6879" s="1"/>
  <c r="I6880" s="1"/>
  <c r="I6881" s="1"/>
  <c r="I6882" s="1"/>
  <c r="I6883" s="1"/>
  <c r="I6884" s="1"/>
  <c r="I6885" s="1"/>
  <c r="I6886" s="1"/>
  <c r="I6887" s="1"/>
  <c r="I6888" s="1"/>
  <c r="I6889" s="1"/>
  <c r="I6890" s="1"/>
  <c r="I6891" s="1"/>
  <c r="I6892" s="1"/>
  <c r="I6893" s="1"/>
  <c r="I6894" s="1"/>
  <c r="I6895" s="1"/>
  <c r="I6896" s="1"/>
  <c r="I6897" s="1"/>
  <c r="I6898" s="1"/>
  <c r="I6899" s="1"/>
  <c r="I6900" s="1"/>
  <c r="I6901" s="1"/>
  <c r="I6902" s="1"/>
  <c r="I6903" s="1"/>
  <c r="I6904" s="1"/>
  <c r="I6905" s="1"/>
  <c r="I6906" s="1"/>
  <c r="I6907" s="1"/>
  <c r="I6908" s="1"/>
  <c r="I6909" s="1"/>
  <c r="I6910" s="1"/>
  <c r="I6911" s="1"/>
  <c r="I6912" s="1"/>
  <c r="I6913" s="1"/>
  <c r="I6914" s="1"/>
  <c r="I6915" s="1"/>
  <c r="I6916" s="1"/>
  <c r="I6917" s="1"/>
  <c r="I6918" s="1"/>
  <c r="I6919" s="1"/>
  <c r="I6920" s="1"/>
  <c r="I6921" s="1"/>
  <c r="I6922" s="1"/>
  <c r="I6923" s="1"/>
  <c r="I6924" s="1"/>
  <c r="I6925" s="1"/>
  <c r="I6926" s="1"/>
  <c r="I6927" s="1"/>
  <c r="I6928" s="1"/>
  <c r="I6929" s="1"/>
  <c r="I6930" s="1"/>
  <c r="I6931" s="1"/>
  <c r="I6932" s="1"/>
  <c r="I6933" s="1"/>
  <c r="I6934" s="1"/>
  <c r="I6935" s="1"/>
  <c r="I6936" s="1"/>
  <c r="I6937" s="1"/>
  <c r="I6938" s="1"/>
  <c r="I6939" s="1"/>
  <c r="I6940" s="1"/>
  <c r="I6941" s="1"/>
  <c r="I6942" s="1"/>
  <c r="I6943" s="1"/>
  <c r="I6944" s="1"/>
  <c r="I6945" s="1"/>
  <c r="I6946" s="1"/>
  <c r="I6947" s="1"/>
  <c r="I6948" s="1"/>
  <c r="I6949" s="1"/>
  <c r="I6950" s="1"/>
  <c r="I6951" s="1"/>
  <c r="I6952" s="1"/>
  <c r="I6953" s="1"/>
  <c r="I6954" s="1"/>
  <c r="I6955" s="1"/>
  <c r="I6956" s="1"/>
  <c r="I6957" s="1"/>
  <c r="I6958" s="1"/>
  <c r="I6959" s="1"/>
  <c r="I6960" s="1"/>
  <c r="I6961" s="1"/>
  <c r="I6962" s="1"/>
  <c r="I6963" s="1"/>
  <c r="I6964" s="1"/>
  <c r="I6965" s="1"/>
  <c r="I6966" s="1"/>
  <c r="I6967" s="1"/>
  <c r="I6968" s="1"/>
  <c r="I6969" s="1"/>
  <c r="I6970" s="1"/>
  <c r="I6971" s="1"/>
  <c r="I6972" s="1"/>
  <c r="I6973" s="1"/>
  <c r="I6974" s="1"/>
  <c r="I6975" s="1"/>
  <c r="I6976" s="1"/>
  <c r="I6977" s="1"/>
  <c r="I6978" s="1"/>
  <c r="I6979" s="1"/>
  <c r="I6980" s="1"/>
  <c r="I6981" s="1"/>
  <c r="I6982" s="1"/>
  <c r="I6983" s="1"/>
  <c r="I6984" s="1"/>
  <c r="I6985" s="1"/>
  <c r="I6986" s="1"/>
  <c r="I6987" s="1"/>
  <c r="I6988" s="1"/>
  <c r="I6989" s="1"/>
  <c r="I6990" s="1"/>
  <c r="I6991" s="1"/>
  <c r="I6992" s="1"/>
  <c r="I6993" s="1"/>
  <c r="I6994" s="1"/>
  <c r="I6995" s="1"/>
  <c r="I6996" s="1"/>
  <c r="I6997" s="1"/>
  <c r="I6998" s="1"/>
  <c r="I6999" s="1"/>
  <c r="I7000" s="1"/>
  <c r="I7001" s="1"/>
  <c r="I7002" s="1"/>
  <c r="I7003" s="1"/>
  <c r="I7004" s="1"/>
  <c r="I7005" s="1"/>
  <c r="I7006" s="1"/>
  <c r="I7007" s="1"/>
  <c r="I7008" s="1"/>
  <c r="I7009" s="1"/>
  <c r="I7010" s="1"/>
  <c r="I7011" s="1"/>
  <c r="I7012" s="1"/>
  <c r="I7013" s="1"/>
  <c r="I7014" s="1"/>
  <c r="I7015" s="1"/>
  <c r="I7016" s="1"/>
  <c r="I7017" s="1"/>
  <c r="I7018" s="1"/>
  <c r="I7019" s="1"/>
  <c r="I7020" s="1"/>
  <c r="I7021" s="1"/>
  <c r="I7022" s="1"/>
  <c r="I7023" s="1"/>
  <c r="I7024" s="1"/>
  <c r="I7025" s="1"/>
  <c r="I7026" s="1"/>
  <c r="I7027" s="1"/>
  <c r="I7028" s="1"/>
  <c r="I7029" s="1"/>
  <c r="I7030" s="1"/>
  <c r="I7031" s="1"/>
  <c r="I7032" s="1"/>
  <c r="I7033" s="1"/>
  <c r="I7034" s="1"/>
  <c r="I7035" s="1"/>
  <c r="I7036" s="1"/>
  <c r="I7037" s="1"/>
  <c r="I7038" s="1"/>
  <c r="I7039" s="1"/>
  <c r="I7040" s="1"/>
  <c r="I7041" s="1"/>
  <c r="I7042" s="1"/>
  <c r="I7043" s="1"/>
  <c r="I7044" s="1"/>
  <c r="I7045" s="1"/>
  <c r="I7046" s="1"/>
  <c r="I7047" s="1"/>
  <c r="I7048" s="1"/>
  <c r="I7049" s="1"/>
  <c r="I7050" s="1"/>
  <c r="I7051" s="1"/>
  <c r="I7052" s="1"/>
  <c r="I7053" s="1"/>
  <c r="I7054" s="1"/>
  <c r="I7055" s="1"/>
  <c r="I7056" s="1"/>
  <c r="I7057" s="1"/>
  <c r="I7058" s="1"/>
  <c r="I7059" s="1"/>
  <c r="I7060" s="1"/>
  <c r="I7061" s="1"/>
  <c r="I7062" s="1"/>
  <c r="I7063" s="1"/>
  <c r="I7064" s="1"/>
  <c r="I7065" s="1"/>
  <c r="I7066" s="1"/>
  <c r="I7067" s="1"/>
  <c r="I7068" s="1"/>
  <c r="I7069" s="1"/>
  <c r="I7070" s="1"/>
  <c r="I7071" s="1"/>
  <c r="I7072" s="1"/>
  <c r="I7073" s="1"/>
  <c r="I7074" s="1"/>
  <c r="I7075" s="1"/>
  <c r="I7076" s="1"/>
  <c r="I7077" s="1"/>
  <c r="I7078" s="1"/>
  <c r="I7079" s="1"/>
  <c r="I7080" s="1"/>
  <c r="I7081" s="1"/>
  <c r="I7082" s="1"/>
  <c r="I7083" s="1"/>
  <c r="I7084" s="1"/>
  <c r="I7085" s="1"/>
  <c r="I7086" s="1"/>
  <c r="I7087" s="1"/>
  <c r="I7088" s="1"/>
  <c r="I7089" s="1"/>
  <c r="I7090" s="1"/>
  <c r="I7091" s="1"/>
  <c r="I7092" s="1"/>
  <c r="I7093" s="1"/>
  <c r="I7094" s="1"/>
  <c r="I7095" s="1"/>
  <c r="I7096" s="1"/>
  <c r="I7097" s="1"/>
  <c r="I7098" s="1"/>
  <c r="I7099" s="1"/>
  <c r="I7100" s="1"/>
  <c r="I7101" s="1"/>
  <c r="I7102" s="1"/>
  <c r="I7103" s="1"/>
  <c r="I7104" s="1"/>
  <c r="I7105" s="1"/>
  <c r="I7106" s="1"/>
  <c r="I7107" s="1"/>
  <c r="I7108" s="1"/>
  <c r="I7109" s="1"/>
  <c r="I7110" s="1"/>
  <c r="I7111" s="1"/>
  <c r="I7112" s="1"/>
  <c r="I7113" s="1"/>
  <c r="I7114" s="1"/>
  <c r="I7115" s="1"/>
  <c r="I7116" s="1"/>
  <c r="I7117" s="1"/>
  <c r="I7118" s="1"/>
  <c r="I7119" s="1"/>
  <c r="I7120" s="1"/>
  <c r="I7121" s="1"/>
  <c r="I7122" s="1"/>
  <c r="I7123" s="1"/>
  <c r="I7124" s="1"/>
  <c r="I7125" s="1"/>
  <c r="I7126" s="1"/>
  <c r="I7127" s="1"/>
  <c r="I7128" s="1"/>
  <c r="I7129" s="1"/>
  <c r="I7130" s="1"/>
  <c r="I7131" s="1"/>
  <c r="I7132" s="1"/>
  <c r="I7133" s="1"/>
  <c r="I7134" s="1"/>
  <c r="I7135" s="1"/>
  <c r="I7136" s="1"/>
  <c r="I7137" s="1"/>
  <c r="I7138" s="1"/>
  <c r="I7139" s="1"/>
  <c r="I7140" s="1"/>
  <c r="I7141" s="1"/>
  <c r="I7142" s="1"/>
  <c r="I7143" s="1"/>
  <c r="I7144" s="1"/>
  <c r="I7145" s="1"/>
  <c r="I7146" s="1"/>
  <c r="I7147" s="1"/>
  <c r="I7148" s="1"/>
  <c r="I7149" s="1"/>
  <c r="I7150" s="1"/>
  <c r="I7151" s="1"/>
  <c r="I7152" s="1"/>
  <c r="I7153" s="1"/>
  <c r="I7154" s="1"/>
  <c r="I7155" s="1"/>
  <c r="I7156" s="1"/>
  <c r="I7157" s="1"/>
  <c r="I7158" s="1"/>
  <c r="I7159" s="1"/>
  <c r="I7160" s="1"/>
  <c r="I7161" s="1"/>
  <c r="I7162" s="1"/>
  <c r="I7163" s="1"/>
  <c r="I7164" s="1"/>
  <c r="I7165" s="1"/>
  <c r="I7166" s="1"/>
  <c r="I7167" s="1"/>
  <c r="I7168" s="1"/>
  <c r="I7169" s="1"/>
  <c r="I7170" s="1"/>
  <c r="I7171" s="1"/>
  <c r="I7172" s="1"/>
  <c r="I7173" s="1"/>
  <c r="I7174" s="1"/>
  <c r="I7175" s="1"/>
  <c r="I7176" s="1"/>
  <c r="I7177" s="1"/>
  <c r="I7178" s="1"/>
  <c r="I7179" s="1"/>
  <c r="I7180" s="1"/>
  <c r="I7181" s="1"/>
  <c r="I7182" s="1"/>
  <c r="I7183" s="1"/>
  <c r="I7184" s="1"/>
  <c r="I7185" s="1"/>
  <c r="I7186" s="1"/>
  <c r="I7187" s="1"/>
  <c r="I7188" s="1"/>
  <c r="I7189" s="1"/>
  <c r="I7190" s="1"/>
  <c r="I7191" s="1"/>
  <c r="I7192" s="1"/>
  <c r="I7193" s="1"/>
  <c r="I7194" s="1"/>
  <c r="I7195" s="1"/>
  <c r="I7196" s="1"/>
  <c r="I7197" s="1"/>
  <c r="I7198" s="1"/>
  <c r="I7199" s="1"/>
  <c r="I7200" s="1"/>
  <c r="I7201" s="1"/>
  <c r="I7202" s="1"/>
  <c r="I7203" s="1"/>
  <c r="I7204" s="1"/>
  <c r="I7205" s="1"/>
  <c r="I7206" s="1"/>
  <c r="I7207" s="1"/>
  <c r="I7208" s="1"/>
  <c r="I7209" s="1"/>
  <c r="I7210" s="1"/>
  <c r="I7211" s="1"/>
  <c r="I7212" s="1"/>
  <c r="I7213" s="1"/>
  <c r="I7214" s="1"/>
  <c r="I7215" s="1"/>
  <c r="I7216" s="1"/>
  <c r="I7217" s="1"/>
  <c r="I7218" s="1"/>
  <c r="I7219" s="1"/>
  <c r="I7220" s="1"/>
  <c r="I7221" s="1"/>
  <c r="I7222" s="1"/>
  <c r="I7223" s="1"/>
  <c r="I7224" s="1"/>
  <c r="I7225" s="1"/>
  <c r="I7226" s="1"/>
  <c r="I7227" s="1"/>
  <c r="I7228" s="1"/>
  <c r="I7229" s="1"/>
  <c r="I7230" s="1"/>
  <c r="I7231" s="1"/>
  <c r="I7232" s="1"/>
  <c r="I7233" s="1"/>
  <c r="I7234" s="1"/>
  <c r="I7235" s="1"/>
  <c r="I7236" s="1"/>
  <c r="I7237" s="1"/>
  <c r="I7238" s="1"/>
  <c r="I7239" s="1"/>
  <c r="I7240" s="1"/>
  <c r="I7241" s="1"/>
  <c r="I7242" s="1"/>
  <c r="I7243" s="1"/>
  <c r="I7244" s="1"/>
  <c r="I7245" s="1"/>
  <c r="I7246" s="1"/>
  <c r="I7247" s="1"/>
  <c r="I7248" s="1"/>
  <c r="I7249" s="1"/>
  <c r="I7250" s="1"/>
  <c r="I7251" s="1"/>
  <c r="I7252" s="1"/>
  <c r="I7253" s="1"/>
  <c r="I7254" s="1"/>
  <c r="I7255" s="1"/>
  <c r="I7256" s="1"/>
  <c r="I7257" s="1"/>
  <c r="I7258" s="1"/>
  <c r="I7259" s="1"/>
  <c r="I7260" s="1"/>
  <c r="I7261" s="1"/>
  <c r="I7262" s="1"/>
  <c r="I7263" s="1"/>
  <c r="I7264" s="1"/>
  <c r="I7265" s="1"/>
  <c r="I7266" s="1"/>
  <c r="I7267" s="1"/>
  <c r="I7268" s="1"/>
  <c r="I7269" s="1"/>
  <c r="I7270" s="1"/>
  <c r="I7271" s="1"/>
  <c r="I7272" s="1"/>
  <c r="I7273" s="1"/>
  <c r="I7274" s="1"/>
  <c r="I7275" s="1"/>
  <c r="I7276" s="1"/>
  <c r="I7277" s="1"/>
  <c r="I7278" s="1"/>
  <c r="I7279" s="1"/>
  <c r="I7280" s="1"/>
  <c r="I7281" s="1"/>
  <c r="I7282" s="1"/>
  <c r="I7283" s="1"/>
  <c r="I7284" s="1"/>
  <c r="I7285" s="1"/>
  <c r="I7286" s="1"/>
  <c r="I7287" s="1"/>
  <c r="I7288" s="1"/>
  <c r="I7289" s="1"/>
  <c r="I7290" s="1"/>
  <c r="I7291" s="1"/>
  <c r="I7292" s="1"/>
  <c r="I7293" s="1"/>
  <c r="I7294" s="1"/>
  <c r="I7295" s="1"/>
  <c r="I7296" s="1"/>
  <c r="I7297" s="1"/>
  <c r="I7298" s="1"/>
  <c r="I7299" s="1"/>
  <c r="I7300" s="1"/>
  <c r="I7301" s="1"/>
  <c r="I7302" s="1"/>
  <c r="I7303" s="1"/>
  <c r="I7304" s="1"/>
  <c r="I7305" s="1"/>
  <c r="I7306" s="1"/>
  <c r="I7307" s="1"/>
  <c r="I7308" s="1"/>
  <c r="I7309" s="1"/>
  <c r="I7310" s="1"/>
  <c r="I7311" s="1"/>
  <c r="I7312" s="1"/>
  <c r="I7313" s="1"/>
  <c r="I7314" s="1"/>
  <c r="I7315" s="1"/>
  <c r="I7316" s="1"/>
  <c r="I7317" s="1"/>
  <c r="I7318" s="1"/>
  <c r="I7319" s="1"/>
  <c r="I7320" s="1"/>
  <c r="I7321" s="1"/>
  <c r="I7322" s="1"/>
  <c r="I7323" s="1"/>
  <c r="I7324" s="1"/>
  <c r="I7325" s="1"/>
  <c r="I7326" s="1"/>
  <c r="I7327" s="1"/>
  <c r="I7328" s="1"/>
  <c r="I7329" s="1"/>
  <c r="I7330" s="1"/>
  <c r="I7331" s="1"/>
  <c r="I7332" s="1"/>
  <c r="I7333" s="1"/>
  <c r="I7334" s="1"/>
  <c r="I7335" s="1"/>
  <c r="I7336" s="1"/>
  <c r="I7337" s="1"/>
  <c r="I7338" s="1"/>
  <c r="I7339" s="1"/>
  <c r="I7340" s="1"/>
  <c r="I7341" s="1"/>
  <c r="I7342" s="1"/>
  <c r="I7343" s="1"/>
  <c r="I7344" s="1"/>
  <c r="I7345" s="1"/>
  <c r="I7346" s="1"/>
  <c r="I7347" s="1"/>
  <c r="I7348" s="1"/>
  <c r="I7349" s="1"/>
  <c r="I7350" s="1"/>
  <c r="I7351" s="1"/>
  <c r="I7352" s="1"/>
  <c r="I7353" s="1"/>
  <c r="I7354" s="1"/>
  <c r="I7355" s="1"/>
  <c r="I7356" s="1"/>
  <c r="I7357" s="1"/>
  <c r="I7358" s="1"/>
  <c r="I7359" s="1"/>
  <c r="I7360" s="1"/>
  <c r="I7361" s="1"/>
  <c r="I7362" s="1"/>
  <c r="I7363" s="1"/>
  <c r="I7364" s="1"/>
  <c r="I7365" s="1"/>
  <c r="I7366" s="1"/>
  <c r="I7367" s="1"/>
  <c r="I7368" s="1"/>
  <c r="I7369" s="1"/>
  <c r="I7370" s="1"/>
  <c r="I7371" s="1"/>
  <c r="I7372" s="1"/>
  <c r="I7373" s="1"/>
  <c r="I7374" s="1"/>
  <c r="I7375" s="1"/>
  <c r="I7376" s="1"/>
  <c r="I7377" s="1"/>
  <c r="I7378" s="1"/>
  <c r="I7379" s="1"/>
  <c r="I7380" s="1"/>
  <c r="I7381" s="1"/>
  <c r="I7382" s="1"/>
  <c r="I7383" s="1"/>
  <c r="I7384" s="1"/>
  <c r="I7385" s="1"/>
  <c r="I7386" s="1"/>
  <c r="I7387" s="1"/>
  <c r="I7388" s="1"/>
  <c r="I7389" s="1"/>
  <c r="I7390" s="1"/>
  <c r="I7391" s="1"/>
  <c r="I7392" s="1"/>
  <c r="I7393" s="1"/>
  <c r="I7394" s="1"/>
  <c r="I7395" s="1"/>
  <c r="I7396" s="1"/>
  <c r="I7397" s="1"/>
  <c r="I7398" s="1"/>
  <c r="I7399" s="1"/>
  <c r="I7400" s="1"/>
  <c r="I7401" s="1"/>
  <c r="I7402" s="1"/>
  <c r="I7403" s="1"/>
  <c r="I7404" s="1"/>
  <c r="I7405" s="1"/>
  <c r="I7406" s="1"/>
  <c r="I7407" s="1"/>
  <c r="I7408" s="1"/>
  <c r="I7409" s="1"/>
  <c r="I7410" s="1"/>
  <c r="I7411" s="1"/>
  <c r="I7412" s="1"/>
  <c r="I7413" s="1"/>
  <c r="I7414" s="1"/>
  <c r="I7415" s="1"/>
  <c r="I7416" s="1"/>
  <c r="I7417" s="1"/>
  <c r="I7418" s="1"/>
  <c r="I7419" s="1"/>
  <c r="I7420" s="1"/>
  <c r="I7421" s="1"/>
  <c r="I7422" s="1"/>
  <c r="I7423" s="1"/>
  <c r="I7424" s="1"/>
  <c r="I7425" s="1"/>
  <c r="I7426" s="1"/>
  <c r="I7427" s="1"/>
  <c r="I7428" s="1"/>
  <c r="I7429" s="1"/>
  <c r="I7430" s="1"/>
  <c r="I7431" s="1"/>
  <c r="I7432" s="1"/>
  <c r="I7433" s="1"/>
  <c r="I7434" s="1"/>
  <c r="I7435" s="1"/>
  <c r="I7436" s="1"/>
  <c r="I7437" s="1"/>
  <c r="I7438" s="1"/>
  <c r="I7439" s="1"/>
  <c r="I7440" s="1"/>
  <c r="I7441" s="1"/>
  <c r="I7442" s="1"/>
  <c r="I7443" s="1"/>
  <c r="I7444" s="1"/>
  <c r="I7445" s="1"/>
  <c r="I7446" s="1"/>
  <c r="I7447" s="1"/>
  <c r="I7448" s="1"/>
  <c r="I7449" s="1"/>
  <c r="I7450" s="1"/>
  <c r="I7451" s="1"/>
  <c r="I7452" s="1"/>
  <c r="I7453" s="1"/>
  <c r="I7454" s="1"/>
  <c r="I7455" s="1"/>
  <c r="I7456" s="1"/>
  <c r="I7457" s="1"/>
  <c r="I7458" s="1"/>
  <c r="I7459" s="1"/>
  <c r="I7460" s="1"/>
  <c r="I7461" s="1"/>
  <c r="I7462" s="1"/>
  <c r="I7463" s="1"/>
  <c r="I7464" s="1"/>
  <c r="I7465" s="1"/>
  <c r="I7466" s="1"/>
  <c r="I7467" s="1"/>
  <c r="I7468" s="1"/>
  <c r="I7469" s="1"/>
  <c r="I7470" s="1"/>
  <c r="I7471" s="1"/>
  <c r="I7472" s="1"/>
  <c r="I7473" s="1"/>
  <c r="I7474" s="1"/>
  <c r="I7475" s="1"/>
  <c r="I7476" s="1"/>
  <c r="I7477" s="1"/>
  <c r="I7478" s="1"/>
  <c r="I7479" s="1"/>
  <c r="I7480" s="1"/>
  <c r="I7481" s="1"/>
  <c r="I7482" s="1"/>
  <c r="I7483" s="1"/>
  <c r="I7484" s="1"/>
  <c r="I7485" s="1"/>
  <c r="I7486" s="1"/>
  <c r="I7487" s="1"/>
  <c r="I7488" s="1"/>
  <c r="I7489" s="1"/>
  <c r="I7490" s="1"/>
  <c r="I7491" s="1"/>
  <c r="I7492" s="1"/>
  <c r="I7493" s="1"/>
  <c r="I7494" s="1"/>
  <c r="I7495" s="1"/>
  <c r="I7496" s="1"/>
  <c r="I7497" s="1"/>
  <c r="I7498" s="1"/>
  <c r="I7499" s="1"/>
  <c r="I7500" s="1"/>
  <c r="I7501" s="1"/>
  <c r="I7502" s="1"/>
  <c r="I7503" s="1"/>
  <c r="I7504" s="1"/>
  <c r="I7505" s="1"/>
  <c r="I7506" s="1"/>
  <c r="I7507" s="1"/>
  <c r="I7508" s="1"/>
  <c r="I7509" s="1"/>
  <c r="I7510" s="1"/>
  <c r="I7511" s="1"/>
  <c r="I7512" s="1"/>
  <c r="I7513" s="1"/>
  <c r="I7514" s="1"/>
  <c r="I7515" s="1"/>
  <c r="I7516" s="1"/>
  <c r="I7517" s="1"/>
  <c r="I7518" s="1"/>
  <c r="I7519" s="1"/>
  <c r="I7520" s="1"/>
  <c r="I7521" s="1"/>
  <c r="I7522" s="1"/>
  <c r="I7523" s="1"/>
  <c r="I7524" s="1"/>
  <c r="I7525" s="1"/>
  <c r="I7526" s="1"/>
  <c r="I7527" s="1"/>
  <c r="I7528" s="1"/>
  <c r="I7529" s="1"/>
  <c r="I7530" s="1"/>
  <c r="I7531" s="1"/>
  <c r="I7532" s="1"/>
  <c r="I7533" s="1"/>
  <c r="I7534" s="1"/>
  <c r="I7535" s="1"/>
  <c r="I7536" s="1"/>
  <c r="I7537" s="1"/>
  <c r="I7538" s="1"/>
  <c r="I7539" s="1"/>
  <c r="I7540" s="1"/>
  <c r="I7541" s="1"/>
  <c r="I7542" s="1"/>
  <c r="I7543" s="1"/>
  <c r="I7544" s="1"/>
  <c r="I7545" s="1"/>
  <c r="I7546" s="1"/>
  <c r="I7547" s="1"/>
  <c r="I7548" s="1"/>
  <c r="I7549" s="1"/>
  <c r="I7550" s="1"/>
  <c r="I7551" s="1"/>
  <c r="I7552" s="1"/>
  <c r="I7553" s="1"/>
  <c r="I7554" s="1"/>
  <c r="I7555" s="1"/>
  <c r="I7556" s="1"/>
  <c r="I7557" s="1"/>
  <c r="I7558" s="1"/>
  <c r="I7559" s="1"/>
  <c r="I7560" s="1"/>
  <c r="I7561" s="1"/>
  <c r="I7562" s="1"/>
  <c r="I7563" s="1"/>
  <c r="I7564" s="1"/>
  <c r="I7565" s="1"/>
  <c r="I7566" s="1"/>
  <c r="I7567" s="1"/>
  <c r="I7568" s="1"/>
  <c r="I7569" s="1"/>
  <c r="I7570" s="1"/>
  <c r="I7571" s="1"/>
  <c r="I7572" s="1"/>
  <c r="I7573" s="1"/>
  <c r="I7574" s="1"/>
  <c r="I7575" s="1"/>
  <c r="I7576" s="1"/>
  <c r="I7577" s="1"/>
  <c r="I7578" s="1"/>
  <c r="I7579" s="1"/>
  <c r="I7580" s="1"/>
  <c r="I7581" s="1"/>
  <c r="I7582" s="1"/>
  <c r="I7583" s="1"/>
  <c r="I7584" s="1"/>
  <c r="I7585" s="1"/>
  <c r="I7586" s="1"/>
  <c r="I7587" s="1"/>
  <c r="I7588" s="1"/>
  <c r="I7589" s="1"/>
  <c r="I7590" s="1"/>
  <c r="I7591" s="1"/>
  <c r="I7592" s="1"/>
  <c r="I7593" s="1"/>
  <c r="I7594" s="1"/>
  <c r="I7595" s="1"/>
  <c r="I7596" s="1"/>
  <c r="I7597" s="1"/>
  <c r="I7598" s="1"/>
  <c r="I7599" s="1"/>
  <c r="I7600" s="1"/>
  <c r="I7601" s="1"/>
  <c r="I7602" s="1"/>
  <c r="I7603" s="1"/>
  <c r="I7604" s="1"/>
  <c r="I7605" s="1"/>
  <c r="I7606" s="1"/>
  <c r="I7607" s="1"/>
  <c r="I7608" s="1"/>
  <c r="I7609" s="1"/>
  <c r="I7610" s="1"/>
  <c r="I7611" s="1"/>
  <c r="I7612" s="1"/>
  <c r="I7613" s="1"/>
  <c r="I7614" s="1"/>
  <c r="I7615" s="1"/>
  <c r="I7616" s="1"/>
  <c r="I7617" s="1"/>
  <c r="I7618" s="1"/>
  <c r="I7619" s="1"/>
  <c r="I7620" s="1"/>
  <c r="I7621" s="1"/>
  <c r="I7622" s="1"/>
  <c r="I7623" s="1"/>
  <c r="I7624" s="1"/>
  <c r="I7625" s="1"/>
  <c r="I7626" s="1"/>
  <c r="I7627" s="1"/>
  <c r="I7628" s="1"/>
  <c r="I7629" s="1"/>
  <c r="I7630" s="1"/>
  <c r="I7631" s="1"/>
  <c r="I7632" s="1"/>
  <c r="I7633" s="1"/>
  <c r="I7634" s="1"/>
  <c r="I7635" s="1"/>
  <c r="I7636" s="1"/>
  <c r="I7637" s="1"/>
  <c r="I7638" s="1"/>
  <c r="I7639" s="1"/>
  <c r="I7640" s="1"/>
  <c r="I7641" s="1"/>
  <c r="I7642" s="1"/>
  <c r="I7643" s="1"/>
  <c r="I7644" s="1"/>
  <c r="I7645" s="1"/>
  <c r="I7646" s="1"/>
  <c r="I7647" s="1"/>
  <c r="I7648" s="1"/>
  <c r="I7649" s="1"/>
  <c r="I7650" s="1"/>
  <c r="I7651" s="1"/>
  <c r="I7652" s="1"/>
  <c r="I7653" s="1"/>
  <c r="I7654" s="1"/>
  <c r="I7655" s="1"/>
  <c r="I7656" s="1"/>
  <c r="I7657" s="1"/>
  <c r="I7658" s="1"/>
  <c r="I7659" s="1"/>
  <c r="I7660" s="1"/>
  <c r="I7661" s="1"/>
  <c r="I7662" s="1"/>
  <c r="I7663" s="1"/>
  <c r="I7664" s="1"/>
  <c r="I7665" s="1"/>
  <c r="I7666" s="1"/>
  <c r="I7667" s="1"/>
  <c r="I7668" s="1"/>
  <c r="I7669" s="1"/>
  <c r="I7670" s="1"/>
  <c r="I7671" s="1"/>
  <c r="I7672" s="1"/>
  <c r="I7673" s="1"/>
  <c r="I7674" s="1"/>
  <c r="I7675" s="1"/>
  <c r="I7676" s="1"/>
  <c r="I7677" s="1"/>
  <c r="I7678" s="1"/>
  <c r="I7679" s="1"/>
  <c r="I7680" s="1"/>
  <c r="I7681" s="1"/>
  <c r="I7682" s="1"/>
  <c r="I7683" s="1"/>
  <c r="I7684" s="1"/>
  <c r="I7685" s="1"/>
  <c r="I7686" s="1"/>
  <c r="I7687" s="1"/>
  <c r="I7688" s="1"/>
  <c r="I7689" s="1"/>
  <c r="I7690" s="1"/>
  <c r="I7691" s="1"/>
  <c r="I7692" s="1"/>
  <c r="I7693" s="1"/>
  <c r="I7694" s="1"/>
  <c r="I7695" s="1"/>
  <c r="I7696" s="1"/>
  <c r="I7697" s="1"/>
  <c r="I7698" s="1"/>
  <c r="I7699" s="1"/>
  <c r="I7700" s="1"/>
  <c r="I7701" s="1"/>
  <c r="I7702" s="1"/>
  <c r="I7703" s="1"/>
  <c r="I7704" s="1"/>
  <c r="I7705" s="1"/>
  <c r="I7706" s="1"/>
  <c r="I7707" s="1"/>
  <c r="I7708" s="1"/>
  <c r="I7709" s="1"/>
  <c r="I7710" s="1"/>
  <c r="I7711" s="1"/>
  <c r="I7712" s="1"/>
  <c r="I7713" s="1"/>
  <c r="I7714" s="1"/>
  <c r="I7715" s="1"/>
  <c r="I7716" s="1"/>
  <c r="I7717" s="1"/>
  <c r="I7718" s="1"/>
  <c r="I7719" s="1"/>
  <c r="I7720" s="1"/>
  <c r="I7721" s="1"/>
  <c r="I7722" s="1"/>
  <c r="I7723" s="1"/>
  <c r="I7724" s="1"/>
  <c r="I7725" s="1"/>
  <c r="I7726" s="1"/>
  <c r="I7727" s="1"/>
  <c r="I7728" s="1"/>
  <c r="I7729" s="1"/>
  <c r="I7730" s="1"/>
  <c r="I7731" s="1"/>
  <c r="I7732" s="1"/>
  <c r="I7733" s="1"/>
  <c r="I7734" s="1"/>
  <c r="I7735" s="1"/>
  <c r="I7736" s="1"/>
  <c r="I7737" s="1"/>
  <c r="I7738" s="1"/>
  <c r="I7739" s="1"/>
  <c r="I7740" s="1"/>
  <c r="I7741" s="1"/>
  <c r="I7742" s="1"/>
  <c r="I7743" s="1"/>
  <c r="I7744" s="1"/>
  <c r="I7745" s="1"/>
  <c r="I7746" s="1"/>
  <c r="I7747" s="1"/>
  <c r="I7748" s="1"/>
  <c r="I7749" s="1"/>
  <c r="I7750" s="1"/>
  <c r="I7751" s="1"/>
  <c r="I7752" s="1"/>
  <c r="I7753" s="1"/>
  <c r="I7754" s="1"/>
  <c r="I7755" s="1"/>
  <c r="I7756" s="1"/>
  <c r="I7757" s="1"/>
  <c r="I7758" s="1"/>
  <c r="I7759" s="1"/>
  <c r="I7760" s="1"/>
  <c r="I7761" s="1"/>
  <c r="I7762" s="1"/>
  <c r="I7763" s="1"/>
  <c r="I7764" s="1"/>
  <c r="I7765" s="1"/>
  <c r="I7766" s="1"/>
  <c r="I7767" s="1"/>
  <c r="I7768" s="1"/>
  <c r="I7769" s="1"/>
  <c r="I7770" s="1"/>
  <c r="I7771" s="1"/>
  <c r="I7772" s="1"/>
  <c r="I7773" s="1"/>
  <c r="I7774" s="1"/>
  <c r="I7775" s="1"/>
  <c r="I7776" s="1"/>
  <c r="I7777" s="1"/>
  <c r="I7778" s="1"/>
  <c r="I7779" s="1"/>
  <c r="I7780" s="1"/>
  <c r="I7781" s="1"/>
  <c r="I7782" s="1"/>
  <c r="I7783" s="1"/>
  <c r="I7784" s="1"/>
  <c r="I7785" s="1"/>
  <c r="I7786" s="1"/>
  <c r="I7787" s="1"/>
  <c r="I7788" s="1"/>
  <c r="I7789" s="1"/>
  <c r="I7790" s="1"/>
  <c r="I7791" s="1"/>
  <c r="I7792" s="1"/>
  <c r="I7793" s="1"/>
  <c r="I7794" s="1"/>
  <c r="I7795" s="1"/>
  <c r="I7796" s="1"/>
  <c r="I7797" s="1"/>
  <c r="I7798" s="1"/>
  <c r="I7799" s="1"/>
  <c r="I7800" s="1"/>
  <c r="I7801" s="1"/>
  <c r="I7802" s="1"/>
  <c r="I7803" s="1"/>
  <c r="I7804" s="1"/>
  <c r="I7805" s="1"/>
  <c r="I7806" s="1"/>
  <c r="I7807" s="1"/>
  <c r="I7808" s="1"/>
  <c r="I7809" s="1"/>
  <c r="I7810" s="1"/>
  <c r="I7811" s="1"/>
  <c r="I7812" s="1"/>
  <c r="I7813" s="1"/>
  <c r="I7814" s="1"/>
  <c r="I7815" s="1"/>
  <c r="I7816" s="1"/>
  <c r="I7817" s="1"/>
  <c r="I7818" s="1"/>
  <c r="I7819" s="1"/>
  <c r="I7820" s="1"/>
  <c r="I7821" s="1"/>
  <c r="I7822" s="1"/>
  <c r="I7823" s="1"/>
  <c r="I7824" s="1"/>
  <c r="I7825" s="1"/>
  <c r="I7826" s="1"/>
  <c r="I7827" s="1"/>
  <c r="I7828" s="1"/>
  <c r="I7829" s="1"/>
  <c r="I7830" s="1"/>
  <c r="I7831" s="1"/>
  <c r="I7832" s="1"/>
  <c r="I7833" s="1"/>
  <c r="I7834" s="1"/>
  <c r="I7835" s="1"/>
  <c r="I7836" s="1"/>
  <c r="I7837" s="1"/>
  <c r="I7838" s="1"/>
  <c r="I7839" s="1"/>
  <c r="I7840" s="1"/>
  <c r="I7841" s="1"/>
  <c r="I7842" s="1"/>
  <c r="I7843" s="1"/>
  <c r="I7844" s="1"/>
  <c r="I7845" s="1"/>
  <c r="I7846" s="1"/>
  <c r="I7847" s="1"/>
  <c r="I7848" s="1"/>
  <c r="I7849" s="1"/>
  <c r="I7850" s="1"/>
  <c r="I7851" s="1"/>
  <c r="I7852" s="1"/>
  <c r="I7853" s="1"/>
  <c r="I7854" s="1"/>
  <c r="I7855" s="1"/>
  <c r="I7856" s="1"/>
  <c r="I7857" s="1"/>
  <c r="I7858" s="1"/>
  <c r="I7859" s="1"/>
  <c r="I7860" s="1"/>
  <c r="I7861" s="1"/>
  <c r="I7862" s="1"/>
  <c r="I7863" s="1"/>
  <c r="I7864" s="1"/>
  <c r="I7865" s="1"/>
  <c r="I7866" s="1"/>
  <c r="I7867" s="1"/>
  <c r="I7868" s="1"/>
  <c r="I7869" s="1"/>
  <c r="I7870" s="1"/>
  <c r="I7871" s="1"/>
  <c r="I7872" s="1"/>
  <c r="I7873" s="1"/>
  <c r="I7874" s="1"/>
  <c r="I7875" s="1"/>
  <c r="I7876" s="1"/>
  <c r="I7877" s="1"/>
  <c r="I7878" s="1"/>
  <c r="I7879" s="1"/>
  <c r="I7880" s="1"/>
  <c r="I7881" s="1"/>
  <c r="I7882" s="1"/>
  <c r="I7883" s="1"/>
  <c r="I7884" s="1"/>
  <c r="I7885" s="1"/>
  <c r="I7886" s="1"/>
  <c r="I7887" s="1"/>
  <c r="I7888" s="1"/>
  <c r="I7889" s="1"/>
  <c r="I7890" s="1"/>
  <c r="I7891" s="1"/>
  <c r="I7892" s="1"/>
  <c r="I7893" s="1"/>
  <c r="I7894" s="1"/>
  <c r="I7895" s="1"/>
  <c r="I7896" s="1"/>
  <c r="I7897" s="1"/>
  <c r="I7898" s="1"/>
  <c r="I7899" s="1"/>
  <c r="I7900" s="1"/>
  <c r="I7901" s="1"/>
  <c r="I7902" s="1"/>
  <c r="I7903" s="1"/>
  <c r="I7904" s="1"/>
  <c r="I7905" s="1"/>
  <c r="I7906" s="1"/>
  <c r="I7907" s="1"/>
  <c r="I7908" s="1"/>
  <c r="I7909" s="1"/>
  <c r="I7910" s="1"/>
  <c r="I7911" s="1"/>
  <c r="I7912" s="1"/>
  <c r="I7913" s="1"/>
  <c r="I7914" s="1"/>
  <c r="I7915" s="1"/>
  <c r="I7916" s="1"/>
  <c r="I7917" s="1"/>
  <c r="I7918" s="1"/>
  <c r="I7919" s="1"/>
  <c r="I7920" s="1"/>
  <c r="I7921" s="1"/>
  <c r="I7922" s="1"/>
  <c r="I7923" s="1"/>
  <c r="I7924" s="1"/>
  <c r="I7925" s="1"/>
  <c r="I7926" s="1"/>
  <c r="I7927" s="1"/>
  <c r="I7928" s="1"/>
  <c r="I7929" s="1"/>
  <c r="I7930" s="1"/>
  <c r="I7931" s="1"/>
  <c r="I7932" s="1"/>
  <c r="I7933" s="1"/>
  <c r="I7934" s="1"/>
  <c r="I7935" s="1"/>
  <c r="I7936" s="1"/>
  <c r="I7937" s="1"/>
  <c r="I7938" s="1"/>
  <c r="I7939" s="1"/>
  <c r="I7940" s="1"/>
  <c r="I7941" s="1"/>
  <c r="I7942" s="1"/>
  <c r="I7943" s="1"/>
  <c r="I7944" s="1"/>
  <c r="I7945" s="1"/>
  <c r="I7946" s="1"/>
  <c r="I7947" s="1"/>
  <c r="I7948" s="1"/>
  <c r="I7949" s="1"/>
  <c r="I7950" s="1"/>
  <c r="I7951" s="1"/>
  <c r="I7952" s="1"/>
  <c r="I7953" s="1"/>
  <c r="I7954" s="1"/>
  <c r="I7955" s="1"/>
  <c r="I7956" s="1"/>
  <c r="I7957" s="1"/>
  <c r="I7958" s="1"/>
  <c r="I7959" s="1"/>
  <c r="I7960" s="1"/>
  <c r="I7961" s="1"/>
  <c r="I7962" s="1"/>
  <c r="I7963" s="1"/>
  <c r="I7964" s="1"/>
  <c r="I7965" s="1"/>
  <c r="I7966" s="1"/>
  <c r="I7967" s="1"/>
  <c r="I7968" s="1"/>
  <c r="I7969" s="1"/>
  <c r="I7970" s="1"/>
  <c r="I7971" s="1"/>
  <c r="I7972" s="1"/>
  <c r="I7973" s="1"/>
  <c r="I7974" s="1"/>
  <c r="I7975" s="1"/>
  <c r="I7976" s="1"/>
  <c r="I7977" s="1"/>
  <c r="I7978" s="1"/>
  <c r="I7979" s="1"/>
  <c r="I7980" s="1"/>
  <c r="I7981" s="1"/>
  <c r="I7982" s="1"/>
  <c r="I7983" s="1"/>
  <c r="I7984" s="1"/>
  <c r="I7985" s="1"/>
  <c r="I7986" s="1"/>
  <c r="I7987" s="1"/>
  <c r="I7988" s="1"/>
  <c r="I7989" s="1"/>
  <c r="I7990" s="1"/>
  <c r="I7991" s="1"/>
  <c r="I7992" s="1"/>
  <c r="I7993" s="1"/>
  <c r="I7994" s="1"/>
  <c r="I7995" s="1"/>
  <c r="I7996" s="1"/>
  <c r="I7997" s="1"/>
  <c r="I7998" s="1"/>
  <c r="I7999" s="1"/>
  <c r="I8000" s="1"/>
  <c r="I8001" s="1"/>
  <c r="I8002" s="1"/>
  <c r="I8003" s="1"/>
  <c r="I8004" s="1"/>
  <c r="I8005" s="1"/>
  <c r="I8006" s="1"/>
  <c r="I8007" s="1"/>
  <c r="I8008" s="1"/>
  <c r="I8009" s="1"/>
  <c r="I8010" s="1"/>
  <c r="I8011" s="1"/>
  <c r="I8012" s="1"/>
  <c r="I8013" s="1"/>
  <c r="I8014" s="1"/>
  <c r="I8015" s="1"/>
  <c r="I8016" s="1"/>
  <c r="I8017" s="1"/>
  <c r="I8018" s="1"/>
  <c r="I8019" s="1"/>
  <c r="I8020" s="1"/>
  <c r="I8021" s="1"/>
  <c r="I8022" s="1"/>
  <c r="I8023" s="1"/>
  <c r="I8024" s="1"/>
  <c r="I8025" s="1"/>
  <c r="I8026" s="1"/>
  <c r="I8027" s="1"/>
  <c r="I8028" s="1"/>
  <c r="I8029" s="1"/>
  <c r="I8030" s="1"/>
  <c r="I8031" s="1"/>
  <c r="I8032" s="1"/>
  <c r="I8033" s="1"/>
  <c r="I8034" s="1"/>
  <c r="I8035" s="1"/>
  <c r="I8036" s="1"/>
  <c r="I8037" s="1"/>
  <c r="I8038" s="1"/>
  <c r="I8039" s="1"/>
  <c r="I8040" s="1"/>
  <c r="I8041" s="1"/>
  <c r="I8042" s="1"/>
  <c r="I8043" s="1"/>
  <c r="I8044" s="1"/>
  <c r="I8045" s="1"/>
  <c r="I8046" s="1"/>
  <c r="I8047" s="1"/>
  <c r="I8048" s="1"/>
  <c r="I8049" s="1"/>
  <c r="I8050" s="1"/>
  <c r="I8051" s="1"/>
  <c r="I8052" s="1"/>
  <c r="I8053" s="1"/>
  <c r="I8054" s="1"/>
  <c r="I8055" s="1"/>
  <c r="I8056" s="1"/>
  <c r="I8057" s="1"/>
  <c r="I8058" s="1"/>
  <c r="I8059" s="1"/>
  <c r="I8060" s="1"/>
  <c r="I8061" s="1"/>
  <c r="I8062" s="1"/>
  <c r="I8063" s="1"/>
  <c r="I8064" s="1"/>
  <c r="I8065" s="1"/>
  <c r="I8066" s="1"/>
  <c r="I8067" s="1"/>
  <c r="I8068" s="1"/>
  <c r="I8069" s="1"/>
  <c r="I8070" s="1"/>
  <c r="I8071" s="1"/>
  <c r="I8072" s="1"/>
  <c r="I8073" s="1"/>
  <c r="I8074" s="1"/>
  <c r="I8075" s="1"/>
  <c r="I8076" s="1"/>
  <c r="I8077" s="1"/>
  <c r="I8078" s="1"/>
  <c r="I8079" s="1"/>
  <c r="I8080" s="1"/>
  <c r="I8081" s="1"/>
  <c r="I8082" s="1"/>
  <c r="I8083" s="1"/>
  <c r="I8084" s="1"/>
  <c r="I8085" s="1"/>
  <c r="I8086" s="1"/>
  <c r="I8087" s="1"/>
  <c r="I8088" s="1"/>
  <c r="I8089" s="1"/>
  <c r="I8090" s="1"/>
  <c r="I8091" s="1"/>
  <c r="I8092" s="1"/>
  <c r="I8093" s="1"/>
  <c r="I8094" s="1"/>
  <c r="I8095" s="1"/>
  <c r="I8096" s="1"/>
  <c r="I8097" s="1"/>
  <c r="I8098" s="1"/>
  <c r="I8099" s="1"/>
  <c r="I8100" s="1"/>
  <c r="I8101" s="1"/>
  <c r="I8102" s="1"/>
  <c r="I8103" s="1"/>
  <c r="I8104" s="1"/>
  <c r="I8105" s="1"/>
  <c r="I8106" s="1"/>
  <c r="I8107" s="1"/>
  <c r="I8108" s="1"/>
  <c r="I8109" s="1"/>
  <c r="I8110" s="1"/>
  <c r="I8111" s="1"/>
  <c r="I8112" s="1"/>
  <c r="I8113" s="1"/>
  <c r="I8114" s="1"/>
  <c r="I8115" s="1"/>
  <c r="I8116" s="1"/>
  <c r="I8117" s="1"/>
  <c r="I8118" s="1"/>
  <c r="I8119" s="1"/>
  <c r="I8120" s="1"/>
  <c r="I8121" s="1"/>
  <c r="I8122" s="1"/>
  <c r="I8123" s="1"/>
  <c r="I8124" s="1"/>
  <c r="I8125" s="1"/>
  <c r="I8126" s="1"/>
  <c r="I8127" s="1"/>
  <c r="I8128" s="1"/>
  <c r="I8129" s="1"/>
  <c r="I8130" s="1"/>
  <c r="I8131" s="1"/>
  <c r="I8132" s="1"/>
  <c r="I8133" s="1"/>
  <c r="I8134" s="1"/>
  <c r="I8135" s="1"/>
  <c r="I8136" s="1"/>
  <c r="I8137" s="1"/>
  <c r="I8138" s="1"/>
  <c r="I8139" s="1"/>
  <c r="I8140" s="1"/>
  <c r="I8141" s="1"/>
  <c r="I8142" s="1"/>
  <c r="I8143" s="1"/>
  <c r="I8144" s="1"/>
  <c r="I8145" s="1"/>
  <c r="I8146" s="1"/>
  <c r="I8147" s="1"/>
  <c r="I8148" s="1"/>
  <c r="I8149" s="1"/>
  <c r="I8150" s="1"/>
  <c r="I8151" s="1"/>
  <c r="I8152" s="1"/>
  <c r="I8153" s="1"/>
  <c r="I8154" s="1"/>
  <c r="I8155" s="1"/>
  <c r="I8156" s="1"/>
  <c r="I8157" s="1"/>
  <c r="I8158" s="1"/>
  <c r="I8159" s="1"/>
  <c r="I8160" s="1"/>
  <c r="I8161" s="1"/>
  <c r="I8162" s="1"/>
  <c r="I8163" s="1"/>
  <c r="I8164" s="1"/>
  <c r="I8165" s="1"/>
  <c r="I8166" s="1"/>
  <c r="I8167" s="1"/>
  <c r="I8168" s="1"/>
  <c r="I8169" s="1"/>
  <c r="I8170" s="1"/>
  <c r="I8171" s="1"/>
  <c r="I8172" s="1"/>
  <c r="I8173" s="1"/>
  <c r="I8174" s="1"/>
  <c r="I8175" s="1"/>
  <c r="I8176" s="1"/>
  <c r="I8177" s="1"/>
  <c r="I8178" s="1"/>
  <c r="I8179" s="1"/>
  <c r="I8180" s="1"/>
  <c r="I8181" s="1"/>
  <c r="I8182" s="1"/>
  <c r="I8183" s="1"/>
  <c r="I8184" s="1"/>
  <c r="I8185" s="1"/>
  <c r="I8186" s="1"/>
  <c r="I8187" s="1"/>
  <c r="I8188" s="1"/>
  <c r="I8189" s="1"/>
  <c r="I8190" s="1"/>
  <c r="I8191" s="1"/>
  <c r="I8192" s="1"/>
  <c r="I8193" s="1"/>
  <c r="I8194" s="1"/>
  <c r="I8195" s="1"/>
  <c r="I8196" s="1"/>
  <c r="I8197" s="1"/>
  <c r="I8198" s="1"/>
  <c r="I8199" s="1"/>
  <c r="I8200" s="1"/>
  <c r="I8201" s="1"/>
  <c r="I8202" s="1"/>
  <c r="I8203" s="1"/>
  <c r="I8204" s="1"/>
  <c r="I8205" s="1"/>
  <c r="I8206" s="1"/>
  <c r="I8207" s="1"/>
  <c r="I8208" s="1"/>
  <c r="I8209" s="1"/>
  <c r="I8210" s="1"/>
  <c r="I8211" s="1"/>
  <c r="I8212" s="1"/>
  <c r="I8213" s="1"/>
  <c r="I8214" s="1"/>
  <c r="I8215" s="1"/>
  <c r="I8216" s="1"/>
  <c r="I8217" s="1"/>
  <c r="I8218" s="1"/>
  <c r="I8219" s="1"/>
  <c r="I8220" s="1"/>
  <c r="I8221" s="1"/>
  <c r="I8222" s="1"/>
  <c r="I8223" s="1"/>
  <c r="I8224" s="1"/>
  <c r="I8225" s="1"/>
  <c r="I8226" s="1"/>
  <c r="I8227" s="1"/>
  <c r="I8228" s="1"/>
  <c r="I8229" s="1"/>
  <c r="I8230" s="1"/>
  <c r="I8231" s="1"/>
  <c r="I8232" s="1"/>
  <c r="I8233" s="1"/>
  <c r="I8234" s="1"/>
  <c r="I8235" s="1"/>
  <c r="I8236" s="1"/>
  <c r="I8237" s="1"/>
  <c r="I8238" s="1"/>
  <c r="I8239" s="1"/>
  <c r="I8240" s="1"/>
  <c r="I8241" s="1"/>
  <c r="I8242" s="1"/>
  <c r="I8243" s="1"/>
  <c r="I8244" s="1"/>
  <c r="I8245" s="1"/>
  <c r="I8246" s="1"/>
  <c r="I8247" s="1"/>
  <c r="I8248" s="1"/>
  <c r="I8249" s="1"/>
  <c r="I8250" s="1"/>
  <c r="I8251" s="1"/>
  <c r="I8252" s="1"/>
  <c r="I8253" s="1"/>
  <c r="I8254" s="1"/>
  <c r="I8255" s="1"/>
  <c r="I8256" s="1"/>
  <c r="I8257" s="1"/>
  <c r="I8258" s="1"/>
  <c r="I8259" s="1"/>
  <c r="I8260" s="1"/>
  <c r="I8261" s="1"/>
  <c r="I8262" s="1"/>
  <c r="I8263" s="1"/>
  <c r="I8264" s="1"/>
  <c r="I8265" s="1"/>
  <c r="I8266" s="1"/>
  <c r="I8267" s="1"/>
  <c r="I8268" s="1"/>
  <c r="I8269" s="1"/>
  <c r="I8270" s="1"/>
  <c r="I8271" s="1"/>
  <c r="I8272" s="1"/>
  <c r="I8273" s="1"/>
  <c r="I8274" s="1"/>
  <c r="I8275" s="1"/>
  <c r="I8276" s="1"/>
  <c r="I8277" s="1"/>
  <c r="I8278" s="1"/>
  <c r="I8279" s="1"/>
  <c r="I8280" s="1"/>
  <c r="I8281" s="1"/>
  <c r="I8282" s="1"/>
  <c r="I8283" s="1"/>
  <c r="I8284" s="1"/>
  <c r="I8285" s="1"/>
  <c r="I8286" s="1"/>
  <c r="I8287" s="1"/>
  <c r="I8288" s="1"/>
  <c r="I8289" s="1"/>
  <c r="I8290" s="1"/>
  <c r="I8291" s="1"/>
  <c r="I8292" s="1"/>
  <c r="I8293" s="1"/>
  <c r="I8294" s="1"/>
  <c r="I8295" s="1"/>
  <c r="I8296" s="1"/>
  <c r="I8297" s="1"/>
  <c r="I8298" s="1"/>
  <c r="I8299" s="1"/>
  <c r="I8300" s="1"/>
  <c r="I8301" s="1"/>
  <c r="I8302" s="1"/>
  <c r="I8303" s="1"/>
  <c r="I8304" s="1"/>
  <c r="I8305" s="1"/>
  <c r="I8306" s="1"/>
  <c r="I8307" s="1"/>
  <c r="I8308" s="1"/>
  <c r="I8309" s="1"/>
  <c r="I8310" s="1"/>
  <c r="I8311" s="1"/>
  <c r="I8312" s="1"/>
  <c r="I8313" s="1"/>
  <c r="I8314" s="1"/>
  <c r="I8315" s="1"/>
  <c r="I8316" s="1"/>
  <c r="I8317" s="1"/>
  <c r="I8318" s="1"/>
  <c r="I8319" s="1"/>
  <c r="I8320" s="1"/>
  <c r="I8321" s="1"/>
  <c r="I8322" s="1"/>
  <c r="I8323" s="1"/>
  <c r="I8324" s="1"/>
  <c r="I8325" s="1"/>
  <c r="I8326" s="1"/>
  <c r="I8327" s="1"/>
  <c r="I8328" s="1"/>
  <c r="I8329" s="1"/>
  <c r="I8330" s="1"/>
  <c r="I8331" s="1"/>
  <c r="I8332" s="1"/>
  <c r="I8333" s="1"/>
  <c r="I8334" s="1"/>
  <c r="I8335" s="1"/>
  <c r="I8336" s="1"/>
  <c r="I8337" s="1"/>
  <c r="I8338" s="1"/>
  <c r="I8339" s="1"/>
  <c r="I8340" s="1"/>
  <c r="I8341" s="1"/>
  <c r="I8342" s="1"/>
  <c r="I8343" s="1"/>
  <c r="I8344" s="1"/>
  <c r="I8345" s="1"/>
  <c r="I8346" s="1"/>
  <c r="I8347" s="1"/>
  <c r="I8348" s="1"/>
  <c r="I8349" s="1"/>
  <c r="I8350" s="1"/>
  <c r="I8351" s="1"/>
  <c r="I8352" s="1"/>
  <c r="I8353" s="1"/>
  <c r="I8354" s="1"/>
  <c r="I8355" s="1"/>
  <c r="I8356" s="1"/>
  <c r="I8357" s="1"/>
  <c r="I8358" s="1"/>
  <c r="I8359" s="1"/>
  <c r="I8360" s="1"/>
  <c r="I8361" s="1"/>
  <c r="I8362" s="1"/>
  <c r="I8363" s="1"/>
  <c r="I8364" s="1"/>
  <c r="I8365" s="1"/>
  <c r="I8366" s="1"/>
  <c r="I8367" s="1"/>
  <c r="I8368" s="1"/>
  <c r="I8369" s="1"/>
  <c r="I8370" s="1"/>
  <c r="I8371" s="1"/>
  <c r="I8372" s="1"/>
  <c r="I8373" s="1"/>
  <c r="I8374" s="1"/>
  <c r="I8375" s="1"/>
  <c r="I8376" s="1"/>
  <c r="I8377" s="1"/>
  <c r="I8378" s="1"/>
  <c r="I8379" s="1"/>
  <c r="I8380" s="1"/>
  <c r="I8381" s="1"/>
  <c r="I8382" s="1"/>
  <c r="I8383" s="1"/>
  <c r="I8384" s="1"/>
  <c r="I8385" s="1"/>
  <c r="I8386" s="1"/>
  <c r="I8387" s="1"/>
  <c r="I8388" s="1"/>
  <c r="I8389" s="1"/>
  <c r="I8390" s="1"/>
  <c r="I8391" s="1"/>
  <c r="I8392" s="1"/>
  <c r="I8393" s="1"/>
  <c r="I8394" s="1"/>
  <c r="I8395" s="1"/>
  <c r="I8396" s="1"/>
  <c r="I8397" s="1"/>
  <c r="I8398" s="1"/>
  <c r="I8399" s="1"/>
  <c r="I8400" s="1"/>
  <c r="I8401" s="1"/>
  <c r="I8402" s="1"/>
  <c r="I8403" s="1"/>
  <c r="I8404" s="1"/>
  <c r="I8405" s="1"/>
  <c r="I8406" s="1"/>
  <c r="I8407" s="1"/>
  <c r="I8408" s="1"/>
  <c r="I8409" s="1"/>
  <c r="I8410" s="1"/>
  <c r="I8411" s="1"/>
  <c r="I8412" s="1"/>
  <c r="I8413" s="1"/>
  <c r="I8414" s="1"/>
  <c r="I8415" s="1"/>
  <c r="I8416" s="1"/>
  <c r="I8417" s="1"/>
  <c r="I8418" s="1"/>
  <c r="I8419" s="1"/>
  <c r="I8420" s="1"/>
  <c r="I8421" s="1"/>
  <c r="I8422" s="1"/>
  <c r="I8423" s="1"/>
  <c r="I8424" s="1"/>
  <c r="I8425" s="1"/>
  <c r="I8426" s="1"/>
  <c r="I8427" s="1"/>
  <c r="I8428" s="1"/>
  <c r="I8429" s="1"/>
  <c r="I8430" s="1"/>
  <c r="I8431" s="1"/>
  <c r="I8432" s="1"/>
  <c r="I8433" s="1"/>
  <c r="I8434" s="1"/>
  <c r="I8435" s="1"/>
  <c r="I8436" s="1"/>
  <c r="I8437" s="1"/>
  <c r="I8438" s="1"/>
  <c r="I8439" s="1"/>
  <c r="I8440" s="1"/>
  <c r="I8441" s="1"/>
  <c r="I8442" s="1"/>
  <c r="I8443" s="1"/>
  <c r="I8444" s="1"/>
  <c r="I8445" s="1"/>
  <c r="I8446" s="1"/>
  <c r="I8447" s="1"/>
  <c r="I8448" s="1"/>
  <c r="I8449" s="1"/>
  <c r="I8450" s="1"/>
  <c r="I8451" s="1"/>
  <c r="I8452" s="1"/>
  <c r="I8453" s="1"/>
  <c r="I8454" s="1"/>
  <c r="I8455" s="1"/>
  <c r="I8456" s="1"/>
  <c r="I8457" s="1"/>
  <c r="I8458" s="1"/>
  <c r="I8459" s="1"/>
  <c r="I8460" s="1"/>
  <c r="I8461" s="1"/>
  <c r="I8462" s="1"/>
  <c r="I8463" s="1"/>
  <c r="I8464" s="1"/>
  <c r="I8465" s="1"/>
  <c r="I8466" s="1"/>
  <c r="I8467" s="1"/>
  <c r="I8468" s="1"/>
  <c r="I8469" s="1"/>
  <c r="I8470" s="1"/>
  <c r="I8471" s="1"/>
  <c r="I8472" s="1"/>
  <c r="I8473" s="1"/>
  <c r="I8474" s="1"/>
  <c r="I8475" s="1"/>
  <c r="I8476" s="1"/>
  <c r="I8477" s="1"/>
  <c r="I8478" s="1"/>
  <c r="I8479" s="1"/>
  <c r="I8480" s="1"/>
  <c r="I8481" s="1"/>
  <c r="I8482" s="1"/>
  <c r="I8483" s="1"/>
  <c r="I8484" s="1"/>
  <c r="I8485" s="1"/>
  <c r="I8486" s="1"/>
  <c r="I8487" s="1"/>
  <c r="I8488" s="1"/>
  <c r="I8489" s="1"/>
  <c r="I8490" s="1"/>
  <c r="I8491" s="1"/>
  <c r="I8492" s="1"/>
  <c r="I8493" s="1"/>
  <c r="I8494" s="1"/>
  <c r="I8495" s="1"/>
  <c r="I8496" s="1"/>
  <c r="I8497" s="1"/>
  <c r="I8498" s="1"/>
  <c r="I8499" s="1"/>
  <c r="I8500" s="1"/>
  <c r="I8501" s="1"/>
  <c r="I8502" s="1"/>
  <c r="I8503" s="1"/>
  <c r="I8504" s="1"/>
  <c r="I8505" s="1"/>
  <c r="I8506" s="1"/>
  <c r="I8507" s="1"/>
  <c r="I8508" s="1"/>
  <c r="I8509" s="1"/>
  <c r="I8510" s="1"/>
  <c r="I8511" s="1"/>
  <c r="I8512" s="1"/>
  <c r="I8513" s="1"/>
  <c r="I8514" s="1"/>
  <c r="I8515" s="1"/>
  <c r="I8516" s="1"/>
  <c r="I8517" s="1"/>
  <c r="I8518" s="1"/>
  <c r="I8519" s="1"/>
  <c r="I8520" s="1"/>
  <c r="I8521" s="1"/>
  <c r="I8522" s="1"/>
  <c r="I8523" s="1"/>
  <c r="I8524" s="1"/>
  <c r="I8525" s="1"/>
  <c r="I8526" s="1"/>
  <c r="I8527" s="1"/>
  <c r="I8528" s="1"/>
  <c r="I8529" s="1"/>
  <c r="I8530" s="1"/>
  <c r="I8531" s="1"/>
  <c r="I8532" s="1"/>
  <c r="I8533" s="1"/>
  <c r="I8534" s="1"/>
  <c r="I8535" s="1"/>
  <c r="I8536" s="1"/>
  <c r="I8537" s="1"/>
  <c r="I8538" s="1"/>
  <c r="I8539" s="1"/>
  <c r="I8540" s="1"/>
  <c r="I8541" s="1"/>
  <c r="I8542" s="1"/>
  <c r="I8543" s="1"/>
  <c r="I8544" s="1"/>
  <c r="I8545" s="1"/>
  <c r="I8546" s="1"/>
  <c r="I8547" s="1"/>
  <c r="I8548" s="1"/>
  <c r="I8549" s="1"/>
  <c r="I8550" s="1"/>
  <c r="I8551" s="1"/>
  <c r="I8552" s="1"/>
  <c r="I8553" s="1"/>
  <c r="I8554" s="1"/>
  <c r="I8555" s="1"/>
  <c r="I8556" s="1"/>
  <c r="I8557" s="1"/>
  <c r="I8558" s="1"/>
  <c r="I8559" s="1"/>
  <c r="I8560" s="1"/>
  <c r="I8561" s="1"/>
  <c r="I8562" s="1"/>
  <c r="I8563" s="1"/>
  <c r="I8564" s="1"/>
  <c r="I8565" s="1"/>
  <c r="I8566" s="1"/>
  <c r="I8567" s="1"/>
  <c r="I8568" s="1"/>
  <c r="I8569" s="1"/>
  <c r="I8570" s="1"/>
  <c r="I8571" s="1"/>
  <c r="I8572" s="1"/>
  <c r="I8573" s="1"/>
  <c r="I8574" s="1"/>
  <c r="I8575" s="1"/>
  <c r="I8576" s="1"/>
  <c r="I8577" s="1"/>
  <c r="I8578" s="1"/>
  <c r="I8579" s="1"/>
  <c r="I8580" s="1"/>
  <c r="I8581" s="1"/>
  <c r="I8582" s="1"/>
  <c r="I8583" s="1"/>
  <c r="I8584" s="1"/>
  <c r="I8585" s="1"/>
  <c r="I8586" s="1"/>
  <c r="I8587" s="1"/>
  <c r="I8588" s="1"/>
  <c r="I8589" s="1"/>
  <c r="I8590" s="1"/>
  <c r="I8591" s="1"/>
  <c r="I8592" s="1"/>
  <c r="I8593" s="1"/>
  <c r="I8594" s="1"/>
  <c r="I8595" s="1"/>
  <c r="I8596" s="1"/>
  <c r="I8597" s="1"/>
  <c r="I8598" s="1"/>
  <c r="I8599" s="1"/>
  <c r="I8600" s="1"/>
  <c r="I8601" s="1"/>
  <c r="I8602" s="1"/>
  <c r="I8603" s="1"/>
  <c r="I8604" s="1"/>
  <c r="I8605" s="1"/>
  <c r="I8606" s="1"/>
  <c r="I8607" s="1"/>
  <c r="I8608" s="1"/>
  <c r="I8609" s="1"/>
  <c r="I8610" s="1"/>
  <c r="I8611" s="1"/>
  <c r="I8612" s="1"/>
  <c r="I8613" s="1"/>
  <c r="I8614" s="1"/>
  <c r="I8615" s="1"/>
  <c r="I8616" s="1"/>
  <c r="I8617" s="1"/>
  <c r="I8618" s="1"/>
  <c r="I8619" s="1"/>
  <c r="I8620" s="1"/>
  <c r="I8621" s="1"/>
  <c r="I8622" s="1"/>
  <c r="I8623" s="1"/>
  <c r="I8624" s="1"/>
  <c r="I8625" s="1"/>
  <c r="I8626" s="1"/>
  <c r="I8627" s="1"/>
  <c r="I8628" s="1"/>
  <c r="I8629" s="1"/>
  <c r="I8630" s="1"/>
  <c r="I8631" s="1"/>
  <c r="I8632" s="1"/>
  <c r="I8633" s="1"/>
  <c r="I8634" s="1"/>
  <c r="I8635" s="1"/>
  <c r="I8636" s="1"/>
  <c r="I8637" s="1"/>
  <c r="I8638" s="1"/>
  <c r="I8639" s="1"/>
  <c r="I8640" s="1"/>
  <c r="I8641" s="1"/>
  <c r="I8642" s="1"/>
  <c r="I8643" s="1"/>
  <c r="I8644" s="1"/>
  <c r="I8645" s="1"/>
  <c r="I8646" s="1"/>
  <c r="I8647" s="1"/>
  <c r="I8648" s="1"/>
  <c r="I8649" s="1"/>
  <c r="I8650" s="1"/>
  <c r="I8651" s="1"/>
  <c r="I8652" s="1"/>
  <c r="I8653" s="1"/>
  <c r="I8654" s="1"/>
  <c r="I8655" s="1"/>
  <c r="I8656" s="1"/>
  <c r="I8657" s="1"/>
  <c r="I8658" s="1"/>
  <c r="I8659" s="1"/>
  <c r="I8660" s="1"/>
  <c r="I8661" s="1"/>
  <c r="I8662" s="1"/>
  <c r="I8663" s="1"/>
  <c r="I8664" s="1"/>
  <c r="I8665" s="1"/>
  <c r="I8666" s="1"/>
  <c r="I8667" s="1"/>
  <c r="I8668" s="1"/>
  <c r="I8669" s="1"/>
  <c r="I8670" s="1"/>
  <c r="I8671" s="1"/>
  <c r="I8672" s="1"/>
  <c r="I8673" s="1"/>
  <c r="I8674" s="1"/>
  <c r="I8675" s="1"/>
  <c r="I8676" s="1"/>
  <c r="I8677" s="1"/>
  <c r="I8678" s="1"/>
  <c r="I8679" s="1"/>
  <c r="I8680" s="1"/>
  <c r="I8681" s="1"/>
  <c r="I8682" s="1"/>
  <c r="I8683" s="1"/>
  <c r="I8684" s="1"/>
  <c r="I8685" s="1"/>
  <c r="I8686" s="1"/>
  <c r="I8687" s="1"/>
  <c r="I8688" s="1"/>
  <c r="I8689" s="1"/>
  <c r="I8690" s="1"/>
  <c r="I8691" s="1"/>
  <c r="I8692" s="1"/>
  <c r="I8693" s="1"/>
  <c r="I8694" s="1"/>
  <c r="I8695" s="1"/>
  <c r="I8696" s="1"/>
  <c r="I8697" s="1"/>
  <c r="I8698" s="1"/>
  <c r="I8699" s="1"/>
  <c r="I8700" s="1"/>
  <c r="I8701" s="1"/>
  <c r="I8702" s="1"/>
  <c r="I8703" s="1"/>
  <c r="I8704" s="1"/>
  <c r="I8705" s="1"/>
  <c r="I8706" s="1"/>
  <c r="I8707" s="1"/>
  <c r="I8708" s="1"/>
  <c r="I8709" s="1"/>
  <c r="I8710" s="1"/>
  <c r="I8711" s="1"/>
  <c r="I8712" s="1"/>
  <c r="I8713" s="1"/>
  <c r="I8714" s="1"/>
  <c r="I8715" s="1"/>
  <c r="I8716" s="1"/>
  <c r="I8717" s="1"/>
  <c r="I8718" s="1"/>
  <c r="I8719" s="1"/>
  <c r="I8720" s="1"/>
  <c r="I8721" s="1"/>
  <c r="I8722" s="1"/>
  <c r="I8723" s="1"/>
  <c r="I8724" s="1"/>
  <c r="I8725" s="1"/>
  <c r="I8726" s="1"/>
  <c r="I8727" s="1"/>
  <c r="I8728" s="1"/>
  <c r="I8729" s="1"/>
  <c r="I8730" s="1"/>
  <c r="I8731" s="1"/>
  <c r="I8732" s="1"/>
  <c r="I8733" s="1"/>
  <c r="I8734" s="1"/>
  <c r="I8735" s="1"/>
  <c r="I8736" s="1"/>
  <c r="I8737" s="1"/>
  <c r="I8738" s="1"/>
  <c r="I8739" s="1"/>
  <c r="I8740" s="1"/>
  <c r="I8741" s="1"/>
  <c r="I8742" s="1"/>
  <c r="I8743" s="1"/>
  <c r="I8744" s="1"/>
  <c r="I8745" s="1"/>
  <c r="I8746" s="1"/>
  <c r="I8747" s="1"/>
  <c r="I8748" s="1"/>
  <c r="I8749" s="1"/>
  <c r="I8750" s="1"/>
  <c r="I8751" s="1"/>
  <c r="I8752" s="1"/>
  <c r="I8753" s="1"/>
  <c r="I8754" s="1"/>
  <c r="I8755" s="1"/>
  <c r="I8756" s="1"/>
  <c r="I8757" s="1"/>
  <c r="I8758" s="1"/>
  <c r="I8759" s="1"/>
  <c r="I8760" s="1"/>
  <c r="I8761" s="1"/>
  <c r="I8762" s="1"/>
  <c r="I8763" s="1"/>
  <c r="I8764" s="1"/>
  <c r="I8765" s="1"/>
  <c r="I8766" s="1"/>
  <c r="I8767" s="1"/>
  <c r="I8768" s="1"/>
  <c r="I8769" s="1"/>
  <c r="I8770" s="1"/>
  <c r="I8771" s="1"/>
  <c r="I8772" s="1"/>
  <c r="I8773" s="1"/>
  <c r="I8774" s="1"/>
  <c r="I8775" s="1"/>
  <c r="I8776" s="1"/>
  <c r="I8777" s="1"/>
  <c r="I8778" s="1"/>
  <c r="I8779" s="1"/>
  <c r="I8780" s="1"/>
  <c r="I8781" s="1"/>
  <c r="I8782" s="1"/>
  <c r="I8783" s="1"/>
  <c r="I8784" s="1"/>
  <c r="I8785" s="1"/>
  <c r="I8786" s="1"/>
  <c r="I8787" s="1"/>
  <c r="I8788" s="1"/>
  <c r="I8789" s="1"/>
  <c r="I8790" s="1"/>
  <c r="I8791" s="1"/>
  <c r="I8792" s="1"/>
  <c r="I8793" s="1"/>
  <c r="I8794" s="1"/>
  <c r="I8795" s="1"/>
  <c r="I8796" s="1"/>
  <c r="I8797" s="1"/>
  <c r="I8798" s="1"/>
  <c r="I8799" s="1"/>
  <c r="I8800" s="1"/>
  <c r="I8801" s="1"/>
  <c r="I8802" s="1"/>
  <c r="I8803" s="1"/>
  <c r="I8804" s="1"/>
  <c r="I8805" s="1"/>
  <c r="I8806" s="1"/>
  <c r="I8807" s="1"/>
  <c r="I8808" s="1"/>
  <c r="I8809" s="1"/>
  <c r="I8810" s="1"/>
  <c r="I8811" s="1"/>
  <c r="I8812" s="1"/>
  <c r="I8813" s="1"/>
  <c r="I8814" s="1"/>
  <c r="I8815" s="1"/>
  <c r="I8816" s="1"/>
  <c r="I8817" s="1"/>
  <c r="I8818" s="1"/>
  <c r="I8819" s="1"/>
  <c r="I8820" s="1"/>
  <c r="I8821" s="1"/>
  <c r="I8822" s="1"/>
  <c r="I8823" s="1"/>
  <c r="I8824" s="1"/>
  <c r="I8825" s="1"/>
  <c r="I8826" s="1"/>
  <c r="I8827" s="1"/>
  <c r="I8828" s="1"/>
  <c r="I8829" s="1"/>
  <c r="I8830" s="1"/>
  <c r="I8831" s="1"/>
  <c r="I8832" s="1"/>
  <c r="I8833" s="1"/>
  <c r="I8834" s="1"/>
  <c r="I8835" s="1"/>
  <c r="I8836" s="1"/>
  <c r="I8837" s="1"/>
  <c r="I8838" s="1"/>
  <c r="I8839" s="1"/>
  <c r="I8840" s="1"/>
  <c r="I8841" s="1"/>
  <c r="I8842" s="1"/>
  <c r="I8843" s="1"/>
  <c r="I8844" s="1"/>
  <c r="I8845" s="1"/>
  <c r="I8846" s="1"/>
  <c r="I8847" s="1"/>
  <c r="I8848" s="1"/>
  <c r="I8849" s="1"/>
  <c r="I8850" s="1"/>
  <c r="I8851" s="1"/>
  <c r="I8852" s="1"/>
  <c r="I8853" s="1"/>
  <c r="I8854" s="1"/>
  <c r="I8855" s="1"/>
  <c r="I8856" s="1"/>
  <c r="I8857" s="1"/>
  <c r="I8858" s="1"/>
  <c r="I8859" s="1"/>
  <c r="I8860" s="1"/>
  <c r="I8861" s="1"/>
  <c r="I8862" s="1"/>
  <c r="I8863" s="1"/>
  <c r="I8864" s="1"/>
  <c r="I8865" s="1"/>
  <c r="I8866" s="1"/>
  <c r="I8867" s="1"/>
  <c r="I8868" s="1"/>
  <c r="I8869" s="1"/>
  <c r="I8870" s="1"/>
  <c r="I8871" s="1"/>
  <c r="I8872" s="1"/>
  <c r="I8873" s="1"/>
  <c r="I8874" s="1"/>
  <c r="I8875" s="1"/>
  <c r="I8876" s="1"/>
  <c r="I8877" s="1"/>
  <c r="I8878" s="1"/>
  <c r="I8879" s="1"/>
  <c r="I8880" s="1"/>
  <c r="I8881" s="1"/>
  <c r="I8882" s="1"/>
  <c r="I8883" s="1"/>
  <c r="I8884" s="1"/>
  <c r="I8885" s="1"/>
  <c r="I8886" s="1"/>
  <c r="I8887" s="1"/>
  <c r="I8888" s="1"/>
  <c r="I8889" s="1"/>
  <c r="I8890" s="1"/>
  <c r="I8891" s="1"/>
  <c r="I8892" s="1"/>
  <c r="I8893" s="1"/>
  <c r="I8894" s="1"/>
  <c r="I8895" s="1"/>
  <c r="I8896" s="1"/>
  <c r="I8897" s="1"/>
  <c r="I8898" s="1"/>
  <c r="I8899" s="1"/>
  <c r="I8900" s="1"/>
  <c r="I8901" s="1"/>
  <c r="I8902" s="1"/>
  <c r="I8903" s="1"/>
  <c r="I8904" s="1"/>
  <c r="I8905" s="1"/>
  <c r="I8906" s="1"/>
  <c r="I8907" s="1"/>
  <c r="I8908" s="1"/>
  <c r="I8909" s="1"/>
  <c r="I8910" s="1"/>
  <c r="I8911" s="1"/>
  <c r="I8912" s="1"/>
  <c r="I8913" s="1"/>
  <c r="I8914" s="1"/>
  <c r="I8915" s="1"/>
  <c r="I8916" s="1"/>
  <c r="I8917" s="1"/>
  <c r="I8918" s="1"/>
  <c r="I8919" s="1"/>
  <c r="I8920" s="1"/>
  <c r="I8921" s="1"/>
  <c r="I8922" s="1"/>
  <c r="I8923" s="1"/>
  <c r="I8924" s="1"/>
  <c r="I8925" s="1"/>
  <c r="I8926" s="1"/>
  <c r="I8927" s="1"/>
  <c r="I8928" s="1"/>
  <c r="I8929" s="1"/>
  <c r="I8930" s="1"/>
  <c r="I8931" s="1"/>
  <c r="I8932" s="1"/>
  <c r="I8933" s="1"/>
  <c r="I8934" s="1"/>
  <c r="I8935" s="1"/>
  <c r="I8936" s="1"/>
  <c r="I8937" s="1"/>
  <c r="I8938" s="1"/>
  <c r="I8939" s="1"/>
  <c r="I8940" s="1"/>
  <c r="I8941" s="1"/>
  <c r="I8942" s="1"/>
  <c r="I8943" s="1"/>
  <c r="I8944" s="1"/>
  <c r="I8945" s="1"/>
  <c r="I8946" s="1"/>
  <c r="I8947" s="1"/>
  <c r="I8948" s="1"/>
  <c r="I8949" s="1"/>
  <c r="I8950" s="1"/>
  <c r="I8951" s="1"/>
  <c r="I8952" s="1"/>
  <c r="I8953" s="1"/>
  <c r="I8954" s="1"/>
  <c r="I8955" s="1"/>
  <c r="I8956" s="1"/>
  <c r="I8957" s="1"/>
  <c r="I8958" s="1"/>
  <c r="I8959" s="1"/>
  <c r="I8960" s="1"/>
  <c r="I8961" s="1"/>
  <c r="I8962" s="1"/>
  <c r="I8963" s="1"/>
  <c r="I8964" s="1"/>
  <c r="I8965" s="1"/>
  <c r="I8966" s="1"/>
  <c r="I8967" s="1"/>
  <c r="I8968" s="1"/>
  <c r="I8969" s="1"/>
  <c r="I8970" s="1"/>
  <c r="I8971" s="1"/>
  <c r="I8972" s="1"/>
  <c r="I8973" s="1"/>
  <c r="I8974" s="1"/>
  <c r="I8975" s="1"/>
  <c r="I8976" s="1"/>
  <c r="I8977" s="1"/>
  <c r="I8978" s="1"/>
  <c r="I8979" s="1"/>
  <c r="I8980" s="1"/>
  <c r="I8981" s="1"/>
  <c r="I8982" s="1"/>
  <c r="I8983" s="1"/>
  <c r="I8984" s="1"/>
  <c r="I8985" s="1"/>
  <c r="I8986" s="1"/>
  <c r="I8987" s="1"/>
  <c r="I8988" s="1"/>
  <c r="I8989" s="1"/>
  <c r="I8990" s="1"/>
  <c r="I8991" s="1"/>
  <c r="I8992" s="1"/>
  <c r="I8993" s="1"/>
  <c r="I8994" s="1"/>
  <c r="I8995" s="1"/>
  <c r="I8996" s="1"/>
  <c r="I8997" s="1"/>
  <c r="I8998" s="1"/>
  <c r="I8999" s="1"/>
  <c r="I9000" s="1"/>
  <c r="I9001" s="1"/>
  <c r="I9002" s="1"/>
  <c r="I9003" s="1"/>
  <c r="I9004" s="1"/>
  <c r="I9005" s="1"/>
  <c r="I9006" s="1"/>
  <c r="I9007" s="1"/>
  <c r="I9008" s="1"/>
  <c r="I9009" s="1"/>
  <c r="I9010" s="1"/>
  <c r="I9011" s="1"/>
  <c r="I9012" s="1"/>
  <c r="I9013" s="1"/>
  <c r="I9014" s="1"/>
  <c r="I9015" s="1"/>
  <c r="I9016" s="1"/>
  <c r="I9017" s="1"/>
  <c r="I9018" s="1"/>
  <c r="I9019" s="1"/>
  <c r="I9020" s="1"/>
  <c r="I9021" s="1"/>
  <c r="I9022" s="1"/>
  <c r="I9023" s="1"/>
  <c r="I9024" s="1"/>
  <c r="I9025" s="1"/>
  <c r="I9026" s="1"/>
  <c r="I9027" s="1"/>
  <c r="I9028" s="1"/>
  <c r="I9029" s="1"/>
  <c r="I9030" s="1"/>
  <c r="I9031" s="1"/>
  <c r="I9032" s="1"/>
  <c r="I9033" s="1"/>
  <c r="I9034" s="1"/>
  <c r="I9035" s="1"/>
  <c r="I9036" s="1"/>
  <c r="I9037" s="1"/>
  <c r="I9038" s="1"/>
  <c r="I9039" s="1"/>
  <c r="I9040" s="1"/>
  <c r="I9041" s="1"/>
  <c r="I9042" s="1"/>
  <c r="I9043" s="1"/>
  <c r="I9044" s="1"/>
  <c r="I9045" s="1"/>
  <c r="I9046" s="1"/>
  <c r="I9047" s="1"/>
  <c r="I9048" s="1"/>
  <c r="I9049" s="1"/>
  <c r="I9050" s="1"/>
  <c r="I9051" s="1"/>
  <c r="I9052" s="1"/>
  <c r="I9053" s="1"/>
  <c r="I9054" s="1"/>
  <c r="I9055" s="1"/>
  <c r="I9056" s="1"/>
  <c r="I9057" s="1"/>
  <c r="I9058" s="1"/>
  <c r="I9059" s="1"/>
  <c r="I9060" s="1"/>
  <c r="I9061" s="1"/>
  <c r="I9062" s="1"/>
  <c r="I9063" s="1"/>
  <c r="I9064" s="1"/>
  <c r="I9065" s="1"/>
  <c r="I9066" s="1"/>
  <c r="I9067" s="1"/>
  <c r="I9068" s="1"/>
  <c r="I9069" s="1"/>
  <c r="I9070" s="1"/>
  <c r="I9071" s="1"/>
  <c r="I9072" s="1"/>
  <c r="I9073" s="1"/>
  <c r="I9074" s="1"/>
  <c r="I9075" s="1"/>
  <c r="I9076" s="1"/>
  <c r="I9077" s="1"/>
  <c r="I9078" s="1"/>
  <c r="I9079" s="1"/>
  <c r="I9080" s="1"/>
  <c r="I9081" s="1"/>
  <c r="I9082" s="1"/>
  <c r="I9083" s="1"/>
  <c r="I9084" s="1"/>
  <c r="I9085" s="1"/>
  <c r="I9086" s="1"/>
  <c r="I9087" s="1"/>
  <c r="I9088" s="1"/>
  <c r="I9089" s="1"/>
  <c r="I9090" s="1"/>
  <c r="I9091" s="1"/>
  <c r="I9092" s="1"/>
  <c r="I9093" s="1"/>
  <c r="I9094" s="1"/>
  <c r="I9095" s="1"/>
  <c r="I9096" s="1"/>
  <c r="I9097" s="1"/>
  <c r="I9098" s="1"/>
  <c r="I9099" s="1"/>
  <c r="I9100" s="1"/>
  <c r="I9101" s="1"/>
  <c r="I9102" s="1"/>
  <c r="I9103" s="1"/>
  <c r="I9104" s="1"/>
  <c r="I9105" s="1"/>
  <c r="I9106" s="1"/>
  <c r="I9107" s="1"/>
  <c r="I9108" s="1"/>
  <c r="I9109" s="1"/>
  <c r="I9110" s="1"/>
  <c r="I9111" s="1"/>
  <c r="I9112" s="1"/>
  <c r="I9113" s="1"/>
  <c r="I9114" s="1"/>
  <c r="I9115" s="1"/>
  <c r="I9116" s="1"/>
  <c r="I9117" s="1"/>
  <c r="I9118" s="1"/>
  <c r="I9119" s="1"/>
  <c r="I9120" s="1"/>
  <c r="I9121" s="1"/>
  <c r="I9122" s="1"/>
  <c r="I9123" s="1"/>
  <c r="I9124" s="1"/>
  <c r="I9125" s="1"/>
  <c r="I9126" s="1"/>
  <c r="I9127" s="1"/>
  <c r="I9128" s="1"/>
  <c r="I9129" s="1"/>
  <c r="I9130" s="1"/>
  <c r="I9131" s="1"/>
  <c r="I9132" s="1"/>
  <c r="I9133" s="1"/>
  <c r="I9134" s="1"/>
  <c r="I9135" s="1"/>
  <c r="I9136" s="1"/>
  <c r="I9137" s="1"/>
  <c r="I9138" s="1"/>
  <c r="I9139" s="1"/>
  <c r="I9140" s="1"/>
  <c r="I9141" s="1"/>
  <c r="I9142" s="1"/>
  <c r="I9143" s="1"/>
  <c r="I9144" s="1"/>
  <c r="I9145" s="1"/>
  <c r="I9146" s="1"/>
  <c r="I9147" s="1"/>
  <c r="I9148" s="1"/>
  <c r="I9149" s="1"/>
  <c r="I9150" s="1"/>
  <c r="I9151" s="1"/>
  <c r="I9152" s="1"/>
  <c r="I9153" s="1"/>
  <c r="I9154" s="1"/>
  <c r="I9155" s="1"/>
  <c r="I9156" s="1"/>
  <c r="I9157" s="1"/>
  <c r="I9158" s="1"/>
  <c r="I9159" s="1"/>
  <c r="I9160" s="1"/>
  <c r="I9161" s="1"/>
  <c r="I9162" s="1"/>
  <c r="I9163" s="1"/>
  <c r="I9164" s="1"/>
  <c r="I9165" s="1"/>
  <c r="I9166" s="1"/>
  <c r="I9167" s="1"/>
  <c r="I9168" s="1"/>
  <c r="I9169" s="1"/>
  <c r="I9170" s="1"/>
  <c r="I9171" s="1"/>
  <c r="I9172" s="1"/>
  <c r="I9173" s="1"/>
  <c r="I9174" s="1"/>
  <c r="I9175" s="1"/>
  <c r="I9176" s="1"/>
  <c r="I9177" s="1"/>
  <c r="I9178" s="1"/>
  <c r="I9179" s="1"/>
  <c r="I9180" s="1"/>
  <c r="I9181" s="1"/>
  <c r="I9182" s="1"/>
  <c r="I9183" s="1"/>
  <c r="I9184" s="1"/>
  <c r="I9185" s="1"/>
  <c r="I9186" s="1"/>
  <c r="I9187" s="1"/>
  <c r="I9188" s="1"/>
  <c r="I9189" s="1"/>
  <c r="I9190" s="1"/>
  <c r="I9191" s="1"/>
  <c r="I9192" s="1"/>
  <c r="I9193" s="1"/>
  <c r="I9194" s="1"/>
  <c r="I9195" s="1"/>
  <c r="I9196" s="1"/>
  <c r="I9197" s="1"/>
  <c r="I9198" s="1"/>
  <c r="I9199" s="1"/>
  <c r="I9200" s="1"/>
  <c r="I9201" s="1"/>
  <c r="I9202" s="1"/>
  <c r="I9203" s="1"/>
  <c r="I9204" s="1"/>
  <c r="I9205" s="1"/>
  <c r="I9206" s="1"/>
  <c r="I9207" s="1"/>
  <c r="I9208" s="1"/>
  <c r="I9209" s="1"/>
  <c r="I9210" s="1"/>
  <c r="I9211" s="1"/>
  <c r="I9212" s="1"/>
  <c r="I9213" s="1"/>
  <c r="I9214" s="1"/>
  <c r="I9215" s="1"/>
  <c r="I9216" s="1"/>
  <c r="I9217" s="1"/>
  <c r="I9218" s="1"/>
  <c r="I9219" s="1"/>
  <c r="I9220" s="1"/>
  <c r="I9221" s="1"/>
  <c r="I9222" s="1"/>
  <c r="I9223" s="1"/>
  <c r="I9224" s="1"/>
  <c r="I9225" s="1"/>
  <c r="I9226" s="1"/>
  <c r="I9227" s="1"/>
  <c r="I9228" s="1"/>
  <c r="I9229" s="1"/>
  <c r="I9230" s="1"/>
  <c r="I9231" s="1"/>
  <c r="I9232" s="1"/>
  <c r="I9233" s="1"/>
  <c r="I9234" s="1"/>
  <c r="I9235" s="1"/>
  <c r="I9236" s="1"/>
  <c r="I9237" s="1"/>
  <c r="I9238" s="1"/>
  <c r="I9239" s="1"/>
  <c r="I9240" s="1"/>
  <c r="I9241" s="1"/>
  <c r="I9242" s="1"/>
  <c r="I9243" s="1"/>
  <c r="I9244" s="1"/>
  <c r="I9245" s="1"/>
  <c r="I9246" s="1"/>
  <c r="I9247" s="1"/>
  <c r="I9248" s="1"/>
  <c r="I9249" s="1"/>
  <c r="I9250" s="1"/>
  <c r="I9251" s="1"/>
  <c r="I9252" s="1"/>
  <c r="I9253" s="1"/>
  <c r="I9254" s="1"/>
  <c r="I9255" s="1"/>
  <c r="I9256" s="1"/>
  <c r="I9257" s="1"/>
  <c r="I9258" s="1"/>
  <c r="I9259" s="1"/>
  <c r="I9260" s="1"/>
  <c r="I9261" s="1"/>
  <c r="I9262" s="1"/>
  <c r="I9263" s="1"/>
  <c r="I9264" s="1"/>
  <c r="I9265" s="1"/>
  <c r="I9266" s="1"/>
  <c r="I9267" s="1"/>
  <c r="I9268" s="1"/>
  <c r="I9269" s="1"/>
  <c r="I9270" s="1"/>
  <c r="I9271" s="1"/>
  <c r="I9272" s="1"/>
  <c r="I9273" s="1"/>
  <c r="I9274" s="1"/>
  <c r="I9275" s="1"/>
  <c r="I9276" s="1"/>
  <c r="I9277" s="1"/>
  <c r="I9278" s="1"/>
  <c r="I9279" s="1"/>
  <c r="I9280" s="1"/>
  <c r="I9281" s="1"/>
  <c r="I9282" s="1"/>
  <c r="I9283" s="1"/>
  <c r="I9284" s="1"/>
  <c r="I9285" s="1"/>
  <c r="I9286" s="1"/>
  <c r="I9287" s="1"/>
  <c r="I9288" s="1"/>
  <c r="I9289" s="1"/>
  <c r="I9290" s="1"/>
  <c r="I9291" s="1"/>
  <c r="I9292" s="1"/>
  <c r="I9293" s="1"/>
  <c r="I9294" s="1"/>
  <c r="I9295" s="1"/>
  <c r="I9296" s="1"/>
  <c r="I9297" s="1"/>
  <c r="I9298" s="1"/>
  <c r="I9299" s="1"/>
  <c r="I9300" s="1"/>
  <c r="I9301" s="1"/>
  <c r="I9302" s="1"/>
  <c r="I9303" s="1"/>
  <c r="I9304" s="1"/>
  <c r="I9305" s="1"/>
  <c r="I9306" s="1"/>
  <c r="I9307" s="1"/>
  <c r="I9308" s="1"/>
  <c r="I9309" s="1"/>
  <c r="I9310" s="1"/>
  <c r="I9311" s="1"/>
  <c r="I9312" s="1"/>
  <c r="I9313" s="1"/>
  <c r="I9314" s="1"/>
  <c r="I9315" s="1"/>
  <c r="I9316" s="1"/>
  <c r="I9317" s="1"/>
  <c r="I9318" s="1"/>
  <c r="I9319" s="1"/>
  <c r="I9320" s="1"/>
  <c r="I9321" s="1"/>
  <c r="I9322" s="1"/>
  <c r="I9323" s="1"/>
  <c r="I9324" s="1"/>
  <c r="I9325" s="1"/>
  <c r="I9326" s="1"/>
  <c r="I9327" s="1"/>
  <c r="I9328" s="1"/>
  <c r="I9329" s="1"/>
  <c r="I9330" s="1"/>
  <c r="I9331" s="1"/>
  <c r="I9332" s="1"/>
  <c r="I9333" s="1"/>
  <c r="I9334" s="1"/>
  <c r="I9335" s="1"/>
  <c r="I9336" s="1"/>
  <c r="I9337" s="1"/>
  <c r="I9338" s="1"/>
  <c r="I9339" s="1"/>
  <c r="I9340" s="1"/>
  <c r="I9341" s="1"/>
  <c r="I9342" s="1"/>
  <c r="I9343" s="1"/>
  <c r="I9344" s="1"/>
  <c r="I9345" s="1"/>
  <c r="I9346" s="1"/>
  <c r="I9347" s="1"/>
  <c r="I9348" s="1"/>
  <c r="I9349" s="1"/>
  <c r="I9350" s="1"/>
  <c r="I9351" s="1"/>
  <c r="I9352" s="1"/>
  <c r="I9353" s="1"/>
  <c r="I9354" s="1"/>
  <c r="I9355" s="1"/>
  <c r="I9356" s="1"/>
  <c r="I9357" s="1"/>
  <c r="I9358" s="1"/>
  <c r="I9359" s="1"/>
  <c r="I9360" s="1"/>
  <c r="I9361" s="1"/>
  <c r="I9362" s="1"/>
  <c r="I9363" s="1"/>
  <c r="I9364" s="1"/>
  <c r="I9365" s="1"/>
  <c r="I9366" s="1"/>
  <c r="I9367" s="1"/>
  <c r="I9368" s="1"/>
  <c r="I9369" s="1"/>
  <c r="I9370" s="1"/>
  <c r="I9371" s="1"/>
  <c r="I9372" s="1"/>
  <c r="I9373" s="1"/>
  <c r="I9374" s="1"/>
  <c r="I9375" s="1"/>
  <c r="I9376" s="1"/>
  <c r="I9377" s="1"/>
  <c r="I9378" s="1"/>
  <c r="I9379" s="1"/>
  <c r="I9380" s="1"/>
  <c r="I9381" s="1"/>
  <c r="I9382" s="1"/>
  <c r="I9383" s="1"/>
  <c r="I9384" s="1"/>
  <c r="I9385" s="1"/>
  <c r="I9386" s="1"/>
  <c r="I9387" s="1"/>
  <c r="I9388" s="1"/>
  <c r="I9389" s="1"/>
  <c r="I9390" s="1"/>
  <c r="I9391" s="1"/>
  <c r="I9392" s="1"/>
  <c r="I9393" s="1"/>
  <c r="I9394" s="1"/>
  <c r="I9395" s="1"/>
  <c r="I9396" s="1"/>
  <c r="I9397" s="1"/>
  <c r="I9398" s="1"/>
  <c r="I9399" s="1"/>
  <c r="I9400" s="1"/>
  <c r="I9401" s="1"/>
  <c r="I9402" s="1"/>
  <c r="I9403" s="1"/>
  <c r="I9404" s="1"/>
  <c r="I9405" s="1"/>
  <c r="I9406" s="1"/>
  <c r="I9407" s="1"/>
  <c r="I9408" s="1"/>
  <c r="I9409" s="1"/>
  <c r="I9410" s="1"/>
  <c r="I9411" s="1"/>
  <c r="I9412" s="1"/>
  <c r="I9413" s="1"/>
  <c r="I9414" s="1"/>
  <c r="I9415" s="1"/>
  <c r="I9416" s="1"/>
  <c r="I9417" s="1"/>
  <c r="I9418" s="1"/>
  <c r="I9419" s="1"/>
  <c r="I9420" s="1"/>
  <c r="I9421" s="1"/>
  <c r="I9422" s="1"/>
  <c r="I9423" s="1"/>
  <c r="I9424" s="1"/>
  <c r="I9425" s="1"/>
  <c r="I9426" s="1"/>
  <c r="I9427" s="1"/>
  <c r="I9428" s="1"/>
  <c r="I9429" s="1"/>
  <c r="I9430" s="1"/>
  <c r="I9431" s="1"/>
  <c r="I9432" s="1"/>
  <c r="I9433" s="1"/>
  <c r="I9434" s="1"/>
  <c r="I9435" s="1"/>
  <c r="I9436" s="1"/>
  <c r="I9437" s="1"/>
  <c r="I9438" s="1"/>
  <c r="I9439" s="1"/>
  <c r="I9440" s="1"/>
  <c r="I9441" s="1"/>
  <c r="I9442" s="1"/>
  <c r="I9443" s="1"/>
  <c r="I9444" s="1"/>
  <c r="I9445" s="1"/>
  <c r="I9446" s="1"/>
  <c r="I9447" s="1"/>
  <c r="I9448" s="1"/>
  <c r="I9449" s="1"/>
  <c r="I9450" s="1"/>
  <c r="I9451" s="1"/>
  <c r="I9452" s="1"/>
  <c r="I9453" s="1"/>
  <c r="I9454" s="1"/>
  <c r="I9455" s="1"/>
  <c r="I9456" s="1"/>
  <c r="I9457" s="1"/>
  <c r="I9458" s="1"/>
  <c r="I9459" s="1"/>
  <c r="I9460" s="1"/>
  <c r="I9461" s="1"/>
  <c r="I9462" s="1"/>
  <c r="I9463" s="1"/>
  <c r="I9464" s="1"/>
  <c r="I9465" s="1"/>
  <c r="I9466" s="1"/>
  <c r="I9467" s="1"/>
  <c r="I9468" s="1"/>
  <c r="I9469" s="1"/>
  <c r="I9470" s="1"/>
  <c r="I9471" s="1"/>
  <c r="I9472" s="1"/>
  <c r="I9473" s="1"/>
  <c r="I9474" s="1"/>
  <c r="I9475" s="1"/>
  <c r="I9476" s="1"/>
  <c r="I9477" s="1"/>
  <c r="I9478" s="1"/>
  <c r="I9479" s="1"/>
  <c r="I9480" s="1"/>
  <c r="I9481" s="1"/>
  <c r="I9482" s="1"/>
  <c r="I9483" s="1"/>
  <c r="I9484" s="1"/>
  <c r="I9485" s="1"/>
  <c r="I9486" s="1"/>
  <c r="I9487" s="1"/>
  <c r="I9488" s="1"/>
  <c r="I9489" s="1"/>
  <c r="I9490" s="1"/>
  <c r="I9491" s="1"/>
  <c r="I9492" s="1"/>
  <c r="I9493" s="1"/>
  <c r="I9494" s="1"/>
  <c r="I9495" s="1"/>
  <c r="I9496" s="1"/>
  <c r="I9497" s="1"/>
  <c r="I9498" s="1"/>
  <c r="I9499" s="1"/>
  <c r="I9500" s="1"/>
  <c r="I9501" s="1"/>
  <c r="I9502" s="1"/>
  <c r="I9503" s="1"/>
  <c r="I9504" s="1"/>
  <c r="I9505" s="1"/>
  <c r="I9506" s="1"/>
  <c r="I9507" s="1"/>
  <c r="I9508" s="1"/>
  <c r="I9509" s="1"/>
  <c r="I9510" s="1"/>
  <c r="I9511" s="1"/>
  <c r="I9512" s="1"/>
  <c r="I9513" s="1"/>
  <c r="I9514" s="1"/>
  <c r="I9515" s="1"/>
  <c r="I9516" s="1"/>
  <c r="I9517" s="1"/>
  <c r="I9518" s="1"/>
  <c r="I9519" s="1"/>
  <c r="I9520" s="1"/>
  <c r="I9521" s="1"/>
  <c r="I9522" s="1"/>
  <c r="I9523" s="1"/>
  <c r="I9524" s="1"/>
  <c r="I9525" s="1"/>
  <c r="I9526" s="1"/>
  <c r="I9527" s="1"/>
  <c r="I9528" s="1"/>
  <c r="I9529" s="1"/>
  <c r="I9530" s="1"/>
  <c r="I9531" s="1"/>
  <c r="I9532" s="1"/>
  <c r="I9533" s="1"/>
  <c r="I9534" s="1"/>
  <c r="I9535" s="1"/>
  <c r="I9536" s="1"/>
  <c r="I9537" s="1"/>
  <c r="I9538" s="1"/>
  <c r="I9539" s="1"/>
  <c r="I9540" s="1"/>
  <c r="I9541" s="1"/>
  <c r="I9542" s="1"/>
  <c r="I9543" s="1"/>
  <c r="I9544" s="1"/>
  <c r="I9545" s="1"/>
  <c r="I9546" s="1"/>
  <c r="I9547" s="1"/>
  <c r="I9548" s="1"/>
  <c r="I9549" s="1"/>
  <c r="I9550" s="1"/>
  <c r="I9551" s="1"/>
  <c r="I9552" s="1"/>
  <c r="I9553" s="1"/>
  <c r="I9554" s="1"/>
  <c r="I9555" s="1"/>
  <c r="I9556" s="1"/>
  <c r="I9557" s="1"/>
  <c r="I9558" s="1"/>
  <c r="I9559" s="1"/>
  <c r="I9560" s="1"/>
  <c r="I9561" s="1"/>
  <c r="I9562" s="1"/>
  <c r="I9563" s="1"/>
  <c r="I9564" s="1"/>
  <c r="I9565" s="1"/>
  <c r="I9566" s="1"/>
  <c r="I9567" s="1"/>
  <c r="I9568" s="1"/>
  <c r="I9569" s="1"/>
  <c r="I9570" s="1"/>
  <c r="I9571" s="1"/>
  <c r="I9572" s="1"/>
  <c r="I9573" s="1"/>
  <c r="I9574" s="1"/>
  <c r="I9575" s="1"/>
  <c r="I9576" s="1"/>
  <c r="I9577" s="1"/>
  <c r="I9578" s="1"/>
  <c r="I9579" s="1"/>
  <c r="I9580" s="1"/>
  <c r="I9581" s="1"/>
  <c r="I9582" s="1"/>
  <c r="I9583" s="1"/>
  <c r="I9584" s="1"/>
  <c r="I9585" s="1"/>
  <c r="I9586" s="1"/>
  <c r="I9587" s="1"/>
  <c r="I9588" s="1"/>
  <c r="I9589" s="1"/>
  <c r="I9590" s="1"/>
  <c r="I9591" s="1"/>
  <c r="I9592" s="1"/>
  <c r="I9593" s="1"/>
  <c r="I9594" s="1"/>
  <c r="I9595" s="1"/>
  <c r="I9596" s="1"/>
  <c r="I9597" s="1"/>
  <c r="I9598" s="1"/>
  <c r="I9599" s="1"/>
  <c r="I9600" s="1"/>
  <c r="I9601" s="1"/>
  <c r="I9602" s="1"/>
  <c r="I9603" s="1"/>
  <c r="I9604" s="1"/>
  <c r="I9605" s="1"/>
  <c r="I9606" s="1"/>
  <c r="I9607" s="1"/>
  <c r="I9608" s="1"/>
  <c r="I9609" s="1"/>
  <c r="I9610" s="1"/>
  <c r="I9611" s="1"/>
  <c r="I9612" s="1"/>
  <c r="I9613" s="1"/>
  <c r="I9614" s="1"/>
  <c r="I9615" s="1"/>
  <c r="I9616" s="1"/>
  <c r="I9617" s="1"/>
  <c r="I9618" s="1"/>
  <c r="I9619" s="1"/>
  <c r="I9620" s="1"/>
  <c r="I9621" s="1"/>
  <c r="I9622" s="1"/>
  <c r="I9623" s="1"/>
  <c r="I9624" s="1"/>
  <c r="I9625" s="1"/>
  <c r="I9626" s="1"/>
  <c r="I9627" s="1"/>
  <c r="I9628" s="1"/>
  <c r="I9629" s="1"/>
  <c r="I9630" s="1"/>
  <c r="I9631" s="1"/>
  <c r="I9632" s="1"/>
  <c r="I9633" s="1"/>
  <c r="I9634" s="1"/>
  <c r="I9635" s="1"/>
  <c r="I9636" s="1"/>
  <c r="I9637" s="1"/>
  <c r="I9638" s="1"/>
  <c r="I9639" s="1"/>
  <c r="I9640" s="1"/>
  <c r="I9641" s="1"/>
  <c r="I9642" s="1"/>
  <c r="I9643" s="1"/>
  <c r="I9644" s="1"/>
  <c r="I9645" s="1"/>
  <c r="I9646" s="1"/>
  <c r="I9647" s="1"/>
  <c r="I9648" s="1"/>
  <c r="I9649" s="1"/>
  <c r="I9650" s="1"/>
  <c r="I9651" s="1"/>
  <c r="I9652" s="1"/>
  <c r="I9653" s="1"/>
  <c r="I9654" s="1"/>
  <c r="I9655" s="1"/>
  <c r="I9656" s="1"/>
  <c r="I9657" s="1"/>
  <c r="I9658" s="1"/>
  <c r="I9659" s="1"/>
  <c r="I9660" s="1"/>
  <c r="I9661" s="1"/>
  <c r="I9662" s="1"/>
  <c r="I9663" s="1"/>
  <c r="I9664" s="1"/>
  <c r="I9665" s="1"/>
  <c r="I9666" s="1"/>
  <c r="I9667" s="1"/>
  <c r="I9668" s="1"/>
  <c r="I9669" s="1"/>
  <c r="I9670" s="1"/>
  <c r="I9671" s="1"/>
  <c r="I9672" s="1"/>
  <c r="I9673" s="1"/>
  <c r="I9674" s="1"/>
  <c r="I9675" s="1"/>
  <c r="I9676" s="1"/>
  <c r="I9677" s="1"/>
  <c r="I9678" s="1"/>
  <c r="I9679" s="1"/>
  <c r="I9680" s="1"/>
  <c r="I9681" s="1"/>
  <c r="I9682" s="1"/>
  <c r="I9683" s="1"/>
  <c r="I9684" s="1"/>
  <c r="I9685" s="1"/>
  <c r="I9686" s="1"/>
  <c r="I9687" s="1"/>
  <c r="I9688" s="1"/>
  <c r="I9689" s="1"/>
  <c r="I9690" s="1"/>
  <c r="I9691" s="1"/>
  <c r="I9692" s="1"/>
  <c r="I9693" s="1"/>
  <c r="I9694" s="1"/>
  <c r="I9695" s="1"/>
  <c r="I9696" s="1"/>
  <c r="I9697" s="1"/>
  <c r="I9698" s="1"/>
  <c r="I9699" s="1"/>
  <c r="I9700" s="1"/>
  <c r="I9701" s="1"/>
  <c r="I9702" s="1"/>
  <c r="I9703" s="1"/>
  <c r="I9704" s="1"/>
  <c r="I9705" s="1"/>
  <c r="I9706" s="1"/>
  <c r="I9707" s="1"/>
  <c r="I9708" s="1"/>
  <c r="I9709" s="1"/>
  <c r="I9710" s="1"/>
  <c r="I9711" s="1"/>
  <c r="I9712" s="1"/>
  <c r="I9713" s="1"/>
  <c r="I9714" s="1"/>
  <c r="I9715" s="1"/>
  <c r="I9716" s="1"/>
  <c r="I9717" s="1"/>
  <c r="I9718" s="1"/>
  <c r="I9719" s="1"/>
  <c r="I9720" s="1"/>
  <c r="I9721" s="1"/>
  <c r="I9722" s="1"/>
  <c r="I9723" s="1"/>
  <c r="I9724" s="1"/>
  <c r="I9725" s="1"/>
  <c r="I9726" s="1"/>
  <c r="I9727" s="1"/>
  <c r="I9728" s="1"/>
  <c r="I9729" s="1"/>
  <c r="I9730" s="1"/>
  <c r="I9731" s="1"/>
  <c r="I9732" s="1"/>
  <c r="I9733" s="1"/>
  <c r="I9734" s="1"/>
  <c r="I9735" s="1"/>
  <c r="I9736" s="1"/>
  <c r="I9737" s="1"/>
  <c r="I9738" s="1"/>
  <c r="I9739" s="1"/>
  <c r="I9740" s="1"/>
  <c r="I9741" s="1"/>
  <c r="I9742" s="1"/>
  <c r="I9743" s="1"/>
  <c r="I9744" s="1"/>
  <c r="I9745" s="1"/>
  <c r="I9746" s="1"/>
  <c r="I9747" s="1"/>
  <c r="I9748" s="1"/>
  <c r="I9749" s="1"/>
  <c r="I9750" s="1"/>
  <c r="I9751" s="1"/>
  <c r="I9752" s="1"/>
  <c r="I9753" s="1"/>
  <c r="I9754" s="1"/>
  <c r="I9755" s="1"/>
  <c r="I9756" s="1"/>
  <c r="I9757" s="1"/>
  <c r="I9758" s="1"/>
  <c r="I9759" s="1"/>
  <c r="I9760" s="1"/>
  <c r="I9761" s="1"/>
  <c r="I9762" s="1"/>
  <c r="I9763" s="1"/>
  <c r="I9764" s="1"/>
  <c r="I9765" s="1"/>
  <c r="I9766" s="1"/>
  <c r="I9767" s="1"/>
  <c r="I9768" s="1"/>
  <c r="I9769" s="1"/>
  <c r="I9770" s="1"/>
  <c r="I9771" s="1"/>
  <c r="I9772" s="1"/>
  <c r="I9773" s="1"/>
  <c r="I9774" s="1"/>
  <c r="I9775" s="1"/>
  <c r="I9776" s="1"/>
  <c r="I9777" s="1"/>
  <c r="I9778" s="1"/>
  <c r="I9779" s="1"/>
  <c r="I9780" s="1"/>
  <c r="I9781" s="1"/>
  <c r="I9782" s="1"/>
  <c r="I9783" s="1"/>
  <c r="I9784" s="1"/>
  <c r="I9785" s="1"/>
  <c r="I9786" s="1"/>
  <c r="I9787" s="1"/>
  <c r="I9788" s="1"/>
  <c r="I9789" s="1"/>
  <c r="I9790" s="1"/>
  <c r="I9791" s="1"/>
  <c r="I9792" s="1"/>
  <c r="I9793" s="1"/>
  <c r="I9794" s="1"/>
  <c r="I9795" s="1"/>
  <c r="I9796" s="1"/>
  <c r="I9797" s="1"/>
  <c r="I9798" s="1"/>
  <c r="I9799" s="1"/>
  <c r="I9800" s="1"/>
  <c r="I9801" s="1"/>
  <c r="I9802" s="1"/>
  <c r="I9803" s="1"/>
  <c r="I9804" s="1"/>
  <c r="I9805" s="1"/>
  <c r="I9806" s="1"/>
  <c r="I9807" s="1"/>
  <c r="I9808" s="1"/>
  <c r="I9809" s="1"/>
  <c r="I9810" s="1"/>
  <c r="I9811" s="1"/>
  <c r="I9812" s="1"/>
  <c r="I9813" s="1"/>
  <c r="I9814" s="1"/>
  <c r="I9815" s="1"/>
  <c r="I9816" s="1"/>
  <c r="I9817" s="1"/>
  <c r="I9818" s="1"/>
  <c r="I9819" s="1"/>
  <c r="I9820" s="1"/>
  <c r="I9821" s="1"/>
  <c r="I9822" s="1"/>
  <c r="I9823" s="1"/>
  <c r="I9824" s="1"/>
  <c r="I9825" s="1"/>
  <c r="I9826" s="1"/>
  <c r="I9827" s="1"/>
  <c r="I9828" s="1"/>
  <c r="I9829" s="1"/>
  <c r="I9830" s="1"/>
  <c r="I9831" s="1"/>
  <c r="I9832" s="1"/>
  <c r="I9833" s="1"/>
  <c r="I9834" s="1"/>
  <c r="I9835" s="1"/>
  <c r="I9836" s="1"/>
  <c r="I9837" s="1"/>
  <c r="I9838" s="1"/>
  <c r="I9839" s="1"/>
  <c r="I9840" s="1"/>
  <c r="I9841" s="1"/>
  <c r="I9842" s="1"/>
  <c r="I9843" s="1"/>
  <c r="I9844" s="1"/>
  <c r="I9845" s="1"/>
  <c r="I9846" s="1"/>
  <c r="I9847" s="1"/>
  <c r="I9848" s="1"/>
  <c r="I9849" s="1"/>
  <c r="I9850" s="1"/>
  <c r="I9851" s="1"/>
  <c r="I9852" s="1"/>
  <c r="I9853" s="1"/>
  <c r="I9854" s="1"/>
  <c r="I9855" s="1"/>
  <c r="I9856" s="1"/>
  <c r="I9857" s="1"/>
  <c r="I9858" s="1"/>
  <c r="I9859" s="1"/>
  <c r="I9860" s="1"/>
  <c r="I9861" s="1"/>
  <c r="I9862" s="1"/>
  <c r="I9863" s="1"/>
  <c r="I9864" s="1"/>
  <c r="I9865" s="1"/>
  <c r="I9866" s="1"/>
  <c r="I9867" s="1"/>
  <c r="I9868" s="1"/>
  <c r="I9869" s="1"/>
  <c r="I9870" s="1"/>
  <c r="I9871" s="1"/>
  <c r="I9872" s="1"/>
  <c r="I9873" s="1"/>
  <c r="I9874" s="1"/>
  <c r="I9875" s="1"/>
  <c r="I9876" s="1"/>
  <c r="I9877" s="1"/>
  <c r="I9878" s="1"/>
  <c r="I9879" s="1"/>
  <c r="I9880" s="1"/>
  <c r="I9881" s="1"/>
  <c r="I9882" s="1"/>
  <c r="I9883" s="1"/>
  <c r="I9884" s="1"/>
  <c r="I9885" s="1"/>
  <c r="I9886" s="1"/>
  <c r="I9887" s="1"/>
  <c r="I9888" s="1"/>
  <c r="I9889" s="1"/>
  <c r="I9890" s="1"/>
  <c r="I9891" s="1"/>
  <c r="I9892" s="1"/>
  <c r="I9893" s="1"/>
  <c r="I9894" s="1"/>
  <c r="I9895" s="1"/>
  <c r="I9896" s="1"/>
  <c r="I9897" s="1"/>
  <c r="I9898" s="1"/>
  <c r="I9899" s="1"/>
  <c r="I9900" s="1"/>
  <c r="I9901" s="1"/>
  <c r="I9902" s="1"/>
  <c r="I9903" s="1"/>
  <c r="I9904" s="1"/>
  <c r="I9905" s="1"/>
  <c r="I9906" s="1"/>
  <c r="I9907" s="1"/>
  <c r="I9908" s="1"/>
  <c r="I9909" s="1"/>
  <c r="I9910" s="1"/>
  <c r="I9911" s="1"/>
  <c r="I9912" s="1"/>
  <c r="I9913" s="1"/>
  <c r="I9914" s="1"/>
  <c r="I9915" s="1"/>
  <c r="I9916" s="1"/>
  <c r="I9917" s="1"/>
  <c r="I9918" s="1"/>
  <c r="I9919" s="1"/>
  <c r="I9920" s="1"/>
  <c r="I9921" s="1"/>
  <c r="I9922" s="1"/>
  <c r="I9923" s="1"/>
  <c r="I9924" s="1"/>
  <c r="I9925" s="1"/>
  <c r="I9926" s="1"/>
  <c r="I9927" s="1"/>
  <c r="I9928" s="1"/>
  <c r="I9929" s="1"/>
  <c r="I9930" s="1"/>
  <c r="I9931" s="1"/>
  <c r="I9932" s="1"/>
  <c r="I9933" s="1"/>
  <c r="I9934" s="1"/>
  <c r="I9935" s="1"/>
  <c r="I9936" s="1"/>
  <c r="I9937" s="1"/>
  <c r="I9938" s="1"/>
  <c r="I9939" s="1"/>
  <c r="I9940" s="1"/>
  <c r="I9941" s="1"/>
  <c r="I9942" s="1"/>
  <c r="I9943" s="1"/>
  <c r="I9944" s="1"/>
  <c r="I9945" s="1"/>
  <c r="I9946" s="1"/>
  <c r="I9947" s="1"/>
  <c r="I9948" s="1"/>
  <c r="I9949" s="1"/>
  <c r="I9950" s="1"/>
  <c r="I9951" s="1"/>
  <c r="I9952" s="1"/>
  <c r="I9953" s="1"/>
  <c r="I9954" s="1"/>
  <c r="I9955" s="1"/>
  <c r="I9956" s="1"/>
  <c r="I9957" s="1"/>
  <c r="I9958" s="1"/>
  <c r="I9959" s="1"/>
  <c r="I9960" s="1"/>
  <c r="I9961" s="1"/>
  <c r="I9962" s="1"/>
  <c r="I9963" s="1"/>
  <c r="I9964" s="1"/>
  <c r="I9965" s="1"/>
  <c r="I9966" s="1"/>
  <c r="I9967" s="1"/>
  <c r="I9968" s="1"/>
  <c r="I9969" s="1"/>
  <c r="I9970" s="1"/>
  <c r="I9971" s="1"/>
  <c r="I9972" s="1"/>
  <c r="I9973" s="1"/>
  <c r="I9974" s="1"/>
  <c r="I9975" s="1"/>
  <c r="I9976" s="1"/>
  <c r="I9977" s="1"/>
  <c r="I9978" s="1"/>
  <c r="I9979" s="1"/>
  <c r="I9980" s="1"/>
  <c r="I9981" s="1"/>
  <c r="I9982" s="1"/>
  <c r="I9983" s="1"/>
  <c r="I9984" s="1"/>
  <c r="I9985" s="1"/>
  <c r="I9986" s="1"/>
  <c r="I9987" s="1"/>
  <c r="I9988" s="1"/>
  <c r="I9989" s="1"/>
  <c r="I9990" s="1"/>
  <c r="I9991" s="1"/>
  <c r="I9992" s="1"/>
  <c r="I9993" s="1"/>
  <c r="I9994" s="1"/>
  <c r="I9995" s="1"/>
  <c r="I9996" s="1"/>
  <c r="I9997" s="1"/>
  <c r="I9998" s="1"/>
  <c r="I9999" s="1"/>
  <c r="I10000" s="1"/>
  <c r="I10001" s="1"/>
  <c r="I10002" s="1"/>
  <c r="I10003" s="1"/>
  <c r="I10004" s="1"/>
  <c r="I10005" s="1"/>
  <c r="I10006" s="1"/>
  <c r="I10007" s="1"/>
  <c r="I10008" s="1"/>
  <c r="H10008"/>
  <c r="J10007"/>
  <c r="H10007"/>
  <c r="J10006"/>
  <c r="H10006"/>
  <c r="J10005"/>
  <c r="H10005"/>
  <c r="J10004"/>
  <c r="H10004"/>
  <c r="J10003"/>
  <c r="H10003"/>
  <c r="J10002"/>
  <c r="H10002"/>
  <c r="J10001"/>
  <c r="H10001"/>
  <c r="J10000"/>
  <c r="H10000"/>
  <c r="J9999"/>
  <c r="H9999"/>
  <c r="J9998"/>
  <c r="H9998"/>
  <c r="J9997"/>
  <c r="H9997"/>
  <c r="J9996"/>
  <c r="H9996"/>
  <c r="J9995"/>
  <c r="H9995"/>
  <c r="J9994"/>
  <c r="H9994"/>
  <c r="J9993"/>
  <c r="H9993"/>
  <c r="J9992"/>
  <c r="H9992"/>
  <c r="J9991"/>
  <c r="H9991"/>
  <c r="J9990"/>
  <c r="H9990"/>
  <c r="J9989"/>
  <c r="H9989"/>
  <c r="J9988"/>
  <c r="H9988"/>
  <c r="J9987"/>
  <c r="H9987"/>
  <c r="J9986"/>
  <c r="H9986"/>
  <c r="J9985"/>
  <c r="H9985"/>
  <c r="J9984"/>
  <c r="H9984"/>
  <c r="J9983"/>
  <c r="H9983"/>
  <c r="J9982"/>
  <c r="H9982"/>
  <c r="J9981"/>
  <c r="H9981"/>
  <c r="J9980"/>
  <c r="H9980"/>
  <c r="J9979"/>
  <c r="H9979"/>
  <c r="J9978"/>
  <c r="H9978"/>
  <c r="J9977"/>
  <c r="H9977"/>
  <c r="J9976"/>
  <c r="H9976"/>
  <c r="J9975"/>
  <c r="H9975"/>
  <c r="J9974"/>
  <c r="H9974"/>
  <c r="J9973"/>
  <c r="H9973"/>
  <c r="J9972"/>
  <c r="H9972"/>
  <c r="J9971"/>
  <c r="H9971"/>
  <c r="J9970"/>
  <c r="H9970"/>
  <c r="J9969"/>
  <c r="H9969"/>
  <c r="J9968"/>
  <c r="H9968"/>
  <c r="J9967"/>
  <c r="H9967"/>
  <c r="J9966"/>
  <c r="H9966"/>
  <c r="J9965"/>
  <c r="H9965"/>
  <c r="J9964"/>
  <c r="H9964"/>
  <c r="J9963"/>
  <c r="H9963"/>
  <c r="J9962"/>
  <c r="H9962"/>
  <c r="J9961"/>
  <c r="H9961"/>
  <c r="J9960"/>
  <c r="H9960"/>
  <c r="J9959"/>
  <c r="H9959"/>
  <c r="J9958"/>
  <c r="H9958"/>
  <c r="J9957"/>
  <c r="H9957"/>
  <c r="J9956"/>
  <c r="H9956"/>
  <c r="J9955"/>
  <c r="H9955"/>
  <c r="J9954"/>
  <c r="H9954"/>
  <c r="J9953"/>
  <c r="H9953"/>
  <c r="J9952"/>
  <c r="H9952"/>
  <c r="J9951"/>
  <c r="H9951"/>
  <c r="J9950"/>
  <c r="H9950"/>
  <c r="J9949"/>
  <c r="H9949"/>
  <c r="J9948"/>
  <c r="H9948"/>
  <c r="J9947"/>
  <c r="H9947"/>
  <c r="J9946"/>
  <c r="H9946"/>
  <c r="J9945"/>
  <c r="H9945"/>
  <c r="J9944"/>
  <c r="H9944"/>
  <c r="J9943"/>
  <c r="H9943"/>
  <c r="J9942"/>
  <c r="H9942"/>
  <c r="J9941"/>
  <c r="H9941"/>
  <c r="J9940"/>
  <c r="H9940"/>
  <c r="J9939"/>
  <c r="H9939"/>
  <c r="J9938"/>
  <c r="H9938"/>
  <c r="J9937"/>
  <c r="H9937"/>
  <c r="J9936"/>
  <c r="H9936"/>
  <c r="J9935"/>
  <c r="H9935"/>
  <c r="J9934"/>
  <c r="H9934"/>
  <c r="J9933"/>
  <c r="H9933"/>
  <c r="J9932"/>
  <c r="H9932"/>
  <c r="J9931"/>
  <c r="H9931"/>
  <c r="J9930"/>
  <c r="H9930"/>
  <c r="J9929"/>
  <c r="H9929"/>
  <c r="J9928"/>
  <c r="H9928"/>
  <c r="J9927"/>
  <c r="H9927"/>
  <c r="J9926"/>
  <c r="H9926"/>
  <c r="J9925"/>
  <c r="H9925"/>
  <c r="J9924"/>
  <c r="H9924"/>
  <c r="J9923"/>
  <c r="H9923"/>
  <c r="J9922"/>
  <c r="H9922"/>
  <c r="J9921"/>
  <c r="H9921"/>
  <c r="J9920"/>
  <c r="H9920"/>
  <c r="J9919"/>
  <c r="H9919"/>
  <c r="J9918"/>
  <c r="H9918"/>
  <c r="J9917"/>
  <c r="H9917"/>
  <c r="J9916"/>
  <c r="H9916"/>
  <c r="J9915"/>
  <c r="H9915"/>
  <c r="J9914"/>
  <c r="H9914"/>
  <c r="J9913"/>
  <c r="H9913"/>
  <c r="J9912"/>
  <c r="H9912"/>
  <c r="J9911"/>
  <c r="H9911"/>
  <c r="J9910"/>
  <c r="H9910"/>
  <c r="J9909"/>
  <c r="H9909"/>
  <c r="J9908"/>
  <c r="H9908"/>
  <c r="J9907"/>
  <c r="H9907"/>
  <c r="J9906"/>
  <c r="H9906"/>
  <c r="J9905"/>
  <c r="H9905"/>
  <c r="J9904"/>
  <c r="H9904"/>
  <c r="J9903"/>
  <c r="H9903"/>
  <c r="J9902"/>
  <c r="H9902"/>
  <c r="J9901"/>
  <c r="H9901"/>
  <c r="J9900"/>
  <c r="H9900"/>
  <c r="J9899"/>
  <c r="H9899"/>
  <c r="J9898"/>
  <c r="H9898"/>
  <c r="J9897"/>
  <c r="H9897"/>
  <c r="J9896"/>
  <c r="H9896"/>
  <c r="J9895"/>
  <c r="H9895"/>
  <c r="J9894"/>
  <c r="H9894"/>
  <c r="J9893"/>
  <c r="H9893"/>
  <c r="J9892"/>
  <c r="H9892"/>
  <c r="J9891"/>
  <c r="H9891"/>
  <c r="J9890"/>
  <c r="H9890"/>
  <c r="J9889"/>
  <c r="H9889"/>
  <c r="J9888"/>
  <c r="H9888"/>
  <c r="J9887"/>
  <c r="H9887"/>
  <c r="J9886"/>
  <c r="H9886"/>
  <c r="J9885"/>
  <c r="H9885"/>
  <c r="J9884"/>
  <c r="H9884"/>
  <c r="J9883"/>
  <c r="H9883"/>
  <c r="J9882"/>
  <c r="H9882"/>
  <c r="J9881"/>
  <c r="H9881"/>
  <c r="J9880"/>
  <c r="H9880"/>
  <c r="J9879"/>
  <c r="H9879"/>
  <c r="J9878"/>
  <c r="H9878"/>
  <c r="J9877"/>
  <c r="H9877"/>
  <c r="J9876"/>
  <c r="H9876"/>
  <c r="J9875"/>
  <c r="H9875"/>
  <c r="J9874"/>
  <c r="H9874"/>
  <c r="J9873"/>
  <c r="H9873"/>
  <c r="J9872"/>
  <c r="H9872"/>
  <c r="J9871"/>
  <c r="H9871"/>
  <c r="J9870"/>
  <c r="H9870"/>
  <c r="J9869"/>
  <c r="H9869"/>
  <c r="J9868"/>
  <c r="H9868"/>
  <c r="J9867"/>
  <c r="H9867"/>
  <c r="J9866"/>
  <c r="H9866"/>
  <c r="J9865"/>
  <c r="H9865"/>
  <c r="J9864"/>
  <c r="H9864"/>
  <c r="J9863"/>
  <c r="H9863"/>
  <c r="J9862"/>
  <c r="H9862"/>
  <c r="J9861"/>
  <c r="H9861"/>
  <c r="J9860"/>
  <c r="H9860"/>
  <c r="J9859"/>
  <c r="H9859"/>
  <c r="J9858"/>
  <c r="H9858"/>
  <c r="J9857"/>
  <c r="H9857"/>
  <c r="J9856"/>
  <c r="H9856"/>
  <c r="J9855"/>
  <c r="H9855"/>
  <c r="J9854"/>
  <c r="H9854"/>
  <c r="J9853"/>
  <c r="H9853"/>
  <c r="J9852"/>
  <c r="H9852"/>
  <c r="J9851"/>
  <c r="H9851"/>
  <c r="J9850"/>
  <c r="H9850"/>
  <c r="J9849"/>
  <c r="H9849"/>
  <c r="J9848"/>
  <c r="H9848"/>
  <c r="J9847"/>
  <c r="H9847"/>
  <c r="J9846"/>
  <c r="H9846"/>
  <c r="J9845"/>
  <c r="H9845"/>
  <c r="J9844"/>
  <c r="H9844"/>
  <c r="J9843"/>
  <c r="H9843"/>
  <c r="J9842"/>
  <c r="H9842"/>
  <c r="J9841"/>
  <c r="H9841"/>
  <c r="J9840"/>
  <c r="H9840"/>
  <c r="J9839"/>
  <c r="H9839"/>
  <c r="J9838"/>
  <c r="H9838"/>
  <c r="J9837"/>
  <c r="H9837"/>
  <c r="J9836"/>
  <c r="H9836"/>
  <c r="J9835"/>
  <c r="H9835"/>
  <c r="J9834"/>
  <c r="H9834"/>
  <c r="J9833"/>
  <c r="H9833"/>
  <c r="J9832"/>
  <c r="H9832"/>
  <c r="J9831"/>
  <c r="H9831"/>
  <c r="J9830"/>
  <c r="H9830"/>
  <c r="J9829"/>
  <c r="H9829"/>
  <c r="J9828"/>
  <c r="H9828"/>
  <c r="J9827"/>
  <c r="H9827"/>
  <c r="J9826"/>
  <c r="H9826"/>
  <c r="J9825"/>
  <c r="H9825"/>
  <c r="J9824"/>
  <c r="H9824"/>
  <c r="J9823"/>
  <c r="H9823"/>
  <c r="J9822"/>
  <c r="H9822"/>
  <c r="J9821"/>
  <c r="H9821"/>
  <c r="J9820"/>
  <c r="H9820"/>
  <c r="J9819"/>
  <c r="H9819"/>
  <c r="J9818"/>
  <c r="H9818"/>
  <c r="J9817"/>
  <c r="H9817"/>
  <c r="J9816"/>
  <c r="H9816"/>
  <c r="J9815"/>
  <c r="H9815"/>
  <c r="J9814"/>
  <c r="H9814"/>
  <c r="J9813"/>
  <c r="H9813"/>
  <c r="J9812"/>
  <c r="H9812"/>
  <c r="J9811"/>
  <c r="H9811"/>
  <c r="J9810"/>
  <c r="H9810"/>
  <c r="J9809"/>
  <c r="H9809"/>
  <c r="J9808"/>
  <c r="H9808"/>
  <c r="J9807"/>
  <c r="H9807"/>
  <c r="J9806"/>
  <c r="H9806"/>
  <c r="J9805"/>
  <c r="H9805"/>
  <c r="J9804"/>
  <c r="H9804"/>
  <c r="J9803"/>
  <c r="H9803"/>
  <c r="J9802"/>
  <c r="H9802"/>
  <c r="J9801"/>
  <c r="H9801"/>
  <c r="J9800"/>
  <c r="H9800"/>
  <c r="J9799"/>
  <c r="H9799"/>
  <c r="J9798"/>
  <c r="H9798"/>
  <c r="J9797"/>
  <c r="H9797"/>
  <c r="J9796"/>
  <c r="H9796"/>
  <c r="J9795"/>
  <c r="H9795"/>
  <c r="J9794"/>
  <c r="H9794"/>
  <c r="J9793"/>
  <c r="H9793"/>
  <c r="J9792"/>
  <c r="H9792"/>
  <c r="J9791"/>
  <c r="H9791"/>
  <c r="J9790"/>
  <c r="H9790"/>
  <c r="J9789"/>
  <c r="H9789"/>
  <c r="J9788"/>
  <c r="H9788"/>
  <c r="J9787"/>
  <c r="H9787"/>
  <c r="J9786"/>
  <c r="H9786"/>
  <c r="J9785"/>
  <c r="H9785"/>
  <c r="J9784"/>
  <c r="H9784"/>
  <c r="J9783"/>
  <c r="H9783"/>
  <c r="J9782"/>
  <c r="H9782"/>
  <c r="J9781"/>
  <c r="H9781"/>
  <c r="J9780"/>
  <c r="H9780"/>
  <c r="J9779"/>
  <c r="H9779"/>
  <c r="J9778"/>
  <c r="H9778"/>
  <c r="J9777"/>
  <c r="H9777"/>
  <c r="J9776"/>
  <c r="H9776"/>
  <c r="J9775"/>
  <c r="H9775"/>
  <c r="J9774"/>
  <c r="H9774"/>
  <c r="J9773"/>
  <c r="H9773"/>
  <c r="J9772"/>
  <c r="H9772"/>
  <c r="J9771"/>
  <c r="H9771"/>
  <c r="J9770"/>
  <c r="H9770"/>
  <c r="J9769"/>
  <c r="H9769"/>
  <c r="J9768"/>
  <c r="H9768"/>
  <c r="J9767"/>
  <c r="H9767"/>
  <c r="J9766"/>
  <c r="H9766"/>
  <c r="J9765"/>
  <c r="H9765"/>
  <c r="J9764"/>
  <c r="H9764"/>
  <c r="J9763"/>
  <c r="H9763"/>
  <c r="J9762"/>
  <c r="H9762"/>
  <c r="J9761"/>
  <c r="H9761"/>
  <c r="J9760"/>
  <c r="H9760"/>
  <c r="J9759"/>
  <c r="H9759"/>
  <c r="J9758"/>
  <c r="H9758"/>
  <c r="J9757"/>
  <c r="H9757"/>
  <c r="J9756"/>
  <c r="H9756"/>
  <c r="J9755"/>
  <c r="H9755"/>
  <c r="J9754"/>
  <c r="H9754"/>
  <c r="J9753"/>
  <c r="H9753"/>
  <c r="J9752"/>
  <c r="H9752"/>
  <c r="J9751"/>
  <c r="H9751"/>
  <c r="J9750"/>
  <c r="H9750"/>
  <c r="J9749"/>
  <c r="H9749"/>
  <c r="J9748"/>
  <c r="H9748"/>
  <c r="J9747"/>
  <c r="H9747"/>
  <c r="J9746"/>
  <c r="H9746"/>
  <c r="J9745"/>
  <c r="H9745"/>
  <c r="J9744"/>
  <c r="H9744"/>
  <c r="J9743"/>
  <c r="H9743"/>
  <c r="J9742"/>
  <c r="H9742"/>
  <c r="J9741"/>
  <c r="H9741"/>
  <c r="J9740"/>
  <c r="H9740"/>
  <c r="J9739"/>
  <c r="H9739"/>
  <c r="J9738"/>
  <c r="H9738"/>
  <c r="J9737"/>
  <c r="H9737"/>
  <c r="J9736"/>
  <c r="H9736"/>
  <c r="J9735"/>
  <c r="H9735"/>
  <c r="J9734"/>
  <c r="H9734"/>
  <c r="J9733"/>
  <c r="H9733"/>
  <c r="J9732"/>
  <c r="H9732"/>
  <c r="J9731"/>
  <c r="H9731"/>
  <c r="J9730"/>
  <c r="H9730"/>
  <c r="J9729"/>
  <c r="H9729"/>
  <c r="J9728"/>
  <c r="H9728"/>
  <c r="J9727"/>
  <c r="H9727"/>
  <c r="J9726"/>
  <c r="H9726"/>
  <c r="J9725"/>
  <c r="H9725"/>
  <c r="J9724"/>
  <c r="H9724"/>
  <c r="J9723"/>
  <c r="H9723"/>
  <c r="J9722"/>
  <c r="H9722"/>
  <c r="J9721"/>
  <c r="H9721"/>
  <c r="J9720"/>
  <c r="H9720"/>
  <c r="J9719"/>
  <c r="H9719"/>
  <c r="J9718"/>
  <c r="H9718"/>
  <c r="J9717"/>
  <c r="H9717"/>
  <c r="J9716"/>
  <c r="H9716"/>
  <c r="J9715"/>
  <c r="H9715"/>
  <c r="J9714"/>
  <c r="H9714"/>
  <c r="J9713"/>
  <c r="H9713"/>
  <c r="J9712"/>
  <c r="H9712"/>
  <c r="J9711"/>
  <c r="H9711"/>
  <c r="J9710"/>
  <c r="H9710"/>
  <c r="J9709"/>
  <c r="H9709"/>
  <c r="J9708"/>
  <c r="H9708"/>
  <c r="J9707"/>
  <c r="H9707"/>
  <c r="J9706"/>
  <c r="H9706"/>
  <c r="J9705"/>
  <c r="H9705"/>
  <c r="J9704"/>
  <c r="H9704"/>
  <c r="J9703"/>
  <c r="H9703"/>
  <c r="J9702"/>
  <c r="H9702"/>
  <c r="J9701"/>
  <c r="H9701"/>
  <c r="J9700"/>
  <c r="H9700"/>
  <c r="J9699"/>
  <c r="H9699"/>
  <c r="J9698"/>
  <c r="H9698"/>
  <c r="J9697"/>
  <c r="H9697"/>
  <c r="J9696"/>
  <c r="H9696"/>
  <c r="J9695"/>
  <c r="H9695"/>
  <c r="J9694"/>
  <c r="H9694"/>
  <c r="J9693"/>
  <c r="H9693"/>
  <c r="J9692"/>
  <c r="H9692"/>
  <c r="J9691"/>
  <c r="H9691"/>
  <c r="J9690"/>
  <c r="H9690"/>
  <c r="J9689"/>
  <c r="H9689"/>
  <c r="J9688"/>
  <c r="H9688"/>
  <c r="J9687"/>
  <c r="H9687"/>
  <c r="J9686"/>
  <c r="H9686"/>
  <c r="J9685"/>
  <c r="H9685"/>
  <c r="J9684"/>
  <c r="H9684"/>
  <c r="J9683"/>
  <c r="H9683"/>
  <c r="J9682"/>
  <c r="H9682"/>
  <c r="J9681"/>
  <c r="H9681"/>
  <c r="J9680"/>
  <c r="H9680"/>
  <c r="J9679"/>
  <c r="H9679"/>
  <c r="J9678"/>
  <c r="H9678"/>
  <c r="J9677"/>
  <c r="H9677"/>
  <c r="J9676"/>
  <c r="H9676"/>
  <c r="J9675"/>
  <c r="H9675"/>
  <c r="J9674"/>
  <c r="H9674"/>
  <c r="J9673"/>
  <c r="H9673"/>
  <c r="J9672"/>
  <c r="H9672"/>
  <c r="J9671"/>
  <c r="H9671"/>
  <c r="J9670"/>
  <c r="H9670"/>
  <c r="J9669"/>
  <c r="H9669"/>
  <c r="J9668"/>
  <c r="H9668"/>
  <c r="J9667"/>
  <c r="H9667"/>
  <c r="J9666"/>
  <c r="H9666"/>
  <c r="J9665"/>
  <c r="H9665"/>
  <c r="J9664"/>
  <c r="H9664"/>
  <c r="J9663"/>
  <c r="H9663"/>
  <c r="J9662"/>
  <c r="H9662"/>
  <c r="J9661"/>
  <c r="H9661"/>
  <c r="J9660"/>
  <c r="H9660"/>
  <c r="J9659"/>
  <c r="H9659"/>
  <c r="J9658"/>
  <c r="H9658"/>
  <c r="J9657"/>
  <c r="H9657"/>
  <c r="J9656"/>
  <c r="H9656"/>
  <c r="J9655"/>
  <c r="H9655"/>
  <c r="J9654"/>
  <c r="H9654"/>
  <c r="J9653"/>
  <c r="H9653"/>
  <c r="J9652"/>
  <c r="H9652"/>
  <c r="J9651"/>
  <c r="H9651"/>
  <c r="J9650"/>
  <c r="H9650"/>
  <c r="J9649"/>
  <c r="H9649"/>
  <c r="J9648"/>
  <c r="H9648"/>
  <c r="J9647"/>
  <c r="H9647"/>
  <c r="J9646"/>
  <c r="H9646"/>
  <c r="J9645"/>
  <c r="H9645"/>
  <c r="J9644"/>
  <c r="H9644"/>
  <c r="J9643"/>
  <c r="H9643"/>
  <c r="J9642"/>
  <c r="H9642"/>
  <c r="J9641"/>
  <c r="H9641"/>
  <c r="J9640"/>
  <c r="H9640"/>
  <c r="J9639"/>
  <c r="H9639"/>
  <c r="J9638"/>
  <c r="H9638"/>
  <c r="J9637"/>
  <c r="H9637"/>
  <c r="J9636"/>
  <c r="H9636"/>
  <c r="J9635"/>
  <c r="H9635"/>
  <c r="J9634"/>
  <c r="H9634"/>
  <c r="J9633"/>
  <c r="H9633"/>
  <c r="J9632"/>
  <c r="H9632"/>
  <c r="J9631"/>
  <c r="H9631"/>
  <c r="J9630"/>
  <c r="H9630"/>
  <c r="J9629"/>
  <c r="H9629"/>
  <c r="J9628"/>
  <c r="H9628"/>
  <c r="J9627"/>
  <c r="H9627"/>
  <c r="J9626"/>
  <c r="H9626"/>
  <c r="J9625"/>
  <c r="H9625"/>
  <c r="J9624"/>
  <c r="H9624"/>
  <c r="J9623"/>
  <c r="H9623"/>
  <c r="J9622"/>
  <c r="H9622"/>
  <c r="J9621"/>
  <c r="H9621"/>
  <c r="J9620"/>
  <c r="H9620"/>
  <c r="J9619"/>
  <c r="H9619"/>
  <c r="J9618"/>
  <c r="H9618"/>
  <c r="J9617"/>
  <c r="H9617"/>
  <c r="J9616"/>
  <c r="H9616"/>
  <c r="J9615"/>
  <c r="H9615"/>
  <c r="J9614"/>
  <c r="H9614"/>
  <c r="J9613"/>
  <c r="H9613"/>
  <c r="J9612"/>
  <c r="H9612"/>
  <c r="J9611"/>
  <c r="H9611"/>
  <c r="J9610"/>
  <c r="H9610"/>
  <c r="J9609"/>
  <c r="H9609"/>
  <c r="J9608"/>
  <c r="H9608"/>
  <c r="J9607"/>
  <c r="H9607"/>
  <c r="J9606"/>
  <c r="H9606"/>
  <c r="J9605"/>
  <c r="H9605"/>
  <c r="J9604"/>
  <c r="H9604"/>
  <c r="J9603"/>
  <c r="H9603"/>
  <c r="J9602"/>
  <c r="H9602"/>
  <c r="J9601"/>
  <c r="H9601"/>
  <c r="J9600"/>
  <c r="H9600"/>
  <c r="J9599"/>
  <c r="H9599"/>
  <c r="J9598"/>
  <c r="H9598"/>
  <c r="J9597"/>
  <c r="H9597"/>
  <c r="J9596"/>
  <c r="H9596"/>
  <c r="J9595"/>
  <c r="H9595"/>
  <c r="J9594"/>
  <c r="H9594"/>
  <c r="J9593"/>
  <c r="H9593"/>
  <c r="J9592"/>
  <c r="H9592"/>
  <c r="J9591"/>
  <c r="H9591"/>
  <c r="J9590"/>
  <c r="H9590"/>
  <c r="J9589"/>
  <c r="H9589"/>
  <c r="J9588"/>
  <c r="H9588"/>
  <c r="J9587"/>
  <c r="H9587"/>
  <c r="J9586"/>
  <c r="H9586"/>
  <c r="J9585"/>
  <c r="H9585"/>
  <c r="J9584"/>
  <c r="H9584"/>
  <c r="J9583"/>
  <c r="H9583"/>
  <c r="J9582"/>
  <c r="H9582"/>
  <c r="J9581"/>
  <c r="H9581"/>
  <c r="J9580"/>
  <c r="H9580"/>
  <c r="J9579"/>
  <c r="H9579"/>
  <c r="J9578"/>
  <c r="H9578"/>
  <c r="J9577"/>
  <c r="H9577"/>
  <c r="J9576"/>
  <c r="H9576"/>
  <c r="J9575"/>
  <c r="H9575"/>
  <c r="J9574"/>
  <c r="H9574"/>
  <c r="J9573"/>
  <c r="H9573"/>
  <c r="J9572"/>
  <c r="H9572"/>
  <c r="J9571"/>
  <c r="H9571"/>
  <c r="J9570"/>
  <c r="H9570"/>
  <c r="J9569"/>
  <c r="H9569"/>
  <c r="J9568"/>
  <c r="H9568"/>
  <c r="J9567"/>
  <c r="H9567"/>
  <c r="J9566"/>
  <c r="H9566"/>
  <c r="J9565"/>
  <c r="H9565"/>
  <c r="J9564"/>
  <c r="H9564"/>
  <c r="J9563"/>
  <c r="H9563"/>
  <c r="J9562"/>
  <c r="H9562"/>
  <c r="J9561"/>
  <c r="H9561"/>
  <c r="J9560"/>
  <c r="H9560"/>
  <c r="J9559"/>
  <c r="H9559"/>
  <c r="J9558"/>
  <c r="H9558"/>
  <c r="J9557"/>
  <c r="H9557"/>
  <c r="J9556"/>
  <c r="H9556"/>
  <c r="J9555"/>
  <c r="H9555"/>
  <c r="J9554"/>
  <c r="H9554"/>
  <c r="J9553"/>
  <c r="H9553"/>
  <c r="J9552"/>
  <c r="H9552"/>
  <c r="J9551"/>
  <c r="H9551"/>
  <c r="J9550"/>
  <c r="H9550"/>
  <c r="J9549"/>
  <c r="H9549"/>
  <c r="J9548"/>
  <c r="H9548"/>
  <c r="J9547"/>
  <c r="H9547"/>
  <c r="J9546"/>
  <c r="H9546"/>
  <c r="J9545"/>
  <c r="H9545"/>
  <c r="J9544"/>
  <c r="H9544"/>
  <c r="J9543"/>
  <c r="H9543"/>
  <c r="J9542"/>
  <c r="H9542"/>
  <c r="J9541"/>
  <c r="H9541"/>
  <c r="J9540"/>
  <c r="H9540"/>
  <c r="J9539"/>
  <c r="H9539"/>
  <c r="J9538"/>
  <c r="H9538"/>
  <c r="J9537"/>
  <c r="H9537"/>
  <c r="J9536"/>
  <c r="H9536"/>
  <c r="J9535"/>
  <c r="H9535"/>
  <c r="J9534"/>
  <c r="H9534"/>
  <c r="J9533"/>
  <c r="H9533"/>
  <c r="J9532"/>
  <c r="H9532"/>
  <c r="J9531"/>
  <c r="H9531"/>
  <c r="J9530"/>
  <c r="H9530"/>
  <c r="J9529"/>
  <c r="H9529"/>
  <c r="J9528"/>
  <c r="H9528"/>
  <c r="J9527"/>
  <c r="H9527"/>
  <c r="J9526"/>
  <c r="H9526"/>
  <c r="J9525"/>
  <c r="H9525"/>
  <c r="J9524"/>
  <c r="H9524"/>
  <c r="J9523"/>
  <c r="H9523"/>
  <c r="J9522"/>
  <c r="H9522"/>
  <c r="J9521"/>
  <c r="H9521"/>
  <c r="J9520"/>
  <c r="H9520"/>
  <c r="J9519"/>
  <c r="H9519"/>
  <c r="J9518"/>
  <c r="H9518"/>
  <c r="J9517"/>
  <c r="H9517"/>
  <c r="J9516"/>
  <c r="H9516"/>
  <c r="J9515"/>
  <c r="H9515"/>
  <c r="J9514"/>
  <c r="H9514"/>
  <c r="J9513"/>
  <c r="H9513"/>
  <c r="J9512"/>
  <c r="H9512"/>
  <c r="J9511"/>
  <c r="H9511"/>
  <c r="J9510"/>
  <c r="H9510"/>
  <c r="J9509"/>
  <c r="H9509"/>
  <c r="J9508"/>
  <c r="H9508"/>
  <c r="J9507"/>
  <c r="H9507"/>
  <c r="J9506"/>
  <c r="H9506"/>
  <c r="J9505"/>
  <c r="H9505"/>
  <c r="J9504"/>
  <c r="H9504"/>
  <c r="J9503"/>
  <c r="H9503"/>
  <c r="J9502"/>
  <c r="H9502"/>
  <c r="J9501"/>
  <c r="H9501"/>
  <c r="J9500"/>
  <c r="H9500"/>
  <c r="J9499"/>
  <c r="H9499"/>
  <c r="J9498"/>
  <c r="H9498"/>
  <c r="J9497"/>
  <c r="H9497"/>
  <c r="J9496"/>
  <c r="H9496"/>
  <c r="J9495"/>
  <c r="H9495"/>
  <c r="J9494"/>
  <c r="H9494"/>
  <c r="J9493"/>
  <c r="H9493"/>
  <c r="J9492"/>
  <c r="H9492"/>
  <c r="J9491"/>
  <c r="H9491"/>
  <c r="J9490"/>
  <c r="H9490"/>
  <c r="J9489"/>
  <c r="H9489"/>
  <c r="J9488"/>
  <c r="H9488"/>
  <c r="J9487"/>
  <c r="H9487"/>
  <c r="J9486"/>
  <c r="H9486"/>
  <c r="J9485"/>
  <c r="H9485"/>
  <c r="J9484"/>
  <c r="H9484"/>
  <c r="J9483"/>
  <c r="H9483"/>
  <c r="J9482"/>
  <c r="H9482"/>
  <c r="J9481"/>
  <c r="H9481"/>
  <c r="J9480"/>
  <c r="H9480"/>
  <c r="J9479"/>
  <c r="H9479"/>
  <c r="J9478"/>
  <c r="H9478"/>
  <c r="J9477"/>
  <c r="H9477"/>
  <c r="J9476"/>
  <c r="H9476"/>
  <c r="J9475"/>
  <c r="H9475"/>
  <c r="J9474"/>
  <c r="H9474"/>
  <c r="J9473"/>
  <c r="H9473"/>
  <c r="J9472"/>
  <c r="H9472"/>
  <c r="J9471"/>
  <c r="H9471"/>
  <c r="J9470"/>
  <c r="H9470"/>
  <c r="J9469"/>
  <c r="H9469"/>
  <c r="J9468"/>
  <c r="H9468"/>
  <c r="J9467"/>
  <c r="H9467"/>
  <c r="J9466"/>
  <c r="H9466"/>
  <c r="J9465"/>
  <c r="H9465"/>
  <c r="J9464"/>
  <c r="H9464"/>
  <c r="J9463"/>
  <c r="H9463"/>
  <c r="J9462"/>
  <c r="H9462"/>
  <c r="J9461"/>
  <c r="H9461"/>
  <c r="J9460"/>
  <c r="H9460"/>
  <c r="J9459"/>
  <c r="H9459"/>
  <c r="J9458"/>
  <c r="H9458"/>
  <c r="J9457"/>
  <c r="H9457"/>
  <c r="J9456"/>
  <c r="H9456"/>
  <c r="J9455"/>
  <c r="H9455"/>
  <c r="J9454"/>
  <c r="H9454"/>
  <c r="J9453"/>
  <c r="H9453"/>
  <c r="J9452"/>
  <c r="H9452"/>
  <c r="J9451"/>
  <c r="H9451"/>
  <c r="J9450"/>
  <c r="H9450"/>
  <c r="J9449"/>
  <c r="H9449"/>
  <c r="J9448"/>
  <c r="H9448"/>
  <c r="J9447"/>
  <c r="H9447"/>
  <c r="J9446"/>
  <c r="H9446"/>
  <c r="J9445"/>
  <c r="H9445"/>
  <c r="J9444"/>
  <c r="H9444"/>
  <c r="J9443"/>
  <c r="H9443"/>
  <c r="J9442"/>
  <c r="H9442"/>
  <c r="J9441"/>
  <c r="H9441"/>
  <c r="J9440"/>
  <c r="H9440"/>
  <c r="J9439"/>
  <c r="H9439"/>
  <c r="J9438"/>
  <c r="H9438"/>
  <c r="J9437"/>
  <c r="H9437"/>
  <c r="J9436"/>
  <c r="H9436"/>
  <c r="J9435"/>
  <c r="H9435"/>
  <c r="J9434"/>
  <c r="H9434"/>
  <c r="J9433"/>
  <c r="H9433"/>
  <c r="J9432"/>
  <c r="H9432"/>
  <c r="J9431"/>
  <c r="H9431"/>
  <c r="J9430"/>
  <c r="H9430"/>
  <c r="J9429"/>
  <c r="H9429"/>
  <c r="J9428"/>
  <c r="H9428"/>
  <c r="J9427"/>
  <c r="H9427"/>
  <c r="J9426"/>
  <c r="H9426"/>
  <c r="J9425"/>
  <c r="H9425"/>
  <c r="J9424"/>
  <c r="H9424"/>
  <c r="J9423"/>
  <c r="H9423"/>
  <c r="J9422"/>
  <c r="H9422"/>
  <c r="J9421"/>
  <c r="H9421"/>
  <c r="J9420"/>
  <c r="H9420"/>
  <c r="J9419"/>
  <c r="H9419"/>
  <c r="J9418"/>
  <c r="H9418"/>
  <c r="J9417"/>
  <c r="H9417"/>
  <c r="J9416"/>
  <c r="H9416"/>
  <c r="J9415"/>
  <c r="H9415"/>
  <c r="J9414"/>
  <c r="H9414"/>
  <c r="J9413"/>
  <c r="H9413"/>
  <c r="J9412"/>
  <c r="H9412"/>
  <c r="J9411"/>
  <c r="H9411"/>
  <c r="J9410"/>
  <c r="H9410"/>
  <c r="J9409"/>
  <c r="H9409"/>
  <c r="J9408"/>
  <c r="H9408"/>
  <c r="J9407"/>
  <c r="H9407"/>
  <c r="J9406"/>
  <c r="H9406"/>
  <c r="J9405"/>
  <c r="H9405"/>
  <c r="J9404"/>
  <c r="H9404"/>
  <c r="J9403"/>
  <c r="H9403"/>
  <c r="J9402"/>
  <c r="H9402"/>
  <c r="J9401"/>
  <c r="H9401"/>
  <c r="J9400"/>
  <c r="H9400"/>
  <c r="J9399"/>
  <c r="H9399"/>
  <c r="J9398"/>
  <c r="H9398"/>
  <c r="J9397"/>
  <c r="H9397"/>
  <c r="J9396"/>
  <c r="H9396"/>
  <c r="J9395"/>
  <c r="H9395"/>
  <c r="J9394"/>
  <c r="H9394"/>
  <c r="J9393"/>
  <c r="H9393"/>
  <c r="J9392"/>
  <c r="H9392"/>
  <c r="J9391"/>
  <c r="H9391"/>
  <c r="J9390"/>
  <c r="H9390"/>
  <c r="J9389"/>
  <c r="H9389"/>
  <c r="J9388"/>
  <c r="H9388"/>
  <c r="J9387"/>
  <c r="H9387"/>
  <c r="J9386"/>
  <c r="H9386"/>
  <c r="J9385"/>
  <c r="H9385"/>
  <c r="J9384"/>
  <c r="H9384"/>
  <c r="J9383"/>
  <c r="H9383"/>
  <c r="J9382"/>
  <c r="H9382"/>
  <c r="J9381"/>
  <c r="H9381"/>
  <c r="J9380"/>
  <c r="H9380"/>
  <c r="J9379"/>
  <c r="H9379"/>
  <c r="J9378"/>
  <c r="H9378"/>
  <c r="J9377"/>
  <c r="H9377"/>
  <c r="J9376"/>
  <c r="H9376"/>
  <c r="J9375"/>
  <c r="H9375"/>
  <c r="J9374"/>
  <c r="H9374"/>
  <c r="J9373"/>
  <c r="H9373"/>
  <c r="J9372"/>
  <c r="H9372"/>
  <c r="J9371"/>
  <c r="H9371"/>
  <c r="J9370"/>
  <c r="H9370"/>
  <c r="J9369"/>
  <c r="H9369"/>
  <c r="J9368"/>
  <c r="H9368"/>
  <c r="J9367"/>
  <c r="H9367"/>
  <c r="J9366"/>
  <c r="H9366"/>
  <c r="J9365"/>
  <c r="H9365"/>
  <c r="J9364"/>
  <c r="H9364"/>
  <c r="J9363"/>
  <c r="H9363"/>
  <c r="J9362"/>
  <c r="H9362"/>
  <c r="J9361"/>
  <c r="H9361"/>
  <c r="J9360"/>
  <c r="H9360"/>
  <c r="J9359"/>
  <c r="H9359"/>
  <c r="J9358"/>
  <c r="H9358"/>
  <c r="J9357"/>
  <c r="H9357"/>
  <c r="J9356"/>
  <c r="H9356"/>
  <c r="J9355"/>
  <c r="H9355"/>
  <c r="J9354"/>
  <c r="H9354"/>
  <c r="J9353"/>
  <c r="H9353"/>
  <c r="J9352"/>
  <c r="H9352"/>
  <c r="J9351"/>
  <c r="H9351"/>
  <c r="J9350"/>
  <c r="H9350"/>
  <c r="J9349"/>
  <c r="H9349"/>
  <c r="J9348"/>
  <c r="H9348"/>
  <c r="J9347"/>
  <c r="H9347"/>
  <c r="J9346"/>
  <c r="H9346"/>
  <c r="J9345"/>
  <c r="H9345"/>
  <c r="J9344"/>
  <c r="H9344"/>
  <c r="J9343"/>
  <c r="H9343"/>
  <c r="J9342"/>
  <c r="H9342"/>
  <c r="J9341"/>
  <c r="H9341"/>
  <c r="J9340"/>
  <c r="H9340"/>
  <c r="J9339"/>
  <c r="H9339"/>
  <c r="J9338"/>
  <c r="H9338"/>
  <c r="J9337"/>
  <c r="H9337"/>
  <c r="J9336"/>
  <c r="H9336"/>
  <c r="J9335"/>
  <c r="H9335"/>
  <c r="J9334"/>
  <c r="H9334"/>
  <c r="J9333"/>
  <c r="H9333"/>
  <c r="J9332"/>
  <c r="H9332"/>
  <c r="J9331"/>
  <c r="H9331"/>
  <c r="J9330"/>
  <c r="H9330"/>
  <c r="J9329"/>
  <c r="H9329"/>
  <c r="J9328"/>
  <c r="H9328"/>
  <c r="J9327"/>
  <c r="H9327"/>
  <c r="J9326"/>
  <c r="H9326"/>
  <c r="J9325"/>
  <c r="H9325"/>
  <c r="J9324"/>
  <c r="H9324"/>
  <c r="J9323"/>
  <c r="H9323"/>
  <c r="J9322"/>
  <c r="H9322"/>
  <c r="J9321"/>
  <c r="H9321"/>
  <c r="J9320"/>
  <c r="H9320"/>
  <c r="J9319"/>
  <c r="H9319"/>
  <c r="J9318"/>
  <c r="H9318"/>
  <c r="J9317"/>
  <c r="H9317"/>
  <c r="J9316"/>
  <c r="H9316"/>
  <c r="J9315"/>
  <c r="H9315"/>
  <c r="J9314"/>
  <c r="H9314"/>
  <c r="J9313"/>
  <c r="H9313"/>
  <c r="J9312"/>
  <c r="H9312"/>
  <c r="J9311"/>
  <c r="H9311"/>
  <c r="J9310"/>
  <c r="H9310"/>
  <c r="J9309"/>
  <c r="H9309"/>
  <c r="J9308"/>
  <c r="H9308"/>
  <c r="J9307"/>
  <c r="H9307"/>
  <c r="J9306"/>
  <c r="H9306"/>
  <c r="J9305"/>
  <c r="H9305"/>
  <c r="J9304"/>
  <c r="H9304"/>
  <c r="J9303"/>
  <c r="H9303"/>
  <c r="J9302"/>
  <c r="H9302"/>
  <c r="J9301"/>
  <c r="H9301"/>
  <c r="J9300"/>
  <c r="H9300"/>
  <c r="J9299"/>
  <c r="H9299"/>
  <c r="J9298"/>
  <c r="H9298"/>
  <c r="J9297"/>
  <c r="H9297"/>
  <c r="J9296"/>
  <c r="H9296"/>
  <c r="J9295"/>
  <c r="H9295"/>
  <c r="J9294"/>
  <c r="H9294"/>
  <c r="J9293"/>
  <c r="H9293"/>
  <c r="J9292"/>
  <c r="H9292"/>
  <c r="J9291"/>
  <c r="H9291"/>
  <c r="J9290"/>
  <c r="H9290"/>
  <c r="J9289"/>
  <c r="H9289"/>
  <c r="J9288"/>
  <c r="H9288"/>
  <c r="J9287"/>
  <c r="H9287"/>
  <c r="J9286"/>
  <c r="H9286"/>
  <c r="J9285"/>
  <c r="H9285"/>
  <c r="J9284"/>
  <c r="H9284"/>
  <c r="J9283"/>
  <c r="H9283"/>
  <c r="J9282"/>
  <c r="H9282"/>
  <c r="J9281"/>
  <c r="H9281"/>
  <c r="J9280"/>
  <c r="H9280"/>
  <c r="J9279"/>
  <c r="H9279"/>
  <c r="J9278"/>
  <c r="H9278"/>
  <c r="J9277"/>
  <c r="H9277"/>
  <c r="J9276"/>
  <c r="H9276"/>
  <c r="J9275"/>
  <c r="H9275"/>
  <c r="J9274"/>
  <c r="H9274"/>
  <c r="J9273"/>
  <c r="H9273"/>
  <c r="J9272"/>
  <c r="H9272"/>
  <c r="J9271"/>
  <c r="H9271"/>
  <c r="J9270"/>
  <c r="H9270"/>
  <c r="J9269"/>
  <c r="H9269"/>
  <c r="J9268"/>
  <c r="H9268"/>
  <c r="J9267"/>
  <c r="H9267"/>
  <c r="J9266"/>
  <c r="H9266"/>
  <c r="J9265"/>
  <c r="H9265"/>
  <c r="J9264"/>
  <c r="H9264"/>
  <c r="J9263"/>
  <c r="H9263"/>
  <c r="J9262"/>
  <c r="H9262"/>
  <c r="J9261"/>
  <c r="H9261"/>
  <c r="J9260"/>
  <c r="H9260"/>
  <c r="J9259"/>
  <c r="H9259"/>
  <c r="J9258"/>
  <c r="H9258"/>
  <c r="J9257"/>
  <c r="H9257"/>
  <c r="J9256"/>
  <c r="H9256"/>
  <c r="J9255"/>
  <c r="H9255"/>
  <c r="J9254"/>
  <c r="H9254"/>
  <c r="J9253"/>
  <c r="H9253"/>
  <c r="J9252"/>
  <c r="H9252"/>
  <c r="J9251"/>
  <c r="H9251"/>
  <c r="J9250"/>
  <c r="H9250"/>
  <c r="J9249"/>
  <c r="H9249"/>
  <c r="J9248"/>
  <c r="H9248"/>
  <c r="J9247"/>
  <c r="H9247"/>
  <c r="J9246"/>
  <c r="H9246"/>
  <c r="J9245"/>
  <c r="H9245"/>
  <c r="J9244"/>
  <c r="H9244"/>
  <c r="J9243"/>
  <c r="H9243"/>
  <c r="J9242"/>
  <c r="H9242"/>
  <c r="J9241"/>
  <c r="H9241"/>
  <c r="J9240"/>
  <c r="H9240"/>
  <c r="J9239"/>
  <c r="H9239"/>
  <c r="J9238"/>
  <c r="H9238"/>
  <c r="J9237"/>
  <c r="H9237"/>
  <c r="J9236"/>
  <c r="H9236"/>
  <c r="J9235"/>
  <c r="H9235"/>
  <c r="J9234"/>
  <c r="H9234"/>
  <c r="J9233"/>
  <c r="H9233"/>
  <c r="J9232"/>
  <c r="H9232"/>
  <c r="J9231"/>
  <c r="H9231"/>
  <c r="J9230"/>
  <c r="H9230"/>
  <c r="J9229"/>
  <c r="H9229"/>
  <c r="J9228"/>
  <c r="H9228"/>
  <c r="J9227"/>
  <c r="H9227"/>
  <c r="J9226"/>
  <c r="H9226"/>
  <c r="J9225"/>
  <c r="H9225"/>
  <c r="J9224"/>
  <c r="H9224"/>
  <c r="J9223"/>
  <c r="H9223"/>
  <c r="J9222"/>
  <c r="H9222"/>
  <c r="J9221"/>
  <c r="H9221"/>
  <c r="J9220"/>
  <c r="H9220"/>
  <c r="J9219"/>
  <c r="H9219"/>
  <c r="J9218"/>
  <c r="H9218"/>
  <c r="J9217"/>
  <c r="H9217"/>
  <c r="J9216"/>
  <c r="H9216"/>
  <c r="J9215"/>
  <c r="H9215"/>
  <c r="J9214"/>
  <c r="H9214"/>
  <c r="J9213"/>
  <c r="H9213"/>
  <c r="J9212"/>
  <c r="H9212"/>
  <c r="J9211"/>
  <c r="H9211"/>
  <c r="J9210"/>
  <c r="H9210"/>
  <c r="J9209"/>
  <c r="H9209"/>
  <c r="J9208"/>
  <c r="H9208"/>
  <c r="J9207"/>
  <c r="H9207"/>
  <c r="J9206"/>
  <c r="H9206"/>
  <c r="J9205"/>
  <c r="H9205"/>
  <c r="J9204"/>
  <c r="H9204"/>
  <c r="J9203"/>
  <c r="H9203"/>
  <c r="J9202"/>
  <c r="H9202"/>
  <c r="J9201"/>
  <c r="H9201"/>
  <c r="J9200"/>
  <c r="H9200"/>
  <c r="J9199"/>
  <c r="H9199"/>
  <c r="J9198"/>
  <c r="H9198"/>
  <c r="J9197"/>
  <c r="H9197"/>
  <c r="J9196"/>
  <c r="H9196"/>
  <c r="J9195"/>
  <c r="H9195"/>
  <c r="J9194"/>
  <c r="H9194"/>
  <c r="J9193"/>
  <c r="H9193"/>
  <c r="J9192"/>
  <c r="H9192"/>
  <c r="J9191"/>
  <c r="H9191"/>
  <c r="J9190"/>
  <c r="H9190"/>
  <c r="J9189"/>
  <c r="H9189"/>
  <c r="J9188"/>
  <c r="H9188"/>
  <c r="J9187"/>
  <c r="H9187"/>
  <c r="J9186"/>
  <c r="H9186"/>
  <c r="J9185"/>
  <c r="H9185"/>
  <c r="J9184"/>
  <c r="H9184"/>
  <c r="J9183"/>
  <c r="H9183"/>
  <c r="J9182"/>
  <c r="H9182"/>
  <c r="J9181"/>
  <c r="H9181"/>
  <c r="J9180"/>
  <c r="H9180"/>
  <c r="J9179"/>
  <c r="H9179"/>
  <c r="J9178"/>
  <c r="H9178"/>
  <c r="J9177"/>
  <c r="H9177"/>
  <c r="J9176"/>
  <c r="H9176"/>
  <c r="J9175"/>
  <c r="H9175"/>
  <c r="J9174"/>
  <c r="H9174"/>
  <c r="J9173"/>
  <c r="H9173"/>
  <c r="J9172"/>
  <c r="H9172"/>
  <c r="J9171"/>
  <c r="H9171"/>
  <c r="J9170"/>
  <c r="H9170"/>
  <c r="J9169"/>
  <c r="H9169"/>
  <c r="J9168"/>
  <c r="H9168"/>
  <c r="J9167"/>
  <c r="H9167"/>
  <c r="J9166"/>
  <c r="H9166"/>
  <c r="J9165"/>
  <c r="H9165"/>
  <c r="J9164"/>
  <c r="H9164"/>
  <c r="J9163"/>
  <c r="H9163"/>
  <c r="J9162"/>
  <c r="H9162"/>
  <c r="J9161"/>
  <c r="H9161"/>
  <c r="J9160"/>
  <c r="H9160"/>
  <c r="J9159"/>
  <c r="H9159"/>
  <c r="J9158"/>
  <c r="H9158"/>
  <c r="J9157"/>
  <c r="H9157"/>
  <c r="J9156"/>
  <c r="H9156"/>
  <c r="J9155"/>
  <c r="H9155"/>
  <c r="J9154"/>
  <c r="H9154"/>
  <c r="J9153"/>
  <c r="H9153"/>
  <c r="J9152"/>
  <c r="H9152"/>
  <c r="J9151"/>
  <c r="H9151"/>
  <c r="J9150"/>
  <c r="H9150"/>
  <c r="J9149"/>
  <c r="H9149"/>
  <c r="J9148"/>
  <c r="H9148"/>
  <c r="J9147"/>
  <c r="H9147"/>
  <c r="J9146"/>
  <c r="H9146"/>
  <c r="J9145"/>
  <c r="H9145"/>
  <c r="J9144"/>
  <c r="H9144"/>
  <c r="J9143"/>
  <c r="H9143"/>
  <c r="J9142"/>
  <c r="H9142"/>
  <c r="J9141"/>
  <c r="H9141"/>
  <c r="J9140"/>
  <c r="H9140"/>
  <c r="J9139"/>
  <c r="H9139"/>
  <c r="J9138"/>
  <c r="H9138"/>
  <c r="J9137"/>
  <c r="H9137"/>
  <c r="J9136"/>
  <c r="H9136"/>
  <c r="J9135"/>
  <c r="H9135"/>
  <c r="J9134"/>
  <c r="H9134"/>
  <c r="J9133"/>
  <c r="H9133"/>
  <c r="J9132"/>
  <c r="H9132"/>
  <c r="J9131"/>
  <c r="H9131"/>
  <c r="J9130"/>
  <c r="H9130"/>
  <c r="J9129"/>
  <c r="H9129"/>
  <c r="J9128"/>
  <c r="H9128"/>
  <c r="J9127"/>
  <c r="H9127"/>
  <c r="J9126"/>
  <c r="H9126"/>
  <c r="J9125"/>
  <c r="H9125"/>
  <c r="J9124"/>
  <c r="H9124"/>
  <c r="J9123"/>
  <c r="H9123"/>
  <c r="J9122"/>
  <c r="H9122"/>
  <c r="J9121"/>
  <c r="H9121"/>
  <c r="J9120"/>
  <c r="H9120"/>
  <c r="J9119"/>
  <c r="H9119"/>
  <c r="J9118"/>
  <c r="H9118"/>
  <c r="J9117"/>
  <c r="H9117"/>
  <c r="J9116"/>
  <c r="H9116"/>
  <c r="J9115"/>
  <c r="H9115"/>
  <c r="J9114"/>
  <c r="H9114"/>
  <c r="J9113"/>
  <c r="H9113"/>
  <c r="J9112"/>
  <c r="H9112"/>
  <c r="J9111"/>
  <c r="H9111"/>
  <c r="J9110"/>
  <c r="H9110"/>
  <c r="J9109"/>
  <c r="H9109"/>
  <c r="J9108"/>
  <c r="H9108"/>
  <c r="J9107"/>
  <c r="H9107"/>
  <c r="J9106"/>
  <c r="H9106"/>
  <c r="J9105"/>
  <c r="H9105"/>
  <c r="J9104"/>
  <c r="H9104"/>
  <c r="J9103"/>
  <c r="H9103"/>
  <c r="J9102"/>
  <c r="H9102"/>
  <c r="J9101"/>
  <c r="H9101"/>
  <c r="J9100"/>
  <c r="H9100"/>
  <c r="J9099"/>
  <c r="H9099"/>
  <c r="J9098"/>
  <c r="H9098"/>
  <c r="J9097"/>
  <c r="H9097"/>
  <c r="J9096"/>
  <c r="H9096"/>
  <c r="J9095"/>
  <c r="H9095"/>
  <c r="J9094"/>
  <c r="H9094"/>
  <c r="J9093"/>
  <c r="H9093"/>
  <c r="J9092"/>
  <c r="H9092"/>
  <c r="J9091"/>
  <c r="H9091"/>
  <c r="J9090"/>
  <c r="H9090"/>
  <c r="J9089"/>
  <c r="H9089"/>
  <c r="J9088"/>
  <c r="H9088"/>
  <c r="J9087"/>
  <c r="H9087"/>
  <c r="J9086"/>
  <c r="H9086"/>
  <c r="J9085"/>
  <c r="H9085"/>
  <c r="J9084"/>
  <c r="H9084"/>
  <c r="J9083"/>
  <c r="H9083"/>
  <c r="J9082"/>
  <c r="H9082"/>
  <c r="J9081"/>
  <c r="H9081"/>
  <c r="J9080"/>
  <c r="H9080"/>
  <c r="J9079"/>
  <c r="H9079"/>
  <c r="J9078"/>
  <c r="H9078"/>
  <c r="J9077"/>
  <c r="H9077"/>
  <c r="J9076"/>
  <c r="H9076"/>
  <c r="J9075"/>
  <c r="H9075"/>
  <c r="J9074"/>
  <c r="H9074"/>
  <c r="J9073"/>
  <c r="H9073"/>
  <c r="J9072"/>
  <c r="H9072"/>
  <c r="J9071"/>
  <c r="H9071"/>
  <c r="J9070"/>
  <c r="H9070"/>
  <c r="J9069"/>
  <c r="H9069"/>
  <c r="J9068"/>
  <c r="H9068"/>
  <c r="J9067"/>
  <c r="H9067"/>
  <c r="J9066"/>
  <c r="H9066"/>
  <c r="J9065"/>
  <c r="H9065"/>
  <c r="J9064"/>
  <c r="H9064"/>
  <c r="J9063"/>
  <c r="H9063"/>
  <c r="J9062"/>
  <c r="H9062"/>
  <c r="J9061"/>
  <c r="H9061"/>
  <c r="J9060"/>
  <c r="H9060"/>
  <c r="J9059"/>
  <c r="H9059"/>
  <c r="J9058"/>
  <c r="H9058"/>
  <c r="J9057"/>
  <c r="H9057"/>
  <c r="J9056"/>
  <c r="H9056"/>
  <c r="J9055"/>
  <c r="H9055"/>
  <c r="J9054"/>
  <c r="H9054"/>
  <c r="J9053"/>
  <c r="H9053"/>
  <c r="J9052"/>
  <c r="H9052"/>
  <c r="J9051"/>
  <c r="H9051"/>
  <c r="J9050"/>
  <c r="H9050"/>
  <c r="J9049"/>
  <c r="H9049"/>
  <c r="J9048"/>
  <c r="H9048"/>
  <c r="J9047"/>
  <c r="H9047"/>
  <c r="J9046"/>
  <c r="H9046"/>
  <c r="J9045"/>
  <c r="H9045"/>
  <c r="J9044"/>
  <c r="H9044"/>
  <c r="J9043"/>
  <c r="H9043"/>
  <c r="J9042"/>
  <c r="H9042"/>
  <c r="J9041"/>
  <c r="H9041"/>
  <c r="J9040"/>
  <c r="H9040"/>
  <c r="J9039"/>
  <c r="H9039"/>
  <c r="J9038"/>
  <c r="H9038"/>
  <c r="J9037"/>
  <c r="H9037"/>
  <c r="J9036"/>
  <c r="H9036"/>
  <c r="J9035"/>
  <c r="H9035"/>
  <c r="J9034"/>
  <c r="H9034"/>
  <c r="J9033"/>
  <c r="H9033"/>
  <c r="J9032"/>
  <c r="H9032"/>
  <c r="J9031"/>
  <c r="H9031"/>
  <c r="J9030"/>
  <c r="H9030"/>
  <c r="J9029"/>
  <c r="H9029"/>
  <c r="J9028"/>
  <c r="H9028"/>
  <c r="J9027"/>
  <c r="H9027"/>
  <c r="J9026"/>
  <c r="H9026"/>
  <c r="J9025"/>
  <c r="H9025"/>
  <c r="J9024"/>
  <c r="H9024"/>
  <c r="J9023"/>
  <c r="H9023"/>
  <c r="J9022"/>
  <c r="H9022"/>
  <c r="J9021"/>
  <c r="H9021"/>
  <c r="J9020"/>
  <c r="H9020"/>
  <c r="J9019"/>
  <c r="H9019"/>
  <c r="J9018"/>
  <c r="H9018"/>
  <c r="J9017"/>
  <c r="H9017"/>
  <c r="J9016"/>
  <c r="H9016"/>
  <c r="J9015"/>
  <c r="H9015"/>
  <c r="J9014"/>
  <c r="H9014"/>
  <c r="J9013"/>
  <c r="H9013"/>
  <c r="J9012"/>
  <c r="H9012"/>
  <c r="J9011"/>
  <c r="H9011"/>
  <c r="J9010"/>
  <c r="H9010"/>
  <c r="J9009"/>
  <c r="H9009"/>
  <c r="J9008"/>
  <c r="H9008"/>
  <c r="J9007"/>
  <c r="H9007"/>
  <c r="J9006"/>
  <c r="H9006"/>
  <c r="J9005"/>
  <c r="H9005"/>
  <c r="J9004"/>
  <c r="H9004"/>
  <c r="J9003"/>
  <c r="H9003"/>
  <c r="J9002"/>
  <c r="H9002"/>
  <c r="J9001"/>
  <c r="H9001"/>
  <c r="J9000"/>
  <c r="H9000"/>
  <c r="J8999"/>
  <c r="H8999"/>
  <c r="J8998"/>
  <c r="H8998"/>
  <c r="J8997"/>
  <c r="H8997"/>
  <c r="J8996"/>
  <c r="H8996"/>
  <c r="J8995"/>
  <c r="H8995"/>
  <c r="J8994"/>
  <c r="H8994"/>
  <c r="J8993"/>
  <c r="H8993"/>
  <c r="J8992"/>
  <c r="H8992"/>
  <c r="J8991"/>
  <c r="H8991"/>
  <c r="J8990"/>
  <c r="H8990"/>
  <c r="J8989"/>
  <c r="H8989"/>
  <c r="J8988"/>
  <c r="H8988"/>
  <c r="J8987"/>
  <c r="H8987"/>
  <c r="J8986"/>
  <c r="H8986"/>
  <c r="J8985"/>
  <c r="H8985"/>
  <c r="J8984"/>
  <c r="H8984"/>
  <c r="J8983"/>
  <c r="H8983"/>
  <c r="J8982"/>
  <c r="H8982"/>
  <c r="J8981"/>
  <c r="H8981"/>
  <c r="J8980"/>
  <c r="H8980"/>
  <c r="J8979"/>
  <c r="H8979"/>
  <c r="J8978"/>
  <c r="H8978"/>
  <c r="J8977"/>
  <c r="H8977"/>
  <c r="J8976"/>
  <c r="H8976"/>
  <c r="J8975"/>
  <c r="H8975"/>
  <c r="J8974"/>
  <c r="H8974"/>
  <c r="J8973"/>
  <c r="H8973"/>
  <c r="J8972"/>
  <c r="H8972"/>
  <c r="J8971"/>
  <c r="H8971"/>
  <c r="J8970"/>
  <c r="H8970"/>
  <c r="J8969"/>
  <c r="H8969"/>
  <c r="J8968"/>
  <c r="H8968"/>
  <c r="J8967"/>
  <c r="H8967"/>
  <c r="J8966"/>
  <c r="H8966"/>
  <c r="J8965"/>
  <c r="H8965"/>
  <c r="J8964"/>
  <c r="H8964"/>
  <c r="J8963"/>
  <c r="H8963"/>
  <c r="J8962"/>
  <c r="H8962"/>
  <c r="J8961"/>
  <c r="H8961"/>
  <c r="J8960"/>
  <c r="H8960"/>
  <c r="J8959"/>
  <c r="H8959"/>
  <c r="J8958"/>
  <c r="H8958"/>
  <c r="J8957"/>
  <c r="H8957"/>
  <c r="J8956"/>
  <c r="H8956"/>
  <c r="J8955"/>
  <c r="H8955"/>
  <c r="J8954"/>
  <c r="H8954"/>
  <c r="J8953"/>
  <c r="H8953"/>
  <c r="J8952"/>
  <c r="H8952"/>
  <c r="J8951"/>
  <c r="H8951"/>
  <c r="J8950"/>
  <c r="H8950"/>
  <c r="J8949"/>
  <c r="H8949"/>
  <c r="J8948"/>
  <c r="H8948"/>
  <c r="J8947"/>
  <c r="H8947"/>
  <c r="J8946"/>
  <c r="H8946"/>
  <c r="J8945"/>
  <c r="H8945"/>
  <c r="J8944"/>
  <c r="H8944"/>
  <c r="J8943"/>
  <c r="H8943"/>
  <c r="J8942"/>
  <c r="H8942"/>
  <c r="J8941"/>
  <c r="H8941"/>
  <c r="J8940"/>
  <c r="H8940"/>
  <c r="J8939"/>
  <c r="H8939"/>
  <c r="J8938"/>
  <c r="H8938"/>
  <c r="J8937"/>
  <c r="H8937"/>
  <c r="J8936"/>
  <c r="H8936"/>
  <c r="J8935"/>
  <c r="H8935"/>
  <c r="J8934"/>
  <c r="H8934"/>
  <c r="J8933"/>
  <c r="H8933"/>
  <c r="J8932"/>
  <c r="H8932"/>
  <c r="J8931"/>
  <c r="H8931"/>
  <c r="J8930"/>
  <c r="H8930"/>
  <c r="J8929"/>
  <c r="H8929"/>
  <c r="J8928"/>
  <c r="H8928"/>
  <c r="J8927"/>
  <c r="H8927"/>
  <c r="J8926"/>
  <c r="H8926"/>
  <c r="J8925"/>
  <c r="H8925"/>
  <c r="J8924"/>
  <c r="H8924"/>
  <c r="J8923"/>
  <c r="H8923"/>
  <c r="J8922"/>
  <c r="H8922"/>
  <c r="J8921"/>
  <c r="H8921"/>
  <c r="J8920"/>
  <c r="H8920"/>
  <c r="J8919"/>
  <c r="H8919"/>
  <c r="J8918"/>
  <c r="H8918"/>
  <c r="J8917"/>
  <c r="H8917"/>
  <c r="J8916"/>
  <c r="H8916"/>
  <c r="J8915"/>
  <c r="H8915"/>
  <c r="J8914"/>
  <c r="H8914"/>
  <c r="J8913"/>
  <c r="H8913"/>
  <c r="J8912"/>
  <c r="H8912"/>
  <c r="J8911"/>
  <c r="H8911"/>
  <c r="J8910"/>
  <c r="H8910"/>
  <c r="J8909"/>
  <c r="H8909"/>
  <c r="J8908"/>
  <c r="H8908"/>
  <c r="J8907"/>
  <c r="H8907"/>
  <c r="J8906"/>
  <c r="H8906"/>
  <c r="J8905"/>
  <c r="H8905"/>
  <c r="J8904"/>
  <c r="H8904"/>
  <c r="J8903"/>
  <c r="H8903"/>
  <c r="J8902"/>
  <c r="H8902"/>
  <c r="J8901"/>
  <c r="H8901"/>
  <c r="J8900"/>
  <c r="H8900"/>
  <c r="J8899"/>
  <c r="H8899"/>
  <c r="J8898"/>
  <c r="H8898"/>
  <c r="J8897"/>
  <c r="H8897"/>
  <c r="J8896"/>
  <c r="H8896"/>
  <c r="J8895"/>
  <c r="H8895"/>
  <c r="J8894"/>
  <c r="H8894"/>
  <c r="J8893"/>
  <c r="H8893"/>
  <c r="J8892"/>
  <c r="H8892"/>
  <c r="J8891"/>
  <c r="H8891"/>
  <c r="J8890"/>
  <c r="H8890"/>
  <c r="J8889"/>
  <c r="H8889"/>
  <c r="J8888"/>
  <c r="H8888"/>
  <c r="J8887"/>
  <c r="H8887"/>
  <c r="J8886"/>
  <c r="H8886"/>
  <c r="J8885"/>
  <c r="H8885"/>
  <c r="J8884"/>
  <c r="H8884"/>
  <c r="J8883"/>
  <c r="H8883"/>
  <c r="J8882"/>
  <c r="H8882"/>
  <c r="J8881"/>
  <c r="H8881"/>
  <c r="J8880"/>
  <c r="H8880"/>
  <c r="J8879"/>
  <c r="H8879"/>
  <c r="J8878"/>
  <c r="H8878"/>
  <c r="J8877"/>
  <c r="H8877"/>
  <c r="J8876"/>
  <c r="H8876"/>
  <c r="J8875"/>
  <c r="H8875"/>
  <c r="J8874"/>
  <c r="H8874"/>
  <c r="J8873"/>
  <c r="H8873"/>
  <c r="J8872"/>
  <c r="H8872"/>
  <c r="J8871"/>
  <c r="H8871"/>
  <c r="J8870"/>
  <c r="H8870"/>
  <c r="J8869"/>
  <c r="H8869"/>
  <c r="J8868"/>
  <c r="H8868"/>
  <c r="J8867"/>
  <c r="H8867"/>
  <c r="J8866"/>
  <c r="H8866"/>
  <c r="J8865"/>
  <c r="H8865"/>
  <c r="J8864"/>
  <c r="H8864"/>
  <c r="J8863"/>
  <c r="H8863"/>
  <c r="J8862"/>
  <c r="H8862"/>
  <c r="J8861"/>
  <c r="H8861"/>
  <c r="J8860"/>
  <c r="H8860"/>
  <c r="J8859"/>
  <c r="H8859"/>
  <c r="J8858"/>
  <c r="H8858"/>
  <c r="J8857"/>
  <c r="H8857"/>
  <c r="J8856"/>
  <c r="H8856"/>
  <c r="J8855"/>
  <c r="H8855"/>
  <c r="J8854"/>
  <c r="H8854"/>
  <c r="J8853"/>
  <c r="H8853"/>
  <c r="J8852"/>
  <c r="H8852"/>
  <c r="J8851"/>
  <c r="H8851"/>
  <c r="J8850"/>
  <c r="H8850"/>
  <c r="J8849"/>
  <c r="H8849"/>
  <c r="J8848"/>
  <c r="H8848"/>
  <c r="J8847"/>
  <c r="H8847"/>
  <c r="J8846"/>
  <c r="H8846"/>
  <c r="J8845"/>
  <c r="H8845"/>
  <c r="J8844"/>
  <c r="H8844"/>
  <c r="J8843"/>
  <c r="H8843"/>
  <c r="J8842"/>
  <c r="H8842"/>
  <c r="J8841"/>
  <c r="H8841"/>
  <c r="J8840"/>
  <c r="H8840"/>
  <c r="J8839"/>
  <c r="H8839"/>
  <c r="J8838"/>
  <c r="H8838"/>
  <c r="J8837"/>
  <c r="H8837"/>
  <c r="J8836"/>
  <c r="H8836"/>
  <c r="J8835"/>
  <c r="H8835"/>
  <c r="J8834"/>
  <c r="H8834"/>
  <c r="J8833"/>
  <c r="H8833"/>
  <c r="J8832"/>
  <c r="H8832"/>
  <c r="J8831"/>
  <c r="H8831"/>
  <c r="J8830"/>
  <c r="H8830"/>
  <c r="J8829"/>
  <c r="H8829"/>
  <c r="J8828"/>
  <c r="H8828"/>
  <c r="J8827"/>
  <c r="H8827"/>
  <c r="J8826"/>
  <c r="H8826"/>
  <c r="J8825"/>
  <c r="H8825"/>
  <c r="J8824"/>
  <c r="H8824"/>
  <c r="J8823"/>
  <c r="H8823"/>
  <c r="J8822"/>
  <c r="H8822"/>
  <c r="J8821"/>
  <c r="H8821"/>
  <c r="J8820"/>
  <c r="H8820"/>
  <c r="J8819"/>
  <c r="H8819"/>
  <c r="J8818"/>
  <c r="H8818"/>
  <c r="J8817"/>
  <c r="H8817"/>
  <c r="J8816"/>
  <c r="H8816"/>
  <c r="J8815"/>
  <c r="H8815"/>
  <c r="J8814"/>
  <c r="H8814"/>
  <c r="J8813"/>
  <c r="H8813"/>
  <c r="J8812"/>
  <c r="H8812"/>
  <c r="J8811"/>
  <c r="H8811"/>
  <c r="J8810"/>
  <c r="H8810"/>
  <c r="J8809"/>
  <c r="H8809"/>
  <c r="J8808"/>
  <c r="H8808"/>
  <c r="J8807"/>
  <c r="H8807"/>
  <c r="J8806"/>
  <c r="H8806"/>
  <c r="J8805"/>
  <c r="H8805"/>
  <c r="J8804"/>
  <c r="H8804"/>
  <c r="J8803"/>
  <c r="H8803"/>
  <c r="J8802"/>
  <c r="H8802"/>
  <c r="J8801"/>
  <c r="H8801"/>
  <c r="J8800"/>
  <c r="H8800"/>
  <c r="J8799"/>
  <c r="H8799"/>
  <c r="J8798"/>
  <c r="H8798"/>
  <c r="J8797"/>
  <c r="H8797"/>
  <c r="J8796"/>
  <c r="H8796"/>
  <c r="J8795"/>
  <c r="H8795"/>
  <c r="J8794"/>
  <c r="H8794"/>
  <c r="J8793"/>
  <c r="H8793"/>
  <c r="J8792"/>
  <c r="H8792"/>
  <c r="J8791"/>
  <c r="H8791"/>
  <c r="J8790"/>
  <c r="H8790"/>
  <c r="J8789"/>
  <c r="H8789"/>
  <c r="J8788"/>
  <c r="H8788"/>
  <c r="J8787"/>
  <c r="H8787"/>
  <c r="J8786"/>
  <c r="H8786"/>
  <c r="J8785"/>
  <c r="H8785"/>
  <c r="J8784"/>
  <c r="H8784"/>
  <c r="J8783"/>
  <c r="H8783"/>
  <c r="J8782"/>
  <c r="H8782"/>
  <c r="J8781"/>
  <c r="H8781"/>
  <c r="J8780"/>
  <c r="H8780"/>
  <c r="J8779"/>
  <c r="H8779"/>
  <c r="J8778"/>
  <c r="H8778"/>
  <c r="J8777"/>
  <c r="H8777"/>
  <c r="J8776"/>
  <c r="H8776"/>
  <c r="J8775"/>
  <c r="H8775"/>
  <c r="J8774"/>
  <c r="H8774"/>
  <c r="J8773"/>
  <c r="H8773"/>
  <c r="J8772"/>
  <c r="H8772"/>
  <c r="J8771"/>
  <c r="H8771"/>
  <c r="J8770"/>
  <c r="H8770"/>
  <c r="J8769"/>
  <c r="H8769"/>
  <c r="J8768"/>
  <c r="H8768"/>
  <c r="J8767"/>
  <c r="H8767"/>
  <c r="J8766"/>
  <c r="H8766"/>
  <c r="J8765"/>
  <c r="H8765"/>
  <c r="J8764"/>
  <c r="H8764"/>
  <c r="J8763"/>
  <c r="H8763"/>
  <c r="J8762"/>
  <c r="H8762"/>
  <c r="J8761"/>
  <c r="H8761"/>
  <c r="J8760"/>
  <c r="H8760"/>
  <c r="J8759"/>
  <c r="H8759"/>
  <c r="J8758"/>
  <c r="H8758"/>
  <c r="J8757"/>
  <c r="H8757"/>
  <c r="J8756"/>
  <c r="H8756"/>
  <c r="J8755"/>
  <c r="H8755"/>
  <c r="J8754"/>
  <c r="H8754"/>
  <c r="J8753"/>
  <c r="H8753"/>
  <c r="J8752"/>
  <c r="H8752"/>
  <c r="J8751"/>
  <c r="H8751"/>
  <c r="J8750"/>
  <c r="H8750"/>
  <c r="J8749"/>
  <c r="H8749"/>
  <c r="J8748"/>
  <c r="H8748"/>
  <c r="J8747"/>
  <c r="H8747"/>
  <c r="J8746"/>
  <c r="H8746"/>
  <c r="J8745"/>
  <c r="H8745"/>
  <c r="J8744"/>
  <c r="H8744"/>
  <c r="J8743"/>
  <c r="H8743"/>
  <c r="J8742"/>
  <c r="H8742"/>
  <c r="J8741"/>
  <c r="H8741"/>
  <c r="J8740"/>
  <c r="H8740"/>
  <c r="J8739"/>
  <c r="H8739"/>
  <c r="J8738"/>
  <c r="H8738"/>
  <c r="J8737"/>
  <c r="H8737"/>
  <c r="J8736"/>
  <c r="H8736"/>
  <c r="J8735"/>
  <c r="H8735"/>
  <c r="J8734"/>
  <c r="H8734"/>
  <c r="J8733"/>
  <c r="H8733"/>
  <c r="J8732"/>
  <c r="H8732"/>
  <c r="J8731"/>
  <c r="H8731"/>
  <c r="J8730"/>
  <c r="H8730"/>
  <c r="J8729"/>
  <c r="H8729"/>
  <c r="J8728"/>
  <c r="H8728"/>
  <c r="J8727"/>
  <c r="H8727"/>
  <c r="J8726"/>
  <c r="H8726"/>
  <c r="J8725"/>
  <c r="H8725"/>
  <c r="J8724"/>
  <c r="H8724"/>
  <c r="J8723"/>
  <c r="H8723"/>
  <c r="J8722"/>
  <c r="H8722"/>
  <c r="J8721"/>
  <c r="H8721"/>
  <c r="J8720"/>
  <c r="H8720"/>
  <c r="J8719"/>
  <c r="H8719"/>
  <c r="J8718"/>
  <c r="H8718"/>
  <c r="J8717"/>
  <c r="H8717"/>
  <c r="J8716"/>
  <c r="H8716"/>
  <c r="J8715"/>
  <c r="H8715"/>
  <c r="J8714"/>
  <c r="H8714"/>
  <c r="J8713"/>
  <c r="H8713"/>
  <c r="J8712"/>
  <c r="H8712"/>
  <c r="J8711"/>
  <c r="H8711"/>
  <c r="J8710"/>
  <c r="H8710"/>
  <c r="J8709"/>
  <c r="H8709"/>
  <c r="J8708"/>
  <c r="H8708"/>
  <c r="J8707"/>
  <c r="H8707"/>
  <c r="J8706"/>
  <c r="H8706"/>
  <c r="J8705"/>
  <c r="H8705"/>
  <c r="J8704"/>
  <c r="H8704"/>
  <c r="J8703"/>
  <c r="H8703"/>
  <c r="J8702"/>
  <c r="H8702"/>
  <c r="J8701"/>
  <c r="H8701"/>
  <c r="J8700"/>
  <c r="H8700"/>
  <c r="J8699"/>
  <c r="H8699"/>
  <c r="J8698"/>
  <c r="H8698"/>
  <c r="J8697"/>
  <c r="H8697"/>
  <c r="J8696"/>
  <c r="H8696"/>
  <c r="J8695"/>
  <c r="H8695"/>
  <c r="J8694"/>
  <c r="H8694"/>
  <c r="J8693"/>
  <c r="H8693"/>
  <c r="J8692"/>
  <c r="H8692"/>
  <c r="J8691"/>
  <c r="H8691"/>
  <c r="J8690"/>
  <c r="H8690"/>
  <c r="J8689"/>
  <c r="H8689"/>
  <c r="J8688"/>
  <c r="H8688"/>
  <c r="J8687"/>
  <c r="H8687"/>
  <c r="J8686"/>
  <c r="H8686"/>
  <c r="J8685"/>
  <c r="H8685"/>
  <c r="J8684"/>
  <c r="H8684"/>
  <c r="J8683"/>
  <c r="H8683"/>
  <c r="J8682"/>
  <c r="H8682"/>
  <c r="J8681"/>
  <c r="H8681"/>
  <c r="J8680"/>
  <c r="H8680"/>
  <c r="J8679"/>
  <c r="H8679"/>
  <c r="J8678"/>
  <c r="H8678"/>
  <c r="J8677"/>
  <c r="H8677"/>
  <c r="J8676"/>
  <c r="H8676"/>
  <c r="J8675"/>
  <c r="H8675"/>
  <c r="J8674"/>
  <c r="H8674"/>
  <c r="J8673"/>
  <c r="H8673"/>
  <c r="J8672"/>
  <c r="H8672"/>
  <c r="J8671"/>
  <c r="H8671"/>
  <c r="J8670"/>
  <c r="H8670"/>
  <c r="J8669"/>
  <c r="H8669"/>
  <c r="J8668"/>
  <c r="H8668"/>
  <c r="J8667"/>
  <c r="H8667"/>
  <c r="J8666"/>
  <c r="H8666"/>
  <c r="J8665"/>
  <c r="H8665"/>
  <c r="J8664"/>
  <c r="H8664"/>
  <c r="J8663"/>
  <c r="H8663"/>
  <c r="J8662"/>
  <c r="H8662"/>
  <c r="J8661"/>
  <c r="H8661"/>
  <c r="J8660"/>
  <c r="H8660"/>
  <c r="J8659"/>
  <c r="H8659"/>
  <c r="J8658"/>
  <c r="H8658"/>
  <c r="J8657"/>
  <c r="H8657"/>
  <c r="J8656"/>
  <c r="H8656"/>
  <c r="J8655"/>
  <c r="H8655"/>
  <c r="J8654"/>
  <c r="H8654"/>
  <c r="J8653"/>
  <c r="H8653"/>
  <c r="J8652"/>
  <c r="H8652"/>
  <c r="J8651"/>
  <c r="H8651"/>
  <c r="J8650"/>
  <c r="H8650"/>
  <c r="J8649"/>
  <c r="H8649"/>
  <c r="J8648"/>
  <c r="H8648"/>
  <c r="J8647"/>
  <c r="H8647"/>
  <c r="J8646"/>
  <c r="H8646"/>
  <c r="J8645"/>
  <c r="H8645"/>
  <c r="J8644"/>
  <c r="H8644"/>
  <c r="J8643"/>
  <c r="H8643"/>
  <c r="J8642"/>
  <c r="H8642"/>
  <c r="J8641"/>
  <c r="H8641"/>
  <c r="J8640"/>
  <c r="H8640"/>
  <c r="J8639"/>
  <c r="H8639"/>
  <c r="J8638"/>
  <c r="H8638"/>
  <c r="J8637"/>
  <c r="H8637"/>
  <c r="J8636"/>
  <c r="H8636"/>
  <c r="J8635"/>
  <c r="H8635"/>
  <c r="J8634"/>
  <c r="H8634"/>
  <c r="J8633"/>
  <c r="H8633"/>
  <c r="J8632"/>
  <c r="H8632"/>
  <c r="J8631"/>
  <c r="H8631"/>
  <c r="J8630"/>
  <c r="H8630"/>
  <c r="J8629"/>
  <c r="H8629"/>
  <c r="J8628"/>
  <c r="H8628"/>
  <c r="J8627"/>
  <c r="H8627"/>
  <c r="J8626"/>
  <c r="H8626"/>
  <c r="J8625"/>
  <c r="H8625"/>
  <c r="J8624"/>
  <c r="H8624"/>
  <c r="J8623"/>
  <c r="H8623"/>
  <c r="J8622"/>
  <c r="H8622"/>
  <c r="J8621"/>
  <c r="H8621"/>
  <c r="J8620"/>
  <c r="H8620"/>
  <c r="J8619"/>
  <c r="H8619"/>
  <c r="J8618"/>
  <c r="H8618"/>
  <c r="J8617"/>
  <c r="H8617"/>
  <c r="J8616"/>
  <c r="H8616"/>
  <c r="J8615"/>
  <c r="H8615"/>
  <c r="J8614"/>
  <c r="H8614"/>
  <c r="J8613"/>
  <c r="H8613"/>
  <c r="J8612"/>
  <c r="H8612"/>
  <c r="J8611"/>
  <c r="H8611"/>
  <c r="J8610"/>
  <c r="H8610"/>
  <c r="J8609"/>
  <c r="H8609"/>
  <c r="J8608"/>
  <c r="H8608"/>
  <c r="J8607"/>
  <c r="H8607"/>
  <c r="J8606"/>
  <c r="H8606"/>
  <c r="J8605"/>
  <c r="H8605"/>
  <c r="J8604"/>
  <c r="H8604"/>
  <c r="J8603"/>
  <c r="H8603"/>
  <c r="J8602"/>
  <c r="H8602"/>
  <c r="J8601"/>
  <c r="H8601"/>
  <c r="J8600"/>
  <c r="H8600"/>
  <c r="J8599"/>
  <c r="H8599"/>
  <c r="J8598"/>
  <c r="H8598"/>
  <c r="J8597"/>
  <c r="H8597"/>
  <c r="J8596"/>
  <c r="H8596"/>
  <c r="J8595"/>
  <c r="H8595"/>
  <c r="J8594"/>
  <c r="H8594"/>
  <c r="J8593"/>
  <c r="H8593"/>
  <c r="J8592"/>
  <c r="H8592"/>
  <c r="J8591"/>
  <c r="H8591"/>
  <c r="J8590"/>
  <c r="H8590"/>
  <c r="J8589"/>
  <c r="H8589"/>
  <c r="J8588"/>
  <c r="H8588"/>
  <c r="J8587"/>
  <c r="H8587"/>
  <c r="J8586"/>
  <c r="H8586"/>
  <c r="J8585"/>
  <c r="H8585"/>
  <c r="J8584"/>
  <c r="H8584"/>
  <c r="J8583"/>
  <c r="H8583"/>
  <c r="J8582"/>
  <c r="H8582"/>
  <c r="J8581"/>
  <c r="H8581"/>
  <c r="J8580"/>
  <c r="H8580"/>
  <c r="J8579"/>
  <c r="H8579"/>
  <c r="J8578"/>
  <c r="H8578"/>
  <c r="J8577"/>
  <c r="H8577"/>
  <c r="J8576"/>
  <c r="H8576"/>
  <c r="J8575"/>
  <c r="H8575"/>
  <c r="J8574"/>
  <c r="H8574"/>
  <c r="J8573"/>
  <c r="H8573"/>
  <c r="J8572"/>
  <c r="H8572"/>
  <c r="J8571"/>
  <c r="H8571"/>
  <c r="J8570"/>
  <c r="H8570"/>
  <c r="J8569"/>
  <c r="H8569"/>
  <c r="J8568"/>
  <c r="H8568"/>
  <c r="J8567"/>
  <c r="H8567"/>
  <c r="J8566"/>
  <c r="H8566"/>
  <c r="J8565"/>
  <c r="H8565"/>
  <c r="J8564"/>
  <c r="H8564"/>
  <c r="J8563"/>
  <c r="H8563"/>
  <c r="J8562"/>
  <c r="H8562"/>
  <c r="J8561"/>
  <c r="H8561"/>
  <c r="J8560"/>
  <c r="H8560"/>
  <c r="J8559"/>
  <c r="H8559"/>
  <c r="J8558"/>
  <c r="H8558"/>
  <c r="J8557"/>
  <c r="H8557"/>
  <c r="J8556"/>
  <c r="H8556"/>
  <c r="J8555"/>
  <c r="H8555"/>
  <c r="J8554"/>
  <c r="H8554"/>
  <c r="J8553"/>
  <c r="H8553"/>
  <c r="J8552"/>
  <c r="H8552"/>
  <c r="J8551"/>
  <c r="H8551"/>
  <c r="J8550"/>
  <c r="H8550"/>
  <c r="J8549"/>
  <c r="H8549"/>
  <c r="J8548"/>
  <c r="H8548"/>
  <c r="J8547"/>
  <c r="H8547"/>
  <c r="J8546"/>
  <c r="H8546"/>
  <c r="J8545"/>
  <c r="H8545"/>
  <c r="J8544"/>
  <c r="H8544"/>
  <c r="J8543"/>
  <c r="H8543"/>
  <c r="J8542"/>
  <c r="H8542"/>
  <c r="J8541"/>
  <c r="H8541"/>
  <c r="J8540"/>
  <c r="H8540"/>
  <c r="J8539"/>
  <c r="H8539"/>
  <c r="J8538"/>
  <c r="H8538"/>
  <c r="J8537"/>
  <c r="H8537"/>
  <c r="J8536"/>
  <c r="H8536"/>
  <c r="J8535"/>
  <c r="H8535"/>
  <c r="J8534"/>
  <c r="H8534"/>
  <c r="J8533"/>
  <c r="H8533"/>
  <c r="J8532"/>
  <c r="H8532"/>
  <c r="J8531"/>
  <c r="H8531"/>
  <c r="J8530"/>
  <c r="H8530"/>
  <c r="J8529"/>
  <c r="H8529"/>
  <c r="J8528"/>
  <c r="H8528"/>
  <c r="J8527"/>
  <c r="H8527"/>
  <c r="J8526"/>
  <c r="H8526"/>
  <c r="J8525"/>
  <c r="H8525"/>
  <c r="J8524"/>
  <c r="H8524"/>
  <c r="J8523"/>
  <c r="H8523"/>
  <c r="J8522"/>
  <c r="H8522"/>
  <c r="J8521"/>
  <c r="H8521"/>
  <c r="J8520"/>
  <c r="H8520"/>
  <c r="J8519"/>
  <c r="H8519"/>
  <c r="J8518"/>
  <c r="H8518"/>
  <c r="J8517"/>
  <c r="H8517"/>
  <c r="J8516"/>
  <c r="H8516"/>
  <c r="J8515"/>
  <c r="H8515"/>
  <c r="J8514"/>
  <c r="H8514"/>
  <c r="J8513"/>
  <c r="H8513"/>
  <c r="J8512"/>
  <c r="H8512"/>
  <c r="J8511"/>
  <c r="H8511"/>
  <c r="J8510"/>
  <c r="H8510"/>
  <c r="J8509"/>
  <c r="H8509"/>
  <c r="J8508"/>
  <c r="H8508"/>
  <c r="J8507"/>
  <c r="H8507"/>
  <c r="J8506"/>
  <c r="H8506"/>
  <c r="J8505"/>
  <c r="H8505"/>
  <c r="J8504"/>
  <c r="H8504"/>
  <c r="J8503"/>
  <c r="H8503"/>
  <c r="J8502"/>
  <c r="H8502"/>
  <c r="J8501"/>
  <c r="H8501"/>
  <c r="J8500"/>
  <c r="H8500"/>
  <c r="J8499"/>
  <c r="H8499"/>
  <c r="J8498"/>
  <c r="H8498"/>
  <c r="J8497"/>
  <c r="H8497"/>
  <c r="J8496"/>
  <c r="H8496"/>
  <c r="J8495"/>
  <c r="H8495"/>
  <c r="J8494"/>
  <c r="H8494"/>
  <c r="J8493"/>
  <c r="H8493"/>
  <c r="J8492"/>
  <c r="H8492"/>
  <c r="J8491"/>
  <c r="H8491"/>
  <c r="J8490"/>
  <c r="H8490"/>
  <c r="J8489"/>
  <c r="H8489"/>
  <c r="J8488"/>
  <c r="H8488"/>
  <c r="J8487"/>
  <c r="H8487"/>
  <c r="J8486"/>
  <c r="H8486"/>
  <c r="J8485"/>
  <c r="H8485"/>
  <c r="J8484"/>
  <c r="H8484"/>
  <c r="J8483"/>
  <c r="H8483"/>
  <c r="J8482"/>
  <c r="H8482"/>
  <c r="J8481"/>
  <c r="H8481"/>
  <c r="J8480"/>
  <c r="H8480"/>
  <c r="J8479"/>
  <c r="H8479"/>
  <c r="J8478"/>
  <c r="H8478"/>
  <c r="J8477"/>
  <c r="H8477"/>
  <c r="J8476"/>
  <c r="H8476"/>
  <c r="J8475"/>
  <c r="H8475"/>
  <c r="J8474"/>
  <c r="H8474"/>
  <c r="J8473"/>
  <c r="H8473"/>
  <c r="J8472"/>
  <c r="H8472"/>
  <c r="J8471"/>
  <c r="H8471"/>
  <c r="J8470"/>
  <c r="H8470"/>
  <c r="J8469"/>
  <c r="H8469"/>
  <c r="J8468"/>
  <c r="H8468"/>
  <c r="J8467"/>
  <c r="H8467"/>
  <c r="J8466"/>
  <c r="H8466"/>
  <c r="J8465"/>
  <c r="H8465"/>
  <c r="J8464"/>
  <c r="H8464"/>
  <c r="J8463"/>
  <c r="H8463"/>
  <c r="J8462"/>
  <c r="H8462"/>
  <c r="J8461"/>
  <c r="H8461"/>
  <c r="J8460"/>
  <c r="H8460"/>
  <c r="J8459"/>
  <c r="H8459"/>
  <c r="J8458"/>
  <c r="H8458"/>
  <c r="J8457"/>
  <c r="H8457"/>
  <c r="J8456"/>
  <c r="H8456"/>
  <c r="J8455"/>
  <c r="H8455"/>
  <c r="J8454"/>
  <c r="H8454"/>
  <c r="J8453"/>
  <c r="H8453"/>
  <c r="J8452"/>
  <c r="H8452"/>
  <c r="J8451"/>
  <c r="H8451"/>
  <c r="J8450"/>
  <c r="H8450"/>
  <c r="J8449"/>
  <c r="H8449"/>
  <c r="J8448"/>
  <c r="H8448"/>
  <c r="J8447"/>
  <c r="H8447"/>
  <c r="J8446"/>
  <c r="H8446"/>
  <c r="J8445"/>
  <c r="H8445"/>
  <c r="J8444"/>
  <c r="H8444"/>
  <c r="J8443"/>
  <c r="H8443"/>
  <c r="J8442"/>
  <c r="H8442"/>
  <c r="J8441"/>
  <c r="H8441"/>
  <c r="J8440"/>
  <c r="H8440"/>
  <c r="J8439"/>
  <c r="H8439"/>
  <c r="J8438"/>
  <c r="H8438"/>
  <c r="J8437"/>
  <c r="H8437"/>
  <c r="J8436"/>
  <c r="H8436"/>
  <c r="J8435"/>
  <c r="H8435"/>
  <c r="J8434"/>
  <c r="H8434"/>
  <c r="J8433"/>
  <c r="H8433"/>
  <c r="J8432"/>
  <c r="H8432"/>
  <c r="J8431"/>
  <c r="H8431"/>
  <c r="J8430"/>
  <c r="H8430"/>
  <c r="J8429"/>
  <c r="H8429"/>
  <c r="J8428"/>
  <c r="H8428"/>
  <c r="J8427"/>
  <c r="H8427"/>
  <c r="J8426"/>
  <c r="H8426"/>
  <c r="J8425"/>
  <c r="H8425"/>
  <c r="J8424"/>
  <c r="H8424"/>
  <c r="J8423"/>
  <c r="H8423"/>
  <c r="J8422"/>
  <c r="H8422"/>
  <c r="J8421"/>
  <c r="H8421"/>
  <c r="J8420"/>
  <c r="H8420"/>
  <c r="J8419"/>
  <c r="H8419"/>
  <c r="J8418"/>
  <c r="H8418"/>
  <c r="J8417"/>
  <c r="H8417"/>
  <c r="J8416"/>
  <c r="H8416"/>
  <c r="J8415"/>
  <c r="H8415"/>
  <c r="J8414"/>
  <c r="H8414"/>
  <c r="J8413"/>
  <c r="H8413"/>
  <c r="J8412"/>
  <c r="H8412"/>
  <c r="J8411"/>
  <c r="H8411"/>
  <c r="J8410"/>
  <c r="H8410"/>
  <c r="J8409"/>
  <c r="H8409"/>
  <c r="J8408"/>
  <c r="H8408"/>
  <c r="J8407"/>
  <c r="H8407"/>
  <c r="J8406"/>
  <c r="H8406"/>
  <c r="J8405"/>
  <c r="H8405"/>
  <c r="J8404"/>
  <c r="H8404"/>
  <c r="J8403"/>
  <c r="H8403"/>
  <c r="J8402"/>
  <c r="H8402"/>
  <c r="J8401"/>
  <c r="H8401"/>
  <c r="J8400"/>
  <c r="H8400"/>
  <c r="J8399"/>
  <c r="H8399"/>
  <c r="J8398"/>
  <c r="H8398"/>
  <c r="J8397"/>
  <c r="H8397"/>
  <c r="J8396"/>
  <c r="H8396"/>
  <c r="J8395"/>
  <c r="H8395"/>
  <c r="J8394"/>
  <c r="H8394"/>
  <c r="J8393"/>
  <c r="H8393"/>
  <c r="J8392"/>
  <c r="H8392"/>
  <c r="J8391"/>
  <c r="H8391"/>
  <c r="J8390"/>
  <c r="H8390"/>
  <c r="J8389"/>
  <c r="H8389"/>
  <c r="J8388"/>
  <c r="H8388"/>
  <c r="J8387"/>
  <c r="H8387"/>
  <c r="J8386"/>
  <c r="H8386"/>
  <c r="J8385"/>
  <c r="H8385"/>
  <c r="J8384"/>
  <c r="H8384"/>
  <c r="J8383"/>
  <c r="H8383"/>
  <c r="J8382"/>
  <c r="H8382"/>
  <c r="J8381"/>
  <c r="H8381"/>
  <c r="J8380"/>
  <c r="H8380"/>
  <c r="J8379"/>
  <c r="H8379"/>
  <c r="J8378"/>
  <c r="H8378"/>
  <c r="J8377"/>
  <c r="H8377"/>
  <c r="J8376"/>
  <c r="H8376"/>
  <c r="J8375"/>
  <c r="H8375"/>
  <c r="J8374"/>
  <c r="H8374"/>
  <c r="J8373"/>
  <c r="H8373"/>
  <c r="J8372"/>
  <c r="H8372"/>
  <c r="J8371"/>
  <c r="H8371"/>
  <c r="J8370"/>
  <c r="H8370"/>
  <c r="J8369"/>
  <c r="H8369"/>
  <c r="J8368"/>
  <c r="H8368"/>
  <c r="J8367"/>
  <c r="H8367"/>
  <c r="J8366"/>
  <c r="H8366"/>
  <c r="J8365"/>
  <c r="H8365"/>
  <c r="J8364"/>
  <c r="H8364"/>
  <c r="J8363"/>
  <c r="H8363"/>
  <c r="J8362"/>
  <c r="H8362"/>
  <c r="J8361"/>
  <c r="H8361"/>
  <c r="J8360"/>
  <c r="H8360"/>
  <c r="J8359"/>
  <c r="H8359"/>
  <c r="J8358"/>
  <c r="H8358"/>
  <c r="J8357"/>
  <c r="H8357"/>
  <c r="J8356"/>
  <c r="H8356"/>
  <c r="J8355"/>
  <c r="H8355"/>
  <c r="J8354"/>
  <c r="H8354"/>
  <c r="J8353"/>
  <c r="H8353"/>
  <c r="J8352"/>
  <c r="H8352"/>
  <c r="J8351"/>
  <c r="H8351"/>
  <c r="J8350"/>
  <c r="H8350"/>
  <c r="J8349"/>
  <c r="H8349"/>
  <c r="J8348"/>
  <c r="H8348"/>
  <c r="J8347"/>
  <c r="H8347"/>
  <c r="J8346"/>
  <c r="H8346"/>
  <c r="J8345"/>
  <c r="H8345"/>
  <c r="J8344"/>
  <c r="H8344"/>
  <c r="J8343"/>
  <c r="H8343"/>
  <c r="J8342"/>
  <c r="H8342"/>
  <c r="J8341"/>
  <c r="H8341"/>
  <c r="J8340"/>
  <c r="H8340"/>
  <c r="J8339"/>
  <c r="H8339"/>
  <c r="J8338"/>
  <c r="H8338"/>
  <c r="J8337"/>
  <c r="H8337"/>
  <c r="J8336"/>
  <c r="H8336"/>
  <c r="J8335"/>
  <c r="H8335"/>
  <c r="J8334"/>
  <c r="H8334"/>
  <c r="J8333"/>
  <c r="H8333"/>
  <c r="J8332"/>
  <c r="H8332"/>
  <c r="J8331"/>
  <c r="H8331"/>
  <c r="J8330"/>
  <c r="H8330"/>
  <c r="J8329"/>
  <c r="H8329"/>
  <c r="J8328"/>
  <c r="H8328"/>
  <c r="J8327"/>
  <c r="H8327"/>
  <c r="J8326"/>
  <c r="H8326"/>
  <c r="J8325"/>
  <c r="H8325"/>
  <c r="J8324"/>
  <c r="H8324"/>
  <c r="J8323"/>
  <c r="H8323"/>
  <c r="J8322"/>
  <c r="H8322"/>
  <c r="J8321"/>
  <c r="H8321"/>
  <c r="J8320"/>
  <c r="H8320"/>
  <c r="J8319"/>
  <c r="H8319"/>
  <c r="J8318"/>
  <c r="H8318"/>
  <c r="J8317"/>
  <c r="H8317"/>
  <c r="J8316"/>
  <c r="H8316"/>
  <c r="J8315"/>
  <c r="H8315"/>
  <c r="J8314"/>
  <c r="H8314"/>
  <c r="J8313"/>
  <c r="H8313"/>
  <c r="J8312"/>
  <c r="H8312"/>
  <c r="J8311"/>
  <c r="H8311"/>
  <c r="J8310"/>
  <c r="H8310"/>
  <c r="J8309"/>
  <c r="H8309"/>
  <c r="J8308"/>
  <c r="H8308"/>
  <c r="J8307"/>
  <c r="H8307"/>
  <c r="J8306"/>
  <c r="H8306"/>
  <c r="J8305"/>
  <c r="H8305"/>
  <c r="J8304"/>
  <c r="H8304"/>
  <c r="J8303"/>
  <c r="H8303"/>
  <c r="J8302"/>
  <c r="H8302"/>
  <c r="J8301"/>
  <c r="H8301"/>
  <c r="J8300"/>
  <c r="H8300"/>
  <c r="J8299"/>
  <c r="H8299"/>
  <c r="J8298"/>
  <c r="H8298"/>
  <c r="J8297"/>
  <c r="H8297"/>
  <c r="J8296"/>
  <c r="H8296"/>
  <c r="J8295"/>
  <c r="H8295"/>
  <c r="J8294"/>
  <c r="H8294"/>
  <c r="J8293"/>
  <c r="H8293"/>
  <c r="J8292"/>
  <c r="H8292"/>
  <c r="J8291"/>
  <c r="H8291"/>
  <c r="J8290"/>
  <c r="H8290"/>
  <c r="J8289"/>
  <c r="H8289"/>
  <c r="J8288"/>
  <c r="H8288"/>
  <c r="J8287"/>
  <c r="H8287"/>
  <c r="J8286"/>
  <c r="H8286"/>
  <c r="J8285"/>
  <c r="H8285"/>
  <c r="J8284"/>
  <c r="H8284"/>
  <c r="J8283"/>
  <c r="H8283"/>
  <c r="J8282"/>
  <c r="H8282"/>
  <c r="J8281"/>
  <c r="H8281"/>
  <c r="J8280"/>
  <c r="H8280"/>
  <c r="J8279"/>
  <c r="H8279"/>
  <c r="J8278"/>
  <c r="H8278"/>
  <c r="J8277"/>
  <c r="H8277"/>
  <c r="J8276"/>
  <c r="H8276"/>
  <c r="J8275"/>
  <c r="H8275"/>
  <c r="J8274"/>
  <c r="H8274"/>
  <c r="J8273"/>
  <c r="H8273"/>
  <c r="J8272"/>
  <c r="H8272"/>
  <c r="J8271"/>
  <c r="H8271"/>
  <c r="J8270"/>
  <c r="H8270"/>
  <c r="J8269"/>
  <c r="H8269"/>
  <c r="J8268"/>
  <c r="H8268"/>
  <c r="J8267"/>
  <c r="H8267"/>
  <c r="J8266"/>
  <c r="H8266"/>
  <c r="J8265"/>
  <c r="H8265"/>
  <c r="J8264"/>
  <c r="H8264"/>
  <c r="J8263"/>
  <c r="H8263"/>
  <c r="J8262"/>
  <c r="H8262"/>
  <c r="J8261"/>
  <c r="H8261"/>
  <c r="J8260"/>
  <c r="H8260"/>
  <c r="J8259"/>
  <c r="H8259"/>
  <c r="J8258"/>
  <c r="H8258"/>
  <c r="J8257"/>
  <c r="H8257"/>
  <c r="J8256"/>
  <c r="H8256"/>
  <c r="J8255"/>
  <c r="H8255"/>
  <c r="J8254"/>
  <c r="H8254"/>
  <c r="J8253"/>
  <c r="H8253"/>
  <c r="J8252"/>
  <c r="H8252"/>
  <c r="J8251"/>
  <c r="H8251"/>
  <c r="J8250"/>
  <c r="H8250"/>
  <c r="J8249"/>
  <c r="H8249"/>
  <c r="J8248"/>
  <c r="H8248"/>
  <c r="J8247"/>
  <c r="H8247"/>
  <c r="J8246"/>
  <c r="H8246"/>
  <c r="J8245"/>
  <c r="H8245"/>
  <c r="J8244"/>
  <c r="H8244"/>
  <c r="J8243"/>
  <c r="H8243"/>
  <c r="J8242"/>
  <c r="H8242"/>
  <c r="J8241"/>
  <c r="H8241"/>
  <c r="J8240"/>
  <c r="H8240"/>
  <c r="J8239"/>
  <c r="H8239"/>
  <c r="J8238"/>
  <c r="H8238"/>
  <c r="J8237"/>
  <c r="H8237"/>
  <c r="J8236"/>
  <c r="H8236"/>
  <c r="J8235"/>
  <c r="H8235"/>
  <c r="J8234"/>
  <c r="H8234"/>
  <c r="J8233"/>
  <c r="H8233"/>
  <c r="J8232"/>
  <c r="H8232"/>
  <c r="J8231"/>
  <c r="H8231"/>
  <c r="J8230"/>
  <c r="H8230"/>
  <c r="J8229"/>
  <c r="H8229"/>
  <c r="J8228"/>
  <c r="H8228"/>
  <c r="J8227"/>
  <c r="H8227"/>
  <c r="J8226"/>
  <c r="H8226"/>
  <c r="J8225"/>
  <c r="H8225"/>
  <c r="J8224"/>
  <c r="H8224"/>
  <c r="J8223"/>
  <c r="H8223"/>
  <c r="J8222"/>
  <c r="H8222"/>
  <c r="J8221"/>
  <c r="H8221"/>
  <c r="J8220"/>
  <c r="H8220"/>
  <c r="J8219"/>
  <c r="H8219"/>
  <c r="J8218"/>
  <c r="H8218"/>
  <c r="J8217"/>
  <c r="H8217"/>
  <c r="J8216"/>
  <c r="H8216"/>
  <c r="J8215"/>
  <c r="H8215"/>
  <c r="J8214"/>
  <c r="H8214"/>
  <c r="J8213"/>
  <c r="H8213"/>
  <c r="J8212"/>
  <c r="H8212"/>
  <c r="J8211"/>
  <c r="H8211"/>
  <c r="J8210"/>
  <c r="H8210"/>
  <c r="J8209"/>
  <c r="H8209"/>
  <c r="J8208"/>
  <c r="H8208"/>
  <c r="J8207"/>
  <c r="H8207"/>
  <c r="J8206"/>
  <c r="H8206"/>
  <c r="J8205"/>
  <c r="H8205"/>
  <c r="J8204"/>
  <c r="H8204"/>
  <c r="J8203"/>
  <c r="H8203"/>
  <c r="J8202"/>
  <c r="H8202"/>
  <c r="J8201"/>
  <c r="H8201"/>
  <c r="J8200"/>
  <c r="H8200"/>
  <c r="J8199"/>
  <c r="H8199"/>
  <c r="J8198"/>
  <c r="H8198"/>
  <c r="J8197"/>
  <c r="H8197"/>
  <c r="J8196"/>
  <c r="H8196"/>
  <c r="J8195"/>
  <c r="H8195"/>
  <c r="J8194"/>
  <c r="H8194"/>
  <c r="J8193"/>
  <c r="H8193"/>
  <c r="J8192"/>
  <c r="H8192"/>
  <c r="J8191"/>
  <c r="H8191"/>
  <c r="J8190"/>
  <c r="H8190"/>
  <c r="J8189"/>
  <c r="H8189"/>
  <c r="J8188"/>
  <c r="H8188"/>
  <c r="J8187"/>
  <c r="H8187"/>
  <c r="J8186"/>
  <c r="H8186"/>
  <c r="J8185"/>
  <c r="H8185"/>
  <c r="J8184"/>
  <c r="H8184"/>
  <c r="J8183"/>
  <c r="H8183"/>
  <c r="J8182"/>
  <c r="H8182"/>
  <c r="J8181"/>
  <c r="H8181"/>
  <c r="J8180"/>
  <c r="H8180"/>
  <c r="J8179"/>
  <c r="H8179"/>
  <c r="J8178"/>
  <c r="H8178"/>
  <c r="J8177"/>
  <c r="H8177"/>
  <c r="J8176"/>
  <c r="H8176"/>
  <c r="J8175"/>
  <c r="H8175"/>
  <c r="J8174"/>
  <c r="H8174"/>
  <c r="J8173"/>
  <c r="H8173"/>
  <c r="J8172"/>
  <c r="H8172"/>
  <c r="J8171"/>
  <c r="H8171"/>
  <c r="J8170"/>
  <c r="H8170"/>
  <c r="J8169"/>
  <c r="H8169"/>
  <c r="J8168"/>
  <c r="H8168"/>
  <c r="J8167"/>
  <c r="H8167"/>
  <c r="J8166"/>
  <c r="H8166"/>
  <c r="J8165"/>
  <c r="H8165"/>
  <c r="J8164"/>
  <c r="H8164"/>
  <c r="J8163"/>
  <c r="H8163"/>
  <c r="J8162"/>
  <c r="H8162"/>
  <c r="J8161"/>
  <c r="H8161"/>
  <c r="J8160"/>
  <c r="H8160"/>
  <c r="J8159"/>
  <c r="H8159"/>
  <c r="J8158"/>
  <c r="H8158"/>
  <c r="J8157"/>
  <c r="H8157"/>
  <c r="J8156"/>
  <c r="H8156"/>
  <c r="J8155"/>
  <c r="H8155"/>
  <c r="J8154"/>
  <c r="H8154"/>
  <c r="J8153"/>
  <c r="H8153"/>
  <c r="J8152"/>
  <c r="H8152"/>
  <c r="J8151"/>
  <c r="H8151"/>
  <c r="J8150"/>
  <c r="H8150"/>
  <c r="J8149"/>
  <c r="H8149"/>
  <c r="J8148"/>
  <c r="H8148"/>
  <c r="J8147"/>
  <c r="H8147"/>
  <c r="J8146"/>
  <c r="H8146"/>
  <c r="J8145"/>
  <c r="H8145"/>
  <c r="J8144"/>
  <c r="H8144"/>
  <c r="J8143"/>
  <c r="H8143"/>
  <c r="J8142"/>
  <c r="H8142"/>
  <c r="J8141"/>
  <c r="H8141"/>
  <c r="J8140"/>
  <c r="H8140"/>
  <c r="J8139"/>
  <c r="H8139"/>
  <c r="J8138"/>
  <c r="H8138"/>
  <c r="J8137"/>
  <c r="H8137"/>
  <c r="J8136"/>
  <c r="H8136"/>
  <c r="J8135"/>
  <c r="H8135"/>
  <c r="J8134"/>
  <c r="H8134"/>
  <c r="J8133"/>
  <c r="H8133"/>
  <c r="J8132"/>
  <c r="H8132"/>
  <c r="J8131"/>
  <c r="H8131"/>
  <c r="J8130"/>
  <c r="H8130"/>
  <c r="J8129"/>
  <c r="H8129"/>
  <c r="J8128"/>
  <c r="H8128"/>
  <c r="J8127"/>
  <c r="H8127"/>
  <c r="J8126"/>
  <c r="H8126"/>
  <c r="J8125"/>
  <c r="H8125"/>
  <c r="J8124"/>
  <c r="H8124"/>
  <c r="J8123"/>
  <c r="H8123"/>
  <c r="J8122"/>
  <c r="H8122"/>
  <c r="J8121"/>
  <c r="H8121"/>
  <c r="J8120"/>
  <c r="H8120"/>
  <c r="J8119"/>
  <c r="H8119"/>
  <c r="J8118"/>
  <c r="H8118"/>
  <c r="J8117"/>
  <c r="H8117"/>
  <c r="J8116"/>
  <c r="H8116"/>
  <c r="J8115"/>
  <c r="H8115"/>
  <c r="J8114"/>
  <c r="H8114"/>
  <c r="J8113"/>
  <c r="H8113"/>
  <c r="J8112"/>
  <c r="H8112"/>
  <c r="J8111"/>
  <c r="H8111"/>
  <c r="J8110"/>
  <c r="H8110"/>
  <c r="J8109"/>
  <c r="H8109"/>
  <c r="J8108"/>
  <c r="H8108"/>
  <c r="J8107"/>
  <c r="H8107"/>
  <c r="J8106"/>
  <c r="H8106"/>
  <c r="J8105"/>
  <c r="H8105"/>
  <c r="J8104"/>
  <c r="H8104"/>
  <c r="J8103"/>
  <c r="H8103"/>
  <c r="J8102"/>
  <c r="H8102"/>
  <c r="J8101"/>
  <c r="H8101"/>
  <c r="J8100"/>
  <c r="H8100"/>
  <c r="J8099"/>
  <c r="H8099"/>
  <c r="J8098"/>
  <c r="H8098"/>
  <c r="J8097"/>
  <c r="H8097"/>
  <c r="J8096"/>
  <c r="H8096"/>
  <c r="J8095"/>
  <c r="H8095"/>
  <c r="J8094"/>
  <c r="H8094"/>
  <c r="J8093"/>
  <c r="H8093"/>
  <c r="J8092"/>
  <c r="H8092"/>
  <c r="J8091"/>
  <c r="H8091"/>
  <c r="J8090"/>
  <c r="H8090"/>
  <c r="J8089"/>
  <c r="H8089"/>
  <c r="J8088"/>
  <c r="H8088"/>
  <c r="J8087"/>
  <c r="H8087"/>
  <c r="J8086"/>
  <c r="H8086"/>
  <c r="J8085"/>
  <c r="H8085"/>
  <c r="J8084"/>
  <c r="H8084"/>
  <c r="J8083"/>
  <c r="H8083"/>
  <c r="J8082"/>
  <c r="H8082"/>
  <c r="J8081"/>
  <c r="H8081"/>
  <c r="J8080"/>
  <c r="H8080"/>
  <c r="J8079"/>
  <c r="H8079"/>
  <c r="J8078"/>
  <c r="H8078"/>
  <c r="J8077"/>
  <c r="H8077"/>
  <c r="J8076"/>
  <c r="H8076"/>
  <c r="J8075"/>
  <c r="H8075"/>
  <c r="J8074"/>
  <c r="H8074"/>
  <c r="J8073"/>
  <c r="H8073"/>
  <c r="J8072"/>
  <c r="H8072"/>
  <c r="J8071"/>
  <c r="H8071"/>
  <c r="J8070"/>
  <c r="H8070"/>
  <c r="J8069"/>
  <c r="H8069"/>
  <c r="J8068"/>
  <c r="H8068"/>
  <c r="J8067"/>
  <c r="H8067"/>
  <c r="J8066"/>
  <c r="H8066"/>
  <c r="J8065"/>
  <c r="H8065"/>
  <c r="J8064"/>
  <c r="H8064"/>
  <c r="J8063"/>
  <c r="H8063"/>
  <c r="J8062"/>
  <c r="H8062"/>
  <c r="J8061"/>
  <c r="H8061"/>
  <c r="J8060"/>
  <c r="H8060"/>
  <c r="J8059"/>
  <c r="H8059"/>
  <c r="J8058"/>
  <c r="H8058"/>
  <c r="J8057"/>
  <c r="H8057"/>
  <c r="J8056"/>
  <c r="H8056"/>
  <c r="J8055"/>
  <c r="H8055"/>
  <c r="J8054"/>
  <c r="H8054"/>
  <c r="J8053"/>
  <c r="H8053"/>
  <c r="J8052"/>
  <c r="H8052"/>
  <c r="J8051"/>
  <c r="H8051"/>
  <c r="J8050"/>
  <c r="H8050"/>
  <c r="J8049"/>
  <c r="H8049"/>
  <c r="J8048"/>
  <c r="H8048"/>
  <c r="J8047"/>
  <c r="H8047"/>
  <c r="J8046"/>
  <c r="H8046"/>
  <c r="J8045"/>
  <c r="H8045"/>
  <c r="J8044"/>
  <c r="H8044"/>
  <c r="J8043"/>
  <c r="H8043"/>
  <c r="J8042"/>
  <c r="H8042"/>
  <c r="J8041"/>
  <c r="H8041"/>
  <c r="J8040"/>
  <c r="H8040"/>
  <c r="J8039"/>
  <c r="H8039"/>
  <c r="J8038"/>
  <c r="H8038"/>
  <c r="J8037"/>
  <c r="H8037"/>
  <c r="J8036"/>
  <c r="H8036"/>
  <c r="J8035"/>
  <c r="H8035"/>
  <c r="J8034"/>
  <c r="H8034"/>
  <c r="J8033"/>
  <c r="H8033"/>
  <c r="J8032"/>
  <c r="H8032"/>
  <c r="J8031"/>
  <c r="H8031"/>
  <c r="J8030"/>
  <c r="H8030"/>
  <c r="J8029"/>
  <c r="H8029"/>
  <c r="J8028"/>
  <c r="H8028"/>
  <c r="J8027"/>
  <c r="H8027"/>
  <c r="J8026"/>
  <c r="H8026"/>
  <c r="J8025"/>
  <c r="H8025"/>
  <c r="J8024"/>
  <c r="H8024"/>
  <c r="J8023"/>
  <c r="H8023"/>
  <c r="J8022"/>
  <c r="H8022"/>
  <c r="J8021"/>
  <c r="H8021"/>
  <c r="J8020"/>
  <c r="H8020"/>
  <c r="J8019"/>
  <c r="H8019"/>
  <c r="J8018"/>
  <c r="H8018"/>
  <c r="J8017"/>
  <c r="H8017"/>
  <c r="J8016"/>
  <c r="H8016"/>
  <c r="J8015"/>
  <c r="H8015"/>
  <c r="J8014"/>
  <c r="H8014"/>
  <c r="J8013"/>
  <c r="H8013"/>
  <c r="J8012"/>
  <c r="H8012"/>
  <c r="J8011"/>
  <c r="H8011"/>
  <c r="J8010"/>
  <c r="H8010"/>
  <c r="J8009"/>
  <c r="H8009"/>
  <c r="J8008"/>
  <c r="H8008"/>
  <c r="J8007"/>
  <c r="H8007"/>
  <c r="J8006"/>
  <c r="H8006"/>
  <c r="J8005"/>
  <c r="H8005"/>
  <c r="J8004"/>
  <c r="H8004"/>
  <c r="J8003"/>
  <c r="H8003"/>
  <c r="J8002"/>
  <c r="H8002"/>
  <c r="J8001"/>
  <c r="H8001"/>
  <c r="J8000"/>
  <c r="H8000"/>
  <c r="J7999"/>
  <c r="H7999"/>
  <c r="J7998"/>
  <c r="H7998"/>
  <c r="J7997"/>
  <c r="H7997"/>
  <c r="J7996"/>
  <c r="H7996"/>
  <c r="J7995"/>
  <c r="H7995"/>
  <c r="J7994"/>
  <c r="H7994"/>
  <c r="J7993"/>
  <c r="H7993"/>
  <c r="J7992"/>
  <c r="H7992"/>
  <c r="J7991"/>
  <c r="H7991"/>
  <c r="J7990"/>
  <c r="H7990"/>
  <c r="J7989"/>
  <c r="H7989"/>
  <c r="J7988"/>
  <c r="H7988"/>
  <c r="J7987"/>
  <c r="H7987"/>
  <c r="J7986"/>
  <c r="H7986"/>
  <c r="J7985"/>
  <c r="H7985"/>
  <c r="J7984"/>
  <c r="H7984"/>
  <c r="J7983"/>
  <c r="H7983"/>
  <c r="J7982"/>
  <c r="H7982"/>
  <c r="J7981"/>
  <c r="H7981"/>
  <c r="J7980"/>
  <c r="H7980"/>
  <c r="J7979"/>
  <c r="H7979"/>
  <c r="J7978"/>
  <c r="H7978"/>
  <c r="J7977"/>
  <c r="H7977"/>
  <c r="J7976"/>
  <c r="H7976"/>
  <c r="J7975"/>
  <c r="H7975"/>
  <c r="J7974"/>
  <c r="H7974"/>
  <c r="J7973"/>
  <c r="H7973"/>
  <c r="J7972"/>
  <c r="H7972"/>
  <c r="J7971"/>
  <c r="H7971"/>
  <c r="J7970"/>
  <c r="H7970"/>
  <c r="J7969"/>
  <c r="H7969"/>
  <c r="J7968"/>
  <c r="H7968"/>
  <c r="J7967"/>
  <c r="H7967"/>
  <c r="J7966"/>
  <c r="H7966"/>
  <c r="J7965"/>
  <c r="H7965"/>
  <c r="J7964"/>
  <c r="H7964"/>
  <c r="J7963"/>
  <c r="H7963"/>
  <c r="J7962"/>
  <c r="H7962"/>
  <c r="J7961"/>
  <c r="H7961"/>
  <c r="J7960"/>
  <c r="H7960"/>
  <c r="J7959"/>
  <c r="H7959"/>
  <c r="J7958"/>
  <c r="H7958"/>
  <c r="J7957"/>
  <c r="H7957"/>
  <c r="J7956"/>
  <c r="H7956"/>
  <c r="J7955"/>
  <c r="H7955"/>
  <c r="J7954"/>
  <c r="H7954"/>
  <c r="J7953"/>
  <c r="H7953"/>
  <c r="J7952"/>
  <c r="H7952"/>
  <c r="J7951"/>
  <c r="H7951"/>
  <c r="J7950"/>
  <c r="H7950"/>
  <c r="J7949"/>
  <c r="H7949"/>
  <c r="J7948"/>
  <c r="H7948"/>
  <c r="J7947"/>
  <c r="H7947"/>
  <c r="J7946"/>
  <c r="H7946"/>
  <c r="J7945"/>
  <c r="H7945"/>
  <c r="J7944"/>
  <c r="H7944"/>
  <c r="J7943"/>
  <c r="H7943"/>
  <c r="J7942"/>
  <c r="H7942"/>
  <c r="J7941"/>
  <c r="H7941"/>
  <c r="J7940"/>
  <c r="H7940"/>
  <c r="J7939"/>
  <c r="H7939"/>
  <c r="J7938"/>
  <c r="H7938"/>
  <c r="J7937"/>
  <c r="H7937"/>
  <c r="J7936"/>
  <c r="H7936"/>
  <c r="J7935"/>
  <c r="H7935"/>
  <c r="J7934"/>
  <c r="H7934"/>
  <c r="J7933"/>
  <c r="H7933"/>
  <c r="J7932"/>
  <c r="H7932"/>
  <c r="J7931"/>
  <c r="H7931"/>
  <c r="J7930"/>
  <c r="H7930"/>
  <c r="J7929"/>
  <c r="H7929"/>
  <c r="J7928"/>
  <c r="H7928"/>
  <c r="J7927"/>
  <c r="H7927"/>
  <c r="J7926"/>
  <c r="H7926"/>
  <c r="J7925"/>
  <c r="H7925"/>
  <c r="J7924"/>
  <c r="H7924"/>
  <c r="J7923"/>
  <c r="H7923"/>
  <c r="J7922"/>
  <c r="H7922"/>
  <c r="J7921"/>
  <c r="H7921"/>
  <c r="J7920"/>
  <c r="H7920"/>
  <c r="J7919"/>
  <c r="H7919"/>
  <c r="J7918"/>
  <c r="H7918"/>
  <c r="J7917"/>
  <c r="H7917"/>
  <c r="J7916"/>
  <c r="H7916"/>
  <c r="J7915"/>
  <c r="H7915"/>
  <c r="J7914"/>
  <c r="H7914"/>
  <c r="J7913"/>
  <c r="H7913"/>
  <c r="J7912"/>
  <c r="H7912"/>
  <c r="J7911"/>
  <c r="H7911"/>
  <c r="J7910"/>
  <c r="H7910"/>
  <c r="J7909"/>
  <c r="H7909"/>
  <c r="J7908"/>
  <c r="H7908"/>
  <c r="J7907"/>
  <c r="H7907"/>
  <c r="J7906"/>
  <c r="H7906"/>
  <c r="J7905"/>
  <c r="H7905"/>
  <c r="J7904"/>
  <c r="H7904"/>
  <c r="J7903"/>
  <c r="H7903"/>
  <c r="J7902"/>
  <c r="H7902"/>
  <c r="J7901"/>
  <c r="H7901"/>
  <c r="J7900"/>
  <c r="H7900"/>
  <c r="J7899"/>
  <c r="H7899"/>
  <c r="J7898"/>
  <c r="H7898"/>
  <c r="J7897"/>
  <c r="H7897"/>
  <c r="J7896"/>
  <c r="H7896"/>
  <c r="J7895"/>
  <c r="H7895"/>
  <c r="J7894"/>
  <c r="H7894"/>
  <c r="J7893"/>
  <c r="H7893"/>
  <c r="J7892"/>
  <c r="H7892"/>
  <c r="J7891"/>
  <c r="H7891"/>
  <c r="J7890"/>
  <c r="H7890"/>
  <c r="J7889"/>
  <c r="H7889"/>
  <c r="J7888"/>
  <c r="H7888"/>
  <c r="J7887"/>
  <c r="H7887"/>
  <c r="J7886"/>
  <c r="H7886"/>
  <c r="J7885"/>
  <c r="H7885"/>
  <c r="J7884"/>
  <c r="H7884"/>
  <c r="J7883"/>
  <c r="H7883"/>
  <c r="J7882"/>
  <c r="H7882"/>
  <c r="J7881"/>
  <c r="H7881"/>
  <c r="J7880"/>
  <c r="H7880"/>
  <c r="J7879"/>
  <c r="H7879"/>
  <c r="J7878"/>
  <c r="H7878"/>
  <c r="J7877"/>
  <c r="H7877"/>
  <c r="J7876"/>
  <c r="H7876"/>
  <c r="J7875"/>
  <c r="H7875"/>
  <c r="J7874"/>
  <c r="H7874"/>
  <c r="J7873"/>
  <c r="H7873"/>
  <c r="J7872"/>
  <c r="H7872"/>
  <c r="J7871"/>
  <c r="H7871"/>
  <c r="J7870"/>
  <c r="H7870"/>
  <c r="J7869"/>
  <c r="H7869"/>
  <c r="J7868"/>
  <c r="H7868"/>
  <c r="J7867"/>
  <c r="H7867"/>
  <c r="J7866"/>
  <c r="H7866"/>
  <c r="J7865"/>
  <c r="H7865"/>
  <c r="J7864"/>
  <c r="H7864"/>
  <c r="J7863"/>
  <c r="H7863"/>
  <c r="J7862"/>
  <c r="H7862"/>
  <c r="J7861"/>
  <c r="H7861"/>
  <c r="J7860"/>
  <c r="H7860"/>
  <c r="J7859"/>
  <c r="H7859"/>
  <c r="J7858"/>
  <c r="H7858"/>
  <c r="J7857"/>
  <c r="H7857"/>
  <c r="J7856"/>
  <c r="H7856"/>
  <c r="J7855"/>
  <c r="H7855"/>
  <c r="J7854"/>
  <c r="H7854"/>
  <c r="J7853"/>
  <c r="H7853"/>
  <c r="J7852"/>
  <c r="H7852"/>
  <c r="J7851"/>
  <c r="H7851"/>
  <c r="J7850"/>
  <c r="H7850"/>
  <c r="J7849"/>
  <c r="H7849"/>
  <c r="J7848"/>
  <c r="H7848"/>
  <c r="J7847"/>
  <c r="H7847"/>
  <c r="J7846"/>
  <c r="H7846"/>
  <c r="J7845"/>
  <c r="H7845"/>
  <c r="J7844"/>
  <c r="H7844"/>
  <c r="J7843"/>
  <c r="H7843"/>
  <c r="J7842"/>
  <c r="H7842"/>
  <c r="J7841"/>
  <c r="H7841"/>
  <c r="J7840"/>
  <c r="H7840"/>
  <c r="J7839"/>
  <c r="H7839"/>
  <c r="J7838"/>
  <c r="H7838"/>
  <c r="J7837"/>
  <c r="H7837"/>
  <c r="J7836"/>
  <c r="H7836"/>
  <c r="J7835"/>
  <c r="H7835"/>
  <c r="J7834"/>
  <c r="H7834"/>
  <c r="J7833"/>
  <c r="H7833"/>
  <c r="J7832"/>
  <c r="H7832"/>
  <c r="J7831"/>
  <c r="H7831"/>
  <c r="J7830"/>
  <c r="H7830"/>
  <c r="J7829"/>
  <c r="H7829"/>
  <c r="J7828"/>
  <c r="H7828"/>
  <c r="J7827"/>
  <c r="H7827"/>
  <c r="J7826"/>
  <c r="H7826"/>
  <c r="J7825"/>
  <c r="H7825"/>
  <c r="J7824"/>
  <c r="H7824"/>
  <c r="J7823"/>
  <c r="H7823"/>
  <c r="J7822"/>
  <c r="H7822"/>
  <c r="J7821"/>
  <c r="H7821"/>
  <c r="J7820"/>
  <c r="H7820"/>
  <c r="J7819"/>
  <c r="H7819"/>
  <c r="J7818"/>
  <c r="H7818"/>
  <c r="J7817"/>
  <c r="H7817"/>
  <c r="J7816"/>
  <c r="H7816"/>
  <c r="J7815"/>
  <c r="H7815"/>
  <c r="J7814"/>
  <c r="H7814"/>
  <c r="J7813"/>
  <c r="H7813"/>
  <c r="J7812"/>
  <c r="H7812"/>
  <c r="J7811"/>
  <c r="H7811"/>
  <c r="J7810"/>
  <c r="H7810"/>
  <c r="J7809"/>
  <c r="H7809"/>
  <c r="J7808"/>
  <c r="H7808"/>
  <c r="J7807"/>
  <c r="H7807"/>
  <c r="J7806"/>
  <c r="H7806"/>
  <c r="J7805"/>
  <c r="H7805"/>
  <c r="J7804"/>
  <c r="H7804"/>
  <c r="J7803"/>
  <c r="H7803"/>
  <c r="J7802"/>
  <c r="H7802"/>
  <c r="J7801"/>
  <c r="H7801"/>
  <c r="J7800"/>
  <c r="H7800"/>
  <c r="J7799"/>
  <c r="H7799"/>
  <c r="J7798"/>
  <c r="H7798"/>
  <c r="J7797"/>
  <c r="H7797"/>
  <c r="J7796"/>
  <c r="H7796"/>
  <c r="J7795"/>
  <c r="H7795"/>
  <c r="J7794"/>
  <c r="H7794"/>
  <c r="J7793"/>
  <c r="H7793"/>
  <c r="J7792"/>
  <c r="H7792"/>
  <c r="J7791"/>
  <c r="H7791"/>
  <c r="J7790"/>
  <c r="H7790"/>
  <c r="J7789"/>
  <c r="H7789"/>
  <c r="J7788"/>
  <c r="H7788"/>
  <c r="J7787"/>
  <c r="H7787"/>
  <c r="J7786"/>
  <c r="H7786"/>
  <c r="J7785"/>
  <c r="H7785"/>
  <c r="J7784"/>
  <c r="H7784"/>
  <c r="J7783"/>
  <c r="H7783"/>
  <c r="J7782"/>
  <c r="H7782"/>
  <c r="J7781"/>
  <c r="H7781"/>
  <c r="J7780"/>
  <c r="H7780"/>
  <c r="J7779"/>
  <c r="H7779"/>
  <c r="J7778"/>
  <c r="H7778"/>
  <c r="J7777"/>
  <c r="H7777"/>
  <c r="J7776"/>
  <c r="H7776"/>
  <c r="J7775"/>
  <c r="H7775"/>
  <c r="J7774"/>
  <c r="H7774"/>
  <c r="J7773"/>
  <c r="H7773"/>
  <c r="J7772"/>
  <c r="H7772"/>
  <c r="J7771"/>
  <c r="H7771"/>
  <c r="J7770"/>
  <c r="H7770"/>
  <c r="J7769"/>
  <c r="H7769"/>
  <c r="J7768"/>
  <c r="H7768"/>
  <c r="J7767"/>
  <c r="H7767"/>
  <c r="J7766"/>
  <c r="H7766"/>
  <c r="J7765"/>
  <c r="H7765"/>
  <c r="J7764"/>
  <c r="H7764"/>
  <c r="J7763"/>
  <c r="H7763"/>
  <c r="J7762"/>
  <c r="H7762"/>
  <c r="J7761"/>
  <c r="H7761"/>
  <c r="J7760"/>
  <c r="H7760"/>
  <c r="J7759"/>
  <c r="H7759"/>
  <c r="J7758"/>
  <c r="H7758"/>
  <c r="J7757"/>
  <c r="H7757"/>
  <c r="J7756"/>
  <c r="H7756"/>
  <c r="J7755"/>
  <c r="H7755"/>
  <c r="J7754"/>
  <c r="H7754"/>
  <c r="J7753"/>
  <c r="H7753"/>
  <c r="J7752"/>
  <c r="H7752"/>
  <c r="J7751"/>
  <c r="H7751"/>
  <c r="J7750"/>
  <c r="H7750"/>
  <c r="J7749"/>
  <c r="H7749"/>
  <c r="J7748"/>
  <c r="H7748"/>
  <c r="J7747"/>
  <c r="H7747"/>
  <c r="J7746"/>
  <c r="H7746"/>
  <c r="J7745"/>
  <c r="H7745"/>
  <c r="J7744"/>
  <c r="H7744"/>
  <c r="J7743"/>
  <c r="H7743"/>
  <c r="J7742"/>
  <c r="H7742"/>
  <c r="J7741"/>
  <c r="H7741"/>
  <c r="J7740"/>
  <c r="H7740"/>
  <c r="J7739"/>
  <c r="H7739"/>
  <c r="J7738"/>
  <c r="H7738"/>
  <c r="J7737"/>
  <c r="H7737"/>
  <c r="J7736"/>
  <c r="H7736"/>
  <c r="J7735"/>
  <c r="H7735"/>
  <c r="J7734"/>
  <c r="H7734"/>
  <c r="J7733"/>
  <c r="H7733"/>
  <c r="J7732"/>
  <c r="H7732"/>
  <c r="J7731"/>
  <c r="H7731"/>
  <c r="J7730"/>
  <c r="H7730"/>
  <c r="J7729"/>
  <c r="H7729"/>
  <c r="J7728"/>
  <c r="H7728"/>
  <c r="J7727"/>
  <c r="H7727"/>
  <c r="J7726"/>
  <c r="H7726"/>
  <c r="J7725"/>
  <c r="H7725"/>
  <c r="J7724"/>
  <c r="H7724"/>
  <c r="J7723"/>
  <c r="H7723"/>
  <c r="J7722"/>
  <c r="H7722"/>
  <c r="J7721"/>
  <c r="H7721"/>
  <c r="J7720"/>
  <c r="H7720"/>
  <c r="J7719"/>
  <c r="H7719"/>
  <c r="J7718"/>
  <c r="H7718"/>
  <c r="J7717"/>
  <c r="H7717"/>
  <c r="J7716"/>
  <c r="H7716"/>
  <c r="J7715"/>
  <c r="H7715"/>
  <c r="J7714"/>
  <c r="H7714"/>
  <c r="J7713"/>
  <c r="H7713"/>
  <c r="J7712"/>
  <c r="H7712"/>
  <c r="J7711"/>
  <c r="H7711"/>
  <c r="J7710"/>
  <c r="H7710"/>
  <c r="J7709"/>
  <c r="H7709"/>
  <c r="J7708"/>
  <c r="H7708"/>
  <c r="J7707"/>
  <c r="H7707"/>
  <c r="J7706"/>
  <c r="H7706"/>
  <c r="J7705"/>
  <c r="H7705"/>
  <c r="J7704"/>
  <c r="H7704"/>
  <c r="J7703"/>
  <c r="H7703"/>
  <c r="J7702"/>
  <c r="H7702"/>
  <c r="J7701"/>
  <c r="H7701"/>
  <c r="J7700"/>
  <c r="H7700"/>
  <c r="J7699"/>
  <c r="H7699"/>
  <c r="J7698"/>
  <c r="H7698"/>
  <c r="J7697"/>
  <c r="H7697"/>
  <c r="J7696"/>
  <c r="H7696"/>
  <c r="J7695"/>
  <c r="H7695"/>
  <c r="J7694"/>
  <c r="H7694"/>
  <c r="J7693"/>
  <c r="H7693"/>
  <c r="J7692"/>
  <c r="H7692"/>
  <c r="J7691"/>
  <c r="H7691"/>
  <c r="J7690"/>
  <c r="H7690"/>
  <c r="J7689"/>
  <c r="H7689"/>
  <c r="J7688"/>
  <c r="H7688"/>
  <c r="J7687"/>
  <c r="H7687"/>
  <c r="J7686"/>
  <c r="H7686"/>
  <c r="J7685"/>
  <c r="H7685"/>
  <c r="J7684"/>
  <c r="H7684"/>
  <c r="J7683"/>
  <c r="H7683"/>
  <c r="J7682"/>
  <c r="H7682"/>
  <c r="J7681"/>
  <c r="H7681"/>
  <c r="J7680"/>
  <c r="H7680"/>
  <c r="J7679"/>
  <c r="H7679"/>
  <c r="J7678"/>
  <c r="H7678"/>
  <c r="J7677"/>
  <c r="H7677"/>
  <c r="J7676"/>
  <c r="H7676"/>
  <c r="J7675"/>
  <c r="H7675"/>
  <c r="J7674"/>
  <c r="H7674"/>
  <c r="J7673"/>
  <c r="H7673"/>
  <c r="J7672"/>
  <c r="H7672"/>
  <c r="J7671"/>
  <c r="H7671"/>
  <c r="J7670"/>
  <c r="H7670"/>
  <c r="J7669"/>
  <c r="H7669"/>
  <c r="J7668"/>
  <c r="H7668"/>
  <c r="J7667"/>
  <c r="H7667"/>
  <c r="J7666"/>
  <c r="H7666"/>
  <c r="J7665"/>
  <c r="H7665"/>
  <c r="J7664"/>
  <c r="H7664"/>
  <c r="J7663"/>
  <c r="H7663"/>
  <c r="J7662"/>
  <c r="H7662"/>
  <c r="J7661"/>
  <c r="H7661"/>
  <c r="J7660"/>
  <c r="H7660"/>
  <c r="J7659"/>
  <c r="H7659"/>
  <c r="J7658"/>
  <c r="H7658"/>
  <c r="J7657"/>
  <c r="H7657"/>
  <c r="J7656"/>
  <c r="H7656"/>
  <c r="J7655"/>
  <c r="H7655"/>
  <c r="J7654"/>
  <c r="H7654"/>
  <c r="J7653"/>
  <c r="H7653"/>
  <c r="J7652"/>
  <c r="H7652"/>
  <c r="J7651"/>
  <c r="H7651"/>
  <c r="J7650"/>
  <c r="H7650"/>
  <c r="J7649"/>
  <c r="H7649"/>
  <c r="J7648"/>
  <c r="H7648"/>
  <c r="J7647"/>
  <c r="H7647"/>
  <c r="J7646"/>
  <c r="H7646"/>
  <c r="J7645"/>
  <c r="H7645"/>
  <c r="J7644"/>
  <c r="H7644"/>
  <c r="J7643"/>
  <c r="H7643"/>
  <c r="J7642"/>
  <c r="H7642"/>
  <c r="J7641"/>
  <c r="H7641"/>
  <c r="J7640"/>
  <c r="H7640"/>
  <c r="J7639"/>
  <c r="H7639"/>
  <c r="J7638"/>
  <c r="H7638"/>
  <c r="J7637"/>
  <c r="H7637"/>
  <c r="J7636"/>
  <c r="H7636"/>
  <c r="J7635"/>
  <c r="H7635"/>
  <c r="J7634"/>
  <c r="H7634"/>
  <c r="J7633"/>
  <c r="H7633"/>
  <c r="J7632"/>
  <c r="H7632"/>
  <c r="J7631"/>
  <c r="H7631"/>
  <c r="J7630"/>
  <c r="H7630"/>
  <c r="J7629"/>
  <c r="H7629"/>
  <c r="J7628"/>
  <c r="H7628"/>
  <c r="J7627"/>
  <c r="H7627"/>
  <c r="J7626"/>
  <c r="H7626"/>
  <c r="J7625"/>
  <c r="H7625"/>
  <c r="J7624"/>
  <c r="H7624"/>
  <c r="J7623"/>
  <c r="H7623"/>
  <c r="J7622"/>
  <c r="H7622"/>
  <c r="J7621"/>
  <c r="H7621"/>
  <c r="J7620"/>
  <c r="H7620"/>
  <c r="J7619"/>
  <c r="H7619"/>
  <c r="J7618"/>
  <c r="H7618"/>
  <c r="J7617"/>
  <c r="H7617"/>
  <c r="J7616"/>
  <c r="H7616"/>
  <c r="J7615"/>
  <c r="H7615"/>
  <c r="J7614"/>
  <c r="H7614"/>
  <c r="J7613"/>
  <c r="H7613"/>
  <c r="J7612"/>
  <c r="H7612"/>
  <c r="J7611"/>
  <c r="H7611"/>
  <c r="J7610"/>
  <c r="H7610"/>
  <c r="J7609"/>
  <c r="H7609"/>
  <c r="J7608"/>
  <c r="H7608"/>
  <c r="J7607"/>
  <c r="H7607"/>
  <c r="J7606"/>
  <c r="H7606"/>
  <c r="J7605"/>
  <c r="H7605"/>
  <c r="J7604"/>
  <c r="H7604"/>
  <c r="J7603"/>
  <c r="H7603"/>
  <c r="J7602"/>
  <c r="H7602"/>
  <c r="J7601"/>
  <c r="H7601"/>
  <c r="J7600"/>
  <c r="H7600"/>
  <c r="J7599"/>
  <c r="H7599"/>
  <c r="J7598"/>
  <c r="H7598"/>
  <c r="J7597"/>
  <c r="H7597"/>
  <c r="J7596"/>
  <c r="H7596"/>
  <c r="J7595"/>
  <c r="H7595"/>
  <c r="J7594"/>
  <c r="H7594"/>
  <c r="J7593"/>
  <c r="H7593"/>
  <c r="J7592"/>
  <c r="H7592"/>
  <c r="J7591"/>
  <c r="H7591"/>
  <c r="J7590"/>
  <c r="H7590"/>
  <c r="J7589"/>
  <c r="H7589"/>
  <c r="J7588"/>
  <c r="H7588"/>
  <c r="J7587"/>
  <c r="H7587"/>
  <c r="J7586"/>
  <c r="H7586"/>
  <c r="J7585"/>
  <c r="H7585"/>
  <c r="J7584"/>
  <c r="H7584"/>
  <c r="J7583"/>
  <c r="H7583"/>
  <c r="J7582"/>
  <c r="H7582"/>
  <c r="J7581"/>
  <c r="H7581"/>
  <c r="J7580"/>
  <c r="H7580"/>
  <c r="J7579"/>
  <c r="H7579"/>
  <c r="J7578"/>
  <c r="H7578"/>
  <c r="J7577"/>
  <c r="H7577"/>
  <c r="J7576"/>
  <c r="H7576"/>
  <c r="J7575"/>
  <c r="H7575"/>
  <c r="J7574"/>
  <c r="H7574"/>
  <c r="J7573"/>
  <c r="H7573"/>
  <c r="J7572"/>
  <c r="H7572"/>
  <c r="J7571"/>
  <c r="H7571"/>
  <c r="J7570"/>
  <c r="H7570"/>
  <c r="J7569"/>
  <c r="H7569"/>
  <c r="J7568"/>
  <c r="H7568"/>
  <c r="J7567"/>
  <c r="H7567"/>
  <c r="J7566"/>
  <c r="H7566"/>
  <c r="J7565"/>
  <c r="H7565"/>
  <c r="J7564"/>
  <c r="H7564"/>
  <c r="J7563"/>
  <c r="H7563"/>
  <c r="J7562"/>
  <c r="H7562"/>
  <c r="J7561"/>
  <c r="H7561"/>
  <c r="J7560"/>
  <c r="H7560"/>
  <c r="J7559"/>
  <c r="H7559"/>
  <c r="J7558"/>
  <c r="H7558"/>
  <c r="J7557"/>
  <c r="H7557"/>
  <c r="J7556"/>
  <c r="H7556"/>
  <c r="J7555"/>
  <c r="H7555"/>
  <c r="J7554"/>
  <c r="H7554"/>
  <c r="J7553"/>
  <c r="H7553"/>
  <c r="J7552"/>
  <c r="H7552"/>
  <c r="J7551"/>
  <c r="H7551"/>
  <c r="J7550"/>
  <c r="H7550"/>
  <c r="J7549"/>
  <c r="H7549"/>
  <c r="J7548"/>
  <c r="H7548"/>
  <c r="J7547"/>
  <c r="H7547"/>
  <c r="J7546"/>
  <c r="H7546"/>
  <c r="J7545"/>
  <c r="H7545"/>
  <c r="J7544"/>
  <c r="H7544"/>
  <c r="J7543"/>
  <c r="H7543"/>
  <c r="J7542"/>
  <c r="H7542"/>
  <c r="J7541"/>
  <c r="H7541"/>
  <c r="J7540"/>
  <c r="H7540"/>
  <c r="J7539"/>
  <c r="H7539"/>
  <c r="J7538"/>
  <c r="H7538"/>
  <c r="J7537"/>
  <c r="H7537"/>
  <c r="J7536"/>
  <c r="H7536"/>
  <c r="J7535"/>
  <c r="H7535"/>
  <c r="J7534"/>
  <c r="H7534"/>
  <c r="J7533"/>
  <c r="H7533"/>
  <c r="J7532"/>
  <c r="H7532"/>
  <c r="J7531"/>
  <c r="H7531"/>
  <c r="J7530"/>
  <c r="H7530"/>
  <c r="J7529"/>
  <c r="H7529"/>
  <c r="J7528"/>
  <c r="H7528"/>
  <c r="J7527"/>
  <c r="H7527"/>
  <c r="J7526"/>
  <c r="H7526"/>
  <c r="J7525"/>
  <c r="H7525"/>
  <c r="J7524"/>
  <c r="H7524"/>
  <c r="J7523"/>
  <c r="H7523"/>
  <c r="J7522"/>
  <c r="H7522"/>
  <c r="J7521"/>
  <c r="H7521"/>
  <c r="J7520"/>
  <c r="H7520"/>
  <c r="J7519"/>
  <c r="H7519"/>
  <c r="J7518"/>
  <c r="H7518"/>
  <c r="J7517"/>
  <c r="H7517"/>
  <c r="J7516"/>
  <c r="H7516"/>
  <c r="J7515"/>
  <c r="H7515"/>
  <c r="J7514"/>
  <c r="H7514"/>
  <c r="J7513"/>
  <c r="H7513"/>
  <c r="J7512"/>
  <c r="H7512"/>
  <c r="J7511"/>
  <c r="H7511"/>
  <c r="J7510"/>
  <c r="H7510"/>
  <c r="J7509"/>
  <c r="H7509"/>
  <c r="J7508"/>
  <c r="H7508"/>
  <c r="J7507"/>
  <c r="H7507"/>
  <c r="J7506"/>
  <c r="H7506"/>
  <c r="J7505"/>
  <c r="H7505"/>
  <c r="J7504"/>
  <c r="H7504"/>
  <c r="J7503"/>
  <c r="H7503"/>
  <c r="J7502"/>
  <c r="H7502"/>
  <c r="J7501"/>
  <c r="H7501"/>
  <c r="J7500"/>
  <c r="H7500"/>
  <c r="J7499"/>
  <c r="H7499"/>
  <c r="J7498"/>
  <c r="H7498"/>
  <c r="J7497"/>
  <c r="H7497"/>
  <c r="J7496"/>
  <c r="H7496"/>
  <c r="J7495"/>
  <c r="H7495"/>
  <c r="J7494"/>
  <c r="H7494"/>
  <c r="J7493"/>
  <c r="H7493"/>
  <c r="J7492"/>
  <c r="H7492"/>
  <c r="J7491"/>
  <c r="H7491"/>
  <c r="J7490"/>
  <c r="H7490"/>
  <c r="J7489"/>
  <c r="H7489"/>
  <c r="J7488"/>
  <c r="H7488"/>
  <c r="J7487"/>
  <c r="H7487"/>
  <c r="J7486"/>
  <c r="H7486"/>
  <c r="J7485"/>
  <c r="H7485"/>
  <c r="J7484"/>
  <c r="H7484"/>
  <c r="J7483"/>
  <c r="H7483"/>
  <c r="J7482"/>
  <c r="H7482"/>
  <c r="J7481"/>
  <c r="H7481"/>
  <c r="J7480"/>
  <c r="H7480"/>
  <c r="J7479"/>
  <c r="H7479"/>
  <c r="J7478"/>
  <c r="H7478"/>
  <c r="J7477"/>
  <c r="H7477"/>
  <c r="J7476"/>
  <c r="H7476"/>
  <c r="J7475"/>
  <c r="H7475"/>
  <c r="J7474"/>
  <c r="H7474"/>
  <c r="J7473"/>
  <c r="H7473"/>
  <c r="J7472"/>
  <c r="H7472"/>
  <c r="J7471"/>
  <c r="H7471"/>
  <c r="J7470"/>
  <c r="H7470"/>
  <c r="J7469"/>
  <c r="H7469"/>
  <c r="J7468"/>
  <c r="H7468"/>
  <c r="J7467"/>
  <c r="H7467"/>
  <c r="J7466"/>
  <c r="H7466"/>
  <c r="J7465"/>
  <c r="H7465"/>
  <c r="J7464"/>
  <c r="H7464"/>
  <c r="J7463"/>
  <c r="H7463"/>
  <c r="J7462"/>
  <c r="H7462"/>
  <c r="J7461"/>
  <c r="H7461"/>
  <c r="J7460"/>
  <c r="H7460"/>
  <c r="J7459"/>
  <c r="H7459"/>
  <c r="J7458"/>
  <c r="H7458"/>
  <c r="J7457"/>
  <c r="H7457"/>
  <c r="J7456"/>
  <c r="H7456"/>
  <c r="J7455"/>
  <c r="H7455"/>
  <c r="J7454"/>
  <c r="H7454"/>
  <c r="J7453"/>
  <c r="H7453"/>
  <c r="J7452"/>
  <c r="H7452"/>
  <c r="J7451"/>
  <c r="H7451"/>
  <c r="J7450"/>
  <c r="H7450"/>
  <c r="J7449"/>
  <c r="H7449"/>
  <c r="J7448"/>
  <c r="H7448"/>
  <c r="J7447"/>
  <c r="H7447"/>
  <c r="J7446"/>
  <c r="H7446"/>
  <c r="J7445"/>
  <c r="H7445"/>
  <c r="J7444"/>
  <c r="H7444"/>
  <c r="J7443"/>
  <c r="H7443"/>
  <c r="J7442"/>
  <c r="H7442"/>
  <c r="J7441"/>
  <c r="H7441"/>
  <c r="J7440"/>
  <c r="H7440"/>
  <c r="J7439"/>
  <c r="H7439"/>
  <c r="J7438"/>
  <c r="H7438"/>
  <c r="J7437"/>
  <c r="H7437"/>
  <c r="J7436"/>
  <c r="H7436"/>
  <c r="J7435"/>
  <c r="H7435"/>
  <c r="J7434"/>
  <c r="H7434"/>
  <c r="J7433"/>
  <c r="H7433"/>
  <c r="J7432"/>
  <c r="H7432"/>
  <c r="J7431"/>
  <c r="H7431"/>
  <c r="J7430"/>
  <c r="H7430"/>
  <c r="J7429"/>
  <c r="H7429"/>
  <c r="J7428"/>
  <c r="H7428"/>
  <c r="J7427"/>
  <c r="H7427"/>
  <c r="J7426"/>
  <c r="H7426"/>
  <c r="J7425"/>
  <c r="H7425"/>
  <c r="J7424"/>
  <c r="H7424"/>
  <c r="J7423"/>
  <c r="H7423"/>
  <c r="J7422"/>
  <c r="H7422"/>
  <c r="J7421"/>
  <c r="H7421"/>
  <c r="J7420"/>
  <c r="H7420"/>
  <c r="J7419"/>
  <c r="H7419"/>
  <c r="J7418"/>
  <c r="H7418"/>
  <c r="J7417"/>
  <c r="H7417"/>
  <c r="J7416"/>
  <c r="H7416"/>
  <c r="J7415"/>
  <c r="H7415"/>
  <c r="J7414"/>
  <c r="H7414"/>
  <c r="J7413"/>
  <c r="H7413"/>
  <c r="J7412"/>
  <c r="H7412"/>
  <c r="J7411"/>
  <c r="H7411"/>
  <c r="J7410"/>
  <c r="H7410"/>
  <c r="J7409"/>
  <c r="H7409"/>
  <c r="J7408"/>
  <c r="H7408"/>
  <c r="J7407"/>
  <c r="H7407"/>
  <c r="J7406"/>
  <c r="H7406"/>
  <c r="J7405"/>
  <c r="H7405"/>
  <c r="J7404"/>
  <c r="H7404"/>
  <c r="J7403"/>
  <c r="H7403"/>
  <c r="J7402"/>
  <c r="H7402"/>
  <c r="J7401"/>
  <c r="H7401"/>
  <c r="J7400"/>
  <c r="H7400"/>
  <c r="J7399"/>
  <c r="H7399"/>
  <c r="J7398"/>
  <c r="H7398"/>
  <c r="J7397"/>
  <c r="H7397"/>
  <c r="J7396"/>
  <c r="H7396"/>
  <c r="J7395"/>
  <c r="H7395"/>
  <c r="J7394"/>
  <c r="H7394"/>
  <c r="J7393"/>
  <c r="H7393"/>
  <c r="J7392"/>
  <c r="H7392"/>
  <c r="J7391"/>
  <c r="H7391"/>
  <c r="J7390"/>
  <c r="H7390"/>
  <c r="J7389"/>
  <c r="H7389"/>
  <c r="J7388"/>
  <c r="H7388"/>
  <c r="J7387"/>
  <c r="H7387"/>
  <c r="J7386"/>
  <c r="H7386"/>
  <c r="J7385"/>
  <c r="H7385"/>
  <c r="J7384"/>
  <c r="H7384"/>
  <c r="J7383"/>
  <c r="H7383"/>
  <c r="J7382"/>
  <c r="H7382"/>
  <c r="J7381"/>
  <c r="H7381"/>
  <c r="J7380"/>
  <c r="H7380"/>
  <c r="J7379"/>
  <c r="H7379"/>
  <c r="J7378"/>
  <c r="H7378"/>
  <c r="J7377"/>
  <c r="H7377"/>
  <c r="J7376"/>
  <c r="H7376"/>
  <c r="J7375"/>
  <c r="H7375"/>
  <c r="J7374"/>
  <c r="H7374"/>
  <c r="J7373"/>
  <c r="H7373"/>
  <c r="J7372"/>
  <c r="H7372"/>
  <c r="J7371"/>
  <c r="H7371"/>
  <c r="J7370"/>
  <c r="H7370"/>
  <c r="J7369"/>
  <c r="H7369"/>
  <c r="J7368"/>
  <c r="H7368"/>
  <c r="J7367"/>
  <c r="H7367"/>
  <c r="J7366"/>
  <c r="H7366"/>
  <c r="J7365"/>
  <c r="H7365"/>
  <c r="J7364"/>
  <c r="H7364"/>
  <c r="J7363"/>
  <c r="H7363"/>
  <c r="J7362"/>
  <c r="H7362"/>
  <c r="J7361"/>
  <c r="H7361"/>
  <c r="J7360"/>
  <c r="H7360"/>
  <c r="J7359"/>
  <c r="H7359"/>
  <c r="J7358"/>
  <c r="H7358"/>
  <c r="J7357"/>
  <c r="H7357"/>
  <c r="J7356"/>
  <c r="H7356"/>
  <c r="J7355"/>
  <c r="H7355"/>
  <c r="J7354"/>
  <c r="H7354"/>
  <c r="J7353"/>
  <c r="H7353"/>
  <c r="J7352"/>
  <c r="H7352"/>
  <c r="J7351"/>
  <c r="H7351"/>
  <c r="J7350"/>
  <c r="H7350"/>
  <c r="J7349"/>
  <c r="H7349"/>
  <c r="J7348"/>
  <c r="H7348"/>
  <c r="J7347"/>
  <c r="H7347"/>
  <c r="J7346"/>
  <c r="H7346"/>
  <c r="J7345"/>
  <c r="H7345"/>
  <c r="J7344"/>
  <c r="H7344"/>
  <c r="J7343"/>
  <c r="H7343"/>
  <c r="J7342"/>
  <c r="H7342"/>
  <c r="J7341"/>
  <c r="H7341"/>
  <c r="J7340"/>
  <c r="H7340"/>
  <c r="J7339"/>
  <c r="H7339"/>
  <c r="J7338"/>
  <c r="H7338"/>
  <c r="J7337"/>
  <c r="H7337"/>
  <c r="J7336"/>
  <c r="H7336"/>
  <c r="J7335"/>
  <c r="H7335"/>
  <c r="J7334"/>
  <c r="H7334"/>
  <c r="J7333"/>
  <c r="H7333"/>
  <c r="J7332"/>
  <c r="H7332"/>
  <c r="J7331"/>
  <c r="H7331"/>
  <c r="J7330"/>
  <c r="H7330"/>
  <c r="J7329"/>
  <c r="H7329"/>
  <c r="J7328"/>
  <c r="H7328"/>
  <c r="J7327"/>
  <c r="H7327"/>
  <c r="J7326"/>
  <c r="H7326"/>
  <c r="J7325"/>
  <c r="H7325"/>
  <c r="J7324"/>
  <c r="H7324"/>
  <c r="J7323"/>
  <c r="H7323"/>
  <c r="J7322"/>
  <c r="H7322"/>
  <c r="J7321"/>
  <c r="H7321"/>
  <c r="J7320"/>
  <c r="H7320"/>
  <c r="J7319"/>
  <c r="H7319"/>
  <c r="J7318"/>
  <c r="H7318"/>
  <c r="J7317"/>
  <c r="H7317"/>
  <c r="J7316"/>
  <c r="H7316"/>
  <c r="J7315"/>
  <c r="H7315"/>
  <c r="J7314"/>
  <c r="H7314"/>
  <c r="J7313"/>
  <c r="H7313"/>
  <c r="J7312"/>
  <c r="H7312"/>
  <c r="J7311"/>
  <c r="H7311"/>
  <c r="J7310"/>
  <c r="H7310"/>
  <c r="J7309"/>
  <c r="H7309"/>
  <c r="J7308"/>
  <c r="H7308"/>
  <c r="J7307"/>
  <c r="H7307"/>
  <c r="J7306"/>
  <c r="H7306"/>
  <c r="J7305"/>
  <c r="H7305"/>
  <c r="J7304"/>
  <c r="H7304"/>
  <c r="J7303"/>
  <c r="H7303"/>
  <c r="J7302"/>
  <c r="H7302"/>
  <c r="J7301"/>
  <c r="H7301"/>
  <c r="J7300"/>
  <c r="H7300"/>
  <c r="J7299"/>
  <c r="H7299"/>
  <c r="J7298"/>
  <c r="H7298"/>
  <c r="J7297"/>
  <c r="H7297"/>
  <c r="J7296"/>
  <c r="H7296"/>
  <c r="J7295"/>
  <c r="H7295"/>
  <c r="J7294"/>
  <c r="H7294"/>
  <c r="J7293"/>
  <c r="H7293"/>
  <c r="J7292"/>
  <c r="H7292"/>
  <c r="J7291"/>
  <c r="H7291"/>
  <c r="J7290"/>
  <c r="H7290"/>
  <c r="J7289"/>
  <c r="H7289"/>
  <c r="J7288"/>
  <c r="H7288"/>
  <c r="J7287"/>
  <c r="H7287"/>
  <c r="J7286"/>
  <c r="H7286"/>
  <c r="J7285"/>
  <c r="H7285"/>
  <c r="J7284"/>
  <c r="H7284"/>
  <c r="J7283"/>
  <c r="H7283"/>
  <c r="J7282"/>
  <c r="H7282"/>
  <c r="J7281"/>
  <c r="H7281"/>
  <c r="J7280"/>
  <c r="H7280"/>
  <c r="J7279"/>
  <c r="H7279"/>
  <c r="J7278"/>
  <c r="H7278"/>
  <c r="J7277"/>
  <c r="H7277"/>
  <c r="J7276"/>
  <c r="H7276"/>
  <c r="J7275"/>
  <c r="H7275"/>
  <c r="J7274"/>
  <c r="H7274"/>
  <c r="J7273"/>
  <c r="H7273"/>
  <c r="J7272"/>
  <c r="H7272"/>
  <c r="J7271"/>
  <c r="H7271"/>
  <c r="J7270"/>
  <c r="H7270"/>
  <c r="J7269"/>
  <c r="H7269"/>
  <c r="J7268"/>
  <c r="H7268"/>
  <c r="J7267"/>
  <c r="H7267"/>
  <c r="J7266"/>
  <c r="H7266"/>
  <c r="J7265"/>
  <c r="H7265"/>
  <c r="J7264"/>
  <c r="H7264"/>
  <c r="J7263"/>
  <c r="H7263"/>
  <c r="J7262"/>
  <c r="H7262"/>
  <c r="J7261"/>
  <c r="H7261"/>
  <c r="J7260"/>
  <c r="H7260"/>
  <c r="J7259"/>
  <c r="H7259"/>
  <c r="J7258"/>
  <c r="H7258"/>
  <c r="J7257"/>
  <c r="H7257"/>
  <c r="J7256"/>
  <c r="H7256"/>
  <c r="J7255"/>
  <c r="H7255"/>
  <c r="J7254"/>
  <c r="H7254"/>
  <c r="J7253"/>
  <c r="H7253"/>
  <c r="J7252"/>
  <c r="H7252"/>
  <c r="J7251"/>
  <c r="H7251"/>
  <c r="J7250"/>
  <c r="H7250"/>
  <c r="J7249"/>
  <c r="H7249"/>
  <c r="J7248"/>
  <c r="H7248"/>
  <c r="J7247"/>
  <c r="H7247"/>
  <c r="J7246"/>
  <c r="H7246"/>
  <c r="J7245"/>
  <c r="H7245"/>
  <c r="J7244"/>
  <c r="H7244"/>
  <c r="J7243"/>
  <c r="H7243"/>
  <c r="J7242"/>
  <c r="H7242"/>
  <c r="J7241"/>
  <c r="H7241"/>
  <c r="J7240"/>
  <c r="H7240"/>
  <c r="J7239"/>
  <c r="H7239"/>
  <c r="J7238"/>
  <c r="H7238"/>
  <c r="J7237"/>
  <c r="H7237"/>
  <c r="J7236"/>
  <c r="H7236"/>
  <c r="J7235"/>
  <c r="H7235"/>
  <c r="J7234"/>
  <c r="H7234"/>
  <c r="J7233"/>
  <c r="H7233"/>
  <c r="J7232"/>
  <c r="H7232"/>
  <c r="J7231"/>
  <c r="H7231"/>
  <c r="J7230"/>
  <c r="H7230"/>
  <c r="J7229"/>
  <c r="H7229"/>
  <c r="J7228"/>
  <c r="H7228"/>
  <c r="J7227"/>
  <c r="H7227"/>
  <c r="J7226"/>
  <c r="H7226"/>
  <c r="J7225"/>
  <c r="H7225"/>
  <c r="J7224"/>
  <c r="H7224"/>
  <c r="J7223"/>
  <c r="H7223"/>
  <c r="J7222"/>
  <c r="H7222"/>
  <c r="J7221"/>
  <c r="H7221"/>
  <c r="J7220"/>
  <c r="H7220"/>
  <c r="J7219"/>
  <c r="H7219"/>
  <c r="J7218"/>
  <c r="H7218"/>
  <c r="J7217"/>
  <c r="H7217"/>
  <c r="J7216"/>
  <c r="H7216"/>
  <c r="J7215"/>
  <c r="H7215"/>
  <c r="J7214"/>
  <c r="H7214"/>
  <c r="J7213"/>
  <c r="H7213"/>
  <c r="J7212"/>
  <c r="H7212"/>
  <c r="J7211"/>
  <c r="H7211"/>
  <c r="J7210"/>
  <c r="H7210"/>
  <c r="J7209"/>
  <c r="H7209"/>
  <c r="J7208"/>
  <c r="H7208"/>
  <c r="J7207"/>
  <c r="H7207"/>
  <c r="J7206"/>
  <c r="H7206"/>
  <c r="J7205"/>
  <c r="H7205"/>
  <c r="J7204"/>
  <c r="H7204"/>
  <c r="J7203"/>
  <c r="H7203"/>
  <c r="J7202"/>
  <c r="H7202"/>
  <c r="J7201"/>
  <c r="H7201"/>
  <c r="J7200"/>
  <c r="H7200"/>
  <c r="J7199"/>
  <c r="H7199"/>
  <c r="J7198"/>
  <c r="H7198"/>
  <c r="J7197"/>
  <c r="H7197"/>
  <c r="J7196"/>
  <c r="H7196"/>
  <c r="J7195"/>
  <c r="H7195"/>
  <c r="J7194"/>
  <c r="H7194"/>
  <c r="J7193"/>
  <c r="H7193"/>
  <c r="J7192"/>
  <c r="H7192"/>
  <c r="J7191"/>
  <c r="H7191"/>
  <c r="J7190"/>
  <c r="H7190"/>
  <c r="J7189"/>
  <c r="H7189"/>
  <c r="J7188"/>
  <c r="H7188"/>
  <c r="J7187"/>
  <c r="H7187"/>
  <c r="J7186"/>
  <c r="H7186"/>
  <c r="J7185"/>
  <c r="H7185"/>
  <c r="J7184"/>
  <c r="H7184"/>
  <c r="J7183"/>
  <c r="H7183"/>
  <c r="J7182"/>
  <c r="H7182"/>
  <c r="J7181"/>
  <c r="H7181"/>
  <c r="J7180"/>
  <c r="H7180"/>
  <c r="J7179"/>
  <c r="H7179"/>
  <c r="J7178"/>
  <c r="H7178"/>
  <c r="J7177"/>
  <c r="H7177"/>
  <c r="J7176"/>
  <c r="H7176"/>
  <c r="J7175"/>
  <c r="H7175"/>
  <c r="J7174"/>
  <c r="H7174"/>
  <c r="J7173"/>
  <c r="H7173"/>
  <c r="J7172"/>
  <c r="H7172"/>
  <c r="J7171"/>
  <c r="H7171"/>
  <c r="J7170"/>
  <c r="H7170"/>
  <c r="J7169"/>
  <c r="H7169"/>
  <c r="J7168"/>
  <c r="H7168"/>
  <c r="J7167"/>
  <c r="H7167"/>
  <c r="J7166"/>
  <c r="H7166"/>
  <c r="J7165"/>
  <c r="H7165"/>
  <c r="J7164"/>
  <c r="H7164"/>
  <c r="J7163"/>
  <c r="H7163"/>
  <c r="J7162"/>
  <c r="H7162"/>
  <c r="J7161"/>
  <c r="H7161"/>
  <c r="J7160"/>
  <c r="H7160"/>
  <c r="J7159"/>
  <c r="H7159"/>
  <c r="J7158"/>
  <c r="H7158"/>
  <c r="J7157"/>
  <c r="H7157"/>
  <c r="J7156"/>
  <c r="H7156"/>
  <c r="J7155"/>
  <c r="H7155"/>
  <c r="J7154"/>
  <c r="H7154"/>
  <c r="J7153"/>
  <c r="H7153"/>
  <c r="J7152"/>
  <c r="H7152"/>
  <c r="J7151"/>
  <c r="H7151"/>
  <c r="J7150"/>
  <c r="H7150"/>
  <c r="J7149"/>
  <c r="H7149"/>
  <c r="J7148"/>
  <c r="H7148"/>
  <c r="J7147"/>
  <c r="H7147"/>
  <c r="J7146"/>
  <c r="H7146"/>
  <c r="J7145"/>
  <c r="H7145"/>
  <c r="J7144"/>
  <c r="H7144"/>
  <c r="J7143"/>
  <c r="H7143"/>
  <c r="J7142"/>
  <c r="H7142"/>
  <c r="J7141"/>
  <c r="H7141"/>
  <c r="J7140"/>
  <c r="H7140"/>
  <c r="J7139"/>
  <c r="H7139"/>
  <c r="J7138"/>
  <c r="H7138"/>
  <c r="J7137"/>
  <c r="H7137"/>
  <c r="J7136"/>
  <c r="H7136"/>
  <c r="J7135"/>
  <c r="H7135"/>
  <c r="J7134"/>
  <c r="H7134"/>
  <c r="J7133"/>
  <c r="H7133"/>
  <c r="J7132"/>
  <c r="H7132"/>
  <c r="J7131"/>
  <c r="H7131"/>
  <c r="J7130"/>
  <c r="H7130"/>
  <c r="J7129"/>
  <c r="H7129"/>
  <c r="J7128"/>
  <c r="H7128"/>
  <c r="J7127"/>
  <c r="H7127"/>
  <c r="J7126"/>
  <c r="H7126"/>
  <c r="J7125"/>
  <c r="H7125"/>
  <c r="J7124"/>
  <c r="H7124"/>
  <c r="J7123"/>
  <c r="H7123"/>
  <c r="J7122"/>
  <c r="H7122"/>
  <c r="J7121"/>
  <c r="H7121"/>
  <c r="J7120"/>
  <c r="H7120"/>
  <c r="J7119"/>
  <c r="H7119"/>
  <c r="J7118"/>
  <c r="H7118"/>
  <c r="J7117"/>
  <c r="H7117"/>
  <c r="J7116"/>
  <c r="H7116"/>
  <c r="J7115"/>
  <c r="H7115"/>
  <c r="J7114"/>
  <c r="H7114"/>
  <c r="J7113"/>
  <c r="H7113"/>
  <c r="J7112"/>
  <c r="H7112"/>
  <c r="J7111"/>
  <c r="H7111"/>
  <c r="J7110"/>
  <c r="H7110"/>
  <c r="J7109"/>
  <c r="H7109"/>
  <c r="J7108"/>
  <c r="H7108"/>
  <c r="J7107"/>
  <c r="H7107"/>
  <c r="J7106"/>
  <c r="H7106"/>
  <c r="J7105"/>
  <c r="H7105"/>
  <c r="J7104"/>
  <c r="H7104"/>
  <c r="J7103"/>
  <c r="H7103"/>
  <c r="J7102"/>
  <c r="H7102"/>
  <c r="J7101"/>
  <c r="H7101"/>
  <c r="J7100"/>
  <c r="H7100"/>
  <c r="J7099"/>
  <c r="H7099"/>
  <c r="J7098"/>
  <c r="H7098"/>
  <c r="J7097"/>
  <c r="H7097"/>
  <c r="J7096"/>
  <c r="H7096"/>
  <c r="J7095"/>
  <c r="H7095"/>
  <c r="J7094"/>
  <c r="H7094"/>
  <c r="J7093"/>
  <c r="H7093"/>
  <c r="J7092"/>
  <c r="H7092"/>
  <c r="J7091"/>
  <c r="H7091"/>
  <c r="J7090"/>
  <c r="H7090"/>
  <c r="J7089"/>
  <c r="H7089"/>
  <c r="J7088"/>
  <c r="H7088"/>
  <c r="J7087"/>
  <c r="H7087"/>
  <c r="J7086"/>
  <c r="H7086"/>
  <c r="J7085"/>
  <c r="H7085"/>
  <c r="J7084"/>
  <c r="H7084"/>
  <c r="J7083"/>
  <c r="H7083"/>
  <c r="J7082"/>
  <c r="H7082"/>
  <c r="J7081"/>
  <c r="H7081"/>
  <c r="J7080"/>
  <c r="H7080"/>
  <c r="J7079"/>
  <c r="H7079"/>
  <c r="J7078"/>
  <c r="H7078"/>
  <c r="J7077"/>
  <c r="H7077"/>
  <c r="J7076"/>
  <c r="H7076"/>
  <c r="J7075"/>
  <c r="H7075"/>
  <c r="J7074"/>
  <c r="H7074"/>
  <c r="J7073"/>
  <c r="H7073"/>
  <c r="J7072"/>
  <c r="H7072"/>
  <c r="J7071"/>
  <c r="H7071"/>
  <c r="J7070"/>
  <c r="H7070"/>
  <c r="J7069"/>
  <c r="H7069"/>
  <c r="J7068"/>
  <c r="H7068"/>
  <c r="J7067"/>
  <c r="H7067"/>
  <c r="J7066"/>
  <c r="H7066"/>
  <c r="J7065"/>
  <c r="H7065"/>
  <c r="J7064"/>
  <c r="H7064"/>
  <c r="J7063"/>
  <c r="H7063"/>
  <c r="J7062"/>
  <c r="H7062"/>
  <c r="J7061"/>
  <c r="H7061"/>
  <c r="J7060"/>
  <c r="H7060"/>
  <c r="J7059"/>
  <c r="H7059"/>
  <c r="J7058"/>
  <c r="H7058"/>
  <c r="J7057"/>
  <c r="H7057"/>
  <c r="J7056"/>
  <c r="H7056"/>
  <c r="J7055"/>
  <c r="H7055"/>
  <c r="J7054"/>
  <c r="H7054"/>
  <c r="J7053"/>
  <c r="H7053"/>
  <c r="J7052"/>
  <c r="H7052"/>
  <c r="J7051"/>
  <c r="H7051"/>
  <c r="J7050"/>
  <c r="H7050"/>
  <c r="J7049"/>
  <c r="H7049"/>
  <c r="J7048"/>
  <c r="H7048"/>
  <c r="J7047"/>
  <c r="H7047"/>
  <c r="J7046"/>
  <c r="H7046"/>
  <c r="J7045"/>
  <c r="H7045"/>
  <c r="J7044"/>
  <c r="H7044"/>
  <c r="J7043"/>
  <c r="H7043"/>
  <c r="J7042"/>
  <c r="H7042"/>
  <c r="J7041"/>
  <c r="H7041"/>
  <c r="J7040"/>
  <c r="H7040"/>
  <c r="J7039"/>
  <c r="H7039"/>
  <c r="J7038"/>
  <c r="H7038"/>
  <c r="J7037"/>
  <c r="H7037"/>
  <c r="J7036"/>
  <c r="H7036"/>
  <c r="J7035"/>
  <c r="H7035"/>
  <c r="J7034"/>
  <c r="H7034"/>
  <c r="J7033"/>
  <c r="H7033"/>
  <c r="J7032"/>
  <c r="H7032"/>
  <c r="J7031"/>
  <c r="H7031"/>
  <c r="J7030"/>
  <c r="H7030"/>
  <c r="J7029"/>
  <c r="H7029"/>
  <c r="J7028"/>
  <c r="H7028"/>
  <c r="J7027"/>
  <c r="H7027"/>
  <c r="J7026"/>
  <c r="H7026"/>
  <c r="J7025"/>
  <c r="H7025"/>
  <c r="J7024"/>
  <c r="H7024"/>
  <c r="J7023"/>
  <c r="H7023"/>
  <c r="J7022"/>
  <c r="H7022"/>
  <c r="J7021"/>
  <c r="H7021"/>
  <c r="J7020"/>
  <c r="H7020"/>
  <c r="J7019"/>
  <c r="H7019"/>
  <c r="J7018"/>
  <c r="H7018"/>
  <c r="J7017"/>
  <c r="H7017"/>
  <c r="J7016"/>
  <c r="H7016"/>
  <c r="J7015"/>
  <c r="H7015"/>
  <c r="J7014"/>
  <c r="H7014"/>
  <c r="J7013"/>
  <c r="H7013"/>
  <c r="J7012"/>
  <c r="H7012"/>
  <c r="J7011"/>
  <c r="H7011"/>
  <c r="J7010"/>
  <c r="H7010"/>
  <c r="J7009"/>
  <c r="H7009"/>
  <c r="J7008"/>
  <c r="H7008"/>
  <c r="J7007"/>
  <c r="H7007"/>
  <c r="J7006"/>
  <c r="H7006"/>
  <c r="J7005"/>
  <c r="H7005"/>
  <c r="J7004"/>
  <c r="H7004"/>
  <c r="J7003"/>
  <c r="H7003"/>
  <c r="J7002"/>
  <c r="H7002"/>
  <c r="J7001"/>
  <c r="H7001"/>
  <c r="J7000"/>
  <c r="H7000"/>
  <c r="J6999"/>
  <c r="H6999"/>
  <c r="J6998"/>
  <c r="H6998"/>
  <c r="J6997"/>
  <c r="H6997"/>
  <c r="J6996"/>
  <c r="H6996"/>
  <c r="J6995"/>
  <c r="H6995"/>
  <c r="J6994"/>
  <c r="H6994"/>
  <c r="J6993"/>
  <c r="H6993"/>
  <c r="J6992"/>
  <c r="H6992"/>
  <c r="J6991"/>
  <c r="H6991"/>
  <c r="J6990"/>
  <c r="H6990"/>
  <c r="J6989"/>
  <c r="H6989"/>
  <c r="J6988"/>
  <c r="H6988"/>
  <c r="J6987"/>
  <c r="H6987"/>
  <c r="J6986"/>
  <c r="H6986"/>
  <c r="J6985"/>
  <c r="H6985"/>
  <c r="J6984"/>
  <c r="H6984"/>
  <c r="J6983"/>
  <c r="H6983"/>
  <c r="J6982"/>
  <c r="H6982"/>
  <c r="J6981"/>
  <c r="H6981"/>
  <c r="J6980"/>
  <c r="H6980"/>
  <c r="J6979"/>
  <c r="H6979"/>
  <c r="J6978"/>
  <c r="H6978"/>
  <c r="J6977"/>
  <c r="H6977"/>
  <c r="J6976"/>
  <c r="H6976"/>
  <c r="J6975"/>
  <c r="H6975"/>
  <c r="J6974"/>
  <c r="H6974"/>
  <c r="J6973"/>
  <c r="H6973"/>
  <c r="J6972"/>
  <c r="H6972"/>
  <c r="J6971"/>
  <c r="H6971"/>
  <c r="J6970"/>
  <c r="H6970"/>
  <c r="J6969"/>
  <c r="H6969"/>
  <c r="J6968"/>
  <c r="H6968"/>
  <c r="J6967"/>
  <c r="H6967"/>
  <c r="J6966"/>
  <c r="H6966"/>
  <c r="J6965"/>
  <c r="H6965"/>
  <c r="J6964"/>
  <c r="H6964"/>
  <c r="J6963"/>
  <c r="H6963"/>
  <c r="J6962"/>
  <c r="H6962"/>
  <c r="J6961"/>
  <c r="H6961"/>
  <c r="J6960"/>
  <c r="H6960"/>
  <c r="J6959"/>
  <c r="H6959"/>
  <c r="J6958"/>
  <c r="H6958"/>
  <c r="J6957"/>
  <c r="H6957"/>
  <c r="J6956"/>
  <c r="H6956"/>
  <c r="J6955"/>
  <c r="H6955"/>
  <c r="J6954"/>
  <c r="H6954"/>
  <c r="J6953"/>
  <c r="H6953"/>
  <c r="J6952"/>
  <c r="H6952"/>
  <c r="J6951"/>
  <c r="H6951"/>
  <c r="J6950"/>
  <c r="H6950"/>
  <c r="J6949"/>
  <c r="H6949"/>
  <c r="J6948"/>
  <c r="H6948"/>
  <c r="J6947"/>
  <c r="H6947"/>
  <c r="J6946"/>
  <c r="H6946"/>
  <c r="J6945"/>
  <c r="H6945"/>
  <c r="J6944"/>
  <c r="H6944"/>
  <c r="J6943"/>
  <c r="H6943"/>
  <c r="J6942"/>
  <c r="H6942"/>
  <c r="J6941"/>
  <c r="H6941"/>
  <c r="J6940"/>
  <c r="H6940"/>
  <c r="J6939"/>
  <c r="H6939"/>
  <c r="J6938"/>
  <c r="H6938"/>
  <c r="J6937"/>
  <c r="H6937"/>
  <c r="J6936"/>
  <c r="H6936"/>
  <c r="J6935"/>
  <c r="H6935"/>
  <c r="J6934"/>
  <c r="H6934"/>
  <c r="J6933"/>
  <c r="H6933"/>
  <c r="J6932"/>
  <c r="H6932"/>
  <c r="J6931"/>
  <c r="H6931"/>
  <c r="J6930"/>
  <c r="H6930"/>
  <c r="J6929"/>
  <c r="H6929"/>
  <c r="J6928"/>
  <c r="H6928"/>
  <c r="J6927"/>
  <c r="H6927"/>
  <c r="J6926"/>
  <c r="H6926"/>
  <c r="J6925"/>
  <c r="H6925"/>
  <c r="J6924"/>
  <c r="H6924"/>
  <c r="J6923"/>
  <c r="H6923"/>
  <c r="J6922"/>
  <c r="H6922"/>
  <c r="J6921"/>
  <c r="H6921"/>
  <c r="J6920"/>
  <c r="H6920"/>
  <c r="J6919"/>
  <c r="H6919"/>
  <c r="J6918"/>
  <c r="H6918"/>
  <c r="J6917"/>
  <c r="H6917"/>
  <c r="J6916"/>
  <c r="H6916"/>
  <c r="J6915"/>
  <c r="H6915"/>
  <c r="J6914"/>
  <c r="H6914"/>
  <c r="J6913"/>
  <c r="H6913"/>
  <c r="J6912"/>
  <c r="H6912"/>
  <c r="J6911"/>
  <c r="H6911"/>
  <c r="J6910"/>
  <c r="H6910"/>
  <c r="J6909"/>
  <c r="H6909"/>
  <c r="J6908"/>
  <c r="H6908"/>
  <c r="J6907"/>
  <c r="H6907"/>
  <c r="J6906"/>
  <c r="H6906"/>
  <c r="J6905"/>
  <c r="H6905"/>
  <c r="J6904"/>
  <c r="H6904"/>
  <c r="J6903"/>
  <c r="H6903"/>
  <c r="J6902"/>
  <c r="H6902"/>
  <c r="J6901"/>
  <c r="H6901"/>
  <c r="J6900"/>
  <c r="H6900"/>
  <c r="J6899"/>
  <c r="H6899"/>
  <c r="J6898"/>
  <c r="H6898"/>
  <c r="J6897"/>
  <c r="H6897"/>
  <c r="J6896"/>
  <c r="H6896"/>
  <c r="J6895"/>
  <c r="H6895"/>
  <c r="J6894"/>
  <c r="H6894"/>
  <c r="J6893"/>
  <c r="H6893"/>
  <c r="J6892"/>
  <c r="H6892"/>
  <c r="J6891"/>
  <c r="H6891"/>
  <c r="J6890"/>
  <c r="H6890"/>
  <c r="J6889"/>
  <c r="H6889"/>
  <c r="J6888"/>
  <c r="H6888"/>
  <c r="J6887"/>
  <c r="H6887"/>
  <c r="J6886"/>
  <c r="H6886"/>
  <c r="J6885"/>
  <c r="H6885"/>
  <c r="J6884"/>
  <c r="H6884"/>
  <c r="J6883"/>
  <c r="H6883"/>
  <c r="J6882"/>
  <c r="H6882"/>
  <c r="J6881"/>
  <c r="H6881"/>
  <c r="J6880"/>
  <c r="H6880"/>
  <c r="J6879"/>
  <c r="H6879"/>
  <c r="J6878"/>
  <c r="H6878"/>
  <c r="J6877"/>
  <c r="H6877"/>
  <c r="J6876"/>
  <c r="H6876"/>
  <c r="J6875"/>
  <c r="H6875"/>
  <c r="J6874"/>
  <c r="H6874"/>
  <c r="J6873"/>
  <c r="H6873"/>
  <c r="J6872"/>
  <c r="H6872"/>
  <c r="J6871"/>
  <c r="H6871"/>
  <c r="J6870"/>
  <c r="H6870"/>
  <c r="J6869"/>
  <c r="H6869"/>
  <c r="J6868"/>
  <c r="H6868"/>
  <c r="J6867"/>
  <c r="H6867"/>
  <c r="J6866"/>
  <c r="H6866"/>
  <c r="J6865"/>
  <c r="H6865"/>
  <c r="J6864"/>
  <c r="H6864"/>
  <c r="J6863"/>
  <c r="H6863"/>
  <c r="J6862"/>
  <c r="H6862"/>
  <c r="J6861"/>
  <c r="H6861"/>
  <c r="J6860"/>
  <c r="H6860"/>
  <c r="J6859"/>
  <c r="H6859"/>
  <c r="J6858"/>
  <c r="H6858"/>
  <c r="J6857"/>
  <c r="H6857"/>
  <c r="J6856"/>
  <c r="H6856"/>
  <c r="J6855"/>
  <c r="H6855"/>
  <c r="J6854"/>
  <c r="H6854"/>
  <c r="J6853"/>
  <c r="H6853"/>
  <c r="J6852"/>
  <c r="H6852"/>
  <c r="J6851"/>
  <c r="H6851"/>
  <c r="J6850"/>
  <c r="H6850"/>
  <c r="J6849"/>
  <c r="H6849"/>
  <c r="J6848"/>
  <c r="H6848"/>
  <c r="J6847"/>
  <c r="H6847"/>
  <c r="J6846"/>
  <c r="H6846"/>
  <c r="J6845"/>
  <c r="H6845"/>
  <c r="J6844"/>
  <c r="H6844"/>
  <c r="J6843"/>
  <c r="H6843"/>
  <c r="J6842"/>
  <c r="H6842"/>
  <c r="J6841"/>
  <c r="H6841"/>
  <c r="J6840"/>
  <c r="H6840"/>
  <c r="J6839"/>
  <c r="H6839"/>
  <c r="J6838"/>
  <c r="H6838"/>
  <c r="J6837"/>
  <c r="H6837"/>
  <c r="J6836"/>
  <c r="H6836"/>
  <c r="J6835"/>
  <c r="H6835"/>
  <c r="J6834"/>
  <c r="H6834"/>
  <c r="J6833"/>
  <c r="H6833"/>
  <c r="J6832"/>
  <c r="H6832"/>
  <c r="J6831"/>
  <c r="H6831"/>
  <c r="J6830"/>
  <c r="H6830"/>
  <c r="J6829"/>
  <c r="H6829"/>
  <c r="J6828"/>
  <c r="H6828"/>
  <c r="J6827"/>
  <c r="H6827"/>
  <c r="J6826"/>
  <c r="H6826"/>
  <c r="J6825"/>
  <c r="H6825"/>
  <c r="J6824"/>
  <c r="H6824"/>
  <c r="J6823"/>
  <c r="H6823"/>
  <c r="J6822"/>
  <c r="H6822"/>
  <c r="J6821"/>
  <c r="H6821"/>
  <c r="J6820"/>
  <c r="H6820"/>
  <c r="J6819"/>
  <c r="H6819"/>
  <c r="J6818"/>
  <c r="H6818"/>
  <c r="J6817"/>
  <c r="H6817"/>
  <c r="J6816"/>
  <c r="H6816"/>
  <c r="J6815"/>
  <c r="H6815"/>
  <c r="J6814"/>
  <c r="H6814"/>
  <c r="J6813"/>
  <c r="H6813"/>
  <c r="J6812"/>
  <c r="H6812"/>
  <c r="J6811"/>
  <c r="H6811"/>
  <c r="J6810"/>
  <c r="H6810"/>
  <c r="J6809"/>
  <c r="H6809"/>
  <c r="J6808"/>
  <c r="H6808"/>
  <c r="J6807"/>
  <c r="H6807"/>
  <c r="J6806"/>
  <c r="H6806"/>
  <c r="J6805"/>
  <c r="H6805"/>
  <c r="J6804"/>
  <c r="H6804"/>
  <c r="J6803"/>
  <c r="H6803"/>
  <c r="J6802"/>
  <c r="H6802"/>
  <c r="J6801"/>
  <c r="H6801"/>
  <c r="J6800"/>
  <c r="H6800"/>
  <c r="J6799"/>
  <c r="H6799"/>
  <c r="J6798"/>
  <c r="H6798"/>
  <c r="J6797"/>
  <c r="H6797"/>
  <c r="J6796"/>
  <c r="H6796"/>
  <c r="J6795"/>
  <c r="H6795"/>
  <c r="J6794"/>
  <c r="H6794"/>
  <c r="J6793"/>
  <c r="H6793"/>
  <c r="J6792"/>
  <c r="H6792"/>
  <c r="J6791"/>
  <c r="H6791"/>
  <c r="J6790"/>
  <c r="H6790"/>
  <c r="J6789"/>
  <c r="H6789"/>
  <c r="J6788"/>
  <c r="H6788"/>
  <c r="J6787"/>
  <c r="H6787"/>
  <c r="J6786"/>
  <c r="H6786"/>
  <c r="J6785"/>
  <c r="H6785"/>
  <c r="J6784"/>
  <c r="H6784"/>
  <c r="J6783"/>
  <c r="H6783"/>
  <c r="J6782"/>
  <c r="H6782"/>
  <c r="J6781"/>
  <c r="H6781"/>
  <c r="J6780"/>
  <c r="H6780"/>
  <c r="J6779"/>
  <c r="H6779"/>
  <c r="J6778"/>
  <c r="H6778"/>
  <c r="J6777"/>
  <c r="H6777"/>
  <c r="J6776"/>
  <c r="H6776"/>
  <c r="J6775"/>
  <c r="H6775"/>
  <c r="J6774"/>
  <c r="H6774"/>
  <c r="J6773"/>
  <c r="H6773"/>
  <c r="J6772"/>
  <c r="H6772"/>
  <c r="J6771"/>
  <c r="H6771"/>
  <c r="J6770"/>
  <c r="H6770"/>
  <c r="J6769"/>
  <c r="H6769"/>
  <c r="J6768"/>
  <c r="H6768"/>
  <c r="J6767"/>
  <c r="H6767"/>
  <c r="J6766"/>
  <c r="H6766"/>
  <c r="J6765"/>
  <c r="H6765"/>
  <c r="J6764"/>
  <c r="H6764"/>
  <c r="J6763"/>
  <c r="H6763"/>
  <c r="J6762"/>
  <c r="H6762"/>
  <c r="J6761"/>
  <c r="H6761"/>
  <c r="J6760"/>
  <c r="H6760"/>
  <c r="J6759"/>
  <c r="H6759"/>
  <c r="J6758"/>
  <c r="H6758"/>
  <c r="J6757"/>
  <c r="H6757"/>
  <c r="J6756"/>
  <c r="H6756"/>
  <c r="J6755"/>
  <c r="H6755"/>
  <c r="J6754"/>
  <c r="H6754"/>
  <c r="J6753"/>
  <c r="H6753"/>
  <c r="J6752"/>
  <c r="H6752"/>
  <c r="J6751"/>
  <c r="H6751"/>
  <c r="J6750"/>
  <c r="H6750"/>
  <c r="J6749"/>
  <c r="H6749"/>
  <c r="J6748"/>
  <c r="H6748"/>
  <c r="J6747"/>
  <c r="H6747"/>
  <c r="J6746"/>
  <c r="H6746"/>
  <c r="J6745"/>
  <c r="H6745"/>
  <c r="J6744"/>
  <c r="H6744"/>
  <c r="J6743"/>
  <c r="H6743"/>
  <c r="J6742"/>
  <c r="H6742"/>
  <c r="J6741"/>
  <c r="H6741"/>
  <c r="J6740"/>
  <c r="H6740"/>
  <c r="J6739"/>
  <c r="H6739"/>
  <c r="J6738"/>
  <c r="H6738"/>
  <c r="J6737"/>
  <c r="H6737"/>
  <c r="J6736"/>
  <c r="H6736"/>
  <c r="J6735"/>
  <c r="H6735"/>
  <c r="J6734"/>
  <c r="H6734"/>
  <c r="J6733"/>
  <c r="H6733"/>
  <c r="J6732"/>
  <c r="H6732"/>
  <c r="J6731"/>
  <c r="H6731"/>
  <c r="J6730"/>
  <c r="H6730"/>
  <c r="J6729"/>
  <c r="H6729"/>
  <c r="J6728"/>
  <c r="H6728"/>
  <c r="J6727"/>
  <c r="H6727"/>
  <c r="J6726"/>
  <c r="H6726"/>
  <c r="J6725"/>
  <c r="H6725"/>
  <c r="J6724"/>
  <c r="H6724"/>
  <c r="J6723"/>
  <c r="H6723"/>
  <c r="J6722"/>
  <c r="H6722"/>
  <c r="J6721"/>
  <c r="H6721"/>
  <c r="J6720"/>
  <c r="H6720"/>
  <c r="J6719"/>
  <c r="H6719"/>
  <c r="J6718"/>
  <c r="H6718"/>
  <c r="J6717"/>
  <c r="H6717"/>
  <c r="J6716"/>
  <c r="H6716"/>
  <c r="J6715"/>
  <c r="H6715"/>
  <c r="J6714"/>
  <c r="H6714"/>
  <c r="J6713"/>
  <c r="H6713"/>
  <c r="J6712"/>
  <c r="H6712"/>
  <c r="J6711"/>
  <c r="H6711"/>
  <c r="J6710"/>
  <c r="H6710"/>
  <c r="J6709"/>
  <c r="H6709"/>
  <c r="J6708"/>
  <c r="H6708"/>
  <c r="J6707"/>
  <c r="H6707"/>
  <c r="J6706"/>
  <c r="H6706"/>
  <c r="J6705"/>
  <c r="H6705"/>
  <c r="J6704"/>
  <c r="H6704"/>
  <c r="J6703"/>
  <c r="H6703"/>
  <c r="J6702"/>
  <c r="H6702"/>
  <c r="J6701"/>
  <c r="H6701"/>
  <c r="J6700"/>
  <c r="H6700"/>
  <c r="J6699"/>
  <c r="H6699"/>
  <c r="J6698"/>
  <c r="H6698"/>
  <c r="J6697"/>
  <c r="H6697"/>
  <c r="J6696"/>
  <c r="H6696"/>
  <c r="J6695"/>
  <c r="H6695"/>
  <c r="J6694"/>
  <c r="H6694"/>
  <c r="J6693"/>
  <c r="H6693"/>
  <c r="J6692"/>
  <c r="H6692"/>
  <c r="J6691"/>
  <c r="H6691"/>
  <c r="J6690"/>
  <c r="H6690"/>
  <c r="J6689"/>
  <c r="H6689"/>
  <c r="J6688"/>
  <c r="H6688"/>
  <c r="J6687"/>
  <c r="H6687"/>
  <c r="J6686"/>
  <c r="H6686"/>
  <c r="J6685"/>
  <c r="H6685"/>
  <c r="J6684"/>
  <c r="H6684"/>
  <c r="J6683"/>
  <c r="H6683"/>
  <c r="J6682"/>
  <c r="H6682"/>
  <c r="J6681"/>
  <c r="H6681"/>
  <c r="J6680"/>
  <c r="H6680"/>
  <c r="J6679"/>
  <c r="H6679"/>
  <c r="J6678"/>
  <c r="H6678"/>
  <c r="J6677"/>
  <c r="H6677"/>
  <c r="J6676"/>
  <c r="H6676"/>
  <c r="J6675"/>
  <c r="H6675"/>
  <c r="J6674"/>
  <c r="H6674"/>
  <c r="J6673"/>
  <c r="H6673"/>
  <c r="J6672"/>
  <c r="H6672"/>
  <c r="J6671"/>
  <c r="H6671"/>
  <c r="J6670"/>
  <c r="H6670"/>
  <c r="J6669"/>
  <c r="H6669"/>
  <c r="J6668"/>
  <c r="H6668"/>
  <c r="J6667"/>
  <c r="H6667"/>
  <c r="J6666"/>
  <c r="H6666"/>
  <c r="J6665"/>
  <c r="H6665"/>
  <c r="J6664"/>
  <c r="H6664"/>
  <c r="J6663"/>
  <c r="H6663"/>
  <c r="J6662"/>
  <c r="H6662"/>
  <c r="J6661"/>
  <c r="H6661"/>
  <c r="J6660"/>
  <c r="H6660"/>
  <c r="J6659"/>
  <c r="H6659"/>
  <c r="J6658"/>
  <c r="H6658"/>
  <c r="J6657"/>
  <c r="H6657"/>
  <c r="J6656"/>
  <c r="H6656"/>
  <c r="J6655"/>
  <c r="H6655"/>
  <c r="J6654"/>
  <c r="H6654"/>
  <c r="J6653"/>
  <c r="H6653"/>
  <c r="J6652"/>
  <c r="H6652"/>
  <c r="J6651"/>
  <c r="H6651"/>
  <c r="J6650"/>
  <c r="H6650"/>
  <c r="J6649"/>
  <c r="H6649"/>
  <c r="J6648"/>
  <c r="H6648"/>
  <c r="J6647"/>
  <c r="H6647"/>
  <c r="J6646"/>
  <c r="H6646"/>
  <c r="J6645"/>
  <c r="H6645"/>
  <c r="J6644"/>
  <c r="H6644"/>
  <c r="J6643"/>
  <c r="H6643"/>
  <c r="J6642"/>
  <c r="H6642"/>
  <c r="J6641"/>
  <c r="H6641"/>
  <c r="J6640"/>
  <c r="H6640"/>
  <c r="J6639"/>
  <c r="H6639"/>
  <c r="J6638"/>
  <c r="H6638"/>
  <c r="J6637"/>
  <c r="H6637"/>
  <c r="J6636"/>
  <c r="H6636"/>
  <c r="J6635"/>
  <c r="H6635"/>
  <c r="J6634"/>
  <c r="H6634"/>
  <c r="J6633"/>
  <c r="H6633"/>
  <c r="J6632"/>
  <c r="H6632"/>
  <c r="J6631"/>
  <c r="H6631"/>
  <c r="J6630"/>
  <c r="H6630"/>
  <c r="J6629"/>
  <c r="H6629"/>
  <c r="J6628"/>
  <c r="H6628"/>
  <c r="J6627"/>
  <c r="H6627"/>
  <c r="J6626"/>
  <c r="H6626"/>
  <c r="J6625"/>
  <c r="H6625"/>
  <c r="J6624"/>
  <c r="H6624"/>
  <c r="J6623"/>
  <c r="H6623"/>
  <c r="J6622"/>
  <c r="H6622"/>
  <c r="J6621"/>
  <c r="H6621"/>
  <c r="J6620"/>
  <c r="H6620"/>
  <c r="J6619"/>
  <c r="H6619"/>
  <c r="J6618"/>
  <c r="H6618"/>
  <c r="J6617"/>
  <c r="H6617"/>
  <c r="J6616"/>
  <c r="H6616"/>
  <c r="J6615"/>
  <c r="H6615"/>
  <c r="J6614"/>
  <c r="H6614"/>
  <c r="J6613"/>
  <c r="H6613"/>
  <c r="J6612"/>
  <c r="H6612"/>
  <c r="J6611"/>
  <c r="H6611"/>
  <c r="J6610"/>
  <c r="H6610"/>
  <c r="J6609"/>
  <c r="H6609"/>
  <c r="J6608"/>
  <c r="H6608"/>
  <c r="J6607"/>
  <c r="H6607"/>
  <c r="J6606"/>
  <c r="H6606"/>
  <c r="J6605"/>
  <c r="H6605"/>
  <c r="J6604"/>
  <c r="H6604"/>
  <c r="J6603"/>
  <c r="H6603"/>
  <c r="J6602"/>
  <c r="H6602"/>
  <c r="J6601"/>
  <c r="H6601"/>
  <c r="J6600"/>
  <c r="H6600"/>
  <c r="J6599"/>
  <c r="H6599"/>
  <c r="J6598"/>
  <c r="H6598"/>
  <c r="J6597"/>
  <c r="H6597"/>
  <c r="J6596"/>
  <c r="H6596"/>
  <c r="J6595"/>
  <c r="H6595"/>
  <c r="J6594"/>
  <c r="H6594"/>
  <c r="J6593"/>
  <c r="H6593"/>
  <c r="J6592"/>
  <c r="H6592"/>
  <c r="J6591"/>
  <c r="H6591"/>
  <c r="J6590"/>
  <c r="H6590"/>
  <c r="J6589"/>
  <c r="H6589"/>
  <c r="J6588"/>
  <c r="H6588"/>
  <c r="J6587"/>
  <c r="H6587"/>
  <c r="J6586"/>
  <c r="H6586"/>
  <c r="J6585"/>
  <c r="H6585"/>
  <c r="J6584"/>
  <c r="H6584"/>
  <c r="J6583"/>
  <c r="H6583"/>
  <c r="J6582"/>
  <c r="H6582"/>
  <c r="J6581"/>
  <c r="H6581"/>
  <c r="J6580"/>
  <c r="H6580"/>
  <c r="J6579"/>
  <c r="H6579"/>
  <c r="J6578"/>
  <c r="H6578"/>
  <c r="J6577"/>
  <c r="H6577"/>
  <c r="J6576"/>
  <c r="H6576"/>
  <c r="J6575"/>
  <c r="H6575"/>
  <c r="J6574"/>
  <c r="H6574"/>
  <c r="J6573"/>
  <c r="H6573"/>
  <c r="J6572"/>
  <c r="H6572"/>
  <c r="J6571"/>
  <c r="H6571"/>
  <c r="J6570"/>
  <c r="H6570"/>
  <c r="J6569"/>
  <c r="H6569"/>
  <c r="J6568"/>
  <c r="H6568"/>
  <c r="J6567"/>
  <c r="H6567"/>
  <c r="J6566"/>
  <c r="H6566"/>
  <c r="J6565"/>
  <c r="H6565"/>
  <c r="J6564"/>
  <c r="H6564"/>
  <c r="J6563"/>
  <c r="H6563"/>
  <c r="J6562"/>
  <c r="H6562"/>
  <c r="J6561"/>
  <c r="H6561"/>
  <c r="J6560"/>
  <c r="H6560"/>
  <c r="J6559"/>
  <c r="H6559"/>
  <c r="J6558"/>
  <c r="H6558"/>
  <c r="J6557"/>
  <c r="H6557"/>
  <c r="J6556"/>
  <c r="H6556"/>
  <c r="J6555"/>
  <c r="H6555"/>
  <c r="J6554"/>
  <c r="H6554"/>
  <c r="J6553"/>
  <c r="H6553"/>
  <c r="J6552"/>
  <c r="H6552"/>
  <c r="J6551"/>
  <c r="H6551"/>
  <c r="J6550"/>
  <c r="H6550"/>
  <c r="J6549"/>
  <c r="H6549"/>
  <c r="J6548"/>
  <c r="H6548"/>
  <c r="J6547"/>
  <c r="H6547"/>
  <c r="J6546"/>
  <c r="H6546"/>
  <c r="J6545"/>
  <c r="H6545"/>
  <c r="J6544"/>
  <c r="H6544"/>
  <c r="J6543"/>
  <c r="H6543"/>
  <c r="J6542"/>
  <c r="H6542"/>
  <c r="J6541"/>
  <c r="H6541"/>
  <c r="J6540"/>
  <c r="H6540"/>
  <c r="J6539"/>
  <c r="H6539"/>
  <c r="J6538"/>
  <c r="H6538"/>
  <c r="J6537"/>
  <c r="H6537"/>
  <c r="J6536"/>
  <c r="H6536"/>
  <c r="J6535"/>
  <c r="H6535"/>
  <c r="J6534"/>
  <c r="H6534"/>
  <c r="J6533"/>
  <c r="H6533"/>
  <c r="J6532"/>
  <c r="H6532"/>
  <c r="J6531"/>
  <c r="H6531"/>
  <c r="J6530"/>
  <c r="H6530"/>
  <c r="J6529"/>
  <c r="H6529"/>
  <c r="J6528"/>
  <c r="H6528"/>
  <c r="J6527"/>
  <c r="H6527"/>
  <c r="J6526"/>
  <c r="H6526"/>
  <c r="J6525"/>
  <c r="H6525"/>
  <c r="J6524"/>
  <c r="H6524"/>
  <c r="J6523"/>
  <c r="H6523"/>
  <c r="J6522"/>
  <c r="H6522"/>
  <c r="J6521"/>
  <c r="H6521"/>
  <c r="J6520"/>
  <c r="H6520"/>
  <c r="J6519"/>
  <c r="H6519"/>
  <c r="J6518"/>
  <c r="H6518"/>
  <c r="J6517"/>
  <c r="H6517"/>
  <c r="J6516"/>
  <c r="H6516"/>
  <c r="J6515"/>
  <c r="H6515"/>
  <c r="J6514"/>
  <c r="H6514"/>
  <c r="J6513"/>
  <c r="H6513"/>
  <c r="J6512"/>
  <c r="H6512"/>
  <c r="J6511"/>
  <c r="H6511"/>
  <c r="J6510"/>
  <c r="H6510"/>
  <c r="J6509"/>
  <c r="H6509"/>
  <c r="J6508"/>
  <c r="H6508"/>
  <c r="J6507"/>
  <c r="H6507"/>
  <c r="J6506"/>
  <c r="H6506"/>
  <c r="J6505"/>
  <c r="H6505"/>
  <c r="J6504"/>
  <c r="H6504"/>
  <c r="J6503"/>
  <c r="H6503"/>
  <c r="J6502"/>
  <c r="H6502"/>
  <c r="J6501"/>
  <c r="H6501"/>
  <c r="J6500"/>
  <c r="H6500"/>
  <c r="J6499"/>
  <c r="H6499"/>
  <c r="J6498"/>
  <c r="H6498"/>
  <c r="J6497"/>
  <c r="H6497"/>
  <c r="J6496"/>
  <c r="H6496"/>
  <c r="J6495"/>
  <c r="H6495"/>
  <c r="J6494"/>
  <c r="H6494"/>
  <c r="J6493"/>
  <c r="H6493"/>
  <c r="J6492"/>
  <c r="H6492"/>
  <c r="J6491"/>
  <c r="H6491"/>
  <c r="J6490"/>
  <c r="H6490"/>
  <c r="J6489"/>
  <c r="H6489"/>
  <c r="J6488"/>
  <c r="H6488"/>
  <c r="J6487"/>
  <c r="H6487"/>
  <c r="J6486"/>
  <c r="H6486"/>
  <c r="J6485"/>
  <c r="H6485"/>
  <c r="J6484"/>
  <c r="H6484"/>
  <c r="J6483"/>
  <c r="H6483"/>
  <c r="J6482"/>
  <c r="H6482"/>
  <c r="J6481"/>
  <c r="H6481"/>
  <c r="J6480"/>
  <c r="H6480"/>
  <c r="J6479"/>
  <c r="H6479"/>
  <c r="J6478"/>
  <c r="H6478"/>
  <c r="J6477"/>
  <c r="H6477"/>
  <c r="J6476"/>
  <c r="H6476"/>
  <c r="J6475"/>
  <c r="H6475"/>
  <c r="J6474"/>
  <c r="H6474"/>
  <c r="J6473"/>
  <c r="H6473"/>
  <c r="J6472"/>
  <c r="H6472"/>
  <c r="J6471"/>
  <c r="H6471"/>
  <c r="J6470"/>
  <c r="H6470"/>
  <c r="J6469"/>
  <c r="H6469"/>
  <c r="J6468"/>
  <c r="H6468"/>
  <c r="J6467"/>
  <c r="H6467"/>
  <c r="J6466"/>
  <c r="H6466"/>
  <c r="J6465"/>
  <c r="H6465"/>
  <c r="J6464"/>
  <c r="H6464"/>
  <c r="J6463"/>
  <c r="H6463"/>
  <c r="J6462"/>
  <c r="H6462"/>
  <c r="J6461"/>
  <c r="H6461"/>
  <c r="J6460"/>
  <c r="H6460"/>
  <c r="J6459"/>
  <c r="H6459"/>
  <c r="J6458"/>
  <c r="H6458"/>
  <c r="J6457"/>
  <c r="H6457"/>
  <c r="J6456"/>
  <c r="H6456"/>
  <c r="J6455"/>
  <c r="H6455"/>
  <c r="J6454"/>
  <c r="H6454"/>
  <c r="J6453"/>
  <c r="H6453"/>
  <c r="J6452"/>
  <c r="H6452"/>
  <c r="J6451"/>
  <c r="H6451"/>
  <c r="J6450"/>
  <c r="H6450"/>
  <c r="J6449"/>
  <c r="H6449"/>
  <c r="J6448"/>
  <c r="H6448"/>
  <c r="J6447"/>
  <c r="H6447"/>
  <c r="J6446"/>
  <c r="H6446"/>
  <c r="J6445"/>
  <c r="H6445"/>
  <c r="J6444"/>
  <c r="H6444"/>
  <c r="J6443"/>
  <c r="H6443"/>
  <c r="J6442"/>
  <c r="H6442"/>
  <c r="J6441"/>
  <c r="H6441"/>
  <c r="J6440"/>
  <c r="H6440"/>
  <c r="J6439"/>
  <c r="H6439"/>
  <c r="J6438"/>
  <c r="H6438"/>
  <c r="J6437"/>
  <c r="H6437"/>
  <c r="J6436"/>
  <c r="H6436"/>
  <c r="J6435"/>
  <c r="H6435"/>
  <c r="J6434"/>
  <c r="H6434"/>
  <c r="J6433"/>
  <c r="H6433"/>
  <c r="J6432"/>
  <c r="H6432"/>
  <c r="J6431"/>
  <c r="H6431"/>
  <c r="J6430"/>
  <c r="H6430"/>
  <c r="J6429"/>
  <c r="H6429"/>
  <c r="J6428"/>
  <c r="H6428"/>
  <c r="J6427"/>
  <c r="H6427"/>
  <c r="J6426"/>
  <c r="H6426"/>
  <c r="J6425"/>
  <c r="H6425"/>
  <c r="J6424"/>
  <c r="H6424"/>
  <c r="J6423"/>
  <c r="H6423"/>
  <c r="J6422"/>
  <c r="H6422"/>
  <c r="J6421"/>
  <c r="H6421"/>
  <c r="J6420"/>
  <c r="H6420"/>
  <c r="J6419"/>
  <c r="H6419"/>
  <c r="J6418"/>
  <c r="H6418"/>
  <c r="J6417"/>
  <c r="H6417"/>
  <c r="J6416"/>
  <c r="H6416"/>
  <c r="J6415"/>
  <c r="H6415"/>
  <c r="J6414"/>
  <c r="H6414"/>
  <c r="J6413"/>
  <c r="H6413"/>
  <c r="J6412"/>
  <c r="H6412"/>
  <c r="J6411"/>
  <c r="H6411"/>
  <c r="J6410"/>
  <c r="H6410"/>
  <c r="J6409"/>
  <c r="H6409"/>
  <c r="J6408"/>
  <c r="H6408"/>
  <c r="J6407"/>
  <c r="H6407"/>
  <c r="J6406"/>
  <c r="H6406"/>
  <c r="J6405"/>
  <c r="H6405"/>
  <c r="J6404"/>
  <c r="H6404"/>
  <c r="J6403"/>
  <c r="H6403"/>
  <c r="J6402"/>
  <c r="H6402"/>
  <c r="J6401"/>
  <c r="H6401"/>
  <c r="J6400"/>
  <c r="H6400"/>
  <c r="J6399"/>
  <c r="H6399"/>
  <c r="J6398"/>
  <c r="H6398"/>
  <c r="J6397"/>
  <c r="H6397"/>
  <c r="J6396"/>
  <c r="H6396"/>
  <c r="J6395"/>
  <c r="H6395"/>
  <c r="J6394"/>
  <c r="H6394"/>
  <c r="J6393"/>
  <c r="H6393"/>
  <c r="J6392"/>
  <c r="H6392"/>
  <c r="J6391"/>
  <c r="H6391"/>
  <c r="J6390"/>
  <c r="H6390"/>
  <c r="J6389"/>
  <c r="H6389"/>
  <c r="J6388"/>
  <c r="H6388"/>
  <c r="J6387"/>
  <c r="H6387"/>
  <c r="J6386"/>
  <c r="H6386"/>
  <c r="J6385"/>
  <c r="H6385"/>
  <c r="J6384"/>
  <c r="H6384"/>
  <c r="J6383"/>
  <c r="H6383"/>
  <c r="J6382"/>
  <c r="H6382"/>
  <c r="J6381"/>
  <c r="H6381"/>
  <c r="J6380"/>
  <c r="H6380"/>
  <c r="J6379"/>
  <c r="H6379"/>
  <c r="J6378"/>
  <c r="H6378"/>
  <c r="J6377"/>
  <c r="H6377"/>
  <c r="J6376"/>
  <c r="H6376"/>
  <c r="J6375"/>
  <c r="H6375"/>
  <c r="J6374"/>
  <c r="H6374"/>
  <c r="J6373"/>
  <c r="H6373"/>
  <c r="J6372"/>
  <c r="H6372"/>
  <c r="J6371"/>
  <c r="H6371"/>
  <c r="J6370"/>
  <c r="H6370"/>
  <c r="J6369"/>
  <c r="H6369"/>
  <c r="J6368"/>
  <c r="H6368"/>
  <c r="J6367"/>
  <c r="H6367"/>
  <c r="J6366"/>
  <c r="H6366"/>
  <c r="J6365"/>
  <c r="H6365"/>
  <c r="J6364"/>
  <c r="H6364"/>
  <c r="J6363"/>
  <c r="H6363"/>
  <c r="J6362"/>
  <c r="H6362"/>
  <c r="J6361"/>
  <c r="H6361"/>
  <c r="J6360"/>
  <c r="H6360"/>
  <c r="J6359"/>
  <c r="H6359"/>
  <c r="J6358"/>
  <c r="H6358"/>
  <c r="J6357"/>
  <c r="H6357"/>
  <c r="J6356"/>
  <c r="H6356"/>
  <c r="J6355"/>
  <c r="H6355"/>
  <c r="J6354"/>
  <c r="H6354"/>
  <c r="J6353"/>
  <c r="H6353"/>
  <c r="J6352"/>
  <c r="H6352"/>
  <c r="J6351"/>
  <c r="H6351"/>
  <c r="J6350"/>
  <c r="H6350"/>
  <c r="J6349"/>
  <c r="H6349"/>
  <c r="J6348"/>
  <c r="H6348"/>
  <c r="J6347"/>
  <c r="H6347"/>
  <c r="J6346"/>
  <c r="H6346"/>
  <c r="J6345"/>
  <c r="H6345"/>
  <c r="J6344"/>
  <c r="H6344"/>
  <c r="J6343"/>
  <c r="H6343"/>
  <c r="J6342"/>
  <c r="H6342"/>
  <c r="J6341"/>
  <c r="H6341"/>
  <c r="J6340"/>
  <c r="H6340"/>
  <c r="J6339"/>
  <c r="H6339"/>
  <c r="J6338"/>
  <c r="H6338"/>
  <c r="J6337"/>
  <c r="H6337"/>
  <c r="J6336"/>
  <c r="H6336"/>
  <c r="J6335"/>
  <c r="H6335"/>
  <c r="J6334"/>
  <c r="H6334"/>
  <c r="J6333"/>
  <c r="H6333"/>
  <c r="J6332"/>
  <c r="H6332"/>
  <c r="J6331"/>
  <c r="H6331"/>
  <c r="J6330"/>
  <c r="H6330"/>
  <c r="J6329"/>
  <c r="H6329"/>
  <c r="J6328"/>
  <c r="H6328"/>
  <c r="J6327"/>
  <c r="H6327"/>
  <c r="J6326"/>
  <c r="H6326"/>
  <c r="J6325"/>
  <c r="H6325"/>
  <c r="J6324"/>
  <c r="H6324"/>
  <c r="J6323"/>
  <c r="H6323"/>
  <c r="J6322"/>
  <c r="H6322"/>
  <c r="J6321"/>
  <c r="H6321"/>
  <c r="J6320"/>
  <c r="H6320"/>
  <c r="J6319"/>
  <c r="H6319"/>
  <c r="J6318"/>
  <c r="H6318"/>
  <c r="J6317"/>
  <c r="H6317"/>
  <c r="J6316"/>
  <c r="H6316"/>
  <c r="J6315"/>
  <c r="H6315"/>
  <c r="J6314"/>
  <c r="H6314"/>
  <c r="J6313"/>
  <c r="H6313"/>
  <c r="J6312"/>
  <c r="H6312"/>
  <c r="J6311"/>
  <c r="H6311"/>
  <c r="J6310"/>
  <c r="H6310"/>
  <c r="J6309"/>
  <c r="H6309"/>
  <c r="J6308"/>
  <c r="H6308"/>
  <c r="J6307"/>
  <c r="H6307"/>
  <c r="J6306"/>
  <c r="H6306"/>
  <c r="J6305"/>
  <c r="H6305"/>
  <c r="J6304"/>
  <c r="H6304"/>
  <c r="J6303"/>
  <c r="H6303"/>
  <c r="J6302"/>
  <c r="H6302"/>
  <c r="J6301"/>
  <c r="H6301"/>
  <c r="J6300"/>
  <c r="H6300"/>
  <c r="J6299"/>
  <c r="H6299"/>
  <c r="J6298"/>
  <c r="H6298"/>
  <c r="J6297"/>
  <c r="H6297"/>
  <c r="J6296"/>
  <c r="H6296"/>
  <c r="J6295"/>
  <c r="H6295"/>
  <c r="J6294"/>
  <c r="H6294"/>
  <c r="J6293"/>
  <c r="H6293"/>
  <c r="J6292"/>
  <c r="H6292"/>
  <c r="J6291"/>
  <c r="H6291"/>
  <c r="J6290"/>
  <c r="H6290"/>
  <c r="J6289"/>
  <c r="H6289"/>
  <c r="J6288"/>
  <c r="H6288"/>
  <c r="J6287"/>
  <c r="H6287"/>
  <c r="J6286"/>
  <c r="H6286"/>
  <c r="J6285"/>
  <c r="H6285"/>
  <c r="J6284"/>
  <c r="H6284"/>
  <c r="J6283"/>
  <c r="H6283"/>
  <c r="J6282"/>
  <c r="H6282"/>
  <c r="J6281"/>
  <c r="H6281"/>
  <c r="J6280"/>
  <c r="H6280"/>
  <c r="J6279"/>
  <c r="H6279"/>
  <c r="J6278"/>
  <c r="H6278"/>
  <c r="J6277"/>
  <c r="H6277"/>
  <c r="J6276"/>
  <c r="H6276"/>
  <c r="J6275"/>
  <c r="H6275"/>
  <c r="J6274"/>
  <c r="H6274"/>
  <c r="J6273"/>
  <c r="H6273"/>
  <c r="J6272"/>
  <c r="H6272"/>
  <c r="J6271"/>
  <c r="H6271"/>
  <c r="J6270"/>
  <c r="H6270"/>
  <c r="J6269"/>
  <c r="H6269"/>
  <c r="J6268"/>
  <c r="H6268"/>
  <c r="J6267"/>
  <c r="H6267"/>
  <c r="J6266"/>
  <c r="H6266"/>
  <c r="J6265"/>
  <c r="H6265"/>
  <c r="J6264"/>
  <c r="H6264"/>
  <c r="J6263"/>
  <c r="H6263"/>
  <c r="J6262"/>
  <c r="H6262"/>
  <c r="J6261"/>
  <c r="H6261"/>
  <c r="J6260"/>
  <c r="H6260"/>
  <c r="J6259"/>
  <c r="H6259"/>
  <c r="J6258"/>
  <c r="H6258"/>
  <c r="J6257"/>
  <c r="H6257"/>
  <c r="J6256"/>
  <c r="H6256"/>
  <c r="J6255"/>
  <c r="H6255"/>
  <c r="J6254"/>
  <c r="H6254"/>
  <c r="J6253"/>
  <c r="H6253"/>
  <c r="J6252"/>
  <c r="H6252"/>
  <c r="J6251"/>
  <c r="H6251"/>
  <c r="J6250"/>
  <c r="H6250"/>
  <c r="J6249"/>
  <c r="H6249"/>
  <c r="J6248"/>
  <c r="H6248"/>
  <c r="J6247"/>
  <c r="H6247"/>
  <c r="J6246"/>
  <c r="H6246"/>
  <c r="J6245"/>
  <c r="H6245"/>
  <c r="J6244"/>
  <c r="H6244"/>
  <c r="J6243"/>
  <c r="H6243"/>
  <c r="J6242"/>
  <c r="H6242"/>
  <c r="J6241"/>
  <c r="H6241"/>
  <c r="J6240"/>
  <c r="H6240"/>
  <c r="J6239"/>
  <c r="H6239"/>
  <c r="J6238"/>
  <c r="H6238"/>
  <c r="J6237"/>
  <c r="H6237"/>
  <c r="J6236"/>
  <c r="H6236"/>
  <c r="J6235"/>
  <c r="H6235"/>
  <c r="J6234"/>
  <c r="H6234"/>
  <c r="J6233"/>
  <c r="H6233"/>
  <c r="J6232"/>
  <c r="H6232"/>
  <c r="J6231"/>
  <c r="H6231"/>
  <c r="J6230"/>
  <c r="H6230"/>
  <c r="J6229"/>
  <c r="H6229"/>
  <c r="J6228"/>
  <c r="H6228"/>
  <c r="J6227"/>
  <c r="H6227"/>
  <c r="J6226"/>
  <c r="H6226"/>
  <c r="J6225"/>
  <c r="H6225"/>
  <c r="J6224"/>
  <c r="H6224"/>
  <c r="J6223"/>
  <c r="H6223"/>
  <c r="J6222"/>
  <c r="H6222"/>
  <c r="J6221"/>
  <c r="H6221"/>
  <c r="J6220"/>
  <c r="H6220"/>
  <c r="J6219"/>
  <c r="H6219"/>
  <c r="J6218"/>
  <c r="H6218"/>
  <c r="J6217"/>
  <c r="H6217"/>
  <c r="J6216"/>
  <c r="H6216"/>
  <c r="J6215"/>
  <c r="H6215"/>
  <c r="J6214"/>
  <c r="H6214"/>
  <c r="J6213"/>
  <c r="H6213"/>
  <c r="J6212"/>
  <c r="H6212"/>
  <c r="J6211"/>
  <c r="H6211"/>
  <c r="J6210"/>
  <c r="H6210"/>
  <c r="J6209"/>
  <c r="H6209"/>
  <c r="J6208"/>
  <c r="H6208"/>
  <c r="J6207"/>
  <c r="H6207"/>
  <c r="J6206"/>
  <c r="H6206"/>
  <c r="J6205"/>
  <c r="H6205"/>
  <c r="J6204"/>
  <c r="H6204"/>
  <c r="J6203"/>
  <c r="H6203"/>
  <c r="J6202"/>
  <c r="H6202"/>
  <c r="J6201"/>
  <c r="H6201"/>
  <c r="J6200"/>
  <c r="H6200"/>
  <c r="J6199"/>
  <c r="H6199"/>
  <c r="J6198"/>
  <c r="H6198"/>
  <c r="J6197"/>
  <c r="H6197"/>
  <c r="J6196"/>
  <c r="H6196"/>
  <c r="J6195"/>
  <c r="H6195"/>
  <c r="J6194"/>
  <c r="H6194"/>
  <c r="J6193"/>
  <c r="H6193"/>
  <c r="J6192"/>
  <c r="H6192"/>
  <c r="J6191"/>
  <c r="H6191"/>
  <c r="J6190"/>
  <c r="H6190"/>
  <c r="J6189"/>
  <c r="H6189"/>
  <c r="J6188"/>
  <c r="H6188"/>
  <c r="J6187"/>
  <c r="H6187"/>
  <c r="J6186"/>
  <c r="H6186"/>
  <c r="J6185"/>
  <c r="H6185"/>
  <c r="J6184"/>
  <c r="H6184"/>
  <c r="J6183"/>
  <c r="H6183"/>
  <c r="J6182"/>
  <c r="H6182"/>
  <c r="J6181"/>
  <c r="H6181"/>
  <c r="J6180"/>
  <c r="H6180"/>
  <c r="J6179"/>
  <c r="H6179"/>
  <c r="J6178"/>
  <c r="H6178"/>
  <c r="J6177"/>
  <c r="H6177"/>
  <c r="J6176"/>
  <c r="H6176"/>
  <c r="J6175"/>
  <c r="H6175"/>
  <c r="J6174"/>
  <c r="H6174"/>
  <c r="J6173"/>
  <c r="H6173"/>
  <c r="J6172"/>
  <c r="H6172"/>
  <c r="J6171"/>
  <c r="H6171"/>
  <c r="J6170"/>
  <c r="H6170"/>
  <c r="J6169"/>
  <c r="H6169"/>
  <c r="J6168"/>
  <c r="H6168"/>
  <c r="J6167"/>
  <c r="H6167"/>
  <c r="J6166"/>
  <c r="H6166"/>
  <c r="J6165"/>
  <c r="H6165"/>
  <c r="J6164"/>
  <c r="H6164"/>
  <c r="J6163"/>
  <c r="H6163"/>
  <c r="J6162"/>
  <c r="H6162"/>
  <c r="J6161"/>
  <c r="H6161"/>
  <c r="J6160"/>
  <c r="H6160"/>
  <c r="J6159"/>
  <c r="H6159"/>
  <c r="J6158"/>
  <c r="H6158"/>
  <c r="J6157"/>
  <c r="H6157"/>
  <c r="J6156"/>
  <c r="H6156"/>
  <c r="J6155"/>
  <c r="H6155"/>
  <c r="J6154"/>
  <c r="H6154"/>
  <c r="J6153"/>
  <c r="H6153"/>
  <c r="J6152"/>
  <c r="H6152"/>
  <c r="J6151"/>
  <c r="H6151"/>
  <c r="J6150"/>
  <c r="H6150"/>
  <c r="J6149"/>
  <c r="H6149"/>
  <c r="J6148"/>
  <c r="H6148"/>
  <c r="J6147"/>
  <c r="H6147"/>
  <c r="J6146"/>
  <c r="H6146"/>
  <c r="J6145"/>
  <c r="H6145"/>
  <c r="J6144"/>
  <c r="H6144"/>
  <c r="J6143"/>
  <c r="H6143"/>
  <c r="J6142"/>
  <c r="H6142"/>
  <c r="J6141"/>
  <c r="H6141"/>
  <c r="J6140"/>
  <c r="H6140"/>
  <c r="J6139"/>
  <c r="H6139"/>
  <c r="J6138"/>
  <c r="H6138"/>
  <c r="J6137"/>
  <c r="H6137"/>
  <c r="J6136"/>
  <c r="H6136"/>
  <c r="J6135"/>
  <c r="H6135"/>
  <c r="J6134"/>
  <c r="H6134"/>
  <c r="J6133"/>
  <c r="H6133"/>
  <c r="J6132"/>
  <c r="H6132"/>
  <c r="J6131"/>
  <c r="H6131"/>
  <c r="J6130"/>
  <c r="H6130"/>
  <c r="J6129"/>
  <c r="H6129"/>
  <c r="J6128"/>
  <c r="H6128"/>
  <c r="J6127"/>
  <c r="H6127"/>
  <c r="J6126"/>
  <c r="H6126"/>
  <c r="J6125"/>
  <c r="H6125"/>
  <c r="J6124"/>
  <c r="H6124"/>
  <c r="J6123"/>
  <c r="H6123"/>
  <c r="J6122"/>
  <c r="H6122"/>
  <c r="J6121"/>
  <c r="H6121"/>
  <c r="J6120"/>
  <c r="H6120"/>
  <c r="J6119"/>
  <c r="H6119"/>
  <c r="J6118"/>
  <c r="H6118"/>
  <c r="J6117"/>
  <c r="H6117"/>
  <c r="J6116"/>
  <c r="H6116"/>
  <c r="J6115"/>
  <c r="H6115"/>
  <c r="J6114"/>
  <c r="H6114"/>
  <c r="J6113"/>
  <c r="H6113"/>
  <c r="J6112"/>
  <c r="H6112"/>
  <c r="J6111"/>
  <c r="H6111"/>
  <c r="J6110"/>
  <c r="H6110"/>
  <c r="J6109"/>
  <c r="H6109"/>
  <c r="J6108"/>
  <c r="H6108"/>
  <c r="J6107"/>
  <c r="H6107"/>
  <c r="J6106"/>
  <c r="H6106"/>
  <c r="J6105"/>
  <c r="H6105"/>
  <c r="J6104"/>
  <c r="H6104"/>
  <c r="J6103"/>
  <c r="H6103"/>
  <c r="J6102"/>
  <c r="H6102"/>
  <c r="J6101"/>
  <c r="H6101"/>
  <c r="J6100"/>
  <c r="H6100"/>
  <c r="J6099"/>
  <c r="H6099"/>
  <c r="J6098"/>
  <c r="H6098"/>
  <c r="J6097"/>
  <c r="H6097"/>
  <c r="J6096"/>
  <c r="H6096"/>
  <c r="J6095"/>
  <c r="H6095"/>
  <c r="J6094"/>
  <c r="H6094"/>
  <c r="J6093"/>
  <c r="H6093"/>
  <c r="J6092"/>
  <c r="H6092"/>
  <c r="J6091"/>
  <c r="H6091"/>
  <c r="J6090"/>
  <c r="H6090"/>
  <c r="J6089"/>
  <c r="H6089"/>
  <c r="J6088"/>
  <c r="H6088"/>
  <c r="J6087"/>
  <c r="H6087"/>
  <c r="J6086"/>
  <c r="H6086"/>
  <c r="J6085"/>
  <c r="H6085"/>
  <c r="J6084"/>
  <c r="H6084"/>
  <c r="J6083"/>
  <c r="H6083"/>
  <c r="J6082"/>
  <c r="H6082"/>
  <c r="J6081"/>
  <c r="H6081"/>
  <c r="J6080"/>
  <c r="H6080"/>
  <c r="J6079"/>
  <c r="H6079"/>
  <c r="J6078"/>
  <c r="H6078"/>
  <c r="J6077"/>
  <c r="H6077"/>
  <c r="J6076"/>
  <c r="H6076"/>
  <c r="J6075"/>
  <c r="H6075"/>
  <c r="J6074"/>
  <c r="H6074"/>
  <c r="J6073"/>
  <c r="H6073"/>
  <c r="J6072"/>
  <c r="H6072"/>
  <c r="J6071"/>
  <c r="H6071"/>
  <c r="J6070"/>
  <c r="H6070"/>
  <c r="J6069"/>
  <c r="H6069"/>
  <c r="J6068"/>
  <c r="H6068"/>
  <c r="J6067"/>
  <c r="H6067"/>
  <c r="J6066"/>
  <c r="H6066"/>
  <c r="J6065"/>
  <c r="H6065"/>
  <c r="J6064"/>
  <c r="H6064"/>
  <c r="J6063"/>
  <c r="H6063"/>
  <c r="J6062"/>
  <c r="H6062"/>
  <c r="J6061"/>
  <c r="H6061"/>
  <c r="J6060"/>
  <c r="H6060"/>
  <c r="J6059"/>
  <c r="H6059"/>
  <c r="J6058"/>
  <c r="H6058"/>
  <c r="J6057"/>
  <c r="H6057"/>
  <c r="J6056"/>
  <c r="H6056"/>
  <c r="J6055"/>
  <c r="H6055"/>
  <c r="J6054"/>
  <c r="H6054"/>
  <c r="J6053"/>
  <c r="H6053"/>
  <c r="J6052"/>
  <c r="H6052"/>
  <c r="J6051"/>
  <c r="H6051"/>
  <c r="J6050"/>
  <c r="H6050"/>
  <c r="J6049"/>
  <c r="H6049"/>
  <c r="J6048"/>
  <c r="H6048"/>
  <c r="J6047"/>
  <c r="H6047"/>
  <c r="J6046"/>
  <c r="H6046"/>
  <c r="J6045"/>
  <c r="H6045"/>
  <c r="J6044"/>
  <c r="H6044"/>
  <c r="J6043"/>
  <c r="H6043"/>
  <c r="J6042"/>
  <c r="H6042"/>
  <c r="J6041"/>
  <c r="H6041"/>
  <c r="J6040"/>
  <c r="H6040"/>
  <c r="J6039"/>
  <c r="H6039"/>
  <c r="J6038"/>
  <c r="H6038"/>
  <c r="J6037"/>
  <c r="H6037"/>
  <c r="J6036"/>
  <c r="H6036"/>
  <c r="J6035"/>
  <c r="H6035"/>
  <c r="J6034"/>
  <c r="H6034"/>
  <c r="J6033"/>
  <c r="H6033"/>
  <c r="J6032"/>
  <c r="H6032"/>
  <c r="J6031"/>
  <c r="H6031"/>
  <c r="J6030"/>
  <c r="H6030"/>
  <c r="J6029"/>
  <c r="H6029"/>
  <c r="J6028"/>
  <c r="H6028"/>
  <c r="J6027"/>
  <c r="H6027"/>
  <c r="J6026"/>
  <c r="H6026"/>
  <c r="J6025"/>
  <c r="H6025"/>
  <c r="J6024"/>
  <c r="H6024"/>
  <c r="J6023"/>
  <c r="H6023"/>
  <c r="J6022"/>
  <c r="H6022"/>
  <c r="J6021"/>
  <c r="H6021"/>
  <c r="J6020"/>
  <c r="H6020"/>
  <c r="J6019"/>
  <c r="H6019"/>
  <c r="J6018"/>
  <c r="H6018"/>
  <c r="J6017"/>
  <c r="H6017"/>
  <c r="J6016"/>
  <c r="H6016"/>
  <c r="J6015"/>
  <c r="H6015"/>
  <c r="J6014"/>
  <c r="H6014"/>
  <c r="J6013"/>
  <c r="H6013"/>
  <c r="J6012"/>
  <c r="H6012"/>
  <c r="J6011"/>
  <c r="H6011"/>
  <c r="J6010"/>
  <c r="H6010"/>
  <c r="J6009"/>
  <c r="H6009"/>
  <c r="J6008"/>
  <c r="H6008"/>
  <c r="J6007"/>
  <c r="H6007"/>
  <c r="J6006"/>
  <c r="H6006"/>
  <c r="J6005"/>
  <c r="H6005"/>
  <c r="J6004"/>
  <c r="H6004"/>
  <c r="J6003"/>
  <c r="H6003"/>
  <c r="J6002"/>
  <c r="H6002"/>
  <c r="J6001"/>
  <c r="H6001"/>
  <c r="J6000"/>
  <c r="H6000"/>
  <c r="J5999"/>
  <c r="H5999"/>
  <c r="J5998"/>
  <c r="H5998"/>
  <c r="J5997"/>
  <c r="H5997"/>
  <c r="J5996"/>
  <c r="H5996"/>
  <c r="J5995"/>
  <c r="H5995"/>
  <c r="J5994"/>
  <c r="H5994"/>
  <c r="J5993"/>
  <c r="H5993"/>
  <c r="J5992"/>
  <c r="H5992"/>
  <c r="J5991"/>
  <c r="H5991"/>
  <c r="J5990"/>
  <c r="H5990"/>
  <c r="J5989"/>
  <c r="H5989"/>
  <c r="J5988"/>
  <c r="H5988"/>
  <c r="J5987"/>
  <c r="H5987"/>
  <c r="J5986"/>
  <c r="H5986"/>
  <c r="J5985"/>
  <c r="H5985"/>
  <c r="J5984"/>
  <c r="H5984"/>
  <c r="J5983"/>
  <c r="H5983"/>
  <c r="J5982"/>
  <c r="H5982"/>
  <c r="J5981"/>
  <c r="H5981"/>
  <c r="J5980"/>
  <c r="H5980"/>
  <c r="J5979"/>
  <c r="H5979"/>
  <c r="J5978"/>
  <c r="H5978"/>
  <c r="J5977"/>
  <c r="H5977"/>
  <c r="J5976"/>
  <c r="H5976"/>
  <c r="J5975"/>
  <c r="H5975"/>
  <c r="J5974"/>
  <c r="H5974"/>
  <c r="J5973"/>
  <c r="H5973"/>
  <c r="J5972"/>
  <c r="H5972"/>
  <c r="J5971"/>
  <c r="H5971"/>
  <c r="J5970"/>
  <c r="H5970"/>
  <c r="J5969"/>
  <c r="H5969"/>
  <c r="J5968"/>
  <c r="H5968"/>
  <c r="J5967"/>
  <c r="H5967"/>
  <c r="J5966"/>
  <c r="H5966"/>
  <c r="J5965"/>
  <c r="H5965"/>
  <c r="J5964"/>
  <c r="H5964"/>
  <c r="J5963"/>
  <c r="H5963"/>
  <c r="J5962"/>
  <c r="H5962"/>
  <c r="J5961"/>
  <c r="H5961"/>
  <c r="J5960"/>
  <c r="H5960"/>
  <c r="J5959"/>
  <c r="H5959"/>
  <c r="J5958"/>
  <c r="H5958"/>
  <c r="J5957"/>
  <c r="H5957"/>
  <c r="J5956"/>
  <c r="H5956"/>
  <c r="J5955"/>
  <c r="H5955"/>
  <c r="J5954"/>
  <c r="H5954"/>
  <c r="J5953"/>
  <c r="H5953"/>
  <c r="J5952"/>
  <c r="H5952"/>
  <c r="J5951"/>
  <c r="H5951"/>
  <c r="J5950"/>
  <c r="H5950"/>
  <c r="J5949"/>
  <c r="H5949"/>
  <c r="J5948"/>
  <c r="H5948"/>
  <c r="J5947"/>
  <c r="H5947"/>
  <c r="J5946"/>
  <c r="H5946"/>
  <c r="J5945"/>
  <c r="H5945"/>
  <c r="J5944"/>
  <c r="H5944"/>
  <c r="J5943"/>
  <c r="H5943"/>
  <c r="J5942"/>
  <c r="H5942"/>
  <c r="J5941"/>
  <c r="H5941"/>
  <c r="J5940"/>
  <c r="H5940"/>
  <c r="J5939"/>
  <c r="H5939"/>
  <c r="J5938"/>
  <c r="H5938"/>
  <c r="J5937"/>
  <c r="H5937"/>
  <c r="J5936"/>
  <c r="H5936"/>
  <c r="J5935"/>
  <c r="H5935"/>
  <c r="J5934"/>
  <c r="H5934"/>
  <c r="J5933"/>
  <c r="H5933"/>
  <c r="J5932"/>
  <c r="H5932"/>
  <c r="J5931"/>
  <c r="H5931"/>
  <c r="J5930"/>
  <c r="H5930"/>
  <c r="J5929"/>
  <c r="H5929"/>
  <c r="J5928"/>
  <c r="H5928"/>
  <c r="J5927"/>
  <c r="H5927"/>
  <c r="J5926"/>
  <c r="H5926"/>
  <c r="J5925"/>
  <c r="H5925"/>
  <c r="J5924"/>
  <c r="H5924"/>
  <c r="J5923"/>
  <c r="H5923"/>
  <c r="J5922"/>
  <c r="H5922"/>
  <c r="J5921"/>
  <c r="H5921"/>
  <c r="J5920"/>
  <c r="H5920"/>
  <c r="J5919"/>
  <c r="H5919"/>
  <c r="J5918"/>
  <c r="H5918"/>
  <c r="J5917"/>
  <c r="H5917"/>
  <c r="J5916"/>
  <c r="H5916"/>
  <c r="J5915"/>
  <c r="H5915"/>
  <c r="J5914"/>
  <c r="H5914"/>
  <c r="J5913"/>
  <c r="H5913"/>
  <c r="J5912"/>
  <c r="H5912"/>
  <c r="J5911"/>
  <c r="H5911"/>
  <c r="J5910"/>
  <c r="H5910"/>
  <c r="J5909"/>
  <c r="H5909"/>
  <c r="J5908"/>
  <c r="H5908"/>
  <c r="J5907"/>
  <c r="H5907"/>
  <c r="J5906"/>
  <c r="H5906"/>
  <c r="J5905"/>
  <c r="H5905"/>
  <c r="J5904"/>
  <c r="H5904"/>
  <c r="J5903"/>
  <c r="H5903"/>
  <c r="J5902"/>
  <c r="H5902"/>
  <c r="J5901"/>
  <c r="H5901"/>
  <c r="J5900"/>
  <c r="H5900"/>
  <c r="J5899"/>
  <c r="H5899"/>
  <c r="J5898"/>
  <c r="H5898"/>
  <c r="J5897"/>
  <c r="H5897"/>
  <c r="J5896"/>
  <c r="H5896"/>
  <c r="J5895"/>
  <c r="H5895"/>
  <c r="J5894"/>
  <c r="H5894"/>
  <c r="J5893"/>
  <c r="H5893"/>
  <c r="J5892"/>
  <c r="H5892"/>
  <c r="J5891"/>
  <c r="H5891"/>
  <c r="J5890"/>
  <c r="H5890"/>
  <c r="J5889"/>
  <c r="H5889"/>
  <c r="J5888"/>
  <c r="H5888"/>
  <c r="J5887"/>
  <c r="H5887"/>
  <c r="J5886"/>
  <c r="H5886"/>
  <c r="J5885"/>
  <c r="H5885"/>
  <c r="J5884"/>
  <c r="H5884"/>
  <c r="J5883"/>
  <c r="H5883"/>
  <c r="J5882"/>
  <c r="H5882"/>
  <c r="J5881"/>
  <c r="H5881"/>
  <c r="J5880"/>
  <c r="H5880"/>
  <c r="J5879"/>
  <c r="H5879"/>
  <c r="J5878"/>
  <c r="H5878"/>
  <c r="J5877"/>
  <c r="H5877"/>
  <c r="J5876"/>
  <c r="H5876"/>
  <c r="J5875"/>
  <c r="H5875"/>
  <c r="J5874"/>
  <c r="H5874"/>
  <c r="J5873"/>
  <c r="H5873"/>
  <c r="J5872"/>
  <c r="H5872"/>
  <c r="J5871"/>
  <c r="H5871"/>
  <c r="J5870"/>
  <c r="H5870"/>
  <c r="J5869"/>
  <c r="H5869"/>
  <c r="J5868"/>
  <c r="H5868"/>
  <c r="J5867"/>
  <c r="H5867"/>
  <c r="J5866"/>
  <c r="H5866"/>
  <c r="J5865"/>
  <c r="H5865"/>
  <c r="J5864"/>
  <c r="H5864"/>
  <c r="J5863"/>
  <c r="H5863"/>
  <c r="J5862"/>
  <c r="H5862"/>
  <c r="J5861"/>
  <c r="H5861"/>
  <c r="J5860"/>
  <c r="H5860"/>
  <c r="J5859"/>
  <c r="H5859"/>
  <c r="J5858"/>
  <c r="H5858"/>
  <c r="J5857"/>
  <c r="H5857"/>
  <c r="J5856"/>
  <c r="H5856"/>
  <c r="J5855"/>
  <c r="H5855"/>
  <c r="J5854"/>
  <c r="H5854"/>
  <c r="J5853"/>
  <c r="H5853"/>
  <c r="J5852"/>
  <c r="H5852"/>
  <c r="J5851"/>
  <c r="H5851"/>
  <c r="J5850"/>
  <c r="H5850"/>
  <c r="J5849"/>
  <c r="H5849"/>
  <c r="J5848"/>
  <c r="H5848"/>
  <c r="J5847"/>
  <c r="H5847"/>
  <c r="J5846"/>
  <c r="H5846"/>
  <c r="J5845"/>
  <c r="H5845"/>
  <c r="J5844"/>
  <c r="H5844"/>
  <c r="J5843"/>
  <c r="H5843"/>
  <c r="J5842"/>
  <c r="H5842"/>
  <c r="J5841"/>
  <c r="H5841"/>
  <c r="J5840"/>
  <c r="H5840"/>
  <c r="J5839"/>
  <c r="H5839"/>
  <c r="J5838"/>
  <c r="H5838"/>
  <c r="J5837"/>
  <c r="H5837"/>
  <c r="J5836"/>
  <c r="H5836"/>
  <c r="J5835"/>
  <c r="H5835"/>
  <c r="J5834"/>
  <c r="H5834"/>
  <c r="J5833"/>
  <c r="H5833"/>
  <c r="J5832"/>
  <c r="H5832"/>
  <c r="J5831"/>
  <c r="H5831"/>
  <c r="J5830"/>
  <c r="H5830"/>
  <c r="J5829"/>
  <c r="H5829"/>
  <c r="J5828"/>
  <c r="H5828"/>
  <c r="J5827"/>
  <c r="H5827"/>
  <c r="J5826"/>
  <c r="H5826"/>
  <c r="J5825"/>
  <c r="H5825"/>
  <c r="J5824"/>
  <c r="H5824"/>
  <c r="J5823"/>
  <c r="H5823"/>
  <c r="J5822"/>
  <c r="H5822"/>
  <c r="J5821"/>
  <c r="H5821"/>
  <c r="J5820"/>
  <c r="H5820"/>
  <c r="J5819"/>
  <c r="H5819"/>
  <c r="J5818"/>
  <c r="H5818"/>
  <c r="J5817"/>
  <c r="H5817"/>
  <c r="J5816"/>
  <c r="H5816"/>
  <c r="J5815"/>
  <c r="H5815"/>
  <c r="J5814"/>
  <c r="H5814"/>
  <c r="J5813"/>
  <c r="H5813"/>
  <c r="J5812"/>
  <c r="H5812"/>
  <c r="J5811"/>
  <c r="H5811"/>
  <c r="J5810"/>
  <c r="H5810"/>
  <c r="J5809"/>
  <c r="H5809"/>
  <c r="J5808"/>
  <c r="H5808"/>
  <c r="J5807"/>
  <c r="H5807"/>
  <c r="J5806"/>
  <c r="H5806"/>
  <c r="J5805"/>
  <c r="H5805"/>
  <c r="J5804"/>
  <c r="H5804"/>
  <c r="J5803"/>
  <c r="H5803"/>
  <c r="J5802"/>
  <c r="H5802"/>
  <c r="J5801"/>
  <c r="H5801"/>
  <c r="J5800"/>
  <c r="H5800"/>
  <c r="J5799"/>
  <c r="H5799"/>
  <c r="J5798"/>
  <c r="H5798"/>
  <c r="J5797"/>
  <c r="H5797"/>
  <c r="J5796"/>
  <c r="H5796"/>
  <c r="J5795"/>
  <c r="H5795"/>
  <c r="J5794"/>
  <c r="H5794"/>
  <c r="J5793"/>
  <c r="H5793"/>
  <c r="J5792"/>
  <c r="H5792"/>
  <c r="J5791"/>
  <c r="H5791"/>
  <c r="J5790"/>
  <c r="H5790"/>
  <c r="J5789"/>
  <c r="H5789"/>
  <c r="J5788"/>
  <c r="H5788"/>
  <c r="J5787"/>
  <c r="H5787"/>
  <c r="J5786"/>
  <c r="H5786"/>
  <c r="J5785"/>
  <c r="H5785"/>
  <c r="J5784"/>
  <c r="H5784"/>
  <c r="J5783"/>
  <c r="H5783"/>
  <c r="J5782"/>
  <c r="H5782"/>
  <c r="J5781"/>
  <c r="H5781"/>
  <c r="J5780"/>
  <c r="H5780"/>
  <c r="J5779"/>
  <c r="H5779"/>
  <c r="J5778"/>
  <c r="H5778"/>
  <c r="J5777"/>
  <c r="H5777"/>
  <c r="J5776"/>
  <c r="H5776"/>
  <c r="J5775"/>
  <c r="H5775"/>
  <c r="J5774"/>
  <c r="H5774"/>
  <c r="J5773"/>
  <c r="H5773"/>
  <c r="J5772"/>
  <c r="H5772"/>
  <c r="J5771"/>
  <c r="H5771"/>
  <c r="J5770"/>
  <c r="H5770"/>
  <c r="J5769"/>
  <c r="H5769"/>
  <c r="J5768"/>
  <c r="H5768"/>
  <c r="J5767"/>
  <c r="H5767"/>
  <c r="J5766"/>
  <c r="H5766"/>
  <c r="J5765"/>
  <c r="H5765"/>
  <c r="J5764"/>
  <c r="H5764"/>
  <c r="J5763"/>
  <c r="H5763"/>
  <c r="J5762"/>
  <c r="H5762"/>
  <c r="J5761"/>
  <c r="H5761"/>
  <c r="J5760"/>
  <c r="H5760"/>
  <c r="J5759"/>
  <c r="H5759"/>
  <c r="J5758"/>
  <c r="H5758"/>
  <c r="J5757"/>
  <c r="H5757"/>
  <c r="J5756"/>
  <c r="H5756"/>
  <c r="J5755"/>
  <c r="H5755"/>
  <c r="J5754"/>
  <c r="H5754"/>
  <c r="J5753"/>
  <c r="H5753"/>
  <c r="J5752"/>
  <c r="H5752"/>
  <c r="J5751"/>
  <c r="H5751"/>
  <c r="J5750"/>
  <c r="H5750"/>
  <c r="J5749"/>
  <c r="H5749"/>
  <c r="J5748"/>
  <c r="H5748"/>
  <c r="J5747"/>
  <c r="H5747"/>
  <c r="J5746"/>
  <c r="H5746"/>
  <c r="J5745"/>
  <c r="H5745"/>
  <c r="J5744"/>
  <c r="H5744"/>
  <c r="J5743"/>
  <c r="H5743"/>
  <c r="J5742"/>
  <c r="H5742"/>
  <c r="J5741"/>
  <c r="H5741"/>
  <c r="J5740"/>
  <c r="H5740"/>
  <c r="J5739"/>
  <c r="H5739"/>
  <c r="J5738"/>
  <c r="H5738"/>
  <c r="J5737"/>
  <c r="H5737"/>
  <c r="J5736"/>
  <c r="H5736"/>
  <c r="J5735"/>
  <c r="H5735"/>
  <c r="J5734"/>
  <c r="H5734"/>
  <c r="J5733"/>
  <c r="H5733"/>
  <c r="J5732"/>
  <c r="H5732"/>
  <c r="J5731"/>
  <c r="H5731"/>
  <c r="J5730"/>
  <c r="H5730"/>
  <c r="J5729"/>
  <c r="H5729"/>
  <c r="J5728"/>
  <c r="H5728"/>
  <c r="J5727"/>
  <c r="H5727"/>
  <c r="J5726"/>
  <c r="H5726"/>
  <c r="J5725"/>
  <c r="H5725"/>
  <c r="J5724"/>
  <c r="H5724"/>
  <c r="J5723"/>
  <c r="H5723"/>
  <c r="J5722"/>
  <c r="H5722"/>
  <c r="J5721"/>
  <c r="H5721"/>
  <c r="J5720"/>
  <c r="H5720"/>
  <c r="J5719"/>
  <c r="H5719"/>
  <c r="J5718"/>
  <c r="H5718"/>
  <c r="J5717"/>
  <c r="H5717"/>
  <c r="J5716"/>
  <c r="H5716"/>
  <c r="J5715"/>
  <c r="H5715"/>
  <c r="J5714"/>
  <c r="H5714"/>
  <c r="J5713"/>
  <c r="H5713"/>
  <c r="J5712"/>
  <c r="H5712"/>
  <c r="J5711"/>
  <c r="H5711"/>
  <c r="J5710"/>
  <c r="H5710"/>
  <c r="J5709"/>
  <c r="H5709"/>
  <c r="J5708"/>
  <c r="H5708"/>
  <c r="J5707"/>
  <c r="H5707"/>
  <c r="J5706"/>
  <c r="H5706"/>
  <c r="J5705"/>
  <c r="H5705"/>
  <c r="J5704"/>
  <c r="H5704"/>
  <c r="J5703"/>
  <c r="H5703"/>
  <c r="J5702"/>
  <c r="H5702"/>
  <c r="J5701"/>
  <c r="H5701"/>
  <c r="J5700"/>
  <c r="H5700"/>
  <c r="J5699"/>
  <c r="H5699"/>
  <c r="J5698"/>
  <c r="H5698"/>
  <c r="J5697"/>
  <c r="H5697"/>
  <c r="J5696"/>
  <c r="H5696"/>
  <c r="J5695"/>
  <c r="H5695"/>
  <c r="J5694"/>
  <c r="H5694"/>
  <c r="J5693"/>
  <c r="H5693"/>
  <c r="J5692"/>
  <c r="H5692"/>
  <c r="J5691"/>
  <c r="H5691"/>
  <c r="J5690"/>
  <c r="H5690"/>
  <c r="J5689"/>
  <c r="H5689"/>
  <c r="J5688"/>
  <c r="H5688"/>
  <c r="J5687"/>
  <c r="H5687"/>
  <c r="J5686"/>
  <c r="H5686"/>
  <c r="J5685"/>
  <c r="H5685"/>
  <c r="J5684"/>
  <c r="H5684"/>
  <c r="J5683"/>
  <c r="H5683"/>
  <c r="J5682"/>
  <c r="H5682"/>
  <c r="J5681"/>
  <c r="H5681"/>
  <c r="J5680"/>
  <c r="H5680"/>
  <c r="J5679"/>
  <c r="H5679"/>
  <c r="J5678"/>
  <c r="H5678"/>
  <c r="J5677"/>
  <c r="H5677"/>
  <c r="J5676"/>
  <c r="H5676"/>
  <c r="J5675"/>
  <c r="H5675"/>
  <c r="J5674"/>
  <c r="H5674"/>
  <c r="J5673"/>
  <c r="H5673"/>
  <c r="J5672"/>
  <c r="H5672"/>
  <c r="J5671"/>
  <c r="H5671"/>
  <c r="J5670"/>
  <c r="H5670"/>
  <c r="J5669"/>
  <c r="H5669"/>
  <c r="J5668"/>
  <c r="H5668"/>
  <c r="J5667"/>
  <c r="H5667"/>
  <c r="J5666"/>
  <c r="H5666"/>
  <c r="J5665"/>
  <c r="H5665"/>
  <c r="J5664"/>
  <c r="H5664"/>
  <c r="J5663"/>
  <c r="H5663"/>
  <c r="J5662"/>
  <c r="H5662"/>
  <c r="J5661"/>
  <c r="H5661"/>
  <c r="J5660"/>
  <c r="H5660"/>
  <c r="J5659"/>
  <c r="H5659"/>
  <c r="J5658"/>
  <c r="H5658"/>
  <c r="J5657"/>
  <c r="H5657"/>
  <c r="J5656"/>
  <c r="H5656"/>
  <c r="J5655"/>
  <c r="H5655"/>
  <c r="J5654"/>
  <c r="H5654"/>
  <c r="J5653"/>
  <c r="H5653"/>
  <c r="J5652"/>
  <c r="H5652"/>
  <c r="J5651"/>
  <c r="H5651"/>
  <c r="J5650"/>
  <c r="H5650"/>
  <c r="J5649"/>
  <c r="H5649"/>
  <c r="J5648"/>
  <c r="H5648"/>
  <c r="J5647"/>
  <c r="H5647"/>
  <c r="J5646"/>
  <c r="H5646"/>
  <c r="J5645"/>
  <c r="H5645"/>
  <c r="J5644"/>
  <c r="H5644"/>
  <c r="J5643"/>
  <c r="H5643"/>
  <c r="J5642"/>
  <c r="H5642"/>
  <c r="J5641"/>
  <c r="H5641"/>
  <c r="J5640"/>
  <c r="H5640"/>
  <c r="J5639"/>
  <c r="H5639"/>
  <c r="J5638"/>
  <c r="H5638"/>
  <c r="J5637"/>
  <c r="H5637"/>
  <c r="J5636"/>
  <c r="H5636"/>
  <c r="J5635"/>
  <c r="H5635"/>
  <c r="J5634"/>
  <c r="H5634"/>
  <c r="J5633"/>
  <c r="H5633"/>
  <c r="J5632"/>
  <c r="H5632"/>
  <c r="J5631"/>
  <c r="H5631"/>
  <c r="J5630"/>
  <c r="H5630"/>
  <c r="J5629"/>
  <c r="H5629"/>
  <c r="J5628"/>
  <c r="H5628"/>
  <c r="J5627"/>
  <c r="H5627"/>
  <c r="J5626"/>
  <c r="H5626"/>
  <c r="J5625"/>
  <c r="H5625"/>
  <c r="J5624"/>
  <c r="H5624"/>
  <c r="J5623"/>
  <c r="H5623"/>
  <c r="J5622"/>
  <c r="H5622"/>
  <c r="J5621"/>
  <c r="H5621"/>
  <c r="J5620"/>
  <c r="H5620"/>
  <c r="J5619"/>
  <c r="H5619"/>
  <c r="J5618"/>
  <c r="H5618"/>
  <c r="J5617"/>
  <c r="H5617"/>
  <c r="J5616"/>
  <c r="H5616"/>
  <c r="J5615"/>
  <c r="H5615"/>
  <c r="J5614"/>
  <c r="H5614"/>
  <c r="J5613"/>
  <c r="H5613"/>
  <c r="J5612"/>
  <c r="H5612"/>
  <c r="J5611"/>
  <c r="H5611"/>
  <c r="J5610"/>
  <c r="H5610"/>
  <c r="J5609"/>
  <c r="H5609"/>
  <c r="J5608"/>
  <c r="H5608"/>
  <c r="J5607"/>
  <c r="H5607"/>
  <c r="J5606"/>
  <c r="H5606"/>
  <c r="J5605"/>
  <c r="H5605"/>
  <c r="J5604"/>
  <c r="H5604"/>
  <c r="J5603"/>
  <c r="H5603"/>
  <c r="J5602"/>
  <c r="H5602"/>
  <c r="J5601"/>
  <c r="H5601"/>
  <c r="J5600"/>
  <c r="H5600"/>
  <c r="J5599"/>
  <c r="H5599"/>
  <c r="J5598"/>
  <c r="H5598"/>
  <c r="J5597"/>
  <c r="H5597"/>
  <c r="J5596"/>
  <c r="H5596"/>
  <c r="J5595"/>
  <c r="H5595"/>
  <c r="J5594"/>
  <c r="H5594"/>
  <c r="J5593"/>
  <c r="H5593"/>
  <c r="J5592"/>
  <c r="H5592"/>
  <c r="J5591"/>
  <c r="H5591"/>
  <c r="J5590"/>
  <c r="H5590"/>
  <c r="J5589"/>
  <c r="H5589"/>
  <c r="J5588"/>
  <c r="H5588"/>
  <c r="J5587"/>
  <c r="H5587"/>
  <c r="J5586"/>
  <c r="H5586"/>
  <c r="J5585"/>
  <c r="H5585"/>
  <c r="J5584"/>
  <c r="H5584"/>
  <c r="J5583"/>
  <c r="H5583"/>
  <c r="J5582"/>
  <c r="H5582"/>
  <c r="J5581"/>
  <c r="H5581"/>
  <c r="J5580"/>
  <c r="H5580"/>
  <c r="J5579"/>
  <c r="H5579"/>
  <c r="J5578"/>
  <c r="H5578"/>
  <c r="J5577"/>
  <c r="H5577"/>
  <c r="J5576"/>
  <c r="H5576"/>
  <c r="J5575"/>
  <c r="H5575"/>
  <c r="J5574"/>
  <c r="H5574"/>
  <c r="J5573"/>
  <c r="H5573"/>
  <c r="J5572"/>
  <c r="H5572"/>
  <c r="J5571"/>
  <c r="H5571"/>
  <c r="J5570"/>
  <c r="H5570"/>
  <c r="J5569"/>
  <c r="H5569"/>
  <c r="J5568"/>
  <c r="H5568"/>
  <c r="J5567"/>
  <c r="H5567"/>
  <c r="J5566"/>
  <c r="H5566"/>
  <c r="J5565"/>
  <c r="H5565"/>
  <c r="J5564"/>
  <c r="H5564"/>
  <c r="J5563"/>
  <c r="H5563"/>
  <c r="J5562"/>
  <c r="H5562"/>
  <c r="J5561"/>
  <c r="H5561"/>
  <c r="J5560"/>
  <c r="H5560"/>
  <c r="J5559"/>
  <c r="H5559"/>
  <c r="J5558"/>
  <c r="H5558"/>
  <c r="J5557"/>
  <c r="H5557"/>
  <c r="J5556"/>
  <c r="H5556"/>
  <c r="J5555"/>
  <c r="H5555"/>
  <c r="J5554"/>
  <c r="H5554"/>
  <c r="J5553"/>
  <c r="H5553"/>
  <c r="J5552"/>
  <c r="H5552"/>
  <c r="J5551"/>
  <c r="H5551"/>
  <c r="J5550"/>
  <c r="H5550"/>
  <c r="J5549"/>
  <c r="H5549"/>
  <c r="J5548"/>
  <c r="H5548"/>
  <c r="J5547"/>
  <c r="H5547"/>
  <c r="J5546"/>
  <c r="H5546"/>
  <c r="J5545"/>
  <c r="H5545"/>
  <c r="J5544"/>
  <c r="H5544"/>
  <c r="J5543"/>
  <c r="H5543"/>
  <c r="J5542"/>
  <c r="H5542"/>
  <c r="J5541"/>
  <c r="H5541"/>
  <c r="J5540"/>
  <c r="H5540"/>
  <c r="J5539"/>
  <c r="H5539"/>
  <c r="J5538"/>
  <c r="H5538"/>
  <c r="J5537"/>
  <c r="H5537"/>
  <c r="J5536"/>
  <c r="H5536"/>
  <c r="J5535"/>
  <c r="H5535"/>
  <c r="J5534"/>
  <c r="H5534"/>
  <c r="J5533"/>
  <c r="H5533"/>
  <c r="J5532"/>
  <c r="H5532"/>
  <c r="J5531"/>
  <c r="H5531"/>
  <c r="J5530"/>
  <c r="H5530"/>
  <c r="J5529"/>
  <c r="H5529"/>
  <c r="J5528"/>
  <c r="H5528"/>
  <c r="J5527"/>
  <c r="H5527"/>
  <c r="J5526"/>
  <c r="H5526"/>
  <c r="J5525"/>
  <c r="H5525"/>
  <c r="J5524"/>
  <c r="H5524"/>
  <c r="J5523"/>
  <c r="H5523"/>
  <c r="J5522"/>
  <c r="H5522"/>
  <c r="J5521"/>
  <c r="H5521"/>
  <c r="J5520"/>
  <c r="H5520"/>
  <c r="J5519"/>
  <c r="H5519"/>
  <c r="J5518"/>
  <c r="H5518"/>
  <c r="J5517"/>
  <c r="H5517"/>
  <c r="J5516"/>
  <c r="H5516"/>
  <c r="J5515"/>
  <c r="H5515"/>
  <c r="J5514"/>
  <c r="H5514"/>
  <c r="J5513"/>
  <c r="H5513"/>
  <c r="J5512"/>
  <c r="H5512"/>
  <c r="J5511"/>
  <c r="H5511"/>
  <c r="J5510"/>
  <c r="H5510"/>
  <c r="J5509"/>
  <c r="H5509"/>
  <c r="J5508"/>
  <c r="H5508"/>
  <c r="J5507"/>
  <c r="H5507"/>
  <c r="J5506"/>
  <c r="H5506"/>
  <c r="J5505"/>
  <c r="H5505"/>
  <c r="J5504"/>
  <c r="H5504"/>
  <c r="J5503"/>
  <c r="H5503"/>
  <c r="J5502"/>
  <c r="H5502"/>
  <c r="J5501"/>
  <c r="H5501"/>
  <c r="J5500"/>
  <c r="H5500"/>
  <c r="J5499"/>
  <c r="H5499"/>
  <c r="J5498"/>
  <c r="H5498"/>
  <c r="J5497"/>
  <c r="H5497"/>
  <c r="J5496"/>
  <c r="H5496"/>
  <c r="J5495"/>
  <c r="H5495"/>
  <c r="J5494"/>
  <c r="H5494"/>
  <c r="J5493"/>
  <c r="H5493"/>
  <c r="J5492"/>
  <c r="H5492"/>
  <c r="J5491"/>
  <c r="H5491"/>
  <c r="J5490"/>
  <c r="H5490"/>
  <c r="J5489"/>
  <c r="H5489"/>
  <c r="J5488"/>
  <c r="H5488"/>
  <c r="J5487"/>
  <c r="H5487"/>
  <c r="J5486"/>
  <c r="H5486"/>
  <c r="J5485"/>
  <c r="H5485"/>
  <c r="J5484"/>
  <c r="H5484"/>
  <c r="J5483"/>
  <c r="H5483"/>
  <c r="J5482"/>
  <c r="H5482"/>
  <c r="J5481"/>
  <c r="H5481"/>
  <c r="J5480"/>
  <c r="H5480"/>
  <c r="J5479"/>
  <c r="H5479"/>
  <c r="J5478"/>
  <c r="H5478"/>
  <c r="J5477"/>
  <c r="H5477"/>
  <c r="J5476"/>
  <c r="H5476"/>
  <c r="J5475"/>
  <c r="H5475"/>
  <c r="J5474"/>
  <c r="H5474"/>
  <c r="J5473"/>
  <c r="H5473"/>
  <c r="J5472"/>
  <c r="H5472"/>
  <c r="J5471"/>
  <c r="H5471"/>
  <c r="J5470"/>
  <c r="H5470"/>
  <c r="J5469"/>
  <c r="H5469"/>
  <c r="J5468"/>
  <c r="H5468"/>
  <c r="J5467"/>
  <c r="H5467"/>
  <c r="J5466"/>
  <c r="H5466"/>
  <c r="J5465"/>
  <c r="H5465"/>
  <c r="J5464"/>
  <c r="H5464"/>
  <c r="J5463"/>
  <c r="H5463"/>
  <c r="J5462"/>
  <c r="H5462"/>
  <c r="J5461"/>
  <c r="H5461"/>
  <c r="J5460"/>
  <c r="H5460"/>
  <c r="J5459"/>
  <c r="H5459"/>
  <c r="J5458"/>
  <c r="H5458"/>
  <c r="J5457"/>
  <c r="H5457"/>
  <c r="J5456"/>
  <c r="H5456"/>
  <c r="J5455"/>
  <c r="H5455"/>
  <c r="J5454"/>
  <c r="H5454"/>
  <c r="J5453"/>
  <c r="H5453"/>
  <c r="J5452"/>
  <c r="H5452"/>
  <c r="J5451"/>
  <c r="H5451"/>
  <c r="J5450"/>
  <c r="H5450"/>
  <c r="J5449"/>
  <c r="H5449"/>
  <c r="J5448"/>
  <c r="H5448"/>
  <c r="J5447"/>
  <c r="H5447"/>
  <c r="J5446"/>
  <c r="H5446"/>
  <c r="J5445"/>
  <c r="H5445"/>
  <c r="J5444"/>
  <c r="H5444"/>
  <c r="J5443"/>
  <c r="H5443"/>
  <c r="J5442"/>
  <c r="H5442"/>
  <c r="J5441"/>
  <c r="H5441"/>
  <c r="J5440"/>
  <c r="H5440"/>
  <c r="J5439"/>
  <c r="H5439"/>
  <c r="J5438"/>
  <c r="H5438"/>
  <c r="J5437"/>
  <c r="H5437"/>
  <c r="J5436"/>
  <c r="H5436"/>
  <c r="J5435"/>
  <c r="H5435"/>
  <c r="J5434"/>
  <c r="H5434"/>
  <c r="J5433"/>
  <c r="H5433"/>
  <c r="J5432"/>
  <c r="H5432"/>
  <c r="J5431"/>
  <c r="H5431"/>
  <c r="J5430"/>
  <c r="H5430"/>
  <c r="J5429"/>
  <c r="H5429"/>
  <c r="J5428"/>
  <c r="H5428"/>
  <c r="J5427"/>
  <c r="H5427"/>
  <c r="J5426"/>
  <c r="H5426"/>
  <c r="J5425"/>
  <c r="H5425"/>
  <c r="J5424"/>
  <c r="H5424"/>
  <c r="J5423"/>
  <c r="H5423"/>
  <c r="J5422"/>
  <c r="H5422"/>
  <c r="J5421"/>
  <c r="H5421"/>
  <c r="J5420"/>
  <c r="H5420"/>
  <c r="J5419"/>
  <c r="H5419"/>
  <c r="J5418"/>
  <c r="H5418"/>
  <c r="J5417"/>
  <c r="H5417"/>
  <c r="J5416"/>
  <c r="H5416"/>
  <c r="J5415"/>
  <c r="H5415"/>
  <c r="J5414"/>
  <c r="H5414"/>
  <c r="J5413"/>
  <c r="H5413"/>
  <c r="J5412"/>
  <c r="H5412"/>
  <c r="J5411"/>
  <c r="H5411"/>
  <c r="J5410"/>
  <c r="H5410"/>
  <c r="J5409"/>
  <c r="H5409"/>
  <c r="J5408"/>
  <c r="H5408"/>
  <c r="J5407"/>
  <c r="H5407"/>
  <c r="J5406"/>
  <c r="H5406"/>
  <c r="J5405"/>
  <c r="H5405"/>
  <c r="J5404"/>
  <c r="H5404"/>
  <c r="J5403"/>
  <c r="H5403"/>
  <c r="J5402"/>
  <c r="H5402"/>
  <c r="J5401"/>
  <c r="H5401"/>
  <c r="J5400"/>
  <c r="H5400"/>
  <c r="J5399"/>
  <c r="H5399"/>
  <c r="J5398"/>
  <c r="H5398"/>
  <c r="J5397"/>
  <c r="H5397"/>
  <c r="J5396"/>
  <c r="H5396"/>
  <c r="J5395"/>
  <c r="H5395"/>
  <c r="J5394"/>
  <c r="H5394"/>
  <c r="J5393"/>
  <c r="H5393"/>
  <c r="J5392"/>
  <c r="H5392"/>
  <c r="J5391"/>
  <c r="H5391"/>
  <c r="J5390"/>
  <c r="H5390"/>
  <c r="J5389"/>
  <c r="H5389"/>
  <c r="J5388"/>
  <c r="H5388"/>
  <c r="J5387"/>
  <c r="H5387"/>
  <c r="J5386"/>
  <c r="H5386"/>
  <c r="J5385"/>
  <c r="H5385"/>
  <c r="J5384"/>
  <c r="H5384"/>
  <c r="J5383"/>
  <c r="H5383"/>
  <c r="J5382"/>
  <c r="H5382"/>
  <c r="J5381"/>
  <c r="H5381"/>
  <c r="J5380"/>
  <c r="H5380"/>
  <c r="J5379"/>
  <c r="H5379"/>
  <c r="J5378"/>
  <c r="H5378"/>
  <c r="J5377"/>
  <c r="H5377"/>
  <c r="J5376"/>
  <c r="H5376"/>
  <c r="J5375"/>
  <c r="H5375"/>
  <c r="J5374"/>
  <c r="H5374"/>
  <c r="J5373"/>
  <c r="H5373"/>
  <c r="J5372"/>
  <c r="H5372"/>
  <c r="J5371"/>
  <c r="H5371"/>
  <c r="J5370"/>
  <c r="H5370"/>
  <c r="J5369"/>
  <c r="H5369"/>
  <c r="J5368"/>
  <c r="H5368"/>
  <c r="J5367"/>
  <c r="H5367"/>
  <c r="J5366"/>
  <c r="H5366"/>
  <c r="J5365"/>
  <c r="H5365"/>
  <c r="J5364"/>
  <c r="H5364"/>
  <c r="J5363"/>
  <c r="H5363"/>
  <c r="J5362"/>
  <c r="H5362"/>
  <c r="J5361"/>
  <c r="H5361"/>
  <c r="J5360"/>
  <c r="H5360"/>
  <c r="J5359"/>
  <c r="H5359"/>
  <c r="J5358"/>
  <c r="H5358"/>
  <c r="J5357"/>
  <c r="H5357"/>
  <c r="J5356"/>
  <c r="H5356"/>
  <c r="J5355"/>
  <c r="H5355"/>
  <c r="J5354"/>
  <c r="H5354"/>
  <c r="J5353"/>
  <c r="H5353"/>
  <c r="J5352"/>
  <c r="H5352"/>
  <c r="J5351"/>
  <c r="H5351"/>
  <c r="J5350"/>
  <c r="H5350"/>
  <c r="J5349"/>
  <c r="H5349"/>
  <c r="J5348"/>
  <c r="H5348"/>
  <c r="J5347"/>
  <c r="H5347"/>
  <c r="J5346"/>
  <c r="H5346"/>
  <c r="J5345"/>
  <c r="H5345"/>
  <c r="J5344"/>
  <c r="H5344"/>
  <c r="J5343"/>
  <c r="H5343"/>
  <c r="J5342"/>
  <c r="H5342"/>
  <c r="J5341"/>
  <c r="H5341"/>
  <c r="J5340"/>
  <c r="H5340"/>
  <c r="J5339"/>
  <c r="H5339"/>
  <c r="J5338"/>
  <c r="H5338"/>
  <c r="J5337"/>
  <c r="H5337"/>
  <c r="J5336"/>
  <c r="H5336"/>
  <c r="J5335"/>
  <c r="H5335"/>
  <c r="J5334"/>
  <c r="H5334"/>
  <c r="J5333"/>
  <c r="H5333"/>
  <c r="J5332"/>
  <c r="H5332"/>
  <c r="J5331"/>
  <c r="H5331"/>
  <c r="J5330"/>
  <c r="H5330"/>
  <c r="J5329"/>
  <c r="H5329"/>
  <c r="J5328"/>
  <c r="H5328"/>
  <c r="J5327"/>
  <c r="H5327"/>
  <c r="J5326"/>
  <c r="H5326"/>
  <c r="J5325"/>
  <c r="H5325"/>
  <c r="J5324"/>
  <c r="H5324"/>
  <c r="J5323"/>
  <c r="H5323"/>
  <c r="J5322"/>
  <c r="H5322"/>
  <c r="J5321"/>
  <c r="H5321"/>
  <c r="J5320"/>
  <c r="H5320"/>
  <c r="J5319"/>
  <c r="H5319"/>
  <c r="J5318"/>
  <c r="H5318"/>
  <c r="J5317"/>
  <c r="H5317"/>
  <c r="J5316"/>
  <c r="H5316"/>
  <c r="J5315"/>
  <c r="H5315"/>
  <c r="J5314"/>
  <c r="H5314"/>
  <c r="J5313"/>
  <c r="H5313"/>
  <c r="J5312"/>
  <c r="H5312"/>
  <c r="J5311"/>
  <c r="H5311"/>
  <c r="J5310"/>
  <c r="H5310"/>
  <c r="J5309"/>
  <c r="H5309"/>
  <c r="J5308"/>
  <c r="H5308"/>
  <c r="J5307"/>
  <c r="H5307"/>
  <c r="J5306"/>
  <c r="H5306"/>
  <c r="J5305"/>
  <c r="H5305"/>
  <c r="J5304"/>
  <c r="H5304"/>
  <c r="J5303"/>
  <c r="H5303"/>
  <c r="J5302"/>
  <c r="H5302"/>
  <c r="J5301"/>
  <c r="H5301"/>
  <c r="J5300"/>
  <c r="H5300"/>
  <c r="J5299"/>
  <c r="H5299"/>
  <c r="J5298"/>
  <c r="H5298"/>
  <c r="J5297"/>
  <c r="H5297"/>
  <c r="J5296"/>
  <c r="H5296"/>
  <c r="J5295"/>
  <c r="H5295"/>
  <c r="J5294"/>
  <c r="H5294"/>
  <c r="J5293"/>
  <c r="H5293"/>
  <c r="J5292"/>
  <c r="H5292"/>
  <c r="J5291"/>
  <c r="H5291"/>
  <c r="J5290"/>
  <c r="H5290"/>
  <c r="J5289"/>
  <c r="H5289"/>
  <c r="J5288"/>
  <c r="H5288"/>
  <c r="J5287"/>
  <c r="H5287"/>
  <c r="J5286"/>
  <c r="H5286"/>
  <c r="J5285"/>
  <c r="H5285"/>
  <c r="J5284"/>
  <c r="H5284"/>
  <c r="J5283"/>
  <c r="H5283"/>
  <c r="J5282"/>
  <c r="H5282"/>
  <c r="J5281"/>
  <c r="H5281"/>
  <c r="J5280"/>
  <c r="H5280"/>
  <c r="J5279"/>
  <c r="H5279"/>
  <c r="J5278"/>
  <c r="H5278"/>
  <c r="J5277"/>
  <c r="H5277"/>
  <c r="J5276"/>
  <c r="H5276"/>
  <c r="J5275"/>
  <c r="H5275"/>
  <c r="J5274"/>
  <c r="H5274"/>
  <c r="J5273"/>
  <c r="H5273"/>
  <c r="J5272"/>
  <c r="H5272"/>
  <c r="J5271"/>
  <c r="H5271"/>
  <c r="J5270"/>
  <c r="H5270"/>
  <c r="J5269"/>
  <c r="H5269"/>
  <c r="J5268"/>
  <c r="H5268"/>
  <c r="J5267"/>
  <c r="H5267"/>
  <c r="J5266"/>
  <c r="H5266"/>
  <c r="J5265"/>
  <c r="H5265"/>
  <c r="J5264"/>
  <c r="H5264"/>
  <c r="J5263"/>
  <c r="H5263"/>
  <c r="J5262"/>
  <c r="H5262"/>
  <c r="J5261"/>
  <c r="H5261"/>
  <c r="J5260"/>
  <c r="H5260"/>
  <c r="J5259"/>
  <c r="H5259"/>
  <c r="J5258"/>
  <c r="H5258"/>
  <c r="J5257"/>
  <c r="H5257"/>
  <c r="J5256"/>
  <c r="H5256"/>
  <c r="J5255"/>
  <c r="H5255"/>
  <c r="J5254"/>
  <c r="H5254"/>
  <c r="J5253"/>
  <c r="H5253"/>
  <c r="J5252"/>
  <c r="H5252"/>
  <c r="J5251"/>
  <c r="H5251"/>
  <c r="J5250"/>
  <c r="H5250"/>
  <c r="J5249"/>
  <c r="H5249"/>
  <c r="J5248"/>
  <c r="H5248"/>
  <c r="J5247"/>
  <c r="H5247"/>
  <c r="J5246"/>
  <c r="H5246"/>
  <c r="J5245"/>
  <c r="H5245"/>
  <c r="J5244"/>
  <c r="H5244"/>
  <c r="J5243"/>
  <c r="H5243"/>
  <c r="J5242"/>
  <c r="H5242"/>
  <c r="J5241"/>
  <c r="H5241"/>
  <c r="J5240"/>
  <c r="H5240"/>
  <c r="J5239"/>
  <c r="H5239"/>
  <c r="J5238"/>
  <c r="H5238"/>
  <c r="J5237"/>
  <c r="H5237"/>
  <c r="J5236"/>
  <c r="H5236"/>
  <c r="J5235"/>
  <c r="H5235"/>
  <c r="J5234"/>
  <c r="H5234"/>
  <c r="J5233"/>
  <c r="H5233"/>
  <c r="J5232"/>
  <c r="H5232"/>
  <c r="J5231"/>
  <c r="H5231"/>
  <c r="J5230"/>
  <c r="H5230"/>
  <c r="J5229"/>
  <c r="H5229"/>
  <c r="J5228"/>
  <c r="H5228"/>
  <c r="J5227"/>
  <c r="H5227"/>
  <c r="J5226"/>
  <c r="H5226"/>
  <c r="J5225"/>
  <c r="H5225"/>
  <c r="J5224"/>
  <c r="H5224"/>
  <c r="J5223"/>
  <c r="H5223"/>
  <c r="J5222"/>
  <c r="H5222"/>
  <c r="J5221"/>
  <c r="H5221"/>
  <c r="J5220"/>
  <c r="H5220"/>
  <c r="J5219"/>
  <c r="H5219"/>
  <c r="J5218"/>
  <c r="H5218"/>
  <c r="J5217"/>
  <c r="H5217"/>
  <c r="J5216"/>
  <c r="H5216"/>
  <c r="J5215"/>
  <c r="H5215"/>
  <c r="J5214"/>
  <c r="H5214"/>
  <c r="J5213"/>
  <c r="H5213"/>
  <c r="J5212"/>
  <c r="H5212"/>
  <c r="J5211"/>
  <c r="H5211"/>
  <c r="J5210"/>
  <c r="H5210"/>
  <c r="J5209"/>
  <c r="H5209"/>
  <c r="J5208"/>
  <c r="H5208"/>
  <c r="J5207"/>
  <c r="H5207"/>
  <c r="J5206"/>
  <c r="H5206"/>
  <c r="J5205"/>
  <c r="H5205"/>
  <c r="J5204"/>
  <c r="H5204"/>
  <c r="J5203"/>
  <c r="H5203"/>
  <c r="J5202"/>
  <c r="H5202"/>
  <c r="J5201"/>
  <c r="H5201"/>
  <c r="J5200"/>
  <c r="H5200"/>
  <c r="J5199"/>
  <c r="H5199"/>
  <c r="J5198"/>
  <c r="H5198"/>
  <c r="J5197"/>
  <c r="H5197"/>
  <c r="J5196"/>
  <c r="H5196"/>
  <c r="J5195"/>
  <c r="H5195"/>
  <c r="J5194"/>
  <c r="H5194"/>
  <c r="J5193"/>
  <c r="H5193"/>
  <c r="J5192"/>
  <c r="H5192"/>
  <c r="J5191"/>
  <c r="H5191"/>
  <c r="J5190"/>
  <c r="H5190"/>
  <c r="J5189"/>
  <c r="H5189"/>
  <c r="J5188"/>
  <c r="H5188"/>
  <c r="J5187"/>
  <c r="H5187"/>
  <c r="J5186"/>
  <c r="H5186"/>
  <c r="J5185"/>
  <c r="H5185"/>
  <c r="J5184"/>
  <c r="H5184"/>
  <c r="J5183"/>
  <c r="H5183"/>
  <c r="J5182"/>
  <c r="H5182"/>
  <c r="J5181"/>
  <c r="H5181"/>
  <c r="J5180"/>
  <c r="H5180"/>
  <c r="J5179"/>
  <c r="H5179"/>
  <c r="J5178"/>
  <c r="H5178"/>
  <c r="J5177"/>
  <c r="H5177"/>
  <c r="J5176"/>
  <c r="H5176"/>
  <c r="J5175"/>
  <c r="H5175"/>
  <c r="J5174"/>
  <c r="H5174"/>
  <c r="J5173"/>
  <c r="H5173"/>
  <c r="J5172"/>
  <c r="H5172"/>
  <c r="J5171"/>
  <c r="H5171"/>
  <c r="J5170"/>
  <c r="H5170"/>
  <c r="J5169"/>
  <c r="H5169"/>
  <c r="J5168"/>
  <c r="H5168"/>
  <c r="J5167"/>
  <c r="H5167"/>
  <c r="J5166"/>
  <c r="H5166"/>
  <c r="J5165"/>
  <c r="H5165"/>
  <c r="J5164"/>
  <c r="H5164"/>
  <c r="J5163"/>
  <c r="H5163"/>
  <c r="J5162"/>
  <c r="H5162"/>
  <c r="J5161"/>
  <c r="H5161"/>
  <c r="J5160"/>
  <c r="H5160"/>
  <c r="J5159"/>
  <c r="H5159"/>
  <c r="J5158"/>
  <c r="H5158"/>
  <c r="J5157"/>
  <c r="H5157"/>
  <c r="J5156"/>
  <c r="H5156"/>
  <c r="J5155"/>
  <c r="H5155"/>
  <c r="J5154"/>
  <c r="H5154"/>
  <c r="J5153"/>
  <c r="H5153"/>
  <c r="J5152"/>
  <c r="H5152"/>
  <c r="J5151"/>
  <c r="H5151"/>
  <c r="J5150"/>
  <c r="H5150"/>
  <c r="J5149"/>
  <c r="H5149"/>
  <c r="J5148"/>
  <c r="H5148"/>
  <c r="J5147"/>
  <c r="H5147"/>
  <c r="J5146"/>
  <c r="H5146"/>
  <c r="J5145"/>
  <c r="H5145"/>
  <c r="J5144"/>
  <c r="H5144"/>
  <c r="J5143"/>
  <c r="H5143"/>
  <c r="J5142"/>
  <c r="H5142"/>
  <c r="J5141"/>
  <c r="H5141"/>
  <c r="J5140"/>
  <c r="H5140"/>
  <c r="J5139"/>
  <c r="H5139"/>
  <c r="J5138"/>
  <c r="H5138"/>
  <c r="J5137"/>
  <c r="H5137"/>
  <c r="J5136"/>
  <c r="H5136"/>
  <c r="J5135"/>
  <c r="H5135"/>
  <c r="J5134"/>
  <c r="H5134"/>
  <c r="J5133"/>
  <c r="H5133"/>
  <c r="J5132"/>
  <c r="H5132"/>
  <c r="J5131"/>
  <c r="H5131"/>
  <c r="J5130"/>
  <c r="H5130"/>
  <c r="J5129"/>
  <c r="H5129"/>
  <c r="J5128"/>
  <c r="H5128"/>
  <c r="J5127"/>
  <c r="H5127"/>
  <c r="J5126"/>
  <c r="H5126"/>
  <c r="J5125"/>
  <c r="H5125"/>
  <c r="J5124"/>
  <c r="H5124"/>
  <c r="J5123"/>
  <c r="H5123"/>
  <c r="J5122"/>
  <c r="H5122"/>
  <c r="J5121"/>
  <c r="H5121"/>
  <c r="J5120"/>
  <c r="H5120"/>
  <c r="J5119"/>
  <c r="H5119"/>
  <c r="J5118"/>
  <c r="H5118"/>
  <c r="J5117"/>
  <c r="H5117"/>
  <c r="J5116"/>
  <c r="H5116"/>
  <c r="J5115"/>
  <c r="H5115"/>
  <c r="J5114"/>
  <c r="H5114"/>
  <c r="J5113"/>
  <c r="H5113"/>
  <c r="J5112"/>
  <c r="H5112"/>
  <c r="J5111"/>
  <c r="H5111"/>
  <c r="J5110"/>
  <c r="H5110"/>
  <c r="J5109"/>
  <c r="H5109"/>
  <c r="J5108"/>
  <c r="H5108"/>
  <c r="J5107"/>
  <c r="H5107"/>
  <c r="J5106"/>
  <c r="H5106"/>
  <c r="J5105"/>
  <c r="H5105"/>
  <c r="J5104"/>
  <c r="H5104"/>
  <c r="J5103"/>
  <c r="H5103"/>
  <c r="J5102"/>
  <c r="H5102"/>
  <c r="J5101"/>
  <c r="H5101"/>
  <c r="J5100"/>
  <c r="H5100"/>
  <c r="J5099"/>
  <c r="H5099"/>
  <c r="J5098"/>
  <c r="H5098"/>
  <c r="J5097"/>
  <c r="H5097"/>
  <c r="J5096"/>
  <c r="H5096"/>
  <c r="J5095"/>
  <c r="H5095"/>
  <c r="J5094"/>
  <c r="H5094"/>
  <c r="J5093"/>
  <c r="H5093"/>
  <c r="J5092"/>
  <c r="H5092"/>
  <c r="J5091"/>
  <c r="H5091"/>
  <c r="J5090"/>
  <c r="H5090"/>
  <c r="J5089"/>
  <c r="H5089"/>
  <c r="J5088"/>
  <c r="H5088"/>
  <c r="J5087"/>
  <c r="H5087"/>
  <c r="J5086"/>
  <c r="H5086"/>
  <c r="J5085"/>
  <c r="H5085"/>
  <c r="J5084"/>
  <c r="H5084"/>
  <c r="J5083"/>
  <c r="H5083"/>
  <c r="J5082"/>
  <c r="H5082"/>
  <c r="J5081"/>
  <c r="H5081"/>
  <c r="J5080"/>
  <c r="H5080"/>
  <c r="J5079"/>
  <c r="H5079"/>
  <c r="J5078"/>
  <c r="H5078"/>
  <c r="J5077"/>
  <c r="H5077"/>
  <c r="J5076"/>
  <c r="H5076"/>
  <c r="J5075"/>
  <c r="H5075"/>
  <c r="J5074"/>
  <c r="H5074"/>
  <c r="J5073"/>
  <c r="H5073"/>
  <c r="J5072"/>
  <c r="H5072"/>
  <c r="J5071"/>
  <c r="H5071"/>
  <c r="J5070"/>
  <c r="H5070"/>
  <c r="J5069"/>
  <c r="H5069"/>
  <c r="J5068"/>
  <c r="H5068"/>
  <c r="J5067"/>
  <c r="H5067"/>
  <c r="J5066"/>
  <c r="H5066"/>
  <c r="J5065"/>
  <c r="H5065"/>
  <c r="J5064"/>
  <c r="H5064"/>
  <c r="J5063"/>
  <c r="H5063"/>
  <c r="J5062"/>
  <c r="H5062"/>
  <c r="J5061"/>
  <c r="H5061"/>
  <c r="J5060"/>
  <c r="H5060"/>
  <c r="J5059"/>
  <c r="H5059"/>
  <c r="J5058"/>
  <c r="H5058"/>
  <c r="J5057"/>
  <c r="H5057"/>
  <c r="J5056"/>
  <c r="H5056"/>
  <c r="J5055"/>
  <c r="H5055"/>
  <c r="J5054"/>
  <c r="H5054"/>
  <c r="J5053"/>
  <c r="H5053"/>
  <c r="J5052"/>
  <c r="H5052"/>
  <c r="J5051"/>
  <c r="H5051"/>
  <c r="J5050"/>
  <c r="H5050"/>
  <c r="J5049"/>
  <c r="H5049"/>
  <c r="J5048"/>
  <c r="H5048"/>
  <c r="J5047"/>
  <c r="H5047"/>
  <c r="J5046"/>
  <c r="H5046"/>
  <c r="J5045"/>
  <c r="H5045"/>
  <c r="J5044"/>
  <c r="H5044"/>
  <c r="J5043"/>
  <c r="H5043"/>
  <c r="J5042"/>
  <c r="H5042"/>
  <c r="J5041"/>
  <c r="H5041"/>
  <c r="J5040"/>
  <c r="H5040"/>
  <c r="J5039"/>
  <c r="H5039"/>
  <c r="J5038"/>
  <c r="H5038"/>
  <c r="J5037"/>
  <c r="H5037"/>
  <c r="J5036"/>
  <c r="H5036"/>
  <c r="J5035"/>
  <c r="H5035"/>
  <c r="J5034"/>
  <c r="H5034"/>
  <c r="J5033"/>
  <c r="H5033"/>
  <c r="J5032"/>
  <c r="H5032"/>
  <c r="J5031"/>
  <c r="H5031"/>
  <c r="J5030"/>
  <c r="H5030"/>
  <c r="J5029"/>
  <c r="H5029"/>
  <c r="J5028"/>
  <c r="H5028"/>
  <c r="J5027"/>
  <c r="H5027"/>
  <c r="J5026"/>
  <c r="H5026"/>
  <c r="J5025"/>
  <c r="H5025"/>
  <c r="J5024"/>
  <c r="H5024"/>
  <c r="J5023"/>
  <c r="H5023"/>
  <c r="J5022"/>
  <c r="H5022"/>
  <c r="J5021"/>
  <c r="H5021"/>
  <c r="J5020"/>
  <c r="H5020"/>
  <c r="J5019"/>
  <c r="H5019"/>
  <c r="J5018"/>
  <c r="H5018"/>
  <c r="J5017"/>
  <c r="H5017"/>
  <c r="J5016"/>
  <c r="H5016"/>
  <c r="J5015"/>
  <c r="H5015"/>
  <c r="J5014"/>
  <c r="H5014"/>
  <c r="J5013"/>
  <c r="H5013"/>
  <c r="J5012"/>
  <c r="H5012"/>
  <c r="J5011"/>
  <c r="H5011"/>
  <c r="J5010"/>
  <c r="H5010"/>
  <c r="J5009"/>
  <c r="H5009"/>
  <c r="J5008"/>
  <c r="H5008"/>
  <c r="M1011" i="8"/>
  <c r="M1012" s="1"/>
  <c r="M1013" s="1"/>
  <c r="M1014" s="1"/>
  <c r="M1015" s="1"/>
  <c r="M1016" s="1"/>
  <c r="M1017" s="1"/>
  <c r="M1018" s="1"/>
  <c r="M1019" s="1"/>
  <c r="M1020" s="1"/>
  <c r="M1021" s="1"/>
  <c r="M1022" s="1"/>
  <c r="M1023" s="1"/>
  <c r="M1024" s="1"/>
  <c r="M1025" s="1"/>
  <c r="M1026" s="1"/>
  <c r="M1027" s="1"/>
  <c r="M1028" s="1"/>
  <c r="M1029" s="1"/>
  <c r="M1030" s="1"/>
  <c r="M1031" s="1"/>
  <c r="M1032" s="1"/>
  <c r="M1033" s="1"/>
  <c r="M1034" s="1"/>
  <c r="M1035" s="1"/>
  <c r="M1036" s="1"/>
  <c r="M1037" s="1"/>
  <c r="M1038" s="1"/>
  <c r="M1039" s="1"/>
  <c r="M1040" s="1"/>
  <c r="M1041" s="1"/>
  <c r="M1042" s="1"/>
  <c r="M1043" s="1"/>
  <c r="M1044" s="1"/>
  <c r="M1045" s="1"/>
  <c r="M1046" s="1"/>
  <c r="M1047" s="1"/>
  <c r="M1048" s="1"/>
  <c r="M1049" s="1"/>
  <c r="M1050" s="1"/>
  <c r="M1051" s="1"/>
  <c r="M1052" s="1"/>
  <c r="M1053" s="1"/>
  <c r="M1054" s="1"/>
  <c r="M1055" s="1"/>
  <c r="M1056" s="1"/>
  <c r="M1057" s="1"/>
  <c r="M1058" s="1"/>
  <c r="M1059" s="1"/>
  <c r="M1060" s="1"/>
  <c r="M1061" s="1"/>
  <c r="M1062" s="1"/>
  <c r="M1063" s="1"/>
  <c r="M1064" s="1"/>
  <c r="M1065" s="1"/>
  <c r="M1066" s="1"/>
  <c r="M1067" s="1"/>
  <c r="M1068" s="1"/>
  <c r="M1069" s="1"/>
  <c r="M1070" s="1"/>
  <c r="M1071" s="1"/>
  <c r="M1072" s="1"/>
  <c r="M1073" s="1"/>
  <c r="M1074" s="1"/>
  <c r="M1075" s="1"/>
  <c r="M1076" s="1"/>
  <c r="M1077" s="1"/>
  <c r="M1078" s="1"/>
  <c r="M1079" s="1"/>
  <c r="M1080" s="1"/>
  <c r="M1081" s="1"/>
  <c r="M1082" s="1"/>
  <c r="M1083" s="1"/>
  <c r="M1084" s="1"/>
  <c r="M1085" s="1"/>
  <c r="M1086" s="1"/>
  <c r="M1087" s="1"/>
  <c r="M1088" s="1"/>
  <c r="M1089" s="1"/>
  <c r="M1090" s="1"/>
  <c r="M1091" s="1"/>
  <c r="M1092" s="1"/>
  <c r="M1093" s="1"/>
  <c r="M1094" s="1"/>
  <c r="M1095" s="1"/>
  <c r="M1096" s="1"/>
  <c r="M1097" s="1"/>
  <c r="M1098" s="1"/>
  <c r="M1099" s="1"/>
  <c r="M1100" s="1"/>
  <c r="M1101" s="1"/>
  <c r="M1102" s="1"/>
  <c r="M1103" s="1"/>
  <c r="M1104" s="1"/>
  <c r="M1105" s="1"/>
  <c r="M1106" s="1"/>
  <c r="M1107" s="1"/>
  <c r="M1108" s="1"/>
  <c r="M1109" s="1"/>
  <c r="M1110" s="1"/>
  <c r="M1111" s="1"/>
  <c r="M1112" s="1"/>
  <c r="M1113" s="1"/>
  <c r="M1114" s="1"/>
  <c r="M1115" s="1"/>
  <c r="M1116" s="1"/>
  <c r="M1117" s="1"/>
  <c r="M1118" s="1"/>
  <c r="M1119" s="1"/>
  <c r="M1120" s="1"/>
  <c r="M1121" s="1"/>
  <c r="M1122" s="1"/>
  <c r="M1123" s="1"/>
  <c r="M1124" s="1"/>
  <c r="M1125" s="1"/>
  <c r="M1126" s="1"/>
  <c r="M1127" s="1"/>
  <c r="M1128" s="1"/>
  <c r="M1129" s="1"/>
  <c r="M1130" s="1"/>
  <c r="M1131" s="1"/>
  <c r="M1132" s="1"/>
  <c r="M1133" s="1"/>
  <c r="M1134" s="1"/>
  <c r="M1135" s="1"/>
  <c r="M1136" s="1"/>
  <c r="M1137" s="1"/>
  <c r="M1138" s="1"/>
  <c r="M1139" s="1"/>
  <c r="M1140" s="1"/>
  <c r="M1141" s="1"/>
  <c r="M1142" s="1"/>
  <c r="M1143" s="1"/>
  <c r="M1144" s="1"/>
  <c r="M1145" s="1"/>
  <c r="M1146" s="1"/>
  <c r="M1147" s="1"/>
  <c r="M1148" s="1"/>
  <c r="M1149" s="1"/>
  <c r="M1150" s="1"/>
  <c r="M1151" s="1"/>
  <c r="M1152" s="1"/>
  <c r="M1153" s="1"/>
  <c r="M1154" s="1"/>
  <c r="M1155" s="1"/>
  <c r="M1156" s="1"/>
  <c r="M1157" s="1"/>
  <c r="M1158" s="1"/>
  <c r="M1159" s="1"/>
  <c r="M1160" s="1"/>
  <c r="M1161" s="1"/>
  <c r="M1162" s="1"/>
  <c r="M1163" s="1"/>
  <c r="M1164" s="1"/>
  <c r="M1165" s="1"/>
  <c r="M1166" s="1"/>
  <c r="M1167" s="1"/>
  <c r="M1168" s="1"/>
  <c r="M1169" s="1"/>
  <c r="M1170" s="1"/>
  <c r="M1171" s="1"/>
  <c r="M1172" s="1"/>
  <c r="M1173" s="1"/>
  <c r="M1174" s="1"/>
  <c r="M1175" s="1"/>
  <c r="M1176" s="1"/>
  <c r="M1177" s="1"/>
  <c r="M1178" s="1"/>
  <c r="M1179" s="1"/>
  <c r="M1180" s="1"/>
  <c r="M1181" s="1"/>
  <c r="M1182" s="1"/>
  <c r="M1183" s="1"/>
  <c r="M1184" s="1"/>
  <c r="M1185" s="1"/>
  <c r="M1186" s="1"/>
  <c r="M1187" s="1"/>
  <c r="M1188" s="1"/>
  <c r="M1189" s="1"/>
  <c r="M1190" s="1"/>
  <c r="M1191" s="1"/>
  <c r="M1192" s="1"/>
  <c r="M1193" s="1"/>
  <c r="M1194" s="1"/>
  <c r="M1195" s="1"/>
  <c r="M1196" s="1"/>
  <c r="M1197" s="1"/>
  <c r="M1198" s="1"/>
  <c r="M1199" s="1"/>
  <c r="M1200" s="1"/>
  <c r="M1201" s="1"/>
  <c r="M1202" s="1"/>
  <c r="M1203" s="1"/>
  <c r="M1204" s="1"/>
  <c r="M1205" s="1"/>
  <c r="M1206" s="1"/>
  <c r="M1207" s="1"/>
  <c r="M1208" s="1"/>
  <c r="M1209" s="1"/>
  <c r="M1210" s="1"/>
  <c r="M1211" s="1"/>
  <c r="M1212" s="1"/>
  <c r="M1213" s="1"/>
  <c r="M1214" s="1"/>
  <c r="M1215" s="1"/>
  <c r="M1216" s="1"/>
  <c r="M1217" s="1"/>
  <c r="M1218" s="1"/>
  <c r="M1219" s="1"/>
  <c r="M1220" s="1"/>
  <c r="M1221" s="1"/>
  <c r="M1222" s="1"/>
  <c r="M1223" s="1"/>
  <c r="M1224" s="1"/>
  <c r="M1225" s="1"/>
  <c r="M1226" s="1"/>
  <c r="M1227" s="1"/>
  <c r="M1228" s="1"/>
  <c r="M1229" s="1"/>
  <c r="M1230" s="1"/>
  <c r="M1231" s="1"/>
  <c r="M1232" s="1"/>
  <c r="M1233" s="1"/>
  <c r="M1234" s="1"/>
  <c r="M1235" s="1"/>
  <c r="M1236" s="1"/>
  <c r="M1237" s="1"/>
  <c r="M1238" s="1"/>
  <c r="M1239" s="1"/>
  <c r="M1240" s="1"/>
  <c r="M1241" s="1"/>
  <c r="M1242" s="1"/>
  <c r="M1243" s="1"/>
  <c r="M1244" s="1"/>
  <c r="M1245" s="1"/>
  <c r="M1246" s="1"/>
  <c r="M1247" s="1"/>
  <c r="M1248" s="1"/>
  <c r="M1249" s="1"/>
  <c r="M1250" s="1"/>
  <c r="M1251" s="1"/>
  <c r="M1252" s="1"/>
  <c r="M1253" s="1"/>
  <c r="M1254" s="1"/>
  <c r="M1255" s="1"/>
  <c r="M1256" s="1"/>
  <c r="M1257" s="1"/>
  <c r="M1258" s="1"/>
  <c r="M1259" s="1"/>
  <c r="M1260" s="1"/>
  <c r="M1261" s="1"/>
  <c r="M1262" s="1"/>
  <c r="M1263" s="1"/>
  <c r="M1264" s="1"/>
  <c r="M1265" s="1"/>
  <c r="M1266" s="1"/>
  <c r="M1267" s="1"/>
  <c r="M1268" s="1"/>
  <c r="M1269" s="1"/>
  <c r="M1270" s="1"/>
  <c r="M1271" s="1"/>
  <c r="M1272" s="1"/>
  <c r="M1273" s="1"/>
  <c r="M1274" s="1"/>
  <c r="M1275" s="1"/>
  <c r="M1276" s="1"/>
  <c r="M1277" s="1"/>
  <c r="M1278" s="1"/>
  <c r="M1279" s="1"/>
  <c r="M1280" s="1"/>
  <c r="M1281" s="1"/>
  <c r="M1282" s="1"/>
  <c r="M1283" s="1"/>
  <c r="M1284" s="1"/>
  <c r="M1285" s="1"/>
  <c r="M1286" s="1"/>
  <c r="M1287" s="1"/>
  <c r="M1288" s="1"/>
  <c r="M1289" s="1"/>
  <c r="M1290" s="1"/>
  <c r="M1291" s="1"/>
  <c r="M1292" s="1"/>
  <c r="M1293" s="1"/>
  <c r="M1294" s="1"/>
  <c r="M1295" s="1"/>
  <c r="M1296" s="1"/>
  <c r="M1297" s="1"/>
  <c r="M1298" s="1"/>
  <c r="M1299" s="1"/>
  <c r="M1300" s="1"/>
  <c r="M1301" s="1"/>
  <c r="M1302" s="1"/>
  <c r="M1303" s="1"/>
  <c r="M1304" s="1"/>
  <c r="M1305" s="1"/>
  <c r="M1306" s="1"/>
  <c r="M1307" s="1"/>
  <c r="M1308" s="1"/>
  <c r="M1309" s="1"/>
  <c r="M1310" s="1"/>
  <c r="M1311" s="1"/>
  <c r="M1312" s="1"/>
  <c r="M1313" s="1"/>
  <c r="M1314" s="1"/>
  <c r="M1315" s="1"/>
  <c r="M1316" s="1"/>
  <c r="M1317" s="1"/>
  <c r="M1318" s="1"/>
  <c r="M1319" s="1"/>
  <c r="M1320" s="1"/>
  <c r="M1321" s="1"/>
  <c r="M1322" s="1"/>
  <c r="M1323" s="1"/>
  <c r="M1324" s="1"/>
  <c r="M1325" s="1"/>
  <c r="M1326" s="1"/>
  <c r="M1327" s="1"/>
  <c r="M1328" s="1"/>
  <c r="M1329" s="1"/>
  <c r="M1330" s="1"/>
  <c r="M1331" s="1"/>
  <c r="M1332" s="1"/>
  <c r="M1333" s="1"/>
  <c r="M1334" s="1"/>
  <c r="M1335" s="1"/>
  <c r="M1336" s="1"/>
  <c r="M1337" s="1"/>
  <c r="M1338" s="1"/>
  <c r="M1339" s="1"/>
  <c r="M1340" s="1"/>
  <c r="M1341" s="1"/>
  <c r="M1342" s="1"/>
  <c r="M1343" s="1"/>
  <c r="M1344" s="1"/>
  <c r="M1345" s="1"/>
  <c r="M1346" s="1"/>
  <c r="M1347" s="1"/>
  <c r="M1348" s="1"/>
  <c r="M1349" s="1"/>
  <c r="M1350" s="1"/>
  <c r="M1351" s="1"/>
  <c r="M1352" s="1"/>
  <c r="M1353" s="1"/>
  <c r="M1354" s="1"/>
  <c r="M1355" s="1"/>
  <c r="M1356" s="1"/>
  <c r="M1357" s="1"/>
  <c r="M1358" s="1"/>
  <c r="M1359" s="1"/>
  <c r="M1360" s="1"/>
  <c r="M1361" s="1"/>
  <c r="M1362" s="1"/>
  <c r="M1363" s="1"/>
  <c r="M1364" s="1"/>
  <c r="M1365" s="1"/>
  <c r="M1366" s="1"/>
  <c r="M1367" s="1"/>
  <c r="M1368" s="1"/>
  <c r="M1369" s="1"/>
  <c r="M1370" s="1"/>
  <c r="M1371" s="1"/>
  <c r="M1372" s="1"/>
  <c r="M1373" s="1"/>
  <c r="M1374" s="1"/>
  <c r="M1375" s="1"/>
  <c r="M1376" s="1"/>
  <c r="M1377" s="1"/>
  <c r="M1378" s="1"/>
  <c r="M1379" s="1"/>
  <c r="M1380" s="1"/>
  <c r="M1381" s="1"/>
  <c r="M1382" s="1"/>
  <c r="M1383" s="1"/>
  <c r="M1384" s="1"/>
  <c r="M1385" s="1"/>
  <c r="M1386" s="1"/>
  <c r="M1387" s="1"/>
  <c r="M1388" s="1"/>
  <c r="M1389" s="1"/>
  <c r="M1390" s="1"/>
  <c r="M1391" s="1"/>
  <c r="M1392" s="1"/>
  <c r="M1393" s="1"/>
  <c r="M1394" s="1"/>
  <c r="M1395" s="1"/>
  <c r="M1396" s="1"/>
  <c r="M1397" s="1"/>
  <c r="M1398" s="1"/>
  <c r="M1399" s="1"/>
  <c r="M1400" s="1"/>
  <c r="M1401" s="1"/>
  <c r="M1402" s="1"/>
  <c r="M1403" s="1"/>
  <c r="M1404" s="1"/>
  <c r="M1405" s="1"/>
  <c r="M1406" s="1"/>
  <c r="M1407" s="1"/>
  <c r="M1408" s="1"/>
  <c r="M1409" s="1"/>
  <c r="M1410" s="1"/>
  <c r="M1411" s="1"/>
  <c r="M1412" s="1"/>
  <c r="M1413" s="1"/>
  <c r="M1414" s="1"/>
  <c r="M1415" s="1"/>
  <c r="M1416" s="1"/>
  <c r="M1417" s="1"/>
  <c r="M1418" s="1"/>
  <c r="M1419" s="1"/>
  <c r="M1420" s="1"/>
  <c r="M1421" s="1"/>
  <c r="M1422" s="1"/>
  <c r="M1423" s="1"/>
  <c r="M1424" s="1"/>
  <c r="M1425" s="1"/>
  <c r="M1426" s="1"/>
  <c r="M1427" s="1"/>
  <c r="M1428" s="1"/>
  <c r="M1429" s="1"/>
  <c r="M1430" s="1"/>
  <c r="M1431" s="1"/>
  <c r="M1432" s="1"/>
  <c r="M1433" s="1"/>
  <c r="M1434" s="1"/>
  <c r="M1435" s="1"/>
  <c r="M1436" s="1"/>
  <c r="M1437" s="1"/>
  <c r="M1438" s="1"/>
  <c r="M1439" s="1"/>
  <c r="M1440" s="1"/>
  <c r="M1441" s="1"/>
  <c r="M1442" s="1"/>
  <c r="M1443" s="1"/>
  <c r="M1444" s="1"/>
  <c r="M1445" s="1"/>
  <c r="M1446" s="1"/>
  <c r="M1447" s="1"/>
  <c r="M1448" s="1"/>
  <c r="M1449" s="1"/>
  <c r="M1450" s="1"/>
  <c r="M1451" s="1"/>
  <c r="M1452" s="1"/>
  <c r="M1453" s="1"/>
  <c r="M1454" s="1"/>
  <c r="M1455" s="1"/>
  <c r="M1456" s="1"/>
  <c r="M1457" s="1"/>
  <c r="M1458" s="1"/>
  <c r="M1459" s="1"/>
  <c r="M1460" s="1"/>
  <c r="M1461" s="1"/>
  <c r="M1462" s="1"/>
  <c r="M1463" s="1"/>
  <c r="M1464" s="1"/>
  <c r="M1465" s="1"/>
  <c r="M1466" s="1"/>
  <c r="M1467" s="1"/>
  <c r="M1468" s="1"/>
  <c r="M1469" s="1"/>
  <c r="M1470" s="1"/>
  <c r="M1471" s="1"/>
  <c r="M1472" s="1"/>
  <c r="M1473" s="1"/>
  <c r="M1474" s="1"/>
  <c r="M1475" s="1"/>
  <c r="M1476" s="1"/>
  <c r="M1477" s="1"/>
  <c r="M1478" s="1"/>
  <c r="M1479" s="1"/>
  <c r="M1480" s="1"/>
  <c r="M1481" s="1"/>
  <c r="M1482" s="1"/>
  <c r="M1483" s="1"/>
  <c r="M1484" s="1"/>
  <c r="M1485" s="1"/>
  <c r="M1486" s="1"/>
  <c r="M1487" s="1"/>
  <c r="M1488" s="1"/>
  <c r="M1489" s="1"/>
  <c r="M1490" s="1"/>
  <c r="M1491" s="1"/>
  <c r="M1492" s="1"/>
  <c r="M1493" s="1"/>
  <c r="M1494" s="1"/>
  <c r="M1495" s="1"/>
  <c r="M1496" s="1"/>
  <c r="M1497" s="1"/>
  <c r="M1498" s="1"/>
  <c r="M1499" s="1"/>
  <c r="M1500" s="1"/>
  <c r="M1501" s="1"/>
  <c r="M1502" s="1"/>
  <c r="M1503" s="1"/>
  <c r="M1504" s="1"/>
  <c r="M1505" s="1"/>
  <c r="M1506" s="1"/>
  <c r="M1507" s="1"/>
  <c r="M1508" s="1"/>
  <c r="M1509" s="1"/>
  <c r="M1510" s="1"/>
  <c r="M1511" s="1"/>
  <c r="M1512" s="1"/>
  <c r="M1513" s="1"/>
  <c r="M1514" s="1"/>
  <c r="M1515" s="1"/>
  <c r="M1516" s="1"/>
  <c r="M1517" s="1"/>
  <c r="M1518" s="1"/>
  <c r="M1519" s="1"/>
  <c r="M1520" s="1"/>
  <c r="M1521" s="1"/>
  <c r="M1522" s="1"/>
  <c r="M1523" s="1"/>
  <c r="M1524" s="1"/>
  <c r="M1525" s="1"/>
  <c r="M1526" s="1"/>
  <c r="M1527" s="1"/>
  <c r="M1528" s="1"/>
  <c r="M1529" s="1"/>
  <c r="M1530" s="1"/>
  <c r="M1531" s="1"/>
  <c r="M1532" s="1"/>
  <c r="M1533" s="1"/>
  <c r="M1534" s="1"/>
  <c r="M1535" s="1"/>
  <c r="M1536" s="1"/>
  <c r="M1537" s="1"/>
  <c r="M1538" s="1"/>
  <c r="M1539" s="1"/>
  <c r="M1540" s="1"/>
  <c r="M1541" s="1"/>
  <c r="M1542" s="1"/>
  <c r="M1543" s="1"/>
  <c r="M1544" s="1"/>
  <c r="M1545" s="1"/>
  <c r="M1546" s="1"/>
  <c r="M1547" s="1"/>
  <c r="M1548" s="1"/>
  <c r="M1549" s="1"/>
  <c r="M1550" s="1"/>
  <c r="M1551" s="1"/>
  <c r="M1552" s="1"/>
  <c r="M1553" s="1"/>
  <c r="M1554" s="1"/>
  <c r="M1555" s="1"/>
  <c r="M1556" s="1"/>
  <c r="M1557" s="1"/>
  <c r="M1558" s="1"/>
  <c r="M1559" s="1"/>
  <c r="M1560" s="1"/>
  <c r="M1561" s="1"/>
  <c r="M1562" s="1"/>
  <c r="M1563" s="1"/>
  <c r="M1564" s="1"/>
  <c r="M1565" s="1"/>
  <c r="M1566" s="1"/>
  <c r="M1567" s="1"/>
  <c r="M1568" s="1"/>
  <c r="M1569" s="1"/>
  <c r="M1570" s="1"/>
  <c r="M1571" s="1"/>
  <c r="M1572" s="1"/>
  <c r="M1573" s="1"/>
  <c r="M1574" s="1"/>
  <c r="M1575" s="1"/>
  <c r="M1576" s="1"/>
  <c r="M1577" s="1"/>
  <c r="M1578" s="1"/>
  <c r="M1579" s="1"/>
  <c r="M1580" s="1"/>
  <c r="M1581" s="1"/>
  <c r="M1582" s="1"/>
  <c r="M1583" s="1"/>
  <c r="M1584" s="1"/>
  <c r="M1585" s="1"/>
  <c r="M1586" s="1"/>
  <c r="M1587" s="1"/>
  <c r="M1588" s="1"/>
  <c r="M1589" s="1"/>
  <c r="M1590" s="1"/>
  <c r="M1591" s="1"/>
  <c r="M1592" s="1"/>
  <c r="M1593" s="1"/>
  <c r="M1594" s="1"/>
  <c r="M1595" s="1"/>
  <c r="M1596" s="1"/>
  <c r="M1597" s="1"/>
  <c r="M1598" s="1"/>
  <c r="M1599" s="1"/>
  <c r="M1600" s="1"/>
  <c r="M1601" s="1"/>
  <c r="M1602" s="1"/>
  <c r="M1603" s="1"/>
  <c r="M1604" s="1"/>
  <c r="M1605" s="1"/>
  <c r="M1606" s="1"/>
  <c r="M1607" s="1"/>
  <c r="M1608" s="1"/>
  <c r="M1609" s="1"/>
  <c r="M1610" s="1"/>
  <c r="M1611" s="1"/>
  <c r="M1612" s="1"/>
  <c r="M1613" s="1"/>
  <c r="M1614" s="1"/>
  <c r="M1615" s="1"/>
  <c r="M1616" s="1"/>
  <c r="M1617" s="1"/>
  <c r="M1618" s="1"/>
  <c r="M1619" s="1"/>
  <c r="M1620" s="1"/>
  <c r="M1621" s="1"/>
  <c r="M1622" s="1"/>
  <c r="M1623" s="1"/>
  <c r="M1624" s="1"/>
  <c r="M1625" s="1"/>
  <c r="M1626" s="1"/>
  <c r="M1627" s="1"/>
  <c r="M1628" s="1"/>
  <c r="M1629" s="1"/>
  <c r="M1630" s="1"/>
  <c r="M1631" s="1"/>
  <c r="M1632" s="1"/>
  <c r="M1633" s="1"/>
  <c r="M1634" s="1"/>
  <c r="M1635" s="1"/>
  <c r="M1636" s="1"/>
  <c r="M1637" s="1"/>
  <c r="M1638" s="1"/>
  <c r="M1639" s="1"/>
  <c r="M1640" s="1"/>
  <c r="M1641" s="1"/>
  <c r="M1642" s="1"/>
  <c r="M1643" s="1"/>
  <c r="M1644" s="1"/>
  <c r="M1645" s="1"/>
  <c r="M1646" s="1"/>
  <c r="M1647" s="1"/>
  <c r="M1648" s="1"/>
  <c r="M1649" s="1"/>
  <c r="M1650" s="1"/>
  <c r="M1651" s="1"/>
  <c r="M1652" s="1"/>
  <c r="M1653" s="1"/>
  <c r="M1654" s="1"/>
  <c r="M1655" s="1"/>
  <c r="M1656" s="1"/>
  <c r="M1657" s="1"/>
  <c r="M1658" s="1"/>
  <c r="M1659" s="1"/>
  <c r="M1660" s="1"/>
  <c r="M1661" s="1"/>
  <c r="M1662" s="1"/>
  <c r="M1663" s="1"/>
  <c r="M1664" s="1"/>
  <c r="M1665" s="1"/>
  <c r="M1666" s="1"/>
  <c r="M1667" s="1"/>
  <c r="M1668" s="1"/>
  <c r="M1669" s="1"/>
  <c r="M1670" s="1"/>
  <c r="M1671" s="1"/>
  <c r="M1672" s="1"/>
  <c r="M1673" s="1"/>
  <c r="M1674" s="1"/>
  <c r="M1675" s="1"/>
  <c r="M1676" s="1"/>
  <c r="M1677" s="1"/>
  <c r="M1678" s="1"/>
  <c r="M1679" s="1"/>
  <c r="M1680" s="1"/>
  <c r="M1681" s="1"/>
  <c r="M1682" s="1"/>
  <c r="M1683" s="1"/>
  <c r="M1684" s="1"/>
  <c r="M1685" s="1"/>
  <c r="M1686" s="1"/>
  <c r="M1687" s="1"/>
  <c r="M1688" s="1"/>
  <c r="M1689" s="1"/>
  <c r="M1690" s="1"/>
  <c r="M1691" s="1"/>
  <c r="M1692" s="1"/>
  <c r="M1693" s="1"/>
  <c r="M1694" s="1"/>
  <c r="M1695" s="1"/>
  <c r="M1696" s="1"/>
  <c r="M1697" s="1"/>
  <c r="M1698" s="1"/>
  <c r="M1699" s="1"/>
  <c r="M1700" s="1"/>
  <c r="M1701" s="1"/>
  <c r="M1702" s="1"/>
  <c r="M1703" s="1"/>
  <c r="M1704" s="1"/>
  <c r="M1705" s="1"/>
  <c r="M1706" s="1"/>
  <c r="M1707" s="1"/>
  <c r="M1708" s="1"/>
  <c r="M1709" s="1"/>
  <c r="M1710" s="1"/>
  <c r="M1711" s="1"/>
  <c r="M1712" s="1"/>
  <c r="M1713" s="1"/>
  <c r="M1714" s="1"/>
  <c r="M1715" s="1"/>
  <c r="M1716" s="1"/>
  <c r="M1717" s="1"/>
  <c r="M1718" s="1"/>
  <c r="M1719" s="1"/>
  <c r="M1720" s="1"/>
  <c r="M1721" s="1"/>
  <c r="M1722" s="1"/>
  <c r="M1723" s="1"/>
  <c r="M1724" s="1"/>
  <c r="M1725" s="1"/>
  <c r="M1726" s="1"/>
  <c r="M1727" s="1"/>
  <c r="M1728" s="1"/>
  <c r="M1729" s="1"/>
  <c r="M1730" s="1"/>
  <c r="M1731" s="1"/>
  <c r="M1732" s="1"/>
  <c r="M1733" s="1"/>
  <c r="M1734" s="1"/>
  <c r="M1735" s="1"/>
  <c r="M1736" s="1"/>
  <c r="M1737" s="1"/>
  <c r="M1738" s="1"/>
  <c r="M1739" s="1"/>
  <c r="M1740" s="1"/>
  <c r="M1741" s="1"/>
  <c r="M1742" s="1"/>
  <c r="M1743" s="1"/>
  <c r="M1744" s="1"/>
  <c r="M1745" s="1"/>
  <c r="M1746" s="1"/>
  <c r="M1747" s="1"/>
  <c r="M1748" s="1"/>
  <c r="M1749" s="1"/>
  <c r="M1750" s="1"/>
  <c r="M1751" s="1"/>
  <c r="M1752" s="1"/>
  <c r="M1753" s="1"/>
  <c r="M1754" s="1"/>
  <c r="M1755" s="1"/>
  <c r="M1756" s="1"/>
  <c r="M1757" s="1"/>
  <c r="M1758" s="1"/>
  <c r="M1759" s="1"/>
  <c r="M1760" s="1"/>
  <c r="M1761" s="1"/>
  <c r="M1762" s="1"/>
  <c r="M1763" s="1"/>
  <c r="M1764" s="1"/>
  <c r="M1765" s="1"/>
  <c r="M1766" s="1"/>
  <c r="M1767" s="1"/>
  <c r="M1768" s="1"/>
  <c r="M1769" s="1"/>
  <c r="M1770" s="1"/>
  <c r="M1771" s="1"/>
  <c r="M1772" s="1"/>
  <c r="M1773" s="1"/>
  <c r="M1774" s="1"/>
  <c r="M1775" s="1"/>
  <c r="M1776" s="1"/>
  <c r="M1777" s="1"/>
  <c r="M1778" s="1"/>
  <c r="M1779" s="1"/>
  <c r="M1780" s="1"/>
  <c r="M1781" s="1"/>
  <c r="M1782" s="1"/>
  <c r="M1783" s="1"/>
  <c r="M1784" s="1"/>
  <c r="M1785" s="1"/>
  <c r="M1786" s="1"/>
  <c r="M1787" s="1"/>
  <c r="M1788" s="1"/>
  <c r="M1789" s="1"/>
  <c r="M1790" s="1"/>
  <c r="M1791" s="1"/>
  <c r="M1792" s="1"/>
  <c r="M1793" s="1"/>
  <c r="M1794" s="1"/>
  <c r="M1795" s="1"/>
  <c r="M1796" s="1"/>
  <c r="M1797" s="1"/>
  <c r="M1798" s="1"/>
  <c r="M1799" s="1"/>
  <c r="M1800" s="1"/>
  <c r="M1801" s="1"/>
  <c r="M1802" s="1"/>
  <c r="M1803" s="1"/>
  <c r="M1804" s="1"/>
  <c r="M1805" s="1"/>
  <c r="M1806" s="1"/>
  <c r="M1807" s="1"/>
  <c r="M1808" s="1"/>
  <c r="M1809" s="1"/>
  <c r="M1810" s="1"/>
  <c r="M1811" s="1"/>
  <c r="M1812" s="1"/>
  <c r="M1813" s="1"/>
  <c r="M1814" s="1"/>
  <c r="M1815" s="1"/>
  <c r="M1816" s="1"/>
  <c r="M1817" s="1"/>
  <c r="M1818" s="1"/>
  <c r="M1819" s="1"/>
  <c r="M1820" s="1"/>
  <c r="M1821" s="1"/>
  <c r="M1822" s="1"/>
  <c r="M1823" s="1"/>
  <c r="M1824" s="1"/>
  <c r="M1825" s="1"/>
  <c r="M1826" s="1"/>
  <c r="M1827" s="1"/>
  <c r="M1828" s="1"/>
  <c r="M1829" s="1"/>
  <c r="M1830" s="1"/>
  <c r="M1831" s="1"/>
  <c r="M1832" s="1"/>
  <c r="M1833" s="1"/>
  <c r="M1834" s="1"/>
  <c r="M1835" s="1"/>
  <c r="M1836" s="1"/>
  <c r="M1837" s="1"/>
  <c r="M1838" s="1"/>
  <c r="M1839" s="1"/>
  <c r="M1840" s="1"/>
  <c r="M1841" s="1"/>
  <c r="M1842" s="1"/>
  <c r="M1843" s="1"/>
  <c r="M1844" s="1"/>
  <c r="M1845" s="1"/>
  <c r="M1846" s="1"/>
  <c r="M1847" s="1"/>
  <c r="M1848" s="1"/>
  <c r="M1849" s="1"/>
  <c r="M1850" s="1"/>
  <c r="M1851" s="1"/>
  <c r="M1852" s="1"/>
  <c r="M1853" s="1"/>
  <c r="M1854" s="1"/>
  <c r="M1855" s="1"/>
  <c r="M1856" s="1"/>
  <c r="M1857" s="1"/>
  <c r="M1858" s="1"/>
  <c r="M1859" s="1"/>
  <c r="M1860" s="1"/>
  <c r="M1861" s="1"/>
  <c r="M1862" s="1"/>
  <c r="M1863" s="1"/>
  <c r="M1864" s="1"/>
  <c r="M1865" s="1"/>
  <c r="M1866" s="1"/>
  <c r="M1867" s="1"/>
  <c r="M1868" s="1"/>
  <c r="M1869" s="1"/>
  <c r="M1870" s="1"/>
  <c r="M1871" s="1"/>
  <c r="M1872" s="1"/>
  <c r="M1873" s="1"/>
  <c r="M1874" s="1"/>
  <c r="M1875" s="1"/>
  <c r="M1876" s="1"/>
  <c r="M1877" s="1"/>
  <c r="M1878" s="1"/>
  <c r="M1879" s="1"/>
  <c r="M1880" s="1"/>
  <c r="M1881" s="1"/>
  <c r="M1882" s="1"/>
  <c r="M1883" s="1"/>
  <c r="M1884" s="1"/>
  <c r="M1885" s="1"/>
  <c r="M1886" s="1"/>
  <c r="M1887" s="1"/>
  <c r="M1888" s="1"/>
  <c r="M1889" s="1"/>
  <c r="M1890" s="1"/>
  <c r="M1891" s="1"/>
  <c r="M1892" s="1"/>
  <c r="M1893" s="1"/>
  <c r="M1894" s="1"/>
  <c r="M1895" s="1"/>
  <c r="M1896" s="1"/>
  <c r="M1897" s="1"/>
  <c r="M1898" s="1"/>
  <c r="M1899" s="1"/>
  <c r="M1900" s="1"/>
  <c r="M1901" s="1"/>
  <c r="M1902" s="1"/>
  <c r="M1903" s="1"/>
  <c r="M1904" s="1"/>
  <c r="M1905" s="1"/>
  <c r="M1906" s="1"/>
  <c r="M1907" s="1"/>
  <c r="M1908" s="1"/>
  <c r="M1909" s="1"/>
  <c r="M1910" s="1"/>
  <c r="M1911" s="1"/>
  <c r="M1912" s="1"/>
  <c r="M1913" s="1"/>
  <c r="M1914" s="1"/>
  <c r="M1915" s="1"/>
  <c r="M1916" s="1"/>
  <c r="M1917" s="1"/>
  <c r="M1918" s="1"/>
  <c r="M1919" s="1"/>
  <c r="M1920" s="1"/>
  <c r="M1921" s="1"/>
  <c r="M1922" s="1"/>
  <c r="M1923" s="1"/>
  <c r="M1924" s="1"/>
  <c r="M1925" s="1"/>
  <c r="M1926" s="1"/>
  <c r="M1927" s="1"/>
  <c r="M1928" s="1"/>
  <c r="M1929" s="1"/>
  <c r="M1930" s="1"/>
  <c r="M1931" s="1"/>
  <c r="M1932" s="1"/>
  <c r="M1933" s="1"/>
  <c r="M1934" s="1"/>
  <c r="M1935" s="1"/>
  <c r="M1936" s="1"/>
  <c r="M1937" s="1"/>
  <c r="M1938" s="1"/>
  <c r="M1939" s="1"/>
  <c r="M1940" s="1"/>
  <c r="M1941" s="1"/>
  <c r="M1942" s="1"/>
  <c r="M1943" s="1"/>
  <c r="M1944" s="1"/>
  <c r="M1945" s="1"/>
  <c r="M1946" s="1"/>
  <c r="M1947" s="1"/>
  <c r="M1948" s="1"/>
  <c r="M1949" s="1"/>
  <c r="M1950" s="1"/>
  <c r="M1951" s="1"/>
  <c r="M1952" s="1"/>
  <c r="M1953" s="1"/>
  <c r="M1954" s="1"/>
  <c r="M1955" s="1"/>
  <c r="M1956" s="1"/>
  <c r="M1957" s="1"/>
  <c r="M1958" s="1"/>
  <c r="M1959" s="1"/>
  <c r="M1960" s="1"/>
  <c r="M1961" s="1"/>
  <c r="M1962" s="1"/>
  <c r="M1963" s="1"/>
  <c r="M1964" s="1"/>
  <c r="M1965" s="1"/>
  <c r="M1966" s="1"/>
  <c r="M1967" s="1"/>
  <c r="M1968" s="1"/>
  <c r="M1969" s="1"/>
  <c r="M1970" s="1"/>
  <c r="M1971" s="1"/>
  <c r="M1972" s="1"/>
  <c r="M1973" s="1"/>
  <c r="M1974" s="1"/>
  <c r="M1975" s="1"/>
  <c r="M1976" s="1"/>
  <c r="M1977" s="1"/>
  <c r="M1978" s="1"/>
  <c r="M1979" s="1"/>
  <c r="M1980" s="1"/>
  <c r="M1981" s="1"/>
  <c r="M1982" s="1"/>
  <c r="M1983" s="1"/>
  <c r="M1984" s="1"/>
  <c r="M1985" s="1"/>
  <c r="M1986" s="1"/>
  <c r="M1987" s="1"/>
  <c r="M1988" s="1"/>
  <c r="M1989" s="1"/>
  <c r="M1990" s="1"/>
  <c r="M1991" s="1"/>
  <c r="M1992" s="1"/>
  <c r="M1993" s="1"/>
  <c r="M1994" s="1"/>
  <c r="M1995" s="1"/>
  <c r="M1996" s="1"/>
  <c r="M1997" s="1"/>
  <c r="M1998" s="1"/>
  <c r="M1999" s="1"/>
  <c r="M2000" s="1"/>
  <c r="M2001" s="1"/>
  <c r="M2002" s="1"/>
  <c r="M2003" s="1"/>
  <c r="M2004" s="1"/>
  <c r="M2005" s="1"/>
  <c r="M2006" s="1"/>
  <c r="M2007" s="1"/>
  <c r="M2008" s="1"/>
  <c r="M2009" s="1"/>
  <c r="L2009"/>
  <c r="K101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K1421" s="1"/>
  <c r="K1422" s="1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K1445" s="1"/>
  <c r="K1446" s="1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J2009"/>
  <c r="L2008"/>
  <c r="J2008"/>
  <c r="L2007"/>
  <c r="J2007"/>
  <c r="L2006"/>
  <c r="J2006"/>
  <c r="L2005"/>
  <c r="J2005"/>
  <c r="L2004"/>
  <c r="J2004"/>
  <c r="L2003"/>
  <c r="J2003"/>
  <c r="L2002"/>
  <c r="J2002"/>
  <c r="L2001"/>
  <c r="J2001"/>
  <c r="L2000"/>
  <c r="J2000"/>
  <c r="L1999"/>
  <c r="J1999"/>
  <c r="L1998"/>
  <c r="J1998"/>
  <c r="L1997"/>
  <c r="J1997"/>
  <c r="L1996"/>
  <c r="J1996"/>
  <c r="L1995"/>
  <c r="J1995"/>
  <c r="L1994"/>
  <c r="J1994"/>
  <c r="L1993"/>
  <c r="J1993"/>
  <c r="L1992"/>
  <c r="J1992"/>
  <c r="L1991"/>
  <c r="J1991"/>
  <c r="L1990"/>
  <c r="J1990"/>
  <c r="L1989"/>
  <c r="J1989"/>
  <c r="L1988"/>
  <c r="J1988"/>
  <c r="L1987"/>
  <c r="J1987"/>
  <c r="L1986"/>
  <c r="J1986"/>
  <c r="L1985"/>
  <c r="J1985"/>
  <c r="L1984"/>
  <c r="J1984"/>
  <c r="L1983"/>
  <c r="J1983"/>
  <c r="L1982"/>
  <c r="J1982"/>
  <c r="L1981"/>
  <c r="J1981"/>
  <c r="L1980"/>
  <c r="J1980"/>
  <c r="L1979"/>
  <c r="J1979"/>
  <c r="L1978"/>
  <c r="J1978"/>
  <c r="L1977"/>
  <c r="J1977"/>
  <c r="L1976"/>
  <c r="J1976"/>
  <c r="L1975"/>
  <c r="J1975"/>
  <c r="L1974"/>
  <c r="J1974"/>
  <c r="L1973"/>
  <c r="J1973"/>
  <c r="L1972"/>
  <c r="J1972"/>
  <c r="L1971"/>
  <c r="J1971"/>
  <c r="L1970"/>
  <c r="J1970"/>
  <c r="L1969"/>
  <c r="J1969"/>
  <c r="L1968"/>
  <c r="J1968"/>
  <c r="L1967"/>
  <c r="J1967"/>
  <c r="L1966"/>
  <c r="J1966"/>
  <c r="L1965"/>
  <c r="J1965"/>
  <c r="L1964"/>
  <c r="J1964"/>
  <c r="L1963"/>
  <c r="J1963"/>
  <c r="L1962"/>
  <c r="J1962"/>
  <c r="L1961"/>
  <c r="J1961"/>
  <c r="L1960"/>
  <c r="J1960"/>
  <c r="L1959"/>
  <c r="J1959"/>
  <c r="L1958"/>
  <c r="J1958"/>
  <c r="L1957"/>
  <c r="J1957"/>
  <c r="L1956"/>
  <c r="J1956"/>
  <c r="L1955"/>
  <c r="J1955"/>
  <c r="L1954"/>
  <c r="J1954"/>
  <c r="L1953"/>
  <c r="J1953"/>
  <c r="L1952"/>
  <c r="J1952"/>
  <c r="L1951"/>
  <c r="J1951"/>
  <c r="L1950"/>
  <c r="J1950"/>
  <c r="L1949"/>
  <c r="J1949"/>
  <c r="L1948"/>
  <c r="J1948"/>
  <c r="L1947"/>
  <c r="J1947"/>
  <c r="L1946"/>
  <c r="J1946"/>
  <c r="L1945"/>
  <c r="J1945"/>
  <c r="L1944"/>
  <c r="J1944"/>
  <c r="L1943"/>
  <c r="J1943"/>
  <c r="L1942"/>
  <c r="J1942"/>
  <c r="L1941"/>
  <c r="J1941"/>
  <c r="L1940"/>
  <c r="J1940"/>
  <c r="L1939"/>
  <c r="J1939"/>
  <c r="L1938"/>
  <c r="J1938"/>
  <c r="L1937"/>
  <c r="J1937"/>
  <c r="L1936"/>
  <c r="J1936"/>
  <c r="L1935"/>
  <c r="J1935"/>
  <c r="L1934"/>
  <c r="J1934"/>
  <c r="L1933"/>
  <c r="J1933"/>
  <c r="L1932"/>
  <c r="J1932"/>
  <c r="L1931"/>
  <c r="J1931"/>
  <c r="L1930"/>
  <c r="J1930"/>
  <c r="L1929"/>
  <c r="J1929"/>
  <c r="L1928"/>
  <c r="J1928"/>
  <c r="L1927"/>
  <c r="J1927"/>
  <c r="L1926"/>
  <c r="J1926"/>
  <c r="L1925"/>
  <c r="J1925"/>
  <c r="L1924"/>
  <c r="J1924"/>
  <c r="L1923"/>
  <c r="J1923"/>
  <c r="L1922"/>
  <c r="J1922"/>
  <c r="L1921"/>
  <c r="J1921"/>
  <c r="L1920"/>
  <c r="J1920"/>
  <c r="L1919"/>
  <c r="J1919"/>
  <c r="L1918"/>
  <c r="J1918"/>
  <c r="L1917"/>
  <c r="J1917"/>
  <c r="L1916"/>
  <c r="J1916"/>
  <c r="L1915"/>
  <c r="J1915"/>
  <c r="L1914"/>
  <c r="J1914"/>
  <c r="L1913"/>
  <c r="J1913"/>
  <c r="L1912"/>
  <c r="J1912"/>
  <c r="L1911"/>
  <c r="J1911"/>
  <c r="L1910"/>
  <c r="J1910"/>
  <c r="L1909"/>
  <c r="J1909"/>
  <c r="L1908"/>
  <c r="J1908"/>
  <c r="L1907"/>
  <c r="J1907"/>
  <c r="L1906"/>
  <c r="J1906"/>
  <c r="L1905"/>
  <c r="J1905"/>
  <c r="L1904"/>
  <c r="J1904"/>
  <c r="L1903"/>
  <c r="J1903"/>
  <c r="L1902"/>
  <c r="J1902"/>
  <c r="L1901"/>
  <c r="J1901"/>
  <c r="L1900"/>
  <c r="J1900"/>
  <c r="L1899"/>
  <c r="J1899"/>
  <c r="L1898"/>
  <c r="J1898"/>
  <c r="L1897"/>
  <c r="J1897"/>
  <c r="L1896"/>
  <c r="J1896"/>
  <c r="L1895"/>
  <c r="J1895"/>
  <c r="L1894"/>
  <c r="J1894"/>
  <c r="L1893"/>
  <c r="J1893"/>
  <c r="L1892"/>
  <c r="J1892"/>
  <c r="L1891"/>
  <c r="J1891"/>
  <c r="L1890"/>
  <c r="J1890"/>
  <c r="L1889"/>
  <c r="J1889"/>
  <c r="L1888"/>
  <c r="J1888"/>
  <c r="L1887"/>
  <c r="J1887"/>
  <c r="L1886"/>
  <c r="J1886"/>
  <c r="L1885"/>
  <c r="J1885"/>
  <c r="L1884"/>
  <c r="J1884"/>
  <c r="L1883"/>
  <c r="J1883"/>
  <c r="L1882"/>
  <c r="J1882"/>
  <c r="L1881"/>
  <c r="J1881"/>
  <c r="L1880"/>
  <c r="J1880"/>
  <c r="L1879"/>
  <c r="J1879"/>
  <c r="L1878"/>
  <c r="J1878"/>
  <c r="L1877"/>
  <c r="J1877"/>
  <c r="L1876"/>
  <c r="J1876"/>
  <c r="L1875"/>
  <c r="J1875"/>
  <c r="L1874"/>
  <c r="J1874"/>
  <c r="L1873"/>
  <c r="J1873"/>
  <c r="L1872"/>
  <c r="J1872"/>
  <c r="L1871"/>
  <c r="J1871"/>
  <c r="L1870"/>
  <c r="J1870"/>
  <c r="L1869"/>
  <c r="J1869"/>
  <c r="L1868"/>
  <c r="J1868"/>
  <c r="L1867"/>
  <c r="J1867"/>
  <c r="L1866"/>
  <c r="J1866"/>
  <c r="L1865"/>
  <c r="J1865"/>
  <c r="L1864"/>
  <c r="J1864"/>
  <c r="L1863"/>
  <c r="J1863"/>
  <c r="L1862"/>
  <c r="J1862"/>
  <c r="L1861"/>
  <c r="J1861"/>
  <c r="L1860"/>
  <c r="J1860"/>
  <c r="L1859"/>
  <c r="J1859"/>
  <c r="L1858"/>
  <c r="J1858"/>
  <c r="L1857"/>
  <c r="J1857"/>
  <c r="L1856"/>
  <c r="J1856"/>
  <c r="L1855"/>
  <c r="J1855"/>
  <c r="L1854"/>
  <c r="J1854"/>
  <c r="L1853"/>
  <c r="J1853"/>
  <c r="L1852"/>
  <c r="J1852"/>
  <c r="L1851"/>
  <c r="J1851"/>
  <c r="L1850"/>
  <c r="J1850"/>
  <c r="L1849"/>
  <c r="J1849"/>
  <c r="L1848"/>
  <c r="J1848"/>
  <c r="L1847"/>
  <c r="J1847"/>
  <c r="L1846"/>
  <c r="J1846"/>
  <c r="L1845"/>
  <c r="J1845"/>
  <c r="L1844"/>
  <c r="J1844"/>
  <c r="L1843"/>
  <c r="J1843"/>
  <c r="L1842"/>
  <c r="J1842"/>
  <c r="L1841"/>
  <c r="J1841"/>
  <c r="L1840"/>
  <c r="J1840"/>
  <c r="L1839"/>
  <c r="J1839"/>
  <c r="L1838"/>
  <c r="J1838"/>
  <c r="L1837"/>
  <c r="J1837"/>
  <c r="L1836"/>
  <c r="J1836"/>
  <c r="L1835"/>
  <c r="J1835"/>
  <c r="L1834"/>
  <c r="J1834"/>
  <c r="L1833"/>
  <c r="J1833"/>
  <c r="L1832"/>
  <c r="J1832"/>
  <c r="L1831"/>
  <c r="J1831"/>
  <c r="L1830"/>
  <c r="J1830"/>
  <c r="L1829"/>
  <c r="J1829"/>
  <c r="L1828"/>
  <c r="J1828"/>
  <c r="L1827"/>
  <c r="J1827"/>
  <c r="L1826"/>
  <c r="J1826"/>
  <c r="L1825"/>
  <c r="J1825"/>
  <c r="L1824"/>
  <c r="J1824"/>
  <c r="L1823"/>
  <c r="J1823"/>
  <c r="L1822"/>
  <c r="J1822"/>
  <c r="L1821"/>
  <c r="J1821"/>
  <c r="L1820"/>
  <c r="J1820"/>
  <c r="L1819"/>
  <c r="J1819"/>
  <c r="L1818"/>
  <c r="J1818"/>
  <c r="L1817"/>
  <c r="J1817"/>
  <c r="L1816"/>
  <c r="J1816"/>
  <c r="L1815"/>
  <c r="J1815"/>
  <c r="L1814"/>
  <c r="J1814"/>
  <c r="L1813"/>
  <c r="J1813"/>
  <c r="L1812"/>
  <c r="J1812"/>
  <c r="L1811"/>
  <c r="J1811"/>
  <c r="L1810"/>
  <c r="J1810"/>
  <c r="L1809"/>
  <c r="J1809"/>
  <c r="L1808"/>
  <c r="J1808"/>
  <c r="L1807"/>
  <c r="J1807"/>
  <c r="L1806"/>
  <c r="J1806"/>
  <c r="L1805"/>
  <c r="J1805"/>
  <c r="L1804"/>
  <c r="J1804"/>
  <c r="L1803"/>
  <c r="J1803"/>
  <c r="L1802"/>
  <c r="J1802"/>
  <c r="L1801"/>
  <c r="J1801"/>
  <c r="L1800"/>
  <c r="J1800"/>
  <c r="L1799"/>
  <c r="J1799"/>
  <c r="L1798"/>
  <c r="J1798"/>
  <c r="L1797"/>
  <c r="J1797"/>
  <c r="L1796"/>
  <c r="J1796"/>
  <c r="L1795"/>
  <c r="J1795"/>
  <c r="L1794"/>
  <c r="J1794"/>
  <c r="L1793"/>
  <c r="J1793"/>
  <c r="L1792"/>
  <c r="J1792"/>
  <c r="L1791"/>
  <c r="J1791"/>
  <c r="L1790"/>
  <c r="J1790"/>
  <c r="L1789"/>
  <c r="J1789"/>
  <c r="L1788"/>
  <c r="J1788"/>
  <c r="L1787"/>
  <c r="J1787"/>
  <c r="L1786"/>
  <c r="J1786"/>
  <c r="L1785"/>
  <c r="J1785"/>
  <c r="L1784"/>
  <c r="J1784"/>
  <c r="L1783"/>
  <c r="J1783"/>
  <c r="L1782"/>
  <c r="J1782"/>
  <c r="L1781"/>
  <c r="J1781"/>
  <c r="L1780"/>
  <c r="J1780"/>
  <c r="L1779"/>
  <c r="J1779"/>
  <c r="L1778"/>
  <c r="J1778"/>
  <c r="L1777"/>
  <c r="J1777"/>
  <c r="L1776"/>
  <c r="J1776"/>
  <c r="L1775"/>
  <c r="J1775"/>
  <c r="L1774"/>
  <c r="J1774"/>
  <c r="L1773"/>
  <c r="J1773"/>
  <c r="L1772"/>
  <c r="J1772"/>
  <c r="L1771"/>
  <c r="J1771"/>
  <c r="L1770"/>
  <c r="J1770"/>
  <c r="L1769"/>
  <c r="J1769"/>
  <c r="L1768"/>
  <c r="J1768"/>
  <c r="L1767"/>
  <c r="J1767"/>
  <c r="L1766"/>
  <c r="J1766"/>
  <c r="L1765"/>
  <c r="J1765"/>
  <c r="L1764"/>
  <c r="J1764"/>
  <c r="L1763"/>
  <c r="J1763"/>
  <c r="L1762"/>
  <c r="J1762"/>
  <c r="L1761"/>
  <c r="J1761"/>
  <c r="L1760"/>
  <c r="J1760"/>
  <c r="L1759"/>
  <c r="J1759"/>
  <c r="L1758"/>
  <c r="J1758"/>
  <c r="L1757"/>
  <c r="J1757"/>
  <c r="L1756"/>
  <c r="J1756"/>
  <c r="L1755"/>
  <c r="J1755"/>
  <c r="L1754"/>
  <c r="J1754"/>
  <c r="L1753"/>
  <c r="J1753"/>
  <c r="L1752"/>
  <c r="J1752"/>
  <c r="L1751"/>
  <c r="J1751"/>
  <c r="L1750"/>
  <c r="J1750"/>
  <c r="L1749"/>
  <c r="J1749"/>
  <c r="L1748"/>
  <c r="J1748"/>
  <c r="L1747"/>
  <c r="J1747"/>
  <c r="L1746"/>
  <c r="J1746"/>
  <c r="L1745"/>
  <c r="J1745"/>
  <c r="L1744"/>
  <c r="J1744"/>
  <c r="L1743"/>
  <c r="J1743"/>
  <c r="L1742"/>
  <c r="J1742"/>
  <c r="L1741"/>
  <c r="J1741"/>
  <c r="L1740"/>
  <c r="J1740"/>
  <c r="L1739"/>
  <c r="J1739"/>
  <c r="L1738"/>
  <c r="J1738"/>
  <c r="L1737"/>
  <c r="J1737"/>
  <c r="L1736"/>
  <c r="J1736"/>
  <c r="L1735"/>
  <c r="J1735"/>
  <c r="L1734"/>
  <c r="J1734"/>
  <c r="L1733"/>
  <c r="J1733"/>
  <c r="L1732"/>
  <c r="J1732"/>
  <c r="L1731"/>
  <c r="J1731"/>
  <c r="L1730"/>
  <c r="J1730"/>
  <c r="L1729"/>
  <c r="J1729"/>
  <c r="L1728"/>
  <c r="J1728"/>
  <c r="L1727"/>
  <c r="J1727"/>
  <c r="L1726"/>
  <c r="J1726"/>
  <c r="L1725"/>
  <c r="J1725"/>
  <c r="L1724"/>
  <c r="J1724"/>
  <c r="L1723"/>
  <c r="J1723"/>
  <c r="L1722"/>
  <c r="J1722"/>
  <c r="L1721"/>
  <c r="J1721"/>
  <c r="L1720"/>
  <c r="J1720"/>
  <c r="L1719"/>
  <c r="J1719"/>
  <c r="L1718"/>
  <c r="J1718"/>
  <c r="L1717"/>
  <c r="J1717"/>
  <c r="L1716"/>
  <c r="J1716"/>
  <c r="L1715"/>
  <c r="J1715"/>
  <c r="L1714"/>
  <c r="J1714"/>
  <c r="L1713"/>
  <c r="J1713"/>
  <c r="L1712"/>
  <c r="J1712"/>
  <c r="L1711"/>
  <c r="J1711"/>
  <c r="L1710"/>
  <c r="J1710"/>
  <c r="L1709"/>
  <c r="J1709"/>
  <c r="L1708"/>
  <c r="J1708"/>
  <c r="L1707"/>
  <c r="J1707"/>
  <c r="L1706"/>
  <c r="J1706"/>
  <c r="L1705"/>
  <c r="J1705"/>
  <c r="L1704"/>
  <c r="J1704"/>
  <c r="L1703"/>
  <c r="J1703"/>
  <c r="L1702"/>
  <c r="J1702"/>
  <c r="L1701"/>
  <c r="J1701"/>
  <c r="L1700"/>
  <c r="J1700"/>
  <c r="L1699"/>
  <c r="J1699"/>
  <c r="L1698"/>
  <c r="J1698"/>
  <c r="L1697"/>
  <c r="J1697"/>
  <c r="L1696"/>
  <c r="J1696"/>
  <c r="L1695"/>
  <c r="J1695"/>
  <c r="L1694"/>
  <c r="J1694"/>
  <c r="L1693"/>
  <c r="J1693"/>
  <c r="L1692"/>
  <c r="J1692"/>
  <c r="L1691"/>
  <c r="J1691"/>
  <c r="L1690"/>
  <c r="J1690"/>
  <c r="L1689"/>
  <c r="J1689"/>
  <c r="L1688"/>
  <c r="J1688"/>
  <c r="L1687"/>
  <c r="J1687"/>
  <c r="L1686"/>
  <c r="J1686"/>
  <c r="L1685"/>
  <c r="J1685"/>
  <c r="L1684"/>
  <c r="J1684"/>
  <c r="L1683"/>
  <c r="J1683"/>
  <c r="L1682"/>
  <c r="J1682"/>
  <c r="L1681"/>
  <c r="J1681"/>
  <c r="L1680"/>
  <c r="J1680"/>
  <c r="L1679"/>
  <c r="J1679"/>
  <c r="L1678"/>
  <c r="J1678"/>
  <c r="L1677"/>
  <c r="J1677"/>
  <c r="L1676"/>
  <c r="J1676"/>
  <c r="L1675"/>
  <c r="J1675"/>
  <c r="L1674"/>
  <c r="J1674"/>
  <c r="L1673"/>
  <c r="J1673"/>
  <c r="L1672"/>
  <c r="J1672"/>
  <c r="L1671"/>
  <c r="J1671"/>
  <c r="L1670"/>
  <c r="J1670"/>
  <c r="L1669"/>
  <c r="J1669"/>
  <c r="L1668"/>
  <c r="J1668"/>
  <c r="L1667"/>
  <c r="J1667"/>
  <c r="L1666"/>
  <c r="J1666"/>
  <c r="L1665"/>
  <c r="J1665"/>
  <c r="L1664"/>
  <c r="J1664"/>
  <c r="L1663"/>
  <c r="J1663"/>
  <c r="L1662"/>
  <c r="J1662"/>
  <c r="L1661"/>
  <c r="J1661"/>
  <c r="L1660"/>
  <c r="J1660"/>
  <c r="L1659"/>
  <c r="J1659"/>
  <c r="L1658"/>
  <c r="J1658"/>
  <c r="L1657"/>
  <c r="J1657"/>
  <c r="L1656"/>
  <c r="J1656"/>
  <c r="L1655"/>
  <c r="J1655"/>
  <c r="L1654"/>
  <c r="J1654"/>
  <c r="L1653"/>
  <c r="J1653"/>
  <c r="L1652"/>
  <c r="J1652"/>
  <c r="L1651"/>
  <c r="J1651"/>
  <c r="L1650"/>
  <c r="J1650"/>
  <c r="L1649"/>
  <c r="J1649"/>
  <c r="L1648"/>
  <c r="J1648"/>
  <c r="L1647"/>
  <c r="J1647"/>
  <c r="L1646"/>
  <c r="J1646"/>
  <c r="L1645"/>
  <c r="J1645"/>
  <c r="L1644"/>
  <c r="J1644"/>
  <c r="L1643"/>
  <c r="J1643"/>
  <c r="L1642"/>
  <c r="J1642"/>
  <c r="L1641"/>
  <c r="J1641"/>
  <c r="L1640"/>
  <c r="J1640"/>
  <c r="L1639"/>
  <c r="J1639"/>
  <c r="L1638"/>
  <c r="J1638"/>
  <c r="L1637"/>
  <c r="J1637"/>
  <c r="L1636"/>
  <c r="J1636"/>
  <c r="L1635"/>
  <c r="J1635"/>
  <c r="L1634"/>
  <c r="J1634"/>
  <c r="L1633"/>
  <c r="J1633"/>
  <c r="L1632"/>
  <c r="J1632"/>
  <c r="L1631"/>
  <c r="J1631"/>
  <c r="L1630"/>
  <c r="J1630"/>
  <c r="L1629"/>
  <c r="J1629"/>
  <c r="L1628"/>
  <c r="J1628"/>
  <c r="L1627"/>
  <c r="J1627"/>
  <c r="L1626"/>
  <c r="J1626"/>
  <c r="L1625"/>
  <c r="J1625"/>
  <c r="L1624"/>
  <c r="J1624"/>
  <c r="L1623"/>
  <c r="J1623"/>
  <c r="L1622"/>
  <c r="J1622"/>
  <c r="L1621"/>
  <c r="J1621"/>
  <c r="L1620"/>
  <c r="J1620"/>
  <c r="L1619"/>
  <c r="J1619"/>
  <c r="L1618"/>
  <c r="J1618"/>
  <c r="L1617"/>
  <c r="J1617"/>
  <c r="L1616"/>
  <c r="J1616"/>
  <c r="L1615"/>
  <c r="J1615"/>
  <c r="L1614"/>
  <c r="J1614"/>
  <c r="L1613"/>
  <c r="J1613"/>
  <c r="L1612"/>
  <c r="J1612"/>
  <c r="L1611"/>
  <c r="J1611"/>
  <c r="L1610"/>
  <c r="J1610"/>
  <c r="L1609"/>
  <c r="J1609"/>
  <c r="L1608"/>
  <c r="J1608"/>
  <c r="L1607"/>
  <c r="J1607"/>
  <c r="L1606"/>
  <c r="J1606"/>
  <c r="L1605"/>
  <c r="J1605"/>
  <c r="L1604"/>
  <c r="J1604"/>
  <c r="L1603"/>
  <c r="J1603"/>
  <c r="L1602"/>
  <c r="J1602"/>
  <c r="L1601"/>
  <c r="J1601"/>
  <c r="L1600"/>
  <c r="J1600"/>
  <c r="L1599"/>
  <c r="J1599"/>
  <c r="L1598"/>
  <c r="J1598"/>
  <c r="L1597"/>
  <c r="J1597"/>
  <c r="L1596"/>
  <c r="J1596"/>
  <c r="L1595"/>
  <c r="J1595"/>
  <c r="L1594"/>
  <c r="J1594"/>
  <c r="L1593"/>
  <c r="J1593"/>
  <c r="L1592"/>
  <c r="J1592"/>
  <c r="L1591"/>
  <c r="J1591"/>
  <c r="L1590"/>
  <c r="J1590"/>
  <c r="L1589"/>
  <c r="J1589"/>
  <c r="L1588"/>
  <c r="J1588"/>
  <c r="L1587"/>
  <c r="J1587"/>
  <c r="L1586"/>
  <c r="J1586"/>
  <c r="L1585"/>
  <c r="J1585"/>
  <c r="L1584"/>
  <c r="J1584"/>
  <c r="L1583"/>
  <c r="J1583"/>
  <c r="L1582"/>
  <c r="J1582"/>
  <c r="L1581"/>
  <c r="J1581"/>
  <c r="L1580"/>
  <c r="J1580"/>
  <c r="L1579"/>
  <c r="J1579"/>
  <c r="L1578"/>
  <c r="J1578"/>
  <c r="L1577"/>
  <c r="J1577"/>
  <c r="L1576"/>
  <c r="J1576"/>
  <c r="L1575"/>
  <c r="J1575"/>
  <c r="L1574"/>
  <c r="J1574"/>
  <c r="L1573"/>
  <c r="J1573"/>
  <c r="L1572"/>
  <c r="J1572"/>
  <c r="L1571"/>
  <c r="J1571"/>
  <c r="L1570"/>
  <c r="J1570"/>
  <c r="L1569"/>
  <c r="J1569"/>
  <c r="L1568"/>
  <c r="J1568"/>
  <c r="L1567"/>
  <c r="J1567"/>
  <c r="L1566"/>
  <c r="J1566"/>
  <c r="L1565"/>
  <c r="J1565"/>
  <c r="L1564"/>
  <c r="J1564"/>
  <c r="L1563"/>
  <c r="J1563"/>
  <c r="L1562"/>
  <c r="J1562"/>
  <c r="L1561"/>
  <c r="J1561"/>
  <c r="L1560"/>
  <c r="J1560"/>
  <c r="L1559"/>
  <c r="J1559"/>
  <c r="L1558"/>
  <c r="J1558"/>
  <c r="L1557"/>
  <c r="J1557"/>
  <c r="L1556"/>
  <c r="J1556"/>
  <c r="L1555"/>
  <c r="J1555"/>
  <c r="L1554"/>
  <c r="J1554"/>
  <c r="L1553"/>
  <c r="J1553"/>
  <c r="L1552"/>
  <c r="J1552"/>
  <c r="L1551"/>
  <c r="J1551"/>
  <c r="L1550"/>
  <c r="J1550"/>
  <c r="L1549"/>
  <c r="J1549"/>
  <c r="L1548"/>
  <c r="J1548"/>
  <c r="L1547"/>
  <c r="J1547"/>
  <c r="L1546"/>
  <c r="J1546"/>
  <c r="L1545"/>
  <c r="J1545"/>
  <c r="L1544"/>
  <c r="J1544"/>
  <c r="L1543"/>
  <c r="J1543"/>
  <c r="L1542"/>
  <c r="J1542"/>
  <c r="L1541"/>
  <c r="J1541"/>
  <c r="L1540"/>
  <c r="J1540"/>
  <c r="L1539"/>
  <c r="J1539"/>
  <c r="L1538"/>
  <c r="J1538"/>
  <c r="L1537"/>
  <c r="J1537"/>
  <c r="L1536"/>
  <c r="J1536"/>
  <c r="L1535"/>
  <c r="J1535"/>
  <c r="L1534"/>
  <c r="J1534"/>
  <c r="L1533"/>
  <c r="J1533"/>
  <c r="L1532"/>
  <c r="J1532"/>
  <c r="L1531"/>
  <c r="J1531"/>
  <c r="L1530"/>
  <c r="J1530"/>
  <c r="L1529"/>
  <c r="J1529"/>
  <c r="L1528"/>
  <c r="J1528"/>
  <c r="L1527"/>
  <c r="J1527"/>
  <c r="L1526"/>
  <c r="J1526"/>
  <c r="L1525"/>
  <c r="J1525"/>
  <c r="L1524"/>
  <c r="J1524"/>
  <c r="L1523"/>
  <c r="J1523"/>
  <c r="L1522"/>
  <c r="J1522"/>
  <c r="L1521"/>
  <c r="J1521"/>
  <c r="L1520"/>
  <c r="J1520"/>
  <c r="L1519"/>
  <c r="J1519"/>
  <c r="L1518"/>
  <c r="J1518"/>
  <c r="L1517"/>
  <c r="J1517"/>
  <c r="L1516"/>
  <c r="J1516"/>
  <c r="L1515"/>
  <c r="J1515"/>
  <c r="L1514"/>
  <c r="J1514"/>
  <c r="L1513"/>
  <c r="J1513"/>
  <c r="L1512"/>
  <c r="J1512"/>
  <c r="L1511"/>
  <c r="J1511"/>
  <c r="L1510"/>
  <c r="J1510"/>
  <c r="L1509"/>
  <c r="J1509"/>
  <c r="L1508"/>
  <c r="J1508"/>
  <c r="L1507"/>
  <c r="J1507"/>
  <c r="L1506"/>
  <c r="J1506"/>
  <c r="L1505"/>
  <c r="J1505"/>
  <c r="L1504"/>
  <c r="J1504"/>
  <c r="L1503"/>
  <c r="J1503"/>
  <c r="L1502"/>
  <c r="J1502"/>
  <c r="L1501"/>
  <c r="J1501"/>
  <c r="L1500"/>
  <c r="J1500"/>
  <c r="L1499"/>
  <c r="J1499"/>
  <c r="L1498"/>
  <c r="J1498"/>
  <c r="L1497"/>
  <c r="J1497"/>
  <c r="L1496"/>
  <c r="J1496"/>
  <c r="L1495"/>
  <c r="J1495"/>
  <c r="L1494"/>
  <c r="J1494"/>
  <c r="L1493"/>
  <c r="J1493"/>
  <c r="L1492"/>
  <c r="J1492"/>
  <c r="L1491"/>
  <c r="J1491"/>
  <c r="L1490"/>
  <c r="J1490"/>
  <c r="L1489"/>
  <c r="J1489"/>
  <c r="L1488"/>
  <c r="J1488"/>
  <c r="L1487"/>
  <c r="J1487"/>
  <c r="L1486"/>
  <c r="J1486"/>
  <c r="L1485"/>
  <c r="J1485"/>
  <c r="L1484"/>
  <c r="J1484"/>
  <c r="L1483"/>
  <c r="J1483"/>
  <c r="L1482"/>
  <c r="J1482"/>
  <c r="L1481"/>
  <c r="J1481"/>
  <c r="L1480"/>
  <c r="J1480"/>
  <c r="L1479"/>
  <c r="J1479"/>
  <c r="L1478"/>
  <c r="J1478"/>
  <c r="L1477"/>
  <c r="J1477"/>
  <c r="L1476"/>
  <c r="J1476"/>
  <c r="L1475"/>
  <c r="J1475"/>
  <c r="L1474"/>
  <c r="J1474"/>
  <c r="L1473"/>
  <c r="J1473"/>
  <c r="L1472"/>
  <c r="J1472"/>
  <c r="L1471"/>
  <c r="J1471"/>
  <c r="L1470"/>
  <c r="J1470"/>
  <c r="L1469"/>
  <c r="J1469"/>
  <c r="L1468"/>
  <c r="J1468"/>
  <c r="L1467"/>
  <c r="J1467"/>
  <c r="L1466"/>
  <c r="J1466"/>
  <c r="L1465"/>
  <c r="J1465"/>
  <c r="L1464"/>
  <c r="J1464"/>
  <c r="L1463"/>
  <c r="J1463"/>
  <c r="L1462"/>
  <c r="J1462"/>
  <c r="L1461"/>
  <c r="J1461"/>
  <c r="L1460"/>
  <c r="J1460"/>
  <c r="L1459"/>
  <c r="J1459"/>
  <c r="L1458"/>
  <c r="J1458"/>
  <c r="L1457"/>
  <c r="J1457"/>
  <c r="L1456"/>
  <c r="J1456"/>
  <c r="L1455"/>
  <c r="J1455"/>
  <c r="L1454"/>
  <c r="J1454"/>
  <c r="L1453"/>
  <c r="J1453"/>
  <c r="L1452"/>
  <c r="J1452"/>
  <c r="L1451"/>
  <c r="J1451"/>
  <c r="L1450"/>
  <c r="J1450"/>
  <c r="L1449"/>
  <c r="J1449"/>
  <c r="L1448"/>
  <c r="J1448"/>
  <c r="L1447"/>
  <c r="J1447"/>
  <c r="L1446"/>
  <c r="J1446"/>
  <c r="L1445"/>
  <c r="J1445"/>
  <c r="L1444"/>
  <c r="J1444"/>
  <c r="L1443"/>
  <c r="J1443"/>
  <c r="L1442"/>
  <c r="J1442"/>
  <c r="L1441"/>
  <c r="J1441"/>
  <c r="L1440"/>
  <c r="J1440"/>
  <c r="L1439"/>
  <c r="J1439"/>
  <c r="L1438"/>
  <c r="J1438"/>
  <c r="L1437"/>
  <c r="J1437"/>
  <c r="L1436"/>
  <c r="J1436"/>
  <c r="L1435"/>
  <c r="J1435"/>
  <c r="L1434"/>
  <c r="J1434"/>
  <c r="L1433"/>
  <c r="J1433"/>
  <c r="L1432"/>
  <c r="J1432"/>
  <c r="L1431"/>
  <c r="J1431"/>
  <c r="L1430"/>
  <c r="J1430"/>
  <c r="L1429"/>
  <c r="J1429"/>
  <c r="L1428"/>
  <c r="J1428"/>
  <c r="L1427"/>
  <c r="J1427"/>
  <c r="L1426"/>
  <c r="J1426"/>
  <c r="L1425"/>
  <c r="J1425"/>
  <c r="L1424"/>
  <c r="J1424"/>
  <c r="L1423"/>
  <c r="J1423"/>
  <c r="L1422"/>
  <c r="J1422"/>
  <c r="L1421"/>
  <c r="J1421"/>
  <c r="L1420"/>
  <c r="J1420"/>
  <c r="L1419"/>
  <c r="J1419"/>
  <c r="L1418"/>
  <c r="J1418"/>
  <c r="L1417"/>
  <c r="J1417"/>
  <c r="L1416"/>
  <c r="J1416"/>
  <c r="L1415"/>
  <c r="J1415"/>
  <c r="L1414"/>
  <c r="J1414"/>
  <c r="L1413"/>
  <c r="J1413"/>
  <c r="L1412"/>
  <c r="J1412"/>
  <c r="L1411"/>
  <c r="J1411"/>
  <c r="L1410"/>
  <c r="J1410"/>
  <c r="L1409"/>
  <c r="J1409"/>
  <c r="L1408"/>
  <c r="J1408"/>
  <c r="L1407"/>
  <c r="J1407"/>
  <c r="L1406"/>
  <c r="J1406"/>
  <c r="L1405"/>
  <c r="J1405"/>
  <c r="L1404"/>
  <c r="J1404"/>
  <c r="L1403"/>
  <c r="J1403"/>
  <c r="L1402"/>
  <c r="J1402"/>
  <c r="L1401"/>
  <c r="J1401"/>
  <c r="L1400"/>
  <c r="J1400"/>
  <c r="L1399"/>
  <c r="J1399"/>
  <c r="L1398"/>
  <c r="J1398"/>
  <c r="L1397"/>
  <c r="J1397"/>
  <c r="L1396"/>
  <c r="J1396"/>
  <c r="L1395"/>
  <c r="J1395"/>
  <c r="L1394"/>
  <c r="J1394"/>
  <c r="L1393"/>
  <c r="J1393"/>
  <c r="L1392"/>
  <c r="J1392"/>
  <c r="L1391"/>
  <c r="J1391"/>
  <c r="L1390"/>
  <c r="J1390"/>
  <c r="L1389"/>
  <c r="J1389"/>
  <c r="L1388"/>
  <c r="J1388"/>
  <c r="L1387"/>
  <c r="J1387"/>
  <c r="L1386"/>
  <c r="J1386"/>
  <c r="L1385"/>
  <c r="J1385"/>
  <c r="L1384"/>
  <c r="J1384"/>
  <c r="L1383"/>
  <c r="J1383"/>
  <c r="L1382"/>
  <c r="J1382"/>
  <c r="L1381"/>
  <c r="J1381"/>
  <c r="L1380"/>
  <c r="J1380"/>
  <c r="L1379"/>
  <c r="J1379"/>
  <c r="L1378"/>
  <c r="J1378"/>
  <c r="L1377"/>
  <c r="J1377"/>
  <c r="L1376"/>
  <c r="J1376"/>
  <c r="L1375"/>
  <c r="J1375"/>
  <c r="L1374"/>
  <c r="J1374"/>
  <c r="L1373"/>
  <c r="J1373"/>
  <c r="L1372"/>
  <c r="J1372"/>
  <c r="L1371"/>
  <c r="J1371"/>
  <c r="L1370"/>
  <c r="J1370"/>
  <c r="L1369"/>
  <c r="J1369"/>
  <c r="L1368"/>
  <c r="J1368"/>
  <c r="L1367"/>
  <c r="J1367"/>
  <c r="L1366"/>
  <c r="J1366"/>
  <c r="L1365"/>
  <c r="J1365"/>
  <c r="L1364"/>
  <c r="J1364"/>
  <c r="L1363"/>
  <c r="J1363"/>
  <c r="L1362"/>
  <c r="J1362"/>
  <c r="L1361"/>
  <c r="J1361"/>
  <c r="L1360"/>
  <c r="J1360"/>
  <c r="L1359"/>
  <c r="J1359"/>
  <c r="L1358"/>
  <c r="J1358"/>
  <c r="L1357"/>
  <c r="J1357"/>
  <c r="L1356"/>
  <c r="J1356"/>
  <c r="L1355"/>
  <c r="J1355"/>
  <c r="L1354"/>
  <c r="J1354"/>
  <c r="L1353"/>
  <c r="J1353"/>
  <c r="L1352"/>
  <c r="J1352"/>
  <c r="L1351"/>
  <c r="J1351"/>
  <c r="L1350"/>
  <c r="J1350"/>
  <c r="L1349"/>
  <c r="J1349"/>
  <c r="L1348"/>
  <c r="J1348"/>
  <c r="L1347"/>
  <c r="J1347"/>
  <c r="L1346"/>
  <c r="J1346"/>
  <c r="L1345"/>
  <c r="J1345"/>
  <c r="L1344"/>
  <c r="J1344"/>
  <c r="L1343"/>
  <c r="J1343"/>
  <c r="L1342"/>
  <c r="J1342"/>
  <c r="L1341"/>
  <c r="J1341"/>
  <c r="L1340"/>
  <c r="J1340"/>
  <c r="L1339"/>
  <c r="J1339"/>
  <c r="L1338"/>
  <c r="J1338"/>
  <c r="L1337"/>
  <c r="J1337"/>
  <c r="L1336"/>
  <c r="J1336"/>
  <c r="L1335"/>
  <c r="J1335"/>
  <c r="L1334"/>
  <c r="J1334"/>
  <c r="L1333"/>
  <c r="J1333"/>
  <c r="L1332"/>
  <c r="J1332"/>
  <c r="L1331"/>
  <c r="J1331"/>
  <c r="L1330"/>
  <c r="J1330"/>
  <c r="L1329"/>
  <c r="J1329"/>
  <c r="L1328"/>
  <c r="J1328"/>
  <c r="L1327"/>
  <c r="J1327"/>
  <c r="L1326"/>
  <c r="J1326"/>
  <c r="L1325"/>
  <c r="J1325"/>
  <c r="L1324"/>
  <c r="J1324"/>
  <c r="L1323"/>
  <c r="J1323"/>
  <c r="L1322"/>
  <c r="J1322"/>
  <c r="L1321"/>
  <c r="J1321"/>
  <c r="L1320"/>
  <c r="J1320"/>
  <c r="L1319"/>
  <c r="J1319"/>
  <c r="L1318"/>
  <c r="J1318"/>
  <c r="L1317"/>
  <c r="J1317"/>
  <c r="L1316"/>
  <c r="J1316"/>
  <c r="L1315"/>
  <c r="J1315"/>
  <c r="L1314"/>
  <c r="J1314"/>
  <c r="L1313"/>
  <c r="J1313"/>
  <c r="L1312"/>
  <c r="J1312"/>
  <c r="L1311"/>
  <c r="J1311"/>
  <c r="L1310"/>
  <c r="J1310"/>
  <c r="L1309"/>
  <c r="J1309"/>
  <c r="L1308"/>
  <c r="J1308"/>
  <c r="L1307"/>
  <c r="J1307"/>
  <c r="L1306"/>
  <c r="J1306"/>
  <c r="L1305"/>
  <c r="J1305"/>
  <c r="L1304"/>
  <c r="J1304"/>
  <c r="L1303"/>
  <c r="J1303"/>
  <c r="L1302"/>
  <c r="J1302"/>
  <c r="L1301"/>
  <c r="J1301"/>
  <c r="L1300"/>
  <c r="J1300"/>
  <c r="L1299"/>
  <c r="J1299"/>
  <c r="L1298"/>
  <c r="J1298"/>
  <c r="L1297"/>
  <c r="J1297"/>
  <c r="L1296"/>
  <c r="J1296"/>
  <c r="L1295"/>
  <c r="J1295"/>
  <c r="L1294"/>
  <c r="J1294"/>
  <c r="L1293"/>
  <c r="J1293"/>
  <c r="L1292"/>
  <c r="J1292"/>
  <c r="L1291"/>
  <c r="J1291"/>
  <c r="L1290"/>
  <c r="J1290"/>
  <c r="L1289"/>
  <c r="J1289"/>
  <c r="L1288"/>
  <c r="J1288"/>
  <c r="L1287"/>
  <c r="J1287"/>
  <c r="L1286"/>
  <c r="J1286"/>
  <c r="L1285"/>
  <c r="J1285"/>
  <c r="L1284"/>
  <c r="J1284"/>
  <c r="L1283"/>
  <c r="J1283"/>
  <c r="L1282"/>
  <c r="J1282"/>
  <c r="L1281"/>
  <c r="J1281"/>
  <c r="L1280"/>
  <c r="J1280"/>
  <c r="L1279"/>
  <c r="J1279"/>
  <c r="L1278"/>
  <c r="J1278"/>
  <c r="L1277"/>
  <c r="J1277"/>
  <c r="L1276"/>
  <c r="J1276"/>
  <c r="L1275"/>
  <c r="J1275"/>
  <c r="L1274"/>
  <c r="J1274"/>
  <c r="L1273"/>
  <c r="J1273"/>
  <c r="L1272"/>
  <c r="J1272"/>
  <c r="L1271"/>
  <c r="J1271"/>
  <c r="L1270"/>
  <c r="J1270"/>
  <c r="L1269"/>
  <c r="J1269"/>
  <c r="L1268"/>
  <c r="J1268"/>
  <c r="L1267"/>
  <c r="J1267"/>
  <c r="L1266"/>
  <c r="J1266"/>
  <c r="L1265"/>
  <c r="J1265"/>
  <c r="L1264"/>
  <c r="J1264"/>
  <c r="L1263"/>
  <c r="J1263"/>
  <c r="L1262"/>
  <c r="J1262"/>
  <c r="L1261"/>
  <c r="J1261"/>
  <c r="L1260"/>
  <c r="J1260"/>
  <c r="L1259"/>
  <c r="J1259"/>
  <c r="L1258"/>
  <c r="J1258"/>
  <c r="L1257"/>
  <c r="J1257"/>
  <c r="L1256"/>
  <c r="J1256"/>
  <c r="L1255"/>
  <c r="J1255"/>
  <c r="L1254"/>
  <c r="J1254"/>
  <c r="L1253"/>
  <c r="J1253"/>
  <c r="L1252"/>
  <c r="J1252"/>
  <c r="L1251"/>
  <c r="J1251"/>
  <c r="L1250"/>
  <c r="J1250"/>
  <c r="L1249"/>
  <c r="J1249"/>
  <c r="L1248"/>
  <c r="J1248"/>
  <c r="L1247"/>
  <c r="J1247"/>
  <c r="L1246"/>
  <c r="J1246"/>
  <c r="L1245"/>
  <c r="J1245"/>
  <c r="L1244"/>
  <c r="J1244"/>
  <c r="L1243"/>
  <c r="J1243"/>
  <c r="L1242"/>
  <c r="J1242"/>
  <c r="L1241"/>
  <c r="J1241"/>
  <c r="L1240"/>
  <c r="J1240"/>
  <c r="L1239"/>
  <c r="J1239"/>
  <c r="L1238"/>
  <c r="J1238"/>
  <c r="L1237"/>
  <c r="J1237"/>
  <c r="L1236"/>
  <c r="J1236"/>
  <c r="L1235"/>
  <c r="J1235"/>
  <c r="L1234"/>
  <c r="J1234"/>
  <c r="L1233"/>
  <c r="J1233"/>
  <c r="L1232"/>
  <c r="J1232"/>
  <c r="L1231"/>
  <c r="J1231"/>
  <c r="L1230"/>
  <c r="J1230"/>
  <c r="L1229"/>
  <c r="J1229"/>
  <c r="L1228"/>
  <c r="J1228"/>
  <c r="L1227"/>
  <c r="J1227"/>
  <c r="L1226"/>
  <c r="J1226"/>
  <c r="L1225"/>
  <c r="J1225"/>
  <c r="L1224"/>
  <c r="J1224"/>
  <c r="L1223"/>
  <c r="J1223"/>
  <c r="L1222"/>
  <c r="J1222"/>
  <c r="L1221"/>
  <c r="J1221"/>
  <c r="L1220"/>
  <c r="J1220"/>
  <c r="L1219"/>
  <c r="J1219"/>
  <c r="L1218"/>
  <c r="J1218"/>
  <c r="L1217"/>
  <c r="J1217"/>
  <c r="L1216"/>
  <c r="J1216"/>
  <c r="L1215"/>
  <c r="J1215"/>
  <c r="L1214"/>
  <c r="J1214"/>
  <c r="L1213"/>
  <c r="J1213"/>
  <c r="L1212"/>
  <c r="J1212"/>
  <c r="L1211"/>
  <c r="J1211"/>
  <c r="L1210"/>
  <c r="J1210"/>
  <c r="L1209"/>
  <c r="J1209"/>
  <c r="L1208"/>
  <c r="J1208"/>
  <c r="L1207"/>
  <c r="J1207"/>
  <c r="L1206"/>
  <c r="J1206"/>
  <c r="L1205"/>
  <c r="J1205"/>
  <c r="L1204"/>
  <c r="J1204"/>
  <c r="L1203"/>
  <c r="J1203"/>
  <c r="L1202"/>
  <c r="J1202"/>
  <c r="L1201"/>
  <c r="J1201"/>
  <c r="L1200"/>
  <c r="J1200"/>
  <c r="L1199"/>
  <c r="J1199"/>
  <c r="L1198"/>
  <c r="J1198"/>
  <c r="L1197"/>
  <c r="J1197"/>
  <c r="L1196"/>
  <c r="J1196"/>
  <c r="L1195"/>
  <c r="J1195"/>
  <c r="L1194"/>
  <c r="J1194"/>
  <c r="L1193"/>
  <c r="J1193"/>
  <c r="L1192"/>
  <c r="J1192"/>
  <c r="L1191"/>
  <c r="J1191"/>
  <c r="L1190"/>
  <c r="J1190"/>
  <c r="L1189"/>
  <c r="J1189"/>
  <c r="L1188"/>
  <c r="J1188"/>
  <c r="L1187"/>
  <c r="J1187"/>
  <c r="L1186"/>
  <c r="J1186"/>
  <c r="L1185"/>
  <c r="J1185"/>
  <c r="L1184"/>
  <c r="J1184"/>
  <c r="L1183"/>
  <c r="J1183"/>
  <c r="L1182"/>
  <c r="J1182"/>
  <c r="L1181"/>
  <c r="J1181"/>
  <c r="L1180"/>
  <c r="J1180"/>
  <c r="L1179"/>
  <c r="J1179"/>
  <c r="L1178"/>
  <c r="J1178"/>
  <c r="L1177"/>
  <c r="J1177"/>
  <c r="L1176"/>
  <c r="J1176"/>
  <c r="L1175"/>
  <c r="J1175"/>
  <c r="L1174"/>
  <c r="J1174"/>
  <c r="L1173"/>
  <c r="J1173"/>
  <c r="L1172"/>
  <c r="J1172"/>
  <c r="L1171"/>
  <c r="J1171"/>
  <c r="L1170"/>
  <c r="J1170"/>
  <c r="L1169"/>
  <c r="J1169"/>
  <c r="L1168"/>
  <c r="J1168"/>
  <c r="L1167"/>
  <c r="J1167"/>
  <c r="L1166"/>
  <c r="J1166"/>
  <c r="L1165"/>
  <c r="J1165"/>
  <c r="L1164"/>
  <c r="J1164"/>
  <c r="L1163"/>
  <c r="J1163"/>
  <c r="L1162"/>
  <c r="J1162"/>
  <c r="L1161"/>
  <c r="J1161"/>
  <c r="L1160"/>
  <c r="J1160"/>
  <c r="L1159"/>
  <c r="J1159"/>
  <c r="L1158"/>
  <c r="J1158"/>
  <c r="L1157"/>
  <c r="J1157"/>
  <c r="L1156"/>
  <c r="J1156"/>
  <c r="L1155"/>
  <c r="J1155"/>
  <c r="L1154"/>
  <c r="J1154"/>
  <c r="L1153"/>
  <c r="J1153"/>
  <c r="L1152"/>
  <c r="J1152"/>
  <c r="L1151"/>
  <c r="J1151"/>
  <c r="L1150"/>
  <c r="J1150"/>
  <c r="L1149"/>
  <c r="J1149"/>
  <c r="L1148"/>
  <c r="J1148"/>
  <c r="L1147"/>
  <c r="J1147"/>
  <c r="L1146"/>
  <c r="J1146"/>
  <c r="L1145"/>
  <c r="J1145"/>
  <c r="L1144"/>
  <c r="J1144"/>
  <c r="L1143"/>
  <c r="J1143"/>
  <c r="L1142"/>
  <c r="J1142"/>
  <c r="L1141"/>
  <c r="J1141"/>
  <c r="L1140"/>
  <c r="J1140"/>
  <c r="L1139"/>
  <c r="J1139"/>
  <c r="L1138"/>
  <c r="J1138"/>
  <c r="L1137"/>
  <c r="J1137"/>
  <c r="L1136"/>
  <c r="J1136"/>
  <c r="L1135"/>
  <c r="J1135"/>
  <c r="L1134"/>
  <c r="J1134"/>
  <c r="L1133"/>
  <c r="J1133"/>
  <c r="L1132"/>
  <c r="J1132"/>
  <c r="L1131"/>
  <c r="J1131"/>
  <c r="L1130"/>
  <c r="J1130"/>
  <c r="L1129"/>
  <c r="J1129"/>
  <c r="L1128"/>
  <c r="J1128"/>
  <c r="L1127"/>
  <c r="J1127"/>
  <c r="L1126"/>
  <c r="J1126"/>
  <c r="L1125"/>
  <c r="J1125"/>
  <c r="L1124"/>
  <c r="J1124"/>
  <c r="L1123"/>
  <c r="J1123"/>
  <c r="L1122"/>
  <c r="J1122"/>
  <c r="L1121"/>
  <c r="J1121"/>
  <c r="L1120"/>
  <c r="J1120"/>
  <c r="L1119"/>
  <c r="J1119"/>
  <c r="L1118"/>
  <c r="J1118"/>
  <c r="L1117"/>
  <c r="J1117"/>
  <c r="L1116"/>
  <c r="J1116"/>
  <c r="L1115"/>
  <c r="J1115"/>
  <c r="L1114"/>
  <c r="J1114"/>
  <c r="L1113"/>
  <c r="J1113"/>
  <c r="L1112"/>
  <c r="J1112"/>
  <c r="L1111"/>
  <c r="J1111"/>
  <c r="L1110"/>
  <c r="J1110"/>
  <c r="L1109"/>
  <c r="J1109"/>
  <c r="L1108"/>
  <c r="J1108"/>
  <c r="L1107"/>
  <c r="J1107"/>
  <c r="L1106"/>
  <c r="J1106"/>
  <c r="L1105"/>
  <c r="J1105"/>
  <c r="L1104"/>
  <c r="J1104"/>
  <c r="L1103"/>
  <c r="J1103"/>
  <c r="L1102"/>
  <c r="J1102"/>
  <c r="L1101"/>
  <c r="J1101"/>
  <c r="L1100"/>
  <c r="J1100"/>
  <c r="L1099"/>
  <c r="J1099"/>
  <c r="L1098"/>
  <c r="J1098"/>
  <c r="L1097"/>
  <c r="J1097"/>
  <c r="L1096"/>
  <c r="J1096"/>
  <c r="L1095"/>
  <c r="J1095"/>
  <c r="L1094"/>
  <c r="J1094"/>
  <c r="L1093"/>
  <c r="J1093"/>
  <c r="L1092"/>
  <c r="J1092"/>
  <c r="L1091"/>
  <c r="J1091"/>
  <c r="L1090"/>
  <c r="J1090"/>
  <c r="L1089"/>
  <c r="J1089"/>
  <c r="L1088"/>
  <c r="J1088"/>
  <c r="L1087"/>
  <c r="J1087"/>
  <c r="L1086"/>
  <c r="J1086"/>
  <c r="L1085"/>
  <c r="J1085"/>
  <c r="L1084"/>
  <c r="J1084"/>
  <c r="L1083"/>
  <c r="J1083"/>
  <c r="L1082"/>
  <c r="J1082"/>
  <c r="L1081"/>
  <c r="J1081"/>
  <c r="L1080"/>
  <c r="J1080"/>
  <c r="L1079"/>
  <c r="J1079"/>
  <c r="L1078"/>
  <c r="J1078"/>
  <c r="L1077"/>
  <c r="J1077"/>
  <c r="L1076"/>
  <c r="J1076"/>
  <c r="L1075"/>
  <c r="J1075"/>
  <c r="L1074"/>
  <c r="J1074"/>
  <c r="L1073"/>
  <c r="J1073"/>
  <c r="L1072"/>
  <c r="J1072"/>
  <c r="L1071"/>
  <c r="J1071"/>
  <c r="L1070"/>
  <c r="J1070"/>
  <c r="L1069"/>
  <c r="J1069"/>
  <c r="L1068"/>
  <c r="J1068"/>
  <c r="L1067"/>
  <c r="J1067"/>
  <c r="L1066"/>
  <c r="J1066"/>
  <c r="L1065"/>
  <c r="J1065"/>
  <c r="L1064"/>
  <c r="J1064"/>
  <c r="L1063"/>
  <c r="J1063"/>
  <c r="L1062"/>
  <c r="J1062"/>
  <c r="L1061"/>
  <c r="J1061"/>
  <c r="L1060"/>
  <c r="J1060"/>
  <c r="L1059"/>
  <c r="J1059"/>
  <c r="L1058"/>
  <c r="J1058"/>
  <c r="L1057"/>
  <c r="J1057"/>
  <c r="L1056"/>
  <c r="J1056"/>
  <c r="L1055"/>
  <c r="J1055"/>
  <c r="L1054"/>
  <c r="J1054"/>
  <c r="L1053"/>
  <c r="J1053"/>
  <c r="L1052"/>
  <c r="J1052"/>
  <c r="L1051"/>
  <c r="J1051"/>
  <c r="L1050"/>
  <c r="J1050"/>
  <c r="L1049"/>
  <c r="J1049"/>
  <c r="L1048"/>
  <c r="J1048"/>
  <c r="L1047"/>
  <c r="J1047"/>
  <c r="L1046"/>
  <c r="J1046"/>
  <c r="L1045"/>
  <c r="J1045"/>
  <c r="L1044"/>
  <c r="J1044"/>
  <c r="L1043"/>
  <c r="J1043"/>
  <c r="L1042"/>
  <c r="J1042"/>
  <c r="L1041"/>
  <c r="J1041"/>
  <c r="L1040"/>
  <c r="J1040"/>
  <c r="L1039"/>
  <c r="J1039"/>
  <c r="L1038"/>
  <c r="J1038"/>
  <c r="L1037"/>
  <c r="J1037"/>
  <c r="L1036"/>
  <c r="J1036"/>
  <c r="L1035"/>
  <c r="J1035"/>
  <c r="L1034"/>
  <c r="J1034"/>
  <c r="L1033"/>
  <c r="J1033"/>
  <c r="L1032"/>
  <c r="J1032"/>
  <c r="L1031"/>
  <c r="J1031"/>
  <c r="L1030"/>
  <c r="J1030"/>
  <c r="L1029"/>
  <c r="J1029"/>
  <c r="L1028"/>
  <c r="J1028"/>
  <c r="L1027"/>
  <c r="J1027"/>
  <c r="L1026"/>
  <c r="J1026"/>
  <c r="L1025"/>
  <c r="J1025"/>
  <c r="L1024"/>
  <c r="J1024"/>
  <c r="L1023"/>
  <c r="J1023"/>
  <c r="L1022"/>
  <c r="J1022"/>
  <c r="L1021"/>
  <c r="J1021"/>
  <c r="L1020"/>
  <c r="J1020"/>
  <c r="L1019"/>
  <c r="J1019"/>
  <c r="C1019"/>
  <c r="B1019"/>
  <c r="L1018"/>
  <c r="J1018"/>
  <c r="L1017"/>
  <c r="J1017"/>
  <c r="C1017"/>
  <c r="B1017"/>
  <c r="L1016"/>
  <c r="J1016"/>
  <c r="L1015"/>
  <c r="J1015"/>
  <c r="C1015"/>
  <c r="B1015"/>
  <c r="L1014"/>
  <c r="J1014"/>
  <c r="L1013"/>
  <c r="J1013"/>
  <c r="C1013"/>
  <c r="B1013"/>
  <c r="L1012"/>
  <c r="J1012"/>
  <c r="L1011"/>
  <c r="J1011"/>
  <c r="C1011"/>
  <c r="B1011"/>
  <c r="L1010"/>
  <c r="J1010"/>
  <c r="C8"/>
  <c r="L1009" s="1"/>
  <c r="B8"/>
  <c r="J1009" s="1"/>
  <c r="C7"/>
  <c r="B7"/>
  <c r="C6"/>
  <c r="B6"/>
  <c r="C4"/>
  <c r="C3"/>
  <c r="B4"/>
  <c r="B5" s="1"/>
  <c r="B3"/>
  <c r="L510" i="6"/>
  <c r="L511" s="1"/>
  <c r="L512" s="1"/>
  <c r="L513" s="1"/>
  <c r="L514" s="1"/>
  <c r="L515" s="1"/>
  <c r="L516" s="1"/>
  <c r="L517" s="1"/>
  <c r="L518" s="1"/>
  <c r="L519" s="1"/>
  <c r="L520" s="1"/>
  <c r="L521" s="1"/>
  <c r="L522" s="1"/>
  <c r="L523" s="1"/>
  <c r="L524" s="1"/>
  <c r="L525" s="1"/>
  <c r="L526" s="1"/>
  <c r="L527" s="1"/>
  <c r="L528" s="1"/>
  <c r="L529" s="1"/>
  <c r="L530" s="1"/>
  <c r="L531" s="1"/>
  <c r="L532" s="1"/>
  <c r="L533" s="1"/>
  <c r="L534" s="1"/>
  <c r="L535" s="1"/>
  <c r="L536" s="1"/>
  <c r="L537" s="1"/>
  <c r="L538" s="1"/>
  <c r="L539" s="1"/>
  <c r="L540" s="1"/>
  <c r="L541" s="1"/>
  <c r="L542" s="1"/>
  <c r="L543" s="1"/>
  <c r="L544" s="1"/>
  <c r="L545" s="1"/>
  <c r="L546" s="1"/>
  <c r="L547" s="1"/>
  <c r="L548" s="1"/>
  <c r="L549" s="1"/>
  <c r="L550" s="1"/>
  <c r="L551" s="1"/>
  <c r="L552" s="1"/>
  <c r="L553" s="1"/>
  <c r="L554" s="1"/>
  <c r="L555" s="1"/>
  <c r="L556" s="1"/>
  <c r="L557" s="1"/>
  <c r="L558" s="1"/>
  <c r="L559" s="1"/>
  <c r="L560" s="1"/>
  <c r="L561" s="1"/>
  <c r="L562" s="1"/>
  <c r="L563" s="1"/>
  <c r="L564" s="1"/>
  <c r="L565" s="1"/>
  <c r="L566" s="1"/>
  <c r="L567" s="1"/>
  <c r="L568" s="1"/>
  <c r="L569" s="1"/>
  <c r="L570" s="1"/>
  <c r="L571" s="1"/>
  <c r="L572" s="1"/>
  <c r="L573" s="1"/>
  <c r="L574" s="1"/>
  <c r="L575" s="1"/>
  <c r="L576" s="1"/>
  <c r="L577" s="1"/>
  <c r="L578" s="1"/>
  <c r="L579" s="1"/>
  <c r="L580" s="1"/>
  <c r="L581" s="1"/>
  <c r="L582" s="1"/>
  <c r="L583" s="1"/>
  <c r="L584" s="1"/>
  <c r="L585" s="1"/>
  <c r="L586" s="1"/>
  <c r="L587" s="1"/>
  <c r="L588" s="1"/>
  <c r="L589" s="1"/>
  <c r="L590" s="1"/>
  <c r="L591" s="1"/>
  <c r="L592" s="1"/>
  <c r="L593" s="1"/>
  <c r="L594" s="1"/>
  <c r="L595" s="1"/>
  <c r="L596" s="1"/>
  <c r="L597" s="1"/>
  <c r="L598" s="1"/>
  <c r="L599" s="1"/>
  <c r="L600" s="1"/>
  <c r="L601" s="1"/>
  <c r="L602" s="1"/>
  <c r="L603" s="1"/>
  <c r="L604" s="1"/>
  <c r="L605" s="1"/>
  <c r="L606" s="1"/>
  <c r="L607" s="1"/>
  <c r="L608" s="1"/>
  <c r="L609" s="1"/>
  <c r="L610" s="1"/>
  <c r="L611" s="1"/>
  <c r="L612" s="1"/>
  <c r="L613" s="1"/>
  <c r="L614" s="1"/>
  <c r="L615" s="1"/>
  <c r="L616" s="1"/>
  <c r="L617" s="1"/>
  <c r="L618" s="1"/>
  <c r="L619" s="1"/>
  <c r="L620" s="1"/>
  <c r="L621" s="1"/>
  <c r="L622" s="1"/>
  <c r="L623" s="1"/>
  <c r="L624" s="1"/>
  <c r="L625" s="1"/>
  <c r="L626" s="1"/>
  <c r="L627" s="1"/>
  <c r="L628" s="1"/>
  <c r="L629" s="1"/>
  <c r="L630" s="1"/>
  <c r="L631" s="1"/>
  <c r="L632" s="1"/>
  <c r="L633" s="1"/>
  <c r="L634" s="1"/>
  <c r="L635" s="1"/>
  <c r="L636" s="1"/>
  <c r="L637" s="1"/>
  <c r="L638" s="1"/>
  <c r="L639" s="1"/>
  <c r="L640" s="1"/>
  <c r="L641" s="1"/>
  <c r="L642" s="1"/>
  <c r="L643" s="1"/>
  <c r="L644" s="1"/>
  <c r="L645" s="1"/>
  <c r="L646" s="1"/>
  <c r="L647" s="1"/>
  <c r="L648" s="1"/>
  <c r="L649" s="1"/>
  <c r="L650" s="1"/>
  <c r="L651" s="1"/>
  <c r="L652" s="1"/>
  <c r="L653" s="1"/>
  <c r="L654" s="1"/>
  <c r="L655" s="1"/>
  <c r="L656" s="1"/>
  <c r="L657" s="1"/>
  <c r="L658" s="1"/>
  <c r="L659" s="1"/>
  <c r="L660" s="1"/>
  <c r="L661" s="1"/>
  <c r="L662" s="1"/>
  <c r="L663" s="1"/>
  <c r="L664" s="1"/>
  <c r="L665" s="1"/>
  <c r="L666" s="1"/>
  <c r="L667" s="1"/>
  <c r="L668" s="1"/>
  <c r="L669" s="1"/>
  <c r="L670" s="1"/>
  <c r="L671" s="1"/>
  <c r="L672" s="1"/>
  <c r="L673" s="1"/>
  <c r="L674" s="1"/>
  <c r="L675" s="1"/>
  <c r="L676" s="1"/>
  <c r="L677" s="1"/>
  <c r="L678" s="1"/>
  <c r="L679" s="1"/>
  <c r="L680" s="1"/>
  <c r="L681" s="1"/>
  <c r="L682" s="1"/>
  <c r="L683" s="1"/>
  <c r="L684" s="1"/>
  <c r="L685" s="1"/>
  <c r="L686" s="1"/>
  <c r="L687" s="1"/>
  <c r="L688" s="1"/>
  <c r="L689" s="1"/>
  <c r="L690" s="1"/>
  <c r="L691" s="1"/>
  <c r="L692" s="1"/>
  <c r="L693" s="1"/>
  <c r="L694" s="1"/>
  <c r="L695" s="1"/>
  <c r="L696" s="1"/>
  <c r="L697" s="1"/>
  <c r="L698" s="1"/>
  <c r="L699" s="1"/>
  <c r="L700" s="1"/>
  <c r="L701" s="1"/>
  <c r="L702" s="1"/>
  <c r="L703" s="1"/>
  <c r="L704" s="1"/>
  <c r="L705" s="1"/>
  <c r="L706" s="1"/>
  <c r="L707" s="1"/>
  <c r="L708" s="1"/>
  <c r="L709" s="1"/>
  <c r="L710" s="1"/>
  <c r="L711" s="1"/>
  <c r="L712" s="1"/>
  <c r="L713" s="1"/>
  <c r="L714" s="1"/>
  <c r="L715" s="1"/>
  <c r="L716" s="1"/>
  <c r="L717" s="1"/>
  <c r="L718" s="1"/>
  <c r="L719" s="1"/>
  <c r="L720" s="1"/>
  <c r="L721" s="1"/>
  <c r="L722" s="1"/>
  <c r="L723" s="1"/>
  <c r="L724" s="1"/>
  <c r="L725" s="1"/>
  <c r="L726" s="1"/>
  <c r="L727" s="1"/>
  <c r="L728" s="1"/>
  <c r="L729" s="1"/>
  <c r="L730" s="1"/>
  <c r="L731" s="1"/>
  <c r="L732" s="1"/>
  <c r="L733" s="1"/>
  <c r="L734" s="1"/>
  <c r="L735" s="1"/>
  <c r="L736" s="1"/>
  <c r="L737" s="1"/>
  <c r="L738" s="1"/>
  <c r="L739" s="1"/>
  <c r="L740" s="1"/>
  <c r="L741" s="1"/>
  <c r="L742" s="1"/>
  <c r="L743" s="1"/>
  <c r="L744" s="1"/>
  <c r="L745" s="1"/>
  <c r="L746" s="1"/>
  <c r="L747" s="1"/>
  <c r="L748" s="1"/>
  <c r="L749" s="1"/>
  <c r="L750" s="1"/>
  <c r="L751" s="1"/>
  <c r="L752" s="1"/>
  <c r="L753" s="1"/>
  <c r="L754" s="1"/>
  <c r="L755" s="1"/>
  <c r="L756" s="1"/>
  <c r="L757" s="1"/>
  <c r="L758" s="1"/>
  <c r="L759" s="1"/>
  <c r="L760" s="1"/>
  <c r="L761" s="1"/>
  <c r="L762" s="1"/>
  <c r="L763" s="1"/>
  <c r="L764" s="1"/>
  <c r="L765" s="1"/>
  <c r="L766" s="1"/>
  <c r="L767" s="1"/>
  <c r="L768" s="1"/>
  <c r="L769" s="1"/>
  <c r="L770" s="1"/>
  <c r="L771" s="1"/>
  <c r="L772" s="1"/>
  <c r="L773" s="1"/>
  <c r="L774" s="1"/>
  <c r="L775" s="1"/>
  <c r="L776" s="1"/>
  <c r="L777" s="1"/>
  <c r="L778" s="1"/>
  <c r="L779" s="1"/>
  <c r="L780" s="1"/>
  <c r="L781" s="1"/>
  <c r="L782" s="1"/>
  <c r="L783" s="1"/>
  <c r="L784" s="1"/>
  <c r="L785" s="1"/>
  <c r="L786" s="1"/>
  <c r="L787" s="1"/>
  <c r="L788" s="1"/>
  <c r="L789" s="1"/>
  <c r="L790" s="1"/>
  <c r="L791" s="1"/>
  <c r="L792" s="1"/>
  <c r="L793" s="1"/>
  <c r="L794" s="1"/>
  <c r="L795" s="1"/>
  <c r="L796" s="1"/>
  <c r="L797" s="1"/>
  <c r="L798" s="1"/>
  <c r="L799" s="1"/>
  <c r="L800" s="1"/>
  <c r="L801" s="1"/>
  <c r="L802" s="1"/>
  <c r="L803" s="1"/>
  <c r="L804" s="1"/>
  <c r="L805" s="1"/>
  <c r="L806" s="1"/>
  <c r="L807" s="1"/>
  <c r="L808" s="1"/>
  <c r="L809" s="1"/>
  <c r="L810" s="1"/>
  <c r="L811" s="1"/>
  <c r="L812" s="1"/>
  <c r="L813" s="1"/>
  <c r="L814" s="1"/>
  <c r="L815" s="1"/>
  <c r="L816" s="1"/>
  <c r="L817" s="1"/>
  <c r="L818" s="1"/>
  <c r="L819" s="1"/>
  <c r="L820" s="1"/>
  <c r="L821" s="1"/>
  <c r="L822" s="1"/>
  <c r="L823" s="1"/>
  <c r="L824" s="1"/>
  <c r="L825" s="1"/>
  <c r="L826" s="1"/>
  <c r="L827" s="1"/>
  <c r="L828" s="1"/>
  <c r="L829" s="1"/>
  <c r="L830" s="1"/>
  <c r="L831" s="1"/>
  <c r="L832" s="1"/>
  <c r="L833" s="1"/>
  <c r="L834" s="1"/>
  <c r="L835" s="1"/>
  <c r="L836" s="1"/>
  <c r="L837" s="1"/>
  <c r="L838" s="1"/>
  <c r="L839" s="1"/>
  <c r="L840" s="1"/>
  <c r="L841" s="1"/>
  <c r="L842" s="1"/>
  <c r="L843" s="1"/>
  <c r="L844" s="1"/>
  <c r="L845" s="1"/>
  <c r="L846" s="1"/>
  <c r="L847" s="1"/>
  <c r="L848" s="1"/>
  <c r="L849" s="1"/>
  <c r="L850" s="1"/>
  <c r="L851" s="1"/>
  <c r="L852" s="1"/>
  <c r="L853" s="1"/>
  <c r="L854" s="1"/>
  <c r="L855" s="1"/>
  <c r="L856" s="1"/>
  <c r="L857" s="1"/>
  <c r="L858" s="1"/>
  <c r="L859" s="1"/>
  <c r="L860" s="1"/>
  <c r="L861" s="1"/>
  <c r="L862" s="1"/>
  <c r="L863" s="1"/>
  <c r="L864" s="1"/>
  <c r="L865" s="1"/>
  <c r="L866" s="1"/>
  <c r="L867" s="1"/>
  <c r="L868" s="1"/>
  <c r="L869" s="1"/>
  <c r="L870" s="1"/>
  <c r="L871" s="1"/>
  <c r="L872" s="1"/>
  <c r="L873" s="1"/>
  <c r="L874" s="1"/>
  <c r="L875" s="1"/>
  <c r="L876" s="1"/>
  <c r="L877" s="1"/>
  <c r="L878" s="1"/>
  <c r="L879" s="1"/>
  <c r="L880" s="1"/>
  <c r="L881" s="1"/>
  <c r="L882" s="1"/>
  <c r="L883" s="1"/>
  <c r="L884" s="1"/>
  <c r="L885" s="1"/>
  <c r="L886" s="1"/>
  <c r="L887" s="1"/>
  <c r="L888" s="1"/>
  <c r="L889" s="1"/>
  <c r="L890" s="1"/>
  <c r="L891" s="1"/>
  <c r="L892" s="1"/>
  <c r="L893" s="1"/>
  <c r="L894" s="1"/>
  <c r="L895" s="1"/>
  <c r="L896" s="1"/>
  <c r="L897" s="1"/>
  <c r="L898" s="1"/>
  <c r="L899" s="1"/>
  <c r="L900" s="1"/>
  <c r="L901" s="1"/>
  <c r="L902" s="1"/>
  <c r="L903" s="1"/>
  <c r="L904" s="1"/>
  <c r="L905" s="1"/>
  <c r="L906" s="1"/>
  <c r="L907" s="1"/>
  <c r="L908" s="1"/>
  <c r="L909" s="1"/>
  <c r="L910" s="1"/>
  <c r="L911" s="1"/>
  <c r="L912" s="1"/>
  <c r="L913" s="1"/>
  <c r="L914" s="1"/>
  <c r="L915" s="1"/>
  <c r="L916" s="1"/>
  <c r="L917" s="1"/>
  <c r="L918" s="1"/>
  <c r="L919" s="1"/>
  <c r="L920" s="1"/>
  <c r="L921" s="1"/>
  <c r="L922" s="1"/>
  <c r="L923" s="1"/>
  <c r="L924" s="1"/>
  <c r="L925" s="1"/>
  <c r="L926" s="1"/>
  <c r="L927" s="1"/>
  <c r="L928" s="1"/>
  <c r="L929" s="1"/>
  <c r="L930" s="1"/>
  <c r="L931" s="1"/>
  <c r="L932" s="1"/>
  <c r="L933" s="1"/>
  <c r="L934" s="1"/>
  <c r="L935" s="1"/>
  <c r="L936" s="1"/>
  <c r="L937" s="1"/>
  <c r="L938" s="1"/>
  <c r="L939" s="1"/>
  <c r="L940" s="1"/>
  <c r="L941" s="1"/>
  <c r="L942" s="1"/>
  <c r="L943" s="1"/>
  <c r="L944" s="1"/>
  <c r="L945" s="1"/>
  <c r="L946" s="1"/>
  <c r="L947" s="1"/>
  <c r="L948" s="1"/>
  <c r="L949" s="1"/>
  <c r="L950" s="1"/>
  <c r="L951" s="1"/>
  <c r="L952" s="1"/>
  <c r="L953" s="1"/>
  <c r="L954" s="1"/>
  <c r="L955" s="1"/>
  <c r="L956" s="1"/>
  <c r="L957" s="1"/>
  <c r="L958" s="1"/>
  <c r="L959" s="1"/>
  <c r="L960" s="1"/>
  <c r="L961" s="1"/>
  <c r="L962" s="1"/>
  <c r="L963" s="1"/>
  <c r="L964" s="1"/>
  <c r="L965" s="1"/>
  <c r="L966" s="1"/>
  <c r="L967" s="1"/>
  <c r="L968" s="1"/>
  <c r="L969" s="1"/>
  <c r="L970" s="1"/>
  <c r="L971" s="1"/>
  <c r="L972" s="1"/>
  <c r="L973" s="1"/>
  <c r="L974" s="1"/>
  <c r="L975" s="1"/>
  <c r="L976" s="1"/>
  <c r="L977" s="1"/>
  <c r="L978" s="1"/>
  <c r="L979" s="1"/>
  <c r="L980" s="1"/>
  <c r="L981" s="1"/>
  <c r="L982" s="1"/>
  <c r="L983" s="1"/>
  <c r="L984" s="1"/>
  <c r="L985" s="1"/>
  <c r="L986" s="1"/>
  <c r="L987" s="1"/>
  <c r="L988" s="1"/>
  <c r="L989" s="1"/>
  <c r="L990" s="1"/>
  <c r="L991" s="1"/>
  <c r="L992" s="1"/>
  <c r="L993" s="1"/>
  <c r="L994" s="1"/>
  <c r="L995" s="1"/>
  <c r="L996" s="1"/>
  <c r="L997" s="1"/>
  <c r="L998" s="1"/>
  <c r="L999" s="1"/>
  <c r="L1000" s="1"/>
  <c r="L1001" s="1"/>
  <c r="L1002" s="1"/>
  <c r="L1003" s="1"/>
  <c r="L1004" s="1"/>
  <c r="L1005" s="1"/>
  <c r="L1006" s="1"/>
  <c r="L1007" s="1"/>
  <c r="L1008" s="1"/>
  <c r="K1008"/>
  <c r="J510"/>
  <c r="J511"/>
  <c r="J512" s="1"/>
  <c r="J513" s="1"/>
  <c r="J514" s="1"/>
  <c r="J515" s="1"/>
  <c r="J516" s="1"/>
  <c r="J517" s="1"/>
  <c r="J518" s="1"/>
  <c r="J519" s="1"/>
  <c r="J520" s="1"/>
  <c r="J521" s="1"/>
  <c r="J522" s="1"/>
  <c r="J523" s="1"/>
  <c r="J524" s="1"/>
  <c r="J525" s="1"/>
  <c r="J526" s="1"/>
  <c r="J527" s="1"/>
  <c r="J528" s="1"/>
  <c r="J529" s="1"/>
  <c r="J530" s="1"/>
  <c r="J531" s="1"/>
  <c r="J532" s="1"/>
  <c r="J533" s="1"/>
  <c r="J534" s="1"/>
  <c r="J535" s="1"/>
  <c r="J536" s="1"/>
  <c r="J537" s="1"/>
  <c r="J538" s="1"/>
  <c r="J539" s="1"/>
  <c r="J540" s="1"/>
  <c r="J541" s="1"/>
  <c r="J542" s="1"/>
  <c r="J543" s="1"/>
  <c r="J544" s="1"/>
  <c r="J545" s="1"/>
  <c r="J546" s="1"/>
  <c r="J547" s="1"/>
  <c r="J548" s="1"/>
  <c r="J549" s="1"/>
  <c r="J550" s="1"/>
  <c r="J551" s="1"/>
  <c r="J552" s="1"/>
  <c r="J553" s="1"/>
  <c r="J554" s="1"/>
  <c r="J555" s="1"/>
  <c r="J556" s="1"/>
  <c r="J557" s="1"/>
  <c r="J558" s="1"/>
  <c r="J559" s="1"/>
  <c r="J560" s="1"/>
  <c r="J561" s="1"/>
  <c r="J562" s="1"/>
  <c r="J563" s="1"/>
  <c r="J564" s="1"/>
  <c r="J565" s="1"/>
  <c r="J566" s="1"/>
  <c r="J567" s="1"/>
  <c r="J568" s="1"/>
  <c r="J569" s="1"/>
  <c r="J570" s="1"/>
  <c r="J571" s="1"/>
  <c r="J572" s="1"/>
  <c r="J573" s="1"/>
  <c r="J574" s="1"/>
  <c r="J575" s="1"/>
  <c r="J576" s="1"/>
  <c r="J577" s="1"/>
  <c r="J578" s="1"/>
  <c r="J579" s="1"/>
  <c r="J580" s="1"/>
  <c r="J581" s="1"/>
  <c r="J582" s="1"/>
  <c r="J583" s="1"/>
  <c r="J584" s="1"/>
  <c r="J585" s="1"/>
  <c r="J586" s="1"/>
  <c r="J587" s="1"/>
  <c r="J588" s="1"/>
  <c r="J589" s="1"/>
  <c r="J590" s="1"/>
  <c r="J591" s="1"/>
  <c r="J592" s="1"/>
  <c r="J593" s="1"/>
  <c r="J594" s="1"/>
  <c r="J595" s="1"/>
  <c r="J596" s="1"/>
  <c r="J597" s="1"/>
  <c r="J598" s="1"/>
  <c r="J599" s="1"/>
  <c r="J600" s="1"/>
  <c r="J601" s="1"/>
  <c r="J602" s="1"/>
  <c r="J603" s="1"/>
  <c r="J604" s="1"/>
  <c r="J605" s="1"/>
  <c r="J606" s="1"/>
  <c r="J607" s="1"/>
  <c r="J608" s="1"/>
  <c r="J609" s="1"/>
  <c r="J610" s="1"/>
  <c r="J611" s="1"/>
  <c r="J612" s="1"/>
  <c r="J613" s="1"/>
  <c r="J614" s="1"/>
  <c r="J615" s="1"/>
  <c r="J616" s="1"/>
  <c r="J617" s="1"/>
  <c r="J618" s="1"/>
  <c r="J619" s="1"/>
  <c r="J620" s="1"/>
  <c r="J621" s="1"/>
  <c r="J622" s="1"/>
  <c r="J623" s="1"/>
  <c r="J624" s="1"/>
  <c r="J625" s="1"/>
  <c r="J626" s="1"/>
  <c r="J627" s="1"/>
  <c r="J628" s="1"/>
  <c r="J629" s="1"/>
  <c r="J630" s="1"/>
  <c r="J631" s="1"/>
  <c r="J632" s="1"/>
  <c r="J633" s="1"/>
  <c r="J634" s="1"/>
  <c r="J635" s="1"/>
  <c r="J636" s="1"/>
  <c r="J637" s="1"/>
  <c r="J638" s="1"/>
  <c r="J639" s="1"/>
  <c r="J640" s="1"/>
  <c r="J641" s="1"/>
  <c r="J642" s="1"/>
  <c r="J643" s="1"/>
  <c r="J644" s="1"/>
  <c r="J645" s="1"/>
  <c r="J646" s="1"/>
  <c r="J647" s="1"/>
  <c r="J648" s="1"/>
  <c r="J649" s="1"/>
  <c r="J650" s="1"/>
  <c r="J651" s="1"/>
  <c r="J652" s="1"/>
  <c r="J653" s="1"/>
  <c r="J654" s="1"/>
  <c r="J655" s="1"/>
  <c r="J656" s="1"/>
  <c r="J657" s="1"/>
  <c r="J658" s="1"/>
  <c r="J659" s="1"/>
  <c r="J660" s="1"/>
  <c r="J661" s="1"/>
  <c r="J662" s="1"/>
  <c r="J663" s="1"/>
  <c r="J664" s="1"/>
  <c r="J665" s="1"/>
  <c r="J666" s="1"/>
  <c r="J667" s="1"/>
  <c r="J668" s="1"/>
  <c r="J669" s="1"/>
  <c r="J670" s="1"/>
  <c r="J671" s="1"/>
  <c r="J672" s="1"/>
  <c r="J673" s="1"/>
  <c r="J674" s="1"/>
  <c r="J675" s="1"/>
  <c r="J676" s="1"/>
  <c r="J677" s="1"/>
  <c r="J678" s="1"/>
  <c r="J679" s="1"/>
  <c r="J680" s="1"/>
  <c r="J681" s="1"/>
  <c r="J682" s="1"/>
  <c r="J683" s="1"/>
  <c r="J684" s="1"/>
  <c r="J685" s="1"/>
  <c r="J686" s="1"/>
  <c r="J687" s="1"/>
  <c r="J688" s="1"/>
  <c r="J689" s="1"/>
  <c r="J690" s="1"/>
  <c r="J691" s="1"/>
  <c r="J692" s="1"/>
  <c r="J693" s="1"/>
  <c r="J694" s="1"/>
  <c r="J695" s="1"/>
  <c r="J696" s="1"/>
  <c r="J697" s="1"/>
  <c r="J698" s="1"/>
  <c r="J699" s="1"/>
  <c r="J700" s="1"/>
  <c r="J701" s="1"/>
  <c r="J702" s="1"/>
  <c r="J703" s="1"/>
  <c r="J704" s="1"/>
  <c r="J705" s="1"/>
  <c r="J706" s="1"/>
  <c r="J707" s="1"/>
  <c r="J708" s="1"/>
  <c r="J709" s="1"/>
  <c r="J710" s="1"/>
  <c r="J711" s="1"/>
  <c r="J712" s="1"/>
  <c r="J713" s="1"/>
  <c r="J714" s="1"/>
  <c r="J715" s="1"/>
  <c r="J716" s="1"/>
  <c r="J717" s="1"/>
  <c r="J718" s="1"/>
  <c r="J719" s="1"/>
  <c r="J720" s="1"/>
  <c r="J721" s="1"/>
  <c r="J722" s="1"/>
  <c r="J723" s="1"/>
  <c r="J724" s="1"/>
  <c r="J725" s="1"/>
  <c r="J726" s="1"/>
  <c r="J727" s="1"/>
  <c r="J728" s="1"/>
  <c r="J729" s="1"/>
  <c r="J730" s="1"/>
  <c r="J731" s="1"/>
  <c r="J732" s="1"/>
  <c r="J733" s="1"/>
  <c r="J734" s="1"/>
  <c r="J735" s="1"/>
  <c r="J736" s="1"/>
  <c r="J737" s="1"/>
  <c r="J738" s="1"/>
  <c r="J739" s="1"/>
  <c r="J740" s="1"/>
  <c r="J741" s="1"/>
  <c r="J742" s="1"/>
  <c r="J743" s="1"/>
  <c r="J744" s="1"/>
  <c r="J745" s="1"/>
  <c r="J746" s="1"/>
  <c r="J747" s="1"/>
  <c r="J748" s="1"/>
  <c r="J749" s="1"/>
  <c r="J750" s="1"/>
  <c r="J751" s="1"/>
  <c r="J752" s="1"/>
  <c r="J753" s="1"/>
  <c r="J754" s="1"/>
  <c r="J755" s="1"/>
  <c r="J756" s="1"/>
  <c r="J757" s="1"/>
  <c r="J758" s="1"/>
  <c r="J759" s="1"/>
  <c r="J760" s="1"/>
  <c r="J761" s="1"/>
  <c r="J762" s="1"/>
  <c r="J763" s="1"/>
  <c r="J764" s="1"/>
  <c r="J765" s="1"/>
  <c r="J766" s="1"/>
  <c r="J767" s="1"/>
  <c r="J768" s="1"/>
  <c r="J769" s="1"/>
  <c r="J770" s="1"/>
  <c r="J771" s="1"/>
  <c r="J772" s="1"/>
  <c r="J773" s="1"/>
  <c r="J774" s="1"/>
  <c r="J775" s="1"/>
  <c r="J776" s="1"/>
  <c r="J777" s="1"/>
  <c r="J778" s="1"/>
  <c r="J779" s="1"/>
  <c r="J780" s="1"/>
  <c r="J781" s="1"/>
  <c r="J782" s="1"/>
  <c r="J783" s="1"/>
  <c r="J784" s="1"/>
  <c r="J785" s="1"/>
  <c r="J786" s="1"/>
  <c r="J787" s="1"/>
  <c r="J788" s="1"/>
  <c r="J789" s="1"/>
  <c r="J790" s="1"/>
  <c r="J791" s="1"/>
  <c r="J792" s="1"/>
  <c r="J793" s="1"/>
  <c r="J794" s="1"/>
  <c r="J795" s="1"/>
  <c r="J796" s="1"/>
  <c r="J797" s="1"/>
  <c r="J798" s="1"/>
  <c r="J799" s="1"/>
  <c r="J800" s="1"/>
  <c r="J801" s="1"/>
  <c r="J802" s="1"/>
  <c r="J803" s="1"/>
  <c r="J804" s="1"/>
  <c r="J805" s="1"/>
  <c r="J806" s="1"/>
  <c r="J807" s="1"/>
  <c r="J808" s="1"/>
  <c r="J809" s="1"/>
  <c r="J810" s="1"/>
  <c r="J811" s="1"/>
  <c r="J812" s="1"/>
  <c r="J813" s="1"/>
  <c r="J814" s="1"/>
  <c r="J815" s="1"/>
  <c r="J816" s="1"/>
  <c r="J817" s="1"/>
  <c r="J818" s="1"/>
  <c r="J819" s="1"/>
  <c r="J820" s="1"/>
  <c r="J821" s="1"/>
  <c r="J822" s="1"/>
  <c r="J823" s="1"/>
  <c r="J824" s="1"/>
  <c r="J825" s="1"/>
  <c r="J826" s="1"/>
  <c r="J827" s="1"/>
  <c r="J828" s="1"/>
  <c r="J829" s="1"/>
  <c r="J830" s="1"/>
  <c r="J831" s="1"/>
  <c r="J832" s="1"/>
  <c r="J833" s="1"/>
  <c r="J834" s="1"/>
  <c r="J835" s="1"/>
  <c r="J836" s="1"/>
  <c r="J837" s="1"/>
  <c r="J838" s="1"/>
  <c r="J839" s="1"/>
  <c r="J840" s="1"/>
  <c r="J841" s="1"/>
  <c r="J842" s="1"/>
  <c r="J843" s="1"/>
  <c r="J844" s="1"/>
  <c r="J845" s="1"/>
  <c r="J846" s="1"/>
  <c r="J847" s="1"/>
  <c r="J848" s="1"/>
  <c r="J849" s="1"/>
  <c r="J850" s="1"/>
  <c r="J851" s="1"/>
  <c r="J852" s="1"/>
  <c r="J853" s="1"/>
  <c r="J854" s="1"/>
  <c r="J855" s="1"/>
  <c r="J856" s="1"/>
  <c r="J857" s="1"/>
  <c r="J858" s="1"/>
  <c r="J859" s="1"/>
  <c r="J860" s="1"/>
  <c r="J861" s="1"/>
  <c r="J862" s="1"/>
  <c r="J863" s="1"/>
  <c r="J864" s="1"/>
  <c r="J865" s="1"/>
  <c r="J866" s="1"/>
  <c r="J867" s="1"/>
  <c r="J868" s="1"/>
  <c r="J869" s="1"/>
  <c r="J870" s="1"/>
  <c r="J871" s="1"/>
  <c r="J872" s="1"/>
  <c r="J873" s="1"/>
  <c r="J874" s="1"/>
  <c r="J875" s="1"/>
  <c r="J876" s="1"/>
  <c r="J877" s="1"/>
  <c r="J878" s="1"/>
  <c r="J879" s="1"/>
  <c r="J880" s="1"/>
  <c r="J881" s="1"/>
  <c r="J882" s="1"/>
  <c r="J883" s="1"/>
  <c r="J884" s="1"/>
  <c r="J885" s="1"/>
  <c r="J886" s="1"/>
  <c r="J887" s="1"/>
  <c r="J888" s="1"/>
  <c r="J889" s="1"/>
  <c r="J890" s="1"/>
  <c r="J891" s="1"/>
  <c r="J892" s="1"/>
  <c r="J893" s="1"/>
  <c r="J894" s="1"/>
  <c r="J895" s="1"/>
  <c r="J896" s="1"/>
  <c r="J897" s="1"/>
  <c r="J898" s="1"/>
  <c r="J899" s="1"/>
  <c r="J900" s="1"/>
  <c r="J901" s="1"/>
  <c r="J902" s="1"/>
  <c r="J903" s="1"/>
  <c r="J904" s="1"/>
  <c r="J905" s="1"/>
  <c r="J906" s="1"/>
  <c r="J907" s="1"/>
  <c r="J908" s="1"/>
  <c r="J909" s="1"/>
  <c r="J910" s="1"/>
  <c r="J911" s="1"/>
  <c r="J912" s="1"/>
  <c r="J913" s="1"/>
  <c r="J914" s="1"/>
  <c r="J915" s="1"/>
  <c r="J916" s="1"/>
  <c r="J917" s="1"/>
  <c r="J918" s="1"/>
  <c r="J919" s="1"/>
  <c r="J920" s="1"/>
  <c r="J921" s="1"/>
  <c r="J922" s="1"/>
  <c r="J923" s="1"/>
  <c r="J924" s="1"/>
  <c r="J925" s="1"/>
  <c r="J926" s="1"/>
  <c r="J927" s="1"/>
  <c r="J928" s="1"/>
  <c r="J929" s="1"/>
  <c r="J930" s="1"/>
  <c r="J931" s="1"/>
  <c r="J932" s="1"/>
  <c r="J933" s="1"/>
  <c r="J934" s="1"/>
  <c r="J935" s="1"/>
  <c r="J936" s="1"/>
  <c r="J937" s="1"/>
  <c r="J938" s="1"/>
  <c r="J939" s="1"/>
  <c r="J940" s="1"/>
  <c r="J941" s="1"/>
  <c r="J942" s="1"/>
  <c r="J943" s="1"/>
  <c r="J944" s="1"/>
  <c r="J945" s="1"/>
  <c r="J946" s="1"/>
  <c r="J947" s="1"/>
  <c r="J948" s="1"/>
  <c r="J949" s="1"/>
  <c r="J950" s="1"/>
  <c r="J951" s="1"/>
  <c r="J952" s="1"/>
  <c r="J953" s="1"/>
  <c r="J954" s="1"/>
  <c r="J955" s="1"/>
  <c r="J956" s="1"/>
  <c r="J957" s="1"/>
  <c r="J958" s="1"/>
  <c r="J959" s="1"/>
  <c r="J960" s="1"/>
  <c r="J961" s="1"/>
  <c r="J962" s="1"/>
  <c r="J963" s="1"/>
  <c r="J964" s="1"/>
  <c r="J965" s="1"/>
  <c r="J966" s="1"/>
  <c r="J967" s="1"/>
  <c r="J968" s="1"/>
  <c r="J969" s="1"/>
  <c r="J970" s="1"/>
  <c r="J971" s="1"/>
  <c r="J972" s="1"/>
  <c r="J973" s="1"/>
  <c r="J974" s="1"/>
  <c r="J975" s="1"/>
  <c r="J976" s="1"/>
  <c r="J977" s="1"/>
  <c r="J978" s="1"/>
  <c r="J979" s="1"/>
  <c r="J980" s="1"/>
  <c r="J981" s="1"/>
  <c r="J982" s="1"/>
  <c r="J983" s="1"/>
  <c r="J984" s="1"/>
  <c r="J985" s="1"/>
  <c r="J986" s="1"/>
  <c r="J987" s="1"/>
  <c r="J988" s="1"/>
  <c r="J989" s="1"/>
  <c r="J990" s="1"/>
  <c r="J991" s="1"/>
  <c r="J992" s="1"/>
  <c r="J993" s="1"/>
  <c r="J994" s="1"/>
  <c r="J995" s="1"/>
  <c r="J996" s="1"/>
  <c r="J997" s="1"/>
  <c r="J998" s="1"/>
  <c r="J999" s="1"/>
  <c r="J1000" s="1"/>
  <c r="J1001" s="1"/>
  <c r="J1002" s="1"/>
  <c r="J1003" s="1"/>
  <c r="J1004" s="1"/>
  <c r="J1005" s="1"/>
  <c r="J1006" s="1"/>
  <c r="J1007" s="1"/>
  <c r="J1008" s="1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C519"/>
  <c r="B519"/>
  <c r="K518"/>
  <c r="I518"/>
  <c r="K517"/>
  <c r="I517"/>
  <c r="C517"/>
  <c r="B517"/>
  <c r="K516"/>
  <c r="I516"/>
  <c r="K515"/>
  <c r="I515"/>
  <c r="C515"/>
  <c r="B515"/>
  <c r="K514"/>
  <c r="I514"/>
  <c r="K513"/>
  <c r="I513"/>
  <c r="C513"/>
  <c r="B513"/>
  <c r="K512"/>
  <c r="I512"/>
  <c r="K511"/>
  <c r="I511"/>
  <c r="C511"/>
  <c r="B511"/>
  <c r="K510"/>
  <c r="I510"/>
  <c r="K509"/>
  <c r="I509"/>
  <c r="C8"/>
  <c r="K508"/>
  <c r="B8"/>
  <c r="I508"/>
  <c r="C7"/>
  <c r="B7"/>
  <c r="C6"/>
  <c r="B6"/>
  <c r="C4"/>
  <c r="C3"/>
  <c r="B4"/>
  <c r="B5" s="1"/>
  <c r="B3"/>
  <c r="N210" i="4"/>
  <c r="N211"/>
  <c r="N212" s="1"/>
  <c r="N213" s="1"/>
  <c r="N214" s="1"/>
  <c r="N215" s="1"/>
  <c r="N216" s="1"/>
  <c r="N217" s="1"/>
  <c r="N218" s="1"/>
  <c r="N219" s="1"/>
  <c r="N220" s="1"/>
  <c r="N221" s="1"/>
  <c r="N222" s="1"/>
  <c r="N223" s="1"/>
  <c r="N224" s="1"/>
  <c r="N225" s="1"/>
  <c r="N226" s="1"/>
  <c r="N227" s="1"/>
  <c r="N228" s="1"/>
  <c r="N229" s="1"/>
  <c r="N230" s="1"/>
  <c r="N231" s="1"/>
  <c r="N232" s="1"/>
  <c r="N233" s="1"/>
  <c r="N234" s="1"/>
  <c r="N235" s="1"/>
  <c r="N236" s="1"/>
  <c r="N237" s="1"/>
  <c r="N238" s="1"/>
  <c r="N239" s="1"/>
  <c r="N240" s="1"/>
  <c r="N241" s="1"/>
  <c r="N242" s="1"/>
  <c r="N243" s="1"/>
  <c r="N244" s="1"/>
  <c r="N245" s="1"/>
  <c r="N246" s="1"/>
  <c r="N247" s="1"/>
  <c r="N248" s="1"/>
  <c r="N249" s="1"/>
  <c r="N250" s="1"/>
  <c r="N251" s="1"/>
  <c r="N252" s="1"/>
  <c r="N253" s="1"/>
  <c r="N254" s="1"/>
  <c r="N255" s="1"/>
  <c r="N256" s="1"/>
  <c r="N257" s="1"/>
  <c r="N258" s="1"/>
  <c r="N259" s="1"/>
  <c r="N260" s="1"/>
  <c r="N261" s="1"/>
  <c r="N262" s="1"/>
  <c r="N263" s="1"/>
  <c r="N264" s="1"/>
  <c r="N265" s="1"/>
  <c r="N266" s="1"/>
  <c r="N267" s="1"/>
  <c r="N268" s="1"/>
  <c r="N269" s="1"/>
  <c r="N270" s="1"/>
  <c r="N271" s="1"/>
  <c r="N272" s="1"/>
  <c r="N273" s="1"/>
  <c r="N274" s="1"/>
  <c r="N275" s="1"/>
  <c r="N276" s="1"/>
  <c r="N277" s="1"/>
  <c r="N278" s="1"/>
  <c r="N279" s="1"/>
  <c r="N280" s="1"/>
  <c r="N281" s="1"/>
  <c r="N282" s="1"/>
  <c r="N283" s="1"/>
  <c r="N284" s="1"/>
  <c r="N285" s="1"/>
  <c r="N286" s="1"/>
  <c r="N287" s="1"/>
  <c r="N288" s="1"/>
  <c r="N289" s="1"/>
  <c r="N290" s="1"/>
  <c r="N291" s="1"/>
  <c r="N292" s="1"/>
  <c r="N293" s="1"/>
  <c r="N294" s="1"/>
  <c r="N295" s="1"/>
  <c r="N296" s="1"/>
  <c r="N297" s="1"/>
  <c r="N298" s="1"/>
  <c r="N299" s="1"/>
  <c r="N300" s="1"/>
  <c r="N301" s="1"/>
  <c r="N302" s="1"/>
  <c r="N303" s="1"/>
  <c r="N304" s="1"/>
  <c r="N305" s="1"/>
  <c r="N306" s="1"/>
  <c r="N307" s="1"/>
  <c r="N308" s="1"/>
  <c r="N309" s="1"/>
  <c r="N310" s="1"/>
  <c r="N311" s="1"/>
  <c r="N312" s="1"/>
  <c r="N313" s="1"/>
  <c r="N314" s="1"/>
  <c r="N315" s="1"/>
  <c r="N316" s="1"/>
  <c r="N317" s="1"/>
  <c r="N318" s="1"/>
  <c r="N319" s="1"/>
  <c r="N320" s="1"/>
  <c r="N321" s="1"/>
  <c r="N322" s="1"/>
  <c r="N323" s="1"/>
  <c r="N324" s="1"/>
  <c r="N325" s="1"/>
  <c r="N326" s="1"/>
  <c r="N327" s="1"/>
  <c r="N328" s="1"/>
  <c r="N329" s="1"/>
  <c r="N330" s="1"/>
  <c r="N331" s="1"/>
  <c r="N332" s="1"/>
  <c r="N333" s="1"/>
  <c r="N334" s="1"/>
  <c r="N335" s="1"/>
  <c r="N336" s="1"/>
  <c r="N337" s="1"/>
  <c r="N338" s="1"/>
  <c r="N339" s="1"/>
  <c r="N340" s="1"/>
  <c r="N341" s="1"/>
  <c r="N342" s="1"/>
  <c r="N343" s="1"/>
  <c r="N344" s="1"/>
  <c r="N345" s="1"/>
  <c r="N346" s="1"/>
  <c r="N347" s="1"/>
  <c r="N348" s="1"/>
  <c r="N349" s="1"/>
  <c r="N350" s="1"/>
  <c r="N351" s="1"/>
  <c r="N352" s="1"/>
  <c r="N353" s="1"/>
  <c r="N354" s="1"/>
  <c r="N355" s="1"/>
  <c r="N356" s="1"/>
  <c r="N357" s="1"/>
  <c r="N358" s="1"/>
  <c r="N359" s="1"/>
  <c r="N360" s="1"/>
  <c r="N361" s="1"/>
  <c r="N362" s="1"/>
  <c r="N363" s="1"/>
  <c r="N364" s="1"/>
  <c r="N365" s="1"/>
  <c r="N366" s="1"/>
  <c r="N367" s="1"/>
  <c r="N368" s="1"/>
  <c r="N369" s="1"/>
  <c r="N370" s="1"/>
  <c r="N371" s="1"/>
  <c r="N372" s="1"/>
  <c r="N373" s="1"/>
  <c r="N374" s="1"/>
  <c r="N375" s="1"/>
  <c r="N376" s="1"/>
  <c r="N377" s="1"/>
  <c r="N378" s="1"/>
  <c r="N379" s="1"/>
  <c r="N380" s="1"/>
  <c r="N381" s="1"/>
  <c r="N382" s="1"/>
  <c r="N383" s="1"/>
  <c r="N384" s="1"/>
  <c r="N385" s="1"/>
  <c r="N386" s="1"/>
  <c r="N387" s="1"/>
  <c r="N388" s="1"/>
  <c r="N389" s="1"/>
  <c r="N390" s="1"/>
  <c r="N391" s="1"/>
  <c r="N392" s="1"/>
  <c r="N393" s="1"/>
  <c r="N394" s="1"/>
  <c r="N395" s="1"/>
  <c r="N396" s="1"/>
  <c r="N397" s="1"/>
  <c r="N398" s="1"/>
  <c r="N399" s="1"/>
  <c r="N400" s="1"/>
  <c r="N401" s="1"/>
  <c r="N402" s="1"/>
  <c r="N403" s="1"/>
  <c r="N404" s="1"/>
  <c r="N405" s="1"/>
  <c r="N406" s="1"/>
  <c r="N407" s="1"/>
  <c r="N408" s="1"/>
  <c r="M408"/>
  <c r="L210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L279" s="1"/>
  <c r="L280" s="1"/>
  <c r="L281" s="1"/>
  <c r="L282" s="1"/>
  <c r="L283" s="1"/>
  <c r="L284" s="1"/>
  <c r="L285" s="1"/>
  <c r="L286" s="1"/>
  <c r="L287" s="1"/>
  <c r="L288" s="1"/>
  <c r="L289" s="1"/>
  <c r="L290" s="1"/>
  <c r="L291" s="1"/>
  <c r="L292" s="1"/>
  <c r="L293" s="1"/>
  <c r="L294" s="1"/>
  <c r="L295" s="1"/>
  <c r="L296" s="1"/>
  <c r="L297" s="1"/>
  <c r="L298" s="1"/>
  <c r="L299" s="1"/>
  <c r="L300" s="1"/>
  <c r="L301" s="1"/>
  <c r="L302" s="1"/>
  <c r="L303" s="1"/>
  <c r="L304" s="1"/>
  <c r="L305" s="1"/>
  <c r="L306" s="1"/>
  <c r="L307" s="1"/>
  <c r="L308" s="1"/>
  <c r="L309" s="1"/>
  <c r="L310" s="1"/>
  <c r="L311" s="1"/>
  <c r="L312" s="1"/>
  <c r="L313" s="1"/>
  <c r="L314" s="1"/>
  <c r="L315" s="1"/>
  <c r="L316" s="1"/>
  <c r="L317" s="1"/>
  <c r="L318" s="1"/>
  <c r="L319" s="1"/>
  <c r="L320" s="1"/>
  <c r="L321" s="1"/>
  <c r="L322" s="1"/>
  <c r="L323" s="1"/>
  <c r="L324" s="1"/>
  <c r="L325" s="1"/>
  <c r="L326" s="1"/>
  <c r="L327" s="1"/>
  <c r="L328" s="1"/>
  <c r="L329" s="1"/>
  <c r="L330" s="1"/>
  <c r="L331" s="1"/>
  <c r="L332" s="1"/>
  <c r="L333" s="1"/>
  <c r="L334" s="1"/>
  <c r="L335" s="1"/>
  <c r="L336" s="1"/>
  <c r="L337" s="1"/>
  <c r="L338" s="1"/>
  <c r="L339" s="1"/>
  <c r="L340" s="1"/>
  <c r="L341" s="1"/>
  <c r="L342" s="1"/>
  <c r="L343" s="1"/>
  <c r="L344" s="1"/>
  <c r="L345" s="1"/>
  <c r="L346" s="1"/>
  <c r="L347" s="1"/>
  <c r="L348" s="1"/>
  <c r="L349" s="1"/>
  <c r="L350" s="1"/>
  <c r="L351" s="1"/>
  <c r="L352" s="1"/>
  <c r="L353" s="1"/>
  <c r="L354" s="1"/>
  <c r="L355" s="1"/>
  <c r="L356" s="1"/>
  <c r="L357" s="1"/>
  <c r="L358" s="1"/>
  <c r="L359" s="1"/>
  <c r="L360" s="1"/>
  <c r="L361" s="1"/>
  <c r="L362" s="1"/>
  <c r="L363" s="1"/>
  <c r="L364" s="1"/>
  <c r="L365" s="1"/>
  <c r="L366" s="1"/>
  <c r="L367" s="1"/>
  <c r="L368" s="1"/>
  <c r="L369" s="1"/>
  <c r="L370" s="1"/>
  <c r="L371" s="1"/>
  <c r="L372" s="1"/>
  <c r="L373" s="1"/>
  <c r="L374" s="1"/>
  <c r="L375" s="1"/>
  <c r="L376" s="1"/>
  <c r="L377" s="1"/>
  <c r="L378" s="1"/>
  <c r="L379" s="1"/>
  <c r="L380" s="1"/>
  <c r="L381" s="1"/>
  <c r="L382" s="1"/>
  <c r="L383" s="1"/>
  <c r="L384" s="1"/>
  <c r="L385" s="1"/>
  <c r="L386" s="1"/>
  <c r="L387" s="1"/>
  <c r="L388" s="1"/>
  <c r="L389" s="1"/>
  <c r="L390" s="1"/>
  <c r="L391" s="1"/>
  <c r="L392" s="1"/>
  <c r="L393" s="1"/>
  <c r="L394" s="1"/>
  <c r="L395" s="1"/>
  <c r="L396" s="1"/>
  <c r="L397" s="1"/>
  <c r="L398" s="1"/>
  <c r="L399" s="1"/>
  <c r="L400" s="1"/>
  <c r="L401" s="1"/>
  <c r="L402" s="1"/>
  <c r="L403" s="1"/>
  <c r="L404" s="1"/>
  <c r="L405" s="1"/>
  <c r="L406" s="1"/>
  <c r="L407" s="1"/>
  <c r="L408" s="1"/>
  <c r="K408"/>
  <c r="M407"/>
  <c r="K407"/>
  <c r="M406"/>
  <c r="K406"/>
  <c r="M405"/>
  <c r="K405"/>
  <c r="M404"/>
  <c r="K404"/>
  <c r="M403"/>
  <c r="K403"/>
  <c r="M402"/>
  <c r="K402"/>
  <c r="M401"/>
  <c r="K401"/>
  <c r="M400"/>
  <c r="K400"/>
  <c r="M399"/>
  <c r="K399"/>
  <c r="M398"/>
  <c r="K398"/>
  <c r="M397"/>
  <c r="K397"/>
  <c r="M396"/>
  <c r="K396"/>
  <c r="M395"/>
  <c r="K395"/>
  <c r="M394"/>
  <c r="K394"/>
  <c r="M393"/>
  <c r="K393"/>
  <c r="M392"/>
  <c r="K392"/>
  <c r="M391"/>
  <c r="K391"/>
  <c r="M390"/>
  <c r="K390"/>
  <c r="M389"/>
  <c r="K389"/>
  <c r="M388"/>
  <c r="K388"/>
  <c r="M387"/>
  <c r="K387"/>
  <c r="M386"/>
  <c r="K386"/>
  <c r="M385"/>
  <c r="K385"/>
  <c r="M384"/>
  <c r="K384"/>
  <c r="M383"/>
  <c r="K383"/>
  <c r="M382"/>
  <c r="K382"/>
  <c r="M381"/>
  <c r="K381"/>
  <c r="M380"/>
  <c r="K380"/>
  <c r="M379"/>
  <c r="K379"/>
  <c r="M378"/>
  <c r="K378"/>
  <c r="M377"/>
  <c r="K377"/>
  <c r="M376"/>
  <c r="K376"/>
  <c r="M375"/>
  <c r="K375"/>
  <c r="M374"/>
  <c r="K374"/>
  <c r="M373"/>
  <c r="K373"/>
  <c r="M372"/>
  <c r="K372"/>
  <c r="M371"/>
  <c r="K371"/>
  <c r="M370"/>
  <c r="K370"/>
  <c r="M369"/>
  <c r="K369"/>
  <c r="M368"/>
  <c r="K368"/>
  <c r="M367"/>
  <c r="K367"/>
  <c r="M366"/>
  <c r="K366"/>
  <c r="M365"/>
  <c r="K365"/>
  <c r="M364"/>
  <c r="K364"/>
  <c r="M363"/>
  <c r="K363"/>
  <c r="M362"/>
  <c r="K362"/>
  <c r="M361"/>
  <c r="K361"/>
  <c r="M360"/>
  <c r="K360"/>
  <c r="M359"/>
  <c r="K359"/>
  <c r="M358"/>
  <c r="K358"/>
  <c r="M357"/>
  <c r="K357"/>
  <c r="M356"/>
  <c r="K356"/>
  <c r="M355"/>
  <c r="K355"/>
  <c r="M354"/>
  <c r="K354"/>
  <c r="M353"/>
  <c r="K353"/>
  <c r="M352"/>
  <c r="K352"/>
  <c r="M351"/>
  <c r="K351"/>
  <c r="M350"/>
  <c r="K350"/>
  <c r="M349"/>
  <c r="K349"/>
  <c r="M348"/>
  <c r="K348"/>
  <c r="M347"/>
  <c r="K347"/>
  <c r="M346"/>
  <c r="K346"/>
  <c r="M345"/>
  <c r="K345"/>
  <c r="M344"/>
  <c r="K344"/>
  <c r="M343"/>
  <c r="K343"/>
  <c r="M342"/>
  <c r="K342"/>
  <c r="M341"/>
  <c r="K341"/>
  <c r="M340"/>
  <c r="K340"/>
  <c r="M339"/>
  <c r="K339"/>
  <c r="M338"/>
  <c r="K338"/>
  <c r="M337"/>
  <c r="K337"/>
  <c r="M336"/>
  <c r="K336"/>
  <c r="M335"/>
  <c r="K335"/>
  <c r="M334"/>
  <c r="K334"/>
  <c r="M333"/>
  <c r="K333"/>
  <c r="M332"/>
  <c r="K332"/>
  <c r="M331"/>
  <c r="K331"/>
  <c r="M330"/>
  <c r="K330"/>
  <c r="M329"/>
  <c r="K329"/>
  <c r="M328"/>
  <c r="K328"/>
  <c r="M327"/>
  <c r="K327"/>
  <c r="M326"/>
  <c r="K326"/>
  <c r="M325"/>
  <c r="K325"/>
  <c r="M324"/>
  <c r="K324"/>
  <c r="M323"/>
  <c r="K323"/>
  <c r="M322"/>
  <c r="K322"/>
  <c r="M321"/>
  <c r="K321"/>
  <c r="M320"/>
  <c r="K320"/>
  <c r="M319"/>
  <c r="K319"/>
  <c r="M318"/>
  <c r="K318"/>
  <c r="M317"/>
  <c r="K317"/>
  <c r="M316"/>
  <c r="K316"/>
  <c r="M315"/>
  <c r="K315"/>
  <c r="M314"/>
  <c r="K314"/>
  <c r="M313"/>
  <c r="K313"/>
  <c r="M312"/>
  <c r="K312"/>
  <c r="M311"/>
  <c r="K311"/>
  <c r="M310"/>
  <c r="K310"/>
  <c r="M309"/>
  <c r="K309"/>
  <c r="M308"/>
  <c r="K308"/>
  <c r="M307"/>
  <c r="K307"/>
  <c r="M306"/>
  <c r="K306"/>
  <c r="M305"/>
  <c r="K305"/>
  <c r="M304"/>
  <c r="K304"/>
  <c r="M303"/>
  <c r="K303"/>
  <c r="M302"/>
  <c r="K302"/>
  <c r="M301"/>
  <c r="K301"/>
  <c r="M300"/>
  <c r="K300"/>
  <c r="M299"/>
  <c r="K299"/>
  <c r="M298"/>
  <c r="K298"/>
  <c r="M297"/>
  <c r="K297"/>
  <c r="M296"/>
  <c r="K296"/>
  <c r="M295"/>
  <c r="K295"/>
  <c r="M294"/>
  <c r="K294"/>
  <c r="M293"/>
  <c r="K293"/>
  <c r="M292"/>
  <c r="K292"/>
  <c r="M291"/>
  <c r="K291"/>
  <c r="M290"/>
  <c r="K290"/>
  <c r="M289"/>
  <c r="K289"/>
  <c r="M288"/>
  <c r="K288"/>
  <c r="M287"/>
  <c r="K287"/>
  <c r="M286"/>
  <c r="K286"/>
  <c r="M285"/>
  <c r="K285"/>
  <c r="M284"/>
  <c r="K284"/>
  <c r="M283"/>
  <c r="K283"/>
  <c r="M282"/>
  <c r="K282"/>
  <c r="M281"/>
  <c r="K281"/>
  <c r="M280"/>
  <c r="K280"/>
  <c r="M279"/>
  <c r="K279"/>
  <c r="M278"/>
  <c r="K278"/>
  <c r="M277"/>
  <c r="K277"/>
  <c r="M276"/>
  <c r="K276"/>
  <c r="M275"/>
  <c r="K275"/>
  <c r="M274"/>
  <c r="K274"/>
  <c r="M273"/>
  <c r="K273"/>
  <c r="M272"/>
  <c r="K272"/>
  <c r="M271"/>
  <c r="K271"/>
  <c r="M270"/>
  <c r="K270"/>
  <c r="M269"/>
  <c r="K269"/>
  <c r="M268"/>
  <c r="K268"/>
  <c r="M267"/>
  <c r="K267"/>
  <c r="M266"/>
  <c r="K266"/>
  <c r="M265"/>
  <c r="K265"/>
  <c r="M264"/>
  <c r="K264"/>
  <c r="M263"/>
  <c r="K263"/>
  <c r="M262"/>
  <c r="K262"/>
  <c r="M261"/>
  <c r="K261"/>
  <c r="M260"/>
  <c r="K260"/>
  <c r="M259"/>
  <c r="K259"/>
  <c r="M258"/>
  <c r="K258"/>
  <c r="M257"/>
  <c r="K257"/>
  <c r="M256"/>
  <c r="K256"/>
  <c r="M255"/>
  <c r="K255"/>
  <c r="M254"/>
  <c r="K254"/>
  <c r="M253"/>
  <c r="K253"/>
  <c r="M252"/>
  <c r="K252"/>
  <c r="M251"/>
  <c r="K251"/>
  <c r="M250"/>
  <c r="K250"/>
  <c r="M249"/>
  <c r="K249"/>
  <c r="M248"/>
  <c r="K248"/>
  <c r="M247"/>
  <c r="K247"/>
  <c r="M246"/>
  <c r="K246"/>
  <c r="M245"/>
  <c r="K245"/>
  <c r="M244"/>
  <c r="K244"/>
  <c r="M243"/>
  <c r="K243"/>
  <c r="M242"/>
  <c r="K242"/>
  <c r="M241"/>
  <c r="K241"/>
  <c r="M240"/>
  <c r="K240"/>
  <c r="M239"/>
  <c r="K239"/>
  <c r="M238"/>
  <c r="K238"/>
  <c r="M237"/>
  <c r="K237"/>
  <c r="M236"/>
  <c r="K236"/>
  <c r="M235"/>
  <c r="K235"/>
  <c r="M234"/>
  <c r="K234"/>
  <c r="M233"/>
  <c r="K233"/>
  <c r="M232"/>
  <c r="K232"/>
  <c r="M231"/>
  <c r="K231"/>
  <c r="M230"/>
  <c r="K230"/>
  <c r="M229"/>
  <c r="K229"/>
  <c r="M228"/>
  <c r="K228"/>
  <c r="M227"/>
  <c r="K227"/>
  <c r="M226"/>
  <c r="K226"/>
  <c r="M225"/>
  <c r="K225"/>
  <c r="M224"/>
  <c r="K224"/>
  <c r="M223"/>
  <c r="K223"/>
  <c r="M222"/>
  <c r="K222"/>
  <c r="M221"/>
  <c r="K221"/>
  <c r="M220"/>
  <c r="K220"/>
  <c r="M219"/>
  <c r="K219"/>
  <c r="C219"/>
  <c r="B219"/>
  <c r="M218"/>
  <c r="K218"/>
  <c r="M217"/>
  <c r="K217"/>
  <c r="C217"/>
  <c r="B217"/>
  <c r="M216"/>
  <c r="K216"/>
  <c r="M215"/>
  <c r="K215"/>
  <c r="C215"/>
  <c r="B215"/>
  <c r="M214"/>
  <c r="K214"/>
  <c r="M213"/>
  <c r="K213"/>
  <c r="C213"/>
  <c r="B213"/>
  <c r="M212"/>
  <c r="K212"/>
  <c r="M211"/>
  <c r="K211"/>
  <c r="C211"/>
  <c r="B211"/>
  <c r="M210"/>
  <c r="K210"/>
  <c r="M209"/>
  <c r="K209"/>
  <c r="C8"/>
  <c r="M208" s="1"/>
  <c r="B8"/>
  <c r="K208" s="1"/>
  <c r="C7"/>
  <c r="B7"/>
  <c r="C6"/>
  <c r="B6"/>
  <c r="C4"/>
  <c r="C3"/>
  <c r="B4"/>
  <c r="B5" s="1"/>
  <c r="B3"/>
  <c r="M110" i="12"/>
  <c r="M111" s="1"/>
  <c r="M112" s="1"/>
  <c r="M113" s="1"/>
  <c r="M114" s="1"/>
  <c r="M115" s="1"/>
  <c r="M116" s="1"/>
  <c r="M117" s="1"/>
  <c r="M118" s="1"/>
  <c r="M119" s="1"/>
  <c r="M120" s="1"/>
  <c r="M121" s="1"/>
  <c r="M122" s="1"/>
  <c r="M123" s="1"/>
  <c r="M124" s="1"/>
  <c r="M125" s="1"/>
  <c r="M126" s="1"/>
  <c r="M127" s="1"/>
  <c r="M128" s="1"/>
  <c r="M129" s="1"/>
  <c r="M130" s="1"/>
  <c r="M131" s="1"/>
  <c r="M132" s="1"/>
  <c r="M133" s="1"/>
  <c r="M134" s="1"/>
  <c r="M135" s="1"/>
  <c r="M136" s="1"/>
  <c r="M137" s="1"/>
  <c r="M138" s="1"/>
  <c r="M139" s="1"/>
  <c r="M140" s="1"/>
  <c r="M141" s="1"/>
  <c r="M142" s="1"/>
  <c r="M143" s="1"/>
  <c r="M144" s="1"/>
  <c r="M145" s="1"/>
  <c r="M146" s="1"/>
  <c r="M147" s="1"/>
  <c r="M148" s="1"/>
  <c r="M149" s="1"/>
  <c r="M150" s="1"/>
  <c r="M151" s="1"/>
  <c r="M152" s="1"/>
  <c r="M153" s="1"/>
  <c r="M154" s="1"/>
  <c r="M155" s="1"/>
  <c r="M156" s="1"/>
  <c r="M157" s="1"/>
  <c r="M158" s="1"/>
  <c r="M159" s="1"/>
  <c r="M160" s="1"/>
  <c r="M161" s="1"/>
  <c r="M162" s="1"/>
  <c r="M163" s="1"/>
  <c r="M164" s="1"/>
  <c r="M165" s="1"/>
  <c r="M166" s="1"/>
  <c r="M167" s="1"/>
  <c r="M168" s="1"/>
  <c r="M169" s="1"/>
  <c r="M170" s="1"/>
  <c r="M171" s="1"/>
  <c r="M172" s="1"/>
  <c r="M173" s="1"/>
  <c r="M174" s="1"/>
  <c r="M175" s="1"/>
  <c r="M176" s="1"/>
  <c r="M177" s="1"/>
  <c r="M178" s="1"/>
  <c r="M179" s="1"/>
  <c r="M180" s="1"/>
  <c r="M181" s="1"/>
  <c r="M182" s="1"/>
  <c r="M183" s="1"/>
  <c r="M184" s="1"/>
  <c r="M185" s="1"/>
  <c r="M186" s="1"/>
  <c r="M187" s="1"/>
  <c r="M188" s="1"/>
  <c r="M189" s="1"/>
  <c r="M190" s="1"/>
  <c r="M191" s="1"/>
  <c r="M192" s="1"/>
  <c r="M193" s="1"/>
  <c r="M194" s="1"/>
  <c r="M195" s="1"/>
  <c r="M196" s="1"/>
  <c r="M197" s="1"/>
  <c r="M198" s="1"/>
  <c r="M199" s="1"/>
  <c r="M200" s="1"/>
  <c r="M201" s="1"/>
  <c r="M202" s="1"/>
  <c r="M203" s="1"/>
  <c r="M204" s="1"/>
  <c r="M205" s="1"/>
  <c r="M206" s="1"/>
  <c r="M207" s="1"/>
  <c r="M208" s="1"/>
  <c r="L208"/>
  <c r="K110"/>
  <c r="K11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J208"/>
  <c r="L207"/>
  <c r="J207"/>
  <c r="L206"/>
  <c r="J206"/>
  <c r="L205"/>
  <c r="J205"/>
  <c r="L204"/>
  <c r="J204"/>
  <c r="L203"/>
  <c r="J203"/>
  <c r="L202"/>
  <c r="J202"/>
  <c r="L201"/>
  <c r="J201"/>
  <c r="L200"/>
  <c r="J200"/>
  <c r="L199"/>
  <c r="J199"/>
  <c r="L198"/>
  <c r="J198"/>
  <c r="L197"/>
  <c r="J197"/>
  <c r="L196"/>
  <c r="J196"/>
  <c r="L195"/>
  <c r="J195"/>
  <c r="L194"/>
  <c r="J194"/>
  <c r="L193"/>
  <c r="J193"/>
  <c r="L192"/>
  <c r="J192"/>
  <c r="L191"/>
  <c r="J191"/>
  <c r="L190"/>
  <c r="J190"/>
  <c r="L189"/>
  <c r="J189"/>
  <c r="L188"/>
  <c r="J188"/>
  <c r="L187"/>
  <c r="J187"/>
  <c r="L186"/>
  <c r="J186"/>
  <c r="L185"/>
  <c r="J185"/>
  <c r="L184"/>
  <c r="J184"/>
  <c r="L183"/>
  <c r="J183"/>
  <c r="L182"/>
  <c r="J182"/>
  <c r="L181"/>
  <c r="J181"/>
  <c r="L180"/>
  <c r="J180"/>
  <c r="L179"/>
  <c r="J179"/>
  <c r="L178"/>
  <c r="J178"/>
  <c r="L177"/>
  <c r="J177"/>
  <c r="L176"/>
  <c r="J176"/>
  <c r="L175"/>
  <c r="J175"/>
  <c r="L174"/>
  <c r="J174"/>
  <c r="L173"/>
  <c r="J173"/>
  <c r="L172"/>
  <c r="J172"/>
  <c r="L171"/>
  <c r="J171"/>
  <c r="L170"/>
  <c r="J170"/>
  <c r="L169"/>
  <c r="J169"/>
  <c r="L168"/>
  <c r="J168"/>
  <c r="L167"/>
  <c r="J167"/>
  <c r="L166"/>
  <c r="J166"/>
  <c r="L165"/>
  <c r="J165"/>
  <c r="L164"/>
  <c r="J164"/>
  <c r="L163"/>
  <c r="J163"/>
  <c r="L162"/>
  <c r="J162"/>
  <c r="L161"/>
  <c r="J161"/>
  <c r="L160"/>
  <c r="J160"/>
  <c r="L159"/>
  <c r="J159"/>
  <c r="L158"/>
  <c r="J158"/>
  <c r="L157"/>
  <c r="J157"/>
  <c r="L156"/>
  <c r="J156"/>
  <c r="L155"/>
  <c r="J155"/>
  <c r="L154"/>
  <c r="J154"/>
  <c r="L153"/>
  <c r="J153"/>
  <c r="L152"/>
  <c r="J152"/>
  <c r="L151"/>
  <c r="J151"/>
  <c r="L150"/>
  <c r="J150"/>
  <c r="L149"/>
  <c r="J149"/>
  <c r="L148"/>
  <c r="J148"/>
  <c r="L147"/>
  <c r="J147"/>
  <c r="L146"/>
  <c r="J146"/>
  <c r="L145"/>
  <c r="J145"/>
  <c r="L144"/>
  <c r="J144"/>
  <c r="L143"/>
  <c r="J143"/>
  <c r="L142"/>
  <c r="J142"/>
  <c r="L141"/>
  <c r="J141"/>
  <c r="L140"/>
  <c r="J140"/>
  <c r="L139"/>
  <c r="J139"/>
  <c r="L138"/>
  <c r="J138"/>
  <c r="L137"/>
  <c r="J137"/>
  <c r="L136"/>
  <c r="J136"/>
  <c r="L135"/>
  <c r="J135"/>
  <c r="L134"/>
  <c r="J134"/>
  <c r="L133"/>
  <c r="J133"/>
  <c r="L132"/>
  <c r="J132"/>
  <c r="L131"/>
  <c r="J131"/>
  <c r="L130"/>
  <c r="J130"/>
  <c r="L129"/>
  <c r="J129"/>
  <c r="L128"/>
  <c r="J128"/>
  <c r="L127"/>
  <c r="J127"/>
  <c r="L126"/>
  <c r="J126"/>
  <c r="L125"/>
  <c r="J125"/>
  <c r="L124"/>
  <c r="J124"/>
  <c r="L123"/>
  <c r="J123"/>
  <c r="L122"/>
  <c r="J122"/>
  <c r="L121"/>
  <c r="J121"/>
  <c r="L120"/>
  <c r="J120"/>
  <c r="L119"/>
  <c r="J119"/>
  <c r="L118"/>
  <c r="J118"/>
  <c r="L117"/>
  <c r="J117"/>
  <c r="L116"/>
  <c r="J116"/>
  <c r="L115"/>
  <c r="J115"/>
  <c r="L114"/>
  <c r="J114"/>
  <c r="L113"/>
  <c r="J113"/>
  <c r="L112"/>
  <c r="J112"/>
  <c r="L111"/>
  <c r="J111"/>
  <c r="L110"/>
  <c r="J110"/>
  <c r="L109"/>
  <c r="J109"/>
  <c r="L108"/>
  <c r="J108"/>
  <c r="C2"/>
  <c r="B2"/>
  <c r="D10" i="1"/>
  <c r="B2" i="10"/>
  <c r="C2"/>
  <c r="A1" i="1"/>
  <c r="C2" i="8"/>
  <c r="C2" i="6"/>
  <c r="C2" i="4"/>
  <c r="B2" i="8"/>
  <c r="B2" i="6"/>
  <c r="B2" i="4"/>
  <c r="C5" l="1"/>
  <c r="C5" i="6"/>
  <c r="C5" i="8"/>
</calcChain>
</file>

<file path=xl/sharedStrings.xml><?xml version="1.0" encoding="utf-8"?>
<sst xmlns="http://schemas.openxmlformats.org/spreadsheetml/2006/main" count="113" uniqueCount="36">
  <si>
    <t>Variable</t>
  </si>
  <si>
    <t>Mean</t>
  </si>
  <si>
    <t>StDev</t>
  </si>
  <si>
    <t>CV</t>
  </si>
  <si>
    <t>Min</t>
  </si>
  <si>
    <t>Max</t>
  </si>
  <si>
    <t>Iteration</t>
  </si>
  <si>
    <t>Latin</t>
  </si>
  <si>
    <t>CDFProb.</t>
  </si>
  <si>
    <t>James W. Richardson</t>
  </si>
  <si>
    <t>Monte Carlo</t>
  </si>
  <si>
    <t>Sample</t>
  </si>
  <si>
    <t>Excel's</t>
  </si>
  <si>
    <t xml:space="preserve">Simetar's </t>
  </si>
  <si>
    <t>Uniform Distribution</t>
  </si>
  <si>
    <t>Function</t>
  </si>
  <si>
    <t>CDF graphs in Chart200 and Chart 500.</t>
  </si>
  <si>
    <t>Monte</t>
  </si>
  <si>
    <t>x1-value</t>
  </si>
  <si>
    <t>Prob(X&lt;=x1)</t>
  </si>
  <si>
    <t>x2-value</t>
  </si>
  <si>
    <t>Prob(X&lt;=x2)</t>
  </si>
  <si>
    <t>x3-value</t>
  </si>
  <si>
    <t>Prob(X&lt;=x3)</t>
  </si>
  <si>
    <t>x4-value</t>
  </si>
  <si>
    <t>Prob(X&lt;=x4)</t>
  </si>
  <si>
    <t>x5-value</t>
  </si>
  <si>
    <t>Prob(X&lt;=x5)</t>
  </si>
  <si>
    <t>Simetar Simulation Results for 200 Iterations.  3:35:04 AM 3/29/2005 (16.17 sec.).  © 2005.</t>
  </si>
  <si>
    <t>Simetar Simulation Results for 500 Iterations.  3:36:51 AM 3/29/2005 (17.34 sec.).  © 2005.</t>
  </si>
  <si>
    <t>Simetar Simulation Results for 1000 Iterations.  3:38:56 AM 3/29/2005 (19.96 sec.).  © 2005.</t>
  </si>
  <si>
    <t>Simetar Simulation Results for 5000 Iterations.  3:41:05 AM 3/29/2005 (40.75 sec.).  © 2005.</t>
  </si>
  <si>
    <t>Simulate the Uniform Function 100 to 5000 times and</t>
  </si>
  <si>
    <t>compare the results to the Excel sample using Monte Carlo sampling</t>
  </si>
  <si>
    <t>Simetar Simulation Results for 100 Iterations.  9:55:38 PM 11/13/2005 (21.56 sec.).  © 2005.</t>
  </si>
  <si>
    <t>© 2011</t>
  </si>
</sst>
</file>

<file path=xl/styles.xml><?xml version="1.0" encoding="utf-8"?>
<styleSheet xmlns="http://schemas.openxmlformats.org/spreadsheetml/2006/main">
  <fonts count="12"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100 Iterations with Excel's Added Linear Trend Line</a:t>
            </a:r>
          </a:p>
        </c:rich>
      </c:tx>
      <c:layout>
        <c:manualLayout>
          <c:xMode val="edge"/>
          <c:yMode val="edge"/>
          <c:x val="0.1309655937846837"/>
          <c:y val="1.95758564437194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032186459489458E-2"/>
          <c:y val="0.12234910277324633"/>
          <c:w val="0.90566037735849059"/>
          <c:h val="0.76508972267536701"/>
        </c:manualLayout>
      </c:layout>
      <c:scatterChart>
        <c:scatterStyle val="smoothMarker"/>
        <c:ser>
          <c:idx val="0"/>
          <c:order val="0"/>
          <c:tx>
            <c:strRef>
              <c:f>SimData100!$J$108</c:f>
              <c:strCache>
                <c:ptCount val="1"/>
                <c:pt idx="0">
                  <c:v>Monte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FF"/>
                </a:solidFill>
                <a:prstDash val="solid"/>
              </a:ln>
            </c:spPr>
            <c:trendlineType val="linear"/>
            <c:intercept val="0"/>
          </c:trendline>
          <c:xVal>
            <c:numRef>
              <c:f>SimData100!$J$109:$J$208</c:f>
              <c:numCache>
                <c:formatCode>General</c:formatCode>
                <c:ptCount val="100"/>
                <c:pt idx="0">
                  <c:v>3.7057290026496048E-2</c:v>
                </c:pt>
                <c:pt idx="1">
                  <c:v>3.741123523832357E-2</c:v>
                </c:pt>
                <c:pt idx="2">
                  <c:v>4.0046499791060342E-2</c:v>
                </c:pt>
                <c:pt idx="3">
                  <c:v>4.4691026901091391E-2</c:v>
                </c:pt>
                <c:pt idx="4">
                  <c:v>4.5059477801260073E-2</c:v>
                </c:pt>
                <c:pt idx="5">
                  <c:v>6.8192063064998365E-2</c:v>
                </c:pt>
                <c:pt idx="6">
                  <c:v>8.1165492179025023E-2</c:v>
                </c:pt>
                <c:pt idx="7">
                  <c:v>8.4028913494876178E-2</c:v>
                </c:pt>
                <c:pt idx="8">
                  <c:v>8.5957655508565267E-2</c:v>
                </c:pt>
                <c:pt idx="9">
                  <c:v>8.6523705808758677E-2</c:v>
                </c:pt>
                <c:pt idx="10">
                  <c:v>9.1904677829006687E-2</c:v>
                </c:pt>
                <c:pt idx="11">
                  <c:v>0.11146349749469664</c:v>
                </c:pt>
                <c:pt idx="12">
                  <c:v>0.1131104924261308</c:v>
                </c:pt>
                <c:pt idx="13">
                  <c:v>0.11600384051871515</c:v>
                </c:pt>
                <c:pt idx="14">
                  <c:v>0.13197296864836972</c:v>
                </c:pt>
                <c:pt idx="15">
                  <c:v>0.14332389346782293</c:v>
                </c:pt>
                <c:pt idx="16">
                  <c:v>0.16876830807086662</c:v>
                </c:pt>
                <c:pt idx="17">
                  <c:v>0.18255461192802613</c:v>
                </c:pt>
                <c:pt idx="18">
                  <c:v>0.19644183223135769</c:v>
                </c:pt>
                <c:pt idx="19">
                  <c:v>0.2012136498142354</c:v>
                </c:pt>
                <c:pt idx="20">
                  <c:v>0.21844277004493051</c:v>
                </c:pt>
                <c:pt idx="21">
                  <c:v>0.21909831080211006</c:v>
                </c:pt>
                <c:pt idx="22">
                  <c:v>0.24707249325001612</c:v>
                </c:pt>
                <c:pt idx="23">
                  <c:v>0.25139436590143305</c:v>
                </c:pt>
                <c:pt idx="24">
                  <c:v>0.25394716412938578</c:v>
                </c:pt>
                <c:pt idx="25">
                  <c:v>0.26635597733184113</c:v>
                </c:pt>
                <c:pt idx="26">
                  <c:v>0.27438373665609106</c:v>
                </c:pt>
                <c:pt idx="27">
                  <c:v>0.27930815175841417</c:v>
                </c:pt>
                <c:pt idx="28">
                  <c:v>0.28299876991604833</c:v>
                </c:pt>
                <c:pt idx="29">
                  <c:v>0.28901737346495793</c:v>
                </c:pt>
                <c:pt idx="30">
                  <c:v>0.31114239638827712</c:v>
                </c:pt>
                <c:pt idx="31">
                  <c:v>0.31451797147474281</c:v>
                </c:pt>
                <c:pt idx="32">
                  <c:v>0.3233544853856074</c:v>
                </c:pt>
                <c:pt idx="33">
                  <c:v>0.3273182973425719</c:v>
                </c:pt>
                <c:pt idx="34">
                  <c:v>0.3299242703606069</c:v>
                </c:pt>
                <c:pt idx="35">
                  <c:v>0.3357910099939545</c:v>
                </c:pt>
                <c:pt idx="36">
                  <c:v>0.34497463262050587</c:v>
                </c:pt>
                <c:pt idx="37">
                  <c:v>0.35188994273266871</c:v>
                </c:pt>
                <c:pt idx="38">
                  <c:v>0.35464542682984757</c:v>
                </c:pt>
                <c:pt idx="39">
                  <c:v>0.37183928260765242</c:v>
                </c:pt>
                <c:pt idx="40">
                  <c:v>0.37646724846126745</c:v>
                </c:pt>
                <c:pt idx="41">
                  <c:v>0.38774789456147118</c:v>
                </c:pt>
                <c:pt idx="42">
                  <c:v>0.40263515443075448</c:v>
                </c:pt>
                <c:pt idx="43">
                  <c:v>0.40593543534396304</c:v>
                </c:pt>
                <c:pt idx="44">
                  <c:v>0.4078295772196725</c:v>
                </c:pt>
                <c:pt idx="45">
                  <c:v>0.41015502452046348</c:v>
                </c:pt>
                <c:pt idx="46">
                  <c:v>0.41675514822600235</c:v>
                </c:pt>
                <c:pt idx="47">
                  <c:v>0.41684910248932283</c:v>
                </c:pt>
                <c:pt idx="48">
                  <c:v>0.41952152469639259</c:v>
                </c:pt>
                <c:pt idx="49">
                  <c:v>0.42314247678041284</c:v>
                </c:pt>
                <c:pt idx="50">
                  <c:v>0.42924162804683874</c:v>
                </c:pt>
                <c:pt idx="51">
                  <c:v>0.42961502010257391</c:v>
                </c:pt>
                <c:pt idx="52">
                  <c:v>0.43557826507731079</c:v>
                </c:pt>
                <c:pt idx="53">
                  <c:v>0.46087894283664355</c:v>
                </c:pt>
                <c:pt idx="54">
                  <c:v>0.46300430934297765</c:v>
                </c:pt>
                <c:pt idx="55">
                  <c:v>0.47192936575902422</c:v>
                </c:pt>
                <c:pt idx="56">
                  <c:v>0.47877497934950952</c:v>
                </c:pt>
                <c:pt idx="57">
                  <c:v>0.48386145851145557</c:v>
                </c:pt>
                <c:pt idx="58">
                  <c:v>0.51454019052471267</c:v>
                </c:pt>
                <c:pt idx="59">
                  <c:v>0.52907354821581976</c:v>
                </c:pt>
                <c:pt idx="60">
                  <c:v>0.54878723358706338</c:v>
                </c:pt>
                <c:pt idx="61">
                  <c:v>0.54919590909867111</c:v>
                </c:pt>
                <c:pt idx="62">
                  <c:v>0.55145869646275969</c:v>
                </c:pt>
                <c:pt idx="63">
                  <c:v>0.55626438916806364</c:v>
                </c:pt>
                <c:pt idx="64">
                  <c:v>0.56069664849565015</c:v>
                </c:pt>
                <c:pt idx="65">
                  <c:v>0.5661625116645439</c:v>
                </c:pt>
                <c:pt idx="66">
                  <c:v>0.57089796790296532</c:v>
                </c:pt>
                <c:pt idx="67">
                  <c:v>0.5743707519450254</c:v>
                </c:pt>
                <c:pt idx="68">
                  <c:v>0.58769023468994419</c:v>
                </c:pt>
                <c:pt idx="69">
                  <c:v>0.58972382949286839</c:v>
                </c:pt>
                <c:pt idx="70">
                  <c:v>0.59491115383116266</c:v>
                </c:pt>
                <c:pt idx="71">
                  <c:v>0.61978010134316719</c:v>
                </c:pt>
                <c:pt idx="72">
                  <c:v>0.64513029205045314</c:v>
                </c:pt>
                <c:pt idx="73">
                  <c:v>0.66041706534088007</c:v>
                </c:pt>
                <c:pt idx="74">
                  <c:v>0.67072098031803762</c:v>
                </c:pt>
                <c:pt idx="75">
                  <c:v>0.67261072867768235</c:v>
                </c:pt>
                <c:pt idx="76">
                  <c:v>0.68269403864361777</c:v>
                </c:pt>
                <c:pt idx="77">
                  <c:v>0.70741324741993594</c:v>
                </c:pt>
                <c:pt idx="78">
                  <c:v>0.71512393769444316</c:v>
                </c:pt>
                <c:pt idx="79">
                  <c:v>0.73410291901291203</c:v>
                </c:pt>
                <c:pt idx="80">
                  <c:v>0.74525308487591246</c:v>
                </c:pt>
                <c:pt idx="81">
                  <c:v>0.7452836899437898</c:v>
                </c:pt>
                <c:pt idx="82">
                  <c:v>0.75670305324456422</c:v>
                </c:pt>
                <c:pt idx="83">
                  <c:v>0.79157663515343302</c:v>
                </c:pt>
                <c:pt idx="84">
                  <c:v>0.81532596554461634</c:v>
                </c:pt>
                <c:pt idx="85">
                  <c:v>0.8174392304772482</c:v>
                </c:pt>
                <c:pt idx="86">
                  <c:v>0.85010564958611212</c:v>
                </c:pt>
                <c:pt idx="87">
                  <c:v>0.85045890859601059</c:v>
                </c:pt>
                <c:pt idx="88">
                  <c:v>0.85065433945641189</c:v>
                </c:pt>
                <c:pt idx="89">
                  <c:v>0.85699384261261002</c:v>
                </c:pt>
                <c:pt idx="90">
                  <c:v>0.87012371706441627</c:v>
                </c:pt>
                <c:pt idx="91">
                  <c:v>0.90564463885857549</c:v>
                </c:pt>
                <c:pt idx="92">
                  <c:v>0.9069003277209049</c:v>
                </c:pt>
                <c:pt idx="93">
                  <c:v>0.93449468091966992</c:v>
                </c:pt>
                <c:pt idx="94">
                  <c:v>0.94590818159122136</c:v>
                </c:pt>
                <c:pt idx="95">
                  <c:v>0.95764205656269041</c:v>
                </c:pt>
                <c:pt idx="96">
                  <c:v>0.96662732210916147</c:v>
                </c:pt>
                <c:pt idx="97">
                  <c:v>0.96947317003741773</c:v>
                </c:pt>
                <c:pt idx="98">
                  <c:v>0.97970081531184405</c:v>
                </c:pt>
                <c:pt idx="99">
                  <c:v>0.992566056825126</c:v>
                </c:pt>
              </c:numCache>
            </c:numRef>
          </c:xVal>
          <c:yVal>
            <c:numRef>
              <c:f>SimData100!$K$109:$K$208</c:f>
              <c:numCache>
                <c:formatCode>General</c:formatCode>
                <c:ptCount val="100"/>
                <c:pt idx="0">
                  <c:v>0</c:v>
                </c:pt>
                <c:pt idx="1">
                  <c:v>1.0101010101010102E-2</c:v>
                </c:pt>
                <c:pt idx="2">
                  <c:v>2.0202020202020204E-2</c:v>
                </c:pt>
                <c:pt idx="3">
                  <c:v>3.0303030303030304E-2</c:v>
                </c:pt>
                <c:pt idx="4">
                  <c:v>4.0404040404040407E-2</c:v>
                </c:pt>
                <c:pt idx="5">
                  <c:v>5.0505050505050511E-2</c:v>
                </c:pt>
                <c:pt idx="6">
                  <c:v>6.0606060606060615E-2</c:v>
                </c:pt>
                <c:pt idx="7">
                  <c:v>7.0707070707070718E-2</c:v>
                </c:pt>
                <c:pt idx="8">
                  <c:v>8.0808080808080815E-2</c:v>
                </c:pt>
                <c:pt idx="9">
                  <c:v>9.0909090909090912E-2</c:v>
                </c:pt>
                <c:pt idx="10">
                  <c:v>0.10101010101010101</c:v>
                </c:pt>
                <c:pt idx="11">
                  <c:v>0.1111111111111111</c:v>
                </c:pt>
                <c:pt idx="12">
                  <c:v>0.1212121212121212</c:v>
                </c:pt>
                <c:pt idx="13">
                  <c:v>0.1313131313131313</c:v>
                </c:pt>
                <c:pt idx="14">
                  <c:v>0.14141414141414141</c:v>
                </c:pt>
                <c:pt idx="15">
                  <c:v>0.15151515151515152</c:v>
                </c:pt>
                <c:pt idx="16">
                  <c:v>0.16161616161616163</c:v>
                </c:pt>
                <c:pt idx="17">
                  <c:v>0.17171717171717174</c:v>
                </c:pt>
                <c:pt idx="18">
                  <c:v>0.18181818181818185</c:v>
                </c:pt>
                <c:pt idx="19">
                  <c:v>0.19191919191919196</c:v>
                </c:pt>
                <c:pt idx="20">
                  <c:v>0.20202020202020207</c:v>
                </c:pt>
                <c:pt idx="21">
                  <c:v>0.21212121212121218</c:v>
                </c:pt>
                <c:pt idx="22">
                  <c:v>0.22222222222222229</c:v>
                </c:pt>
                <c:pt idx="23">
                  <c:v>0.2323232323232324</c:v>
                </c:pt>
                <c:pt idx="24">
                  <c:v>0.24242424242424251</c:v>
                </c:pt>
                <c:pt idx="25">
                  <c:v>0.2525252525252526</c:v>
                </c:pt>
                <c:pt idx="26">
                  <c:v>0.26262626262626271</c:v>
                </c:pt>
                <c:pt idx="27">
                  <c:v>0.27272727272727282</c:v>
                </c:pt>
                <c:pt idx="28">
                  <c:v>0.28282828282828293</c:v>
                </c:pt>
                <c:pt idx="29">
                  <c:v>0.29292929292929304</c:v>
                </c:pt>
                <c:pt idx="30">
                  <c:v>0.30303030303030315</c:v>
                </c:pt>
                <c:pt idx="31">
                  <c:v>0.31313131313131326</c:v>
                </c:pt>
                <c:pt idx="32">
                  <c:v>0.32323232323232337</c:v>
                </c:pt>
                <c:pt idx="33">
                  <c:v>0.33333333333333348</c:v>
                </c:pt>
                <c:pt idx="34">
                  <c:v>0.34343434343434359</c:v>
                </c:pt>
                <c:pt idx="35">
                  <c:v>0.3535353535353537</c:v>
                </c:pt>
                <c:pt idx="36">
                  <c:v>0.36363636363636381</c:v>
                </c:pt>
                <c:pt idx="37">
                  <c:v>0.37373737373737392</c:v>
                </c:pt>
                <c:pt idx="38">
                  <c:v>0.38383838383838403</c:v>
                </c:pt>
                <c:pt idx="39">
                  <c:v>0.39393939393939414</c:v>
                </c:pt>
                <c:pt idx="40">
                  <c:v>0.40404040404040426</c:v>
                </c:pt>
                <c:pt idx="41">
                  <c:v>0.41414141414141437</c:v>
                </c:pt>
                <c:pt idx="42">
                  <c:v>0.42424242424242448</c:v>
                </c:pt>
                <c:pt idx="43">
                  <c:v>0.43434343434343459</c:v>
                </c:pt>
                <c:pt idx="44">
                  <c:v>0.4444444444444447</c:v>
                </c:pt>
                <c:pt idx="45">
                  <c:v>0.45454545454545481</c:v>
                </c:pt>
                <c:pt idx="46">
                  <c:v>0.46464646464646492</c:v>
                </c:pt>
                <c:pt idx="47">
                  <c:v>0.47474747474747503</c:v>
                </c:pt>
                <c:pt idx="48">
                  <c:v>0.48484848484848514</c:v>
                </c:pt>
                <c:pt idx="49">
                  <c:v>0.49494949494949525</c:v>
                </c:pt>
                <c:pt idx="50">
                  <c:v>0.50505050505050531</c:v>
                </c:pt>
                <c:pt idx="51">
                  <c:v>0.51515151515151536</c:v>
                </c:pt>
                <c:pt idx="52">
                  <c:v>0.52525252525252542</c:v>
                </c:pt>
                <c:pt idx="53">
                  <c:v>0.53535353535353547</c:v>
                </c:pt>
                <c:pt idx="54">
                  <c:v>0.54545454545454553</c:v>
                </c:pt>
                <c:pt idx="55">
                  <c:v>0.55555555555555558</c:v>
                </c:pt>
                <c:pt idx="56">
                  <c:v>0.56565656565656564</c:v>
                </c:pt>
                <c:pt idx="57">
                  <c:v>0.57575757575757569</c:v>
                </c:pt>
                <c:pt idx="58">
                  <c:v>0.58585858585858575</c:v>
                </c:pt>
                <c:pt idx="59">
                  <c:v>0.5959595959595958</c:v>
                </c:pt>
                <c:pt idx="60">
                  <c:v>0.60606060606060586</c:v>
                </c:pt>
                <c:pt idx="61">
                  <c:v>0.61616161616161591</c:v>
                </c:pt>
                <c:pt idx="62">
                  <c:v>0.62626262626262597</c:v>
                </c:pt>
                <c:pt idx="63">
                  <c:v>0.63636363636363602</c:v>
                </c:pt>
                <c:pt idx="64">
                  <c:v>0.64646464646464608</c:v>
                </c:pt>
                <c:pt idx="65">
                  <c:v>0.65656565656565613</c:v>
                </c:pt>
                <c:pt idx="66">
                  <c:v>0.66666666666666619</c:v>
                </c:pt>
                <c:pt idx="67">
                  <c:v>0.67676767676767624</c:v>
                </c:pt>
                <c:pt idx="68">
                  <c:v>0.6868686868686863</c:v>
                </c:pt>
                <c:pt idx="69">
                  <c:v>0.69696969696969635</c:v>
                </c:pt>
                <c:pt idx="70">
                  <c:v>0.70707070707070641</c:v>
                </c:pt>
                <c:pt idx="71">
                  <c:v>0.71717171717171646</c:v>
                </c:pt>
                <c:pt idx="72">
                  <c:v>0.72727272727272652</c:v>
                </c:pt>
                <c:pt idx="73">
                  <c:v>0.73737373737373657</c:v>
                </c:pt>
                <c:pt idx="74">
                  <c:v>0.74747474747474663</c:v>
                </c:pt>
                <c:pt idx="75">
                  <c:v>0.75757575757575668</c:v>
                </c:pt>
                <c:pt idx="76">
                  <c:v>0.76767676767676674</c:v>
                </c:pt>
                <c:pt idx="77">
                  <c:v>0.77777777777777679</c:v>
                </c:pt>
                <c:pt idx="78">
                  <c:v>0.78787878787878685</c:v>
                </c:pt>
                <c:pt idx="79">
                  <c:v>0.7979797979797969</c:v>
                </c:pt>
                <c:pt idx="80">
                  <c:v>0.80808080808080696</c:v>
                </c:pt>
                <c:pt idx="81">
                  <c:v>0.81818181818181701</c:v>
                </c:pt>
                <c:pt idx="82">
                  <c:v>0.82828282828282707</c:v>
                </c:pt>
                <c:pt idx="83">
                  <c:v>0.83838383838383712</c:v>
                </c:pt>
                <c:pt idx="84">
                  <c:v>0.84848484848484718</c:v>
                </c:pt>
                <c:pt idx="85">
                  <c:v>0.85858585858585723</c:v>
                </c:pt>
                <c:pt idx="86">
                  <c:v>0.86868686868686729</c:v>
                </c:pt>
                <c:pt idx="87">
                  <c:v>0.87878787878787734</c:v>
                </c:pt>
                <c:pt idx="88">
                  <c:v>0.8888888888888874</c:v>
                </c:pt>
                <c:pt idx="89">
                  <c:v>0.89898989898989745</c:v>
                </c:pt>
                <c:pt idx="90">
                  <c:v>0.90909090909090751</c:v>
                </c:pt>
                <c:pt idx="91">
                  <c:v>0.91919191919191756</c:v>
                </c:pt>
                <c:pt idx="92">
                  <c:v>0.92929292929292762</c:v>
                </c:pt>
                <c:pt idx="93">
                  <c:v>0.93939393939393767</c:v>
                </c:pt>
                <c:pt idx="94">
                  <c:v>0.94949494949494773</c:v>
                </c:pt>
                <c:pt idx="95">
                  <c:v>0.95959595959595778</c:v>
                </c:pt>
                <c:pt idx="96">
                  <c:v>0.96969696969696784</c:v>
                </c:pt>
                <c:pt idx="97">
                  <c:v>0.97979797979797789</c:v>
                </c:pt>
                <c:pt idx="98">
                  <c:v>0.98989898989898795</c:v>
                </c:pt>
                <c:pt idx="99">
                  <c:v>0.999999999999998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SimData100!$L$108</c:f>
              <c:strCache>
                <c:ptCount val="1"/>
                <c:pt idx="0">
                  <c:v>Latin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SimData100!$L$109:$L$208</c:f>
              <c:numCache>
                <c:formatCode>General</c:formatCode>
                <c:ptCount val="100"/>
                <c:pt idx="0">
                  <c:v>5.8364386777012703E-3</c:v>
                </c:pt>
                <c:pt idx="1">
                  <c:v>1.1029519755632967E-2</c:v>
                </c:pt>
                <c:pt idx="2">
                  <c:v>2.7211397471188427E-2</c:v>
                </c:pt>
                <c:pt idx="3">
                  <c:v>3.6875671408343053E-2</c:v>
                </c:pt>
                <c:pt idx="4">
                  <c:v>4.3198358396347232E-2</c:v>
                </c:pt>
                <c:pt idx="5">
                  <c:v>5.8572716808079912E-2</c:v>
                </c:pt>
                <c:pt idx="6">
                  <c:v>6.0846113544154472E-2</c:v>
                </c:pt>
                <c:pt idx="7">
                  <c:v>7.640112944562015E-2</c:v>
                </c:pt>
                <c:pt idx="8">
                  <c:v>8.624309638660474E-2</c:v>
                </c:pt>
                <c:pt idx="9">
                  <c:v>9.2492334331034765E-2</c:v>
                </c:pt>
                <c:pt idx="10">
                  <c:v>0.10107154121414562</c:v>
                </c:pt>
                <c:pt idx="11">
                  <c:v>0.11522016191510953</c:v>
                </c:pt>
                <c:pt idx="12">
                  <c:v>0.12176168937277089</c:v>
                </c:pt>
                <c:pt idx="13">
                  <c:v>0.13363331270488754</c:v>
                </c:pt>
                <c:pt idx="14">
                  <c:v>0.14429611447832921</c:v>
                </c:pt>
                <c:pt idx="15">
                  <c:v>0.15064357486568475</c:v>
                </c:pt>
                <c:pt idx="16">
                  <c:v>0.16054625971721165</c:v>
                </c:pt>
                <c:pt idx="17">
                  <c:v>0.17785570437038684</c:v>
                </c:pt>
                <c:pt idx="18">
                  <c:v>0.18108673904582084</c:v>
                </c:pt>
                <c:pt idx="19">
                  <c:v>0.19684149779538657</c:v>
                </c:pt>
                <c:pt idx="20">
                  <c:v>0.20037947915270446</c:v>
                </c:pt>
                <c:pt idx="21">
                  <c:v>0.21189330433306594</c:v>
                </c:pt>
                <c:pt idx="22">
                  <c:v>0.223788491297464</c:v>
                </c:pt>
                <c:pt idx="23">
                  <c:v>0.23158280179174218</c:v>
                </c:pt>
                <c:pt idx="24">
                  <c:v>0.24444231474177033</c:v>
                </c:pt>
                <c:pt idx="25">
                  <c:v>0.25138206581151629</c:v>
                </c:pt>
                <c:pt idx="26">
                  <c:v>0.26570408656161837</c:v>
                </c:pt>
                <c:pt idx="27">
                  <c:v>0.27336321862725615</c:v>
                </c:pt>
                <c:pt idx="28">
                  <c:v>0.28899431797652375</c:v>
                </c:pt>
                <c:pt idx="29">
                  <c:v>0.29918596772690909</c:v>
                </c:pt>
                <c:pt idx="30">
                  <c:v>0.30939301431397742</c:v>
                </c:pt>
                <c:pt idx="31">
                  <c:v>0.31847798497846308</c:v>
                </c:pt>
                <c:pt idx="32">
                  <c:v>0.32804312526435664</c:v>
                </c:pt>
                <c:pt idx="33">
                  <c:v>0.33755382060249189</c:v>
                </c:pt>
                <c:pt idx="34">
                  <c:v>0.34503667930025528</c:v>
                </c:pt>
                <c:pt idx="35">
                  <c:v>0.35557704778750826</c:v>
                </c:pt>
                <c:pt idx="36">
                  <c:v>0.36720363544235091</c:v>
                </c:pt>
                <c:pt idx="37">
                  <c:v>0.37617190657560057</c:v>
                </c:pt>
                <c:pt idx="38">
                  <c:v>0.38022765080449816</c:v>
                </c:pt>
                <c:pt idx="39">
                  <c:v>0.39204179710988929</c:v>
                </c:pt>
                <c:pt idx="40">
                  <c:v>0.40872098709892507</c:v>
                </c:pt>
                <c:pt idx="41">
                  <c:v>0.41699107086215892</c:v>
                </c:pt>
                <c:pt idx="42">
                  <c:v>0.42869595140654032</c:v>
                </c:pt>
                <c:pt idx="43">
                  <c:v>0.43270966094515978</c:v>
                </c:pt>
                <c:pt idx="44">
                  <c:v>0.44171845062675852</c:v>
                </c:pt>
                <c:pt idx="45">
                  <c:v>0.45273968598636322</c:v>
                </c:pt>
                <c:pt idx="46">
                  <c:v>0.46506187083084649</c:v>
                </c:pt>
                <c:pt idx="47">
                  <c:v>0.4740555231748278</c:v>
                </c:pt>
                <c:pt idx="48">
                  <c:v>0.48241032336196171</c:v>
                </c:pt>
                <c:pt idx="49">
                  <c:v>0.49139455372500107</c:v>
                </c:pt>
                <c:pt idx="50">
                  <c:v>0.50837004595398205</c:v>
                </c:pt>
                <c:pt idx="51">
                  <c:v>0.51126916564564906</c:v>
                </c:pt>
                <c:pt idx="52">
                  <c:v>0.52989418409529465</c:v>
                </c:pt>
                <c:pt idx="53">
                  <c:v>0.5321845179568474</c:v>
                </c:pt>
                <c:pt idx="54">
                  <c:v>0.5498007313045209</c:v>
                </c:pt>
                <c:pt idx="55">
                  <c:v>0.55703279673751271</c:v>
                </c:pt>
                <c:pt idx="56">
                  <c:v>0.56314642947473248</c:v>
                </c:pt>
                <c:pt idx="57">
                  <c:v>0.57487135888190732</c:v>
                </c:pt>
                <c:pt idx="58">
                  <c:v>0.58609038374295697</c:v>
                </c:pt>
                <c:pt idx="59">
                  <c:v>0.59291024018612459</c:v>
                </c:pt>
                <c:pt idx="60">
                  <c:v>0.60545256825523741</c:v>
                </c:pt>
                <c:pt idx="61">
                  <c:v>0.61885989426142995</c:v>
                </c:pt>
                <c:pt idx="62">
                  <c:v>0.62188420463397265</c:v>
                </c:pt>
                <c:pt idx="63">
                  <c:v>0.63746610430708761</c:v>
                </c:pt>
                <c:pt idx="64">
                  <c:v>0.64467205576474595</c:v>
                </c:pt>
                <c:pt idx="65">
                  <c:v>0.65638662444110651</c:v>
                </c:pt>
                <c:pt idx="66">
                  <c:v>0.66164976006645004</c:v>
                </c:pt>
                <c:pt idx="67">
                  <c:v>0.67845584751070842</c:v>
                </c:pt>
                <c:pt idx="68">
                  <c:v>0.6832338133694682</c:v>
                </c:pt>
                <c:pt idx="69">
                  <c:v>0.69642252607420618</c:v>
                </c:pt>
                <c:pt idx="70">
                  <c:v>0.70529209907755541</c:v>
                </c:pt>
                <c:pt idx="71">
                  <c:v>0.71909695705377885</c:v>
                </c:pt>
                <c:pt idx="72">
                  <c:v>0.722169054649344</c:v>
                </c:pt>
                <c:pt idx="73">
                  <c:v>0.73893844328563163</c:v>
                </c:pt>
                <c:pt idx="74">
                  <c:v>0.74559180392548252</c:v>
                </c:pt>
                <c:pt idx="75">
                  <c:v>0.75004567238736097</c:v>
                </c:pt>
                <c:pt idx="76">
                  <c:v>0.76053269234963994</c:v>
                </c:pt>
                <c:pt idx="77">
                  <c:v>0.77626457763981649</c:v>
                </c:pt>
                <c:pt idx="78">
                  <c:v>0.78039708568956645</c:v>
                </c:pt>
                <c:pt idx="79">
                  <c:v>0.7955712200038999</c:v>
                </c:pt>
                <c:pt idx="80">
                  <c:v>0.80522122536441798</c:v>
                </c:pt>
                <c:pt idx="81">
                  <c:v>0.81864450740363548</c:v>
                </c:pt>
                <c:pt idx="82">
                  <c:v>0.82635747197930642</c:v>
                </c:pt>
                <c:pt idx="83">
                  <c:v>0.83827693247429025</c:v>
                </c:pt>
                <c:pt idx="84">
                  <c:v>0.84349910452810561</c:v>
                </c:pt>
                <c:pt idx="85">
                  <c:v>0.85469332843429724</c:v>
                </c:pt>
                <c:pt idx="86">
                  <c:v>0.86467567252569733</c:v>
                </c:pt>
                <c:pt idx="87">
                  <c:v>0.87208117881139768</c:v>
                </c:pt>
                <c:pt idx="88">
                  <c:v>0.8831880966930622</c:v>
                </c:pt>
                <c:pt idx="89">
                  <c:v>0.89596911148074299</c:v>
                </c:pt>
                <c:pt idx="90">
                  <c:v>0.90715699763669566</c:v>
                </c:pt>
                <c:pt idx="91">
                  <c:v>0.91257989430394493</c:v>
                </c:pt>
                <c:pt idx="92">
                  <c:v>0.92774711055395831</c:v>
                </c:pt>
                <c:pt idx="93">
                  <c:v>0.93947105472895098</c:v>
                </c:pt>
                <c:pt idx="94">
                  <c:v>0.94057658483054885</c:v>
                </c:pt>
                <c:pt idx="95">
                  <c:v>0.9543367437283361</c:v>
                </c:pt>
                <c:pt idx="96">
                  <c:v>0.96403672975814825</c:v>
                </c:pt>
                <c:pt idx="97">
                  <c:v>0.97979962397594933</c:v>
                </c:pt>
                <c:pt idx="98">
                  <c:v>0.98301842126134276</c:v>
                </c:pt>
                <c:pt idx="99">
                  <c:v>0.99803661999246951</c:v>
                </c:pt>
              </c:numCache>
            </c:numRef>
          </c:xVal>
          <c:yVal>
            <c:numRef>
              <c:f>SimData100!$M$109:$M$208</c:f>
              <c:numCache>
                <c:formatCode>General</c:formatCode>
                <c:ptCount val="100"/>
                <c:pt idx="0">
                  <c:v>0</c:v>
                </c:pt>
                <c:pt idx="1">
                  <c:v>1.0101010101010102E-2</c:v>
                </c:pt>
                <c:pt idx="2">
                  <c:v>2.0202020202020204E-2</c:v>
                </c:pt>
                <c:pt idx="3">
                  <c:v>3.0303030303030304E-2</c:v>
                </c:pt>
                <c:pt idx="4">
                  <c:v>4.0404040404040407E-2</c:v>
                </c:pt>
                <c:pt idx="5">
                  <c:v>5.0505050505050511E-2</c:v>
                </c:pt>
                <c:pt idx="6">
                  <c:v>6.0606060606060615E-2</c:v>
                </c:pt>
                <c:pt idx="7">
                  <c:v>7.0707070707070718E-2</c:v>
                </c:pt>
                <c:pt idx="8">
                  <c:v>8.0808080808080815E-2</c:v>
                </c:pt>
                <c:pt idx="9">
                  <c:v>9.0909090909090912E-2</c:v>
                </c:pt>
                <c:pt idx="10">
                  <c:v>0.10101010101010101</c:v>
                </c:pt>
                <c:pt idx="11">
                  <c:v>0.1111111111111111</c:v>
                </c:pt>
                <c:pt idx="12">
                  <c:v>0.1212121212121212</c:v>
                </c:pt>
                <c:pt idx="13">
                  <c:v>0.1313131313131313</c:v>
                </c:pt>
                <c:pt idx="14">
                  <c:v>0.14141414141414141</c:v>
                </c:pt>
                <c:pt idx="15">
                  <c:v>0.15151515151515152</c:v>
                </c:pt>
                <c:pt idx="16">
                  <c:v>0.16161616161616163</c:v>
                </c:pt>
                <c:pt idx="17">
                  <c:v>0.17171717171717174</c:v>
                </c:pt>
                <c:pt idx="18">
                  <c:v>0.18181818181818185</c:v>
                </c:pt>
                <c:pt idx="19">
                  <c:v>0.19191919191919196</c:v>
                </c:pt>
                <c:pt idx="20">
                  <c:v>0.20202020202020207</c:v>
                </c:pt>
                <c:pt idx="21">
                  <c:v>0.21212121212121218</c:v>
                </c:pt>
                <c:pt idx="22">
                  <c:v>0.22222222222222229</c:v>
                </c:pt>
                <c:pt idx="23">
                  <c:v>0.2323232323232324</c:v>
                </c:pt>
                <c:pt idx="24">
                  <c:v>0.24242424242424251</c:v>
                </c:pt>
                <c:pt idx="25">
                  <c:v>0.2525252525252526</c:v>
                </c:pt>
                <c:pt idx="26">
                  <c:v>0.26262626262626271</c:v>
                </c:pt>
                <c:pt idx="27">
                  <c:v>0.27272727272727282</c:v>
                </c:pt>
                <c:pt idx="28">
                  <c:v>0.28282828282828293</c:v>
                </c:pt>
                <c:pt idx="29">
                  <c:v>0.29292929292929304</c:v>
                </c:pt>
                <c:pt idx="30">
                  <c:v>0.30303030303030315</c:v>
                </c:pt>
                <c:pt idx="31">
                  <c:v>0.31313131313131326</c:v>
                </c:pt>
                <c:pt idx="32">
                  <c:v>0.32323232323232337</c:v>
                </c:pt>
                <c:pt idx="33">
                  <c:v>0.33333333333333348</c:v>
                </c:pt>
                <c:pt idx="34">
                  <c:v>0.34343434343434359</c:v>
                </c:pt>
                <c:pt idx="35">
                  <c:v>0.3535353535353537</c:v>
                </c:pt>
                <c:pt idx="36">
                  <c:v>0.36363636363636381</c:v>
                </c:pt>
                <c:pt idx="37">
                  <c:v>0.37373737373737392</c:v>
                </c:pt>
                <c:pt idx="38">
                  <c:v>0.38383838383838403</c:v>
                </c:pt>
                <c:pt idx="39">
                  <c:v>0.39393939393939414</c:v>
                </c:pt>
                <c:pt idx="40">
                  <c:v>0.40404040404040426</c:v>
                </c:pt>
                <c:pt idx="41">
                  <c:v>0.41414141414141437</c:v>
                </c:pt>
                <c:pt idx="42">
                  <c:v>0.42424242424242448</c:v>
                </c:pt>
                <c:pt idx="43">
                  <c:v>0.43434343434343459</c:v>
                </c:pt>
                <c:pt idx="44">
                  <c:v>0.4444444444444447</c:v>
                </c:pt>
                <c:pt idx="45">
                  <c:v>0.45454545454545481</c:v>
                </c:pt>
                <c:pt idx="46">
                  <c:v>0.46464646464646492</c:v>
                </c:pt>
                <c:pt idx="47">
                  <c:v>0.47474747474747503</c:v>
                </c:pt>
                <c:pt idx="48">
                  <c:v>0.48484848484848514</c:v>
                </c:pt>
                <c:pt idx="49">
                  <c:v>0.49494949494949525</c:v>
                </c:pt>
                <c:pt idx="50">
                  <c:v>0.50505050505050531</c:v>
                </c:pt>
                <c:pt idx="51">
                  <c:v>0.51515151515151536</c:v>
                </c:pt>
                <c:pt idx="52">
                  <c:v>0.52525252525252542</c:v>
                </c:pt>
                <c:pt idx="53">
                  <c:v>0.53535353535353547</c:v>
                </c:pt>
                <c:pt idx="54">
                  <c:v>0.54545454545454553</c:v>
                </c:pt>
                <c:pt idx="55">
                  <c:v>0.55555555555555558</c:v>
                </c:pt>
                <c:pt idx="56">
                  <c:v>0.56565656565656564</c:v>
                </c:pt>
                <c:pt idx="57">
                  <c:v>0.57575757575757569</c:v>
                </c:pt>
                <c:pt idx="58">
                  <c:v>0.58585858585858575</c:v>
                </c:pt>
                <c:pt idx="59">
                  <c:v>0.5959595959595958</c:v>
                </c:pt>
                <c:pt idx="60">
                  <c:v>0.60606060606060586</c:v>
                </c:pt>
                <c:pt idx="61">
                  <c:v>0.61616161616161591</c:v>
                </c:pt>
                <c:pt idx="62">
                  <c:v>0.62626262626262597</c:v>
                </c:pt>
                <c:pt idx="63">
                  <c:v>0.63636363636363602</c:v>
                </c:pt>
                <c:pt idx="64">
                  <c:v>0.64646464646464608</c:v>
                </c:pt>
                <c:pt idx="65">
                  <c:v>0.65656565656565613</c:v>
                </c:pt>
                <c:pt idx="66">
                  <c:v>0.66666666666666619</c:v>
                </c:pt>
                <c:pt idx="67">
                  <c:v>0.67676767676767624</c:v>
                </c:pt>
                <c:pt idx="68">
                  <c:v>0.6868686868686863</c:v>
                </c:pt>
                <c:pt idx="69">
                  <c:v>0.69696969696969635</c:v>
                </c:pt>
                <c:pt idx="70">
                  <c:v>0.70707070707070641</c:v>
                </c:pt>
                <c:pt idx="71">
                  <c:v>0.71717171717171646</c:v>
                </c:pt>
                <c:pt idx="72">
                  <c:v>0.72727272727272652</c:v>
                </c:pt>
                <c:pt idx="73">
                  <c:v>0.73737373737373657</c:v>
                </c:pt>
                <c:pt idx="74">
                  <c:v>0.74747474747474663</c:v>
                </c:pt>
                <c:pt idx="75">
                  <c:v>0.75757575757575668</c:v>
                </c:pt>
                <c:pt idx="76">
                  <c:v>0.76767676767676674</c:v>
                </c:pt>
                <c:pt idx="77">
                  <c:v>0.77777777777777679</c:v>
                </c:pt>
                <c:pt idx="78">
                  <c:v>0.78787878787878685</c:v>
                </c:pt>
                <c:pt idx="79">
                  <c:v>0.7979797979797969</c:v>
                </c:pt>
                <c:pt idx="80">
                  <c:v>0.80808080808080696</c:v>
                </c:pt>
                <c:pt idx="81">
                  <c:v>0.81818181818181701</c:v>
                </c:pt>
                <c:pt idx="82">
                  <c:v>0.82828282828282707</c:v>
                </c:pt>
                <c:pt idx="83">
                  <c:v>0.83838383838383712</c:v>
                </c:pt>
                <c:pt idx="84">
                  <c:v>0.84848484848484718</c:v>
                </c:pt>
                <c:pt idx="85">
                  <c:v>0.85858585858585723</c:v>
                </c:pt>
                <c:pt idx="86">
                  <c:v>0.86868686868686729</c:v>
                </c:pt>
                <c:pt idx="87">
                  <c:v>0.87878787878787734</c:v>
                </c:pt>
                <c:pt idx="88">
                  <c:v>0.8888888888888874</c:v>
                </c:pt>
                <c:pt idx="89">
                  <c:v>0.89898989898989745</c:v>
                </c:pt>
                <c:pt idx="90">
                  <c:v>0.90909090909090751</c:v>
                </c:pt>
                <c:pt idx="91">
                  <c:v>0.91919191919191756</c:v>
                </c:pt>
                <c:pt idx="92">
                  <c:v>0.92929292929292762</c:v>
                </c:pt>
                <c:pt idx="93">
                  <c:v>0.93939393939393767</c:v>
                </c:pt>
                <c:pt idx="94">
                  <c:v>0.94949494949494773</c:v>
                </c:pt>
                <c:pt idx="95">
                  <c:v>0.95959595959595778</c:v>
                </c:pt>
                <c:pt idx="96">
                  <c:v>0.96969696969696784</c:v>
                </c:pt>
                <c:pt idx="97">
                  <c:v>0.97979797979797789</c:v>
                </c:pt>
                <c:pt idx="98">
                  <c:v>0.98989898989898795</c:v>
                </c:pt>
                <c:pt idx="99">
                  <c:v>0.999999999999998</c:v>
                </c:pt>
              </c:numCache>
            </c:numRef>
          </c:yVal>
          <c:smooth val="1"/>
        </c:ser>
        <c:axId val="185856000"/>
        <c:axId val="185857536"/>
      </c:scatterChart>
      <c:valAx>
        <c:axId val="185856000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7536"/>
        <c:crosses val="autoZero"/>
        <c:crossBetween val="midCat"/>
      </c:valAx>
      <c:valAx>
        <c:axId val="185857536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76345840130505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60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401775804661487"/>
          <c:y val="0.9559543230016313"/>
          <c:w val="0.27857935627081021"/>
          <c:h val="3.91517128874388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5000 Iterations</a:t>
            </a:r>
          </a:p>
        </c:rich>
      </c:tx>
      <c:layout>
        <c:manualLayout>
          <c:xMode val="edge"/>
          <c:yMode val="edge"/>
          <c:x val="0.28458332606762343"/>
          <c:y val="2.77428937521116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04899994768686E-2"/>
          <c:y val="0.12892285920098936"/>
          <c:w val="0.89504246080876071"/>
          <c:h val="0.75232200116020376"/>
        </c:manualLayout>
      </c:layout>
      <c:scatterChart>
        <c:scatterStyle val="smoothMarker"/>
        <c:ser>
          <c:idx val="0"/>
          <c:order val="0"/>
          <c:tx>
            <c:strRef>
              <c:f>SimData5000!$H$5008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SimData5000!$H$5009:$H$10008</c:f>
              <c:numCache>
                <c:formatCode>General</c:formatCode>
                <c:ptCount val="5000"/>
                <c:pt idx="0">
                  <c:v>1.2040462235929552E-4</c:v>
                </c:pt>
                <c:pt idx="1">
                  <c:v>2.681739123231205E-4</c:v>
                </c:pt>
                <c:pt idx="2">
                  <c:v>5.7719633317952898E-4</c:v>
                </c:pt>
                <c:pt idx="3">
                  <c:v>6.8431649298507629E-4</c:v>
                </c:pt>
                <c:pt idx="4">
                  <c:v>9.5529441944213931E-4</c:v>
                </c:pt>
                <c:pt idx="5">
                  <c:v>1.1291924740954285E-3</c:v>
                </c:pt>
                <c:pt idx="6">
                  <c:v>1.3378725425661243E-3</c:v>
                </c:pt>
                <c:pt idx="7">
                  <c:v>1.5641490408135927E-3</c:v>
                </c:pt>
                <c:pt idx="8">
                  <c:v>1.629159211048195E-3</c:v>
                </c:pt>
                <c:pt idx="9">
                  <c:v>1.8461551044709409E-3</c:v>
                </c:pt>
                <c:pt idx="10">
                  <c:v>2.1558667870135669E-3</c:v>
                </c:pt>
                <c:pt idx="11">
                  <c:v>2.32255273948483E-3</c:v>
                </c:pt>
                <c:pt idx="12">
                  <c:v>2.5859924774584344E-3</c:v>
                </c:pt>
                <c:pt idx="13">
                  <c:v>2.7129933432473319E-3</c:v>
                </c:pt>
                <c:pt idx="14">
                  <c:v>2.8388540065472138E-3</c:v>
                </c:pt>
                <c:pt idx="15">
                  <c:v>3.1235625312019985E-3</c:v>
                </c:pt>
                <c:pt idx="16">
                  <c:v>3.2376723369205536E-3</c:v>
                </c:pt>
                <c:pt idx="17">
                  <c:v>3.4487864175924998E-3</c:v>
                </c:pt>
                <c:pt idx="18">
                  <c:v>3.7797965665766499E-3</c:v>
                </c:pt>
                <c:pt idx="19">
                  <c:v>3.9310449701573337E-3</c:v>
                </c:pt>
                <c:pt idx="20">
                  <c:v>4.0977114546340218E-3</c:v>
                </c:pt>
                <c:pt idx="21">
                  <c:v>4.329175684025785E-3</c:v>
                </c:pt>
                <c:pt idx="22">
                  <c:v>4.5463747331282063E-3</c:v>
                </c:pt>
                <c:pt idx="23">
                  <c:v>4.7300015170895502E-3</c:v>
                </c:pt>
                <c:pt idx="24">
                  <c:v>4.9209621892592316E-3</c:v>
                </c:pt>
                <c:pt idx="25">
                  <c:v>5.0045890813238429E-3</c:v>
                </c:pt>
                <c:pt idx="26">
                  <c:v>5.3827307756484323E-3</c:v>
                </c:pt>
                <c:pt idx="27">
                  <c:v>5.5613214228212183E-3</c:v>
                </c:pt>
                <c:pt idx="28">
                  <c:v>5.7328163281392345E-3</c:v>
                </c:pt>
                <c:pt idx="29">
                  <c:v>5.9011861823734801E-3</c:v>
                </c:pt>
                <c:pt idx="30">
                  <c:v>6.0455766580639354E-3</c:v>
                </c:pt>
                <c:pt idx="31">
                  <c:v>6.2256752121322041E-3</c:v>
                </c:pt>
                <c:pt idx="32">
                  <c:v>6.5442808154840678E-3</c:v>
                </c:pt>
                <c:pt idx="33">
                  <c:v>6.6937559742233149E-3</c:v>
                </c:pt>
                <c:pt idx="34">
                  <c:v>6.997078213420947E-3</c:v>
                </c:pt>
                <c:pt idx="35">
                  <c:v>7.0182687477251208E-3</c:v>
                </c:pt>
                <c:pt idx="36">
                  <c:v>7.3521722505223404E-3</c:v>
                </c:pt>
                <c:pt idx="37">
                  <c:v>7.4576869196858455E-3</c:v>
                </c:pt>
                <c:pt idx="38">
                  <c:v>7.6278854457726437E-3</c:v>
                </c:pt>
                <c:pt idx="39">
                  <c:v>7.9527682677732713E-3</c:v>
                </c:pt>
                <c:pt idx="40">
                  <c:v>8.1051370193029604E-3</c:v>
                </c:pt>
                <c:pt idx="41">
                  <c:v>8.3540289425649752E-3</c:v>
                </c:pt>
                <c:pt idx="42">
                  <c:v>8.4084056305252959E-3</c:v>
                </c:pt>
                <c:pt idx="43">
                  <c:v>8.6238565647098839E-3</c:v>
                </c:pt>
                <c:pt idx="44">
                  <c:v>8.9496441342750664E-3</c:v>
                </c:pt>
                <c:pt idx="45">
                  <c:v>9.0229140788835732E-3</c:v>
                </c:pt>
                <c:pt idx="46">
                  <c:v>9.2837494451281973E-3</c:v>
                </c:pt>
                <c:pt idx="47">
                  <c:v>9.5839975798930957E-3</c:v>
                </c:pt>
                <c:pt idx="48">
                  <c:v>9.6984415297625692E-3</c:v>
                </c:pt>
                <c:pt idx="49">
                  <c:v>9.8427628757997328E-3</c:v>
                </c:pt>
                <c:pt idx="50">
                  <c:v>1.0196258423709371E-2</c:v>
                </c:pt>
                <c:pt idx="51">
                  <c:v>1.0320074891094136E-2</c:v>
                </c:pt>
                <c:pt idx="52">
                  <c:v>1.0479576538056036E-2</c:v>
                </c:pt>
                <c:pt idx="53">
                  <c:v>1.0793668417957069E-2</c:v>
                </c:pt>
                <c:pt idx="54">
                  <c:v>1.0878100348049332E-2</c:v>
                </c:pt>
                <c:pt idx="55">
                  <c:v>1.1166526881411329E-2</c:v>
                </c:pt>
                <c:pt idx="56">
                  <c:v>1.1254247796175593E-2</c:v>
                </c:pt>
                <c:pt idx="57">
                  <c:v>1.1519465230200315E-2</c:v>
                </c:pt>
                <c:pt idx="58">
                  <c:v>1.1619147491506103E-2</c:v>
                </c:pt>
                <c:pt idx="59">
                  <c:v>1.1818319295676965E-2</c:v>
                </c:pt>
                <c:pt idx="60">
                  <c:v>1.2154262661876683E-2</c:v>
                </c:pt>
                <c:pt idx="61">
                  <c:v>1.236965448352733E-2</c:v>
                </c:pt>
                <c:pt idx="62">
                  <c:v>1.2513432318929917E-2</c:v>
                </c:pt>
                <c:pt idx="63">
                  <c:v>1.2709992048263084E-2</c:v>
                </c:pt>
                <c:pt idx="64">
                  <c:v>1.2980856019580005E-2</c:v>
                </c:pt>
                <c:pt idx="65">
                  <c:v>1.3070124661426555E-2</c:v>
                </c:pt>
                <c:pt idx="66">
                  <c:v>1.3356171993435402E-2</c:v>
                </c:pt>
                <c:pt idx="67">
                  <c:v>1.3566151669846416E-2</c:v>
                </c:pt>
                <c:pt idx="68">
                  <c:v>1.3628411252663565E-2</c:v>
                </c:pt>
                <c:pt idx="69">
                  <c:v>1.3830888793997206E-2</c:v>
                </c:pt>
                <c:pt idx="70">
                  <c:v>1.4128116838105048E-2</c:v>
                </c:pt>
                <c:pt idx="71">
                  <c:v>1.4229208845139764E-2</c:v>
                </c:pt>
                <c:pt idx="72">
                  <c:v>1.4480013345992197E-2</c:v>
                </c:pt>
                <c:pt idx="73">
                  <c:v>1.4696729576377368E-2</c:v>
                </c:pt>
                <c:pt idx="74">
                  <c:v>1.4841050967537111E-2</c:v>
                </c:pt>
                <c:pt idx="75">
                  <c:v>1.5014403417663278E-2</c:v>
                </c:pt>
                <c:pt idx="76">
                  <c:v>1.5211204672374577E-2</c:v>
                </c:pt>
                <c:pt idx="77">
                  <c:v>1.5558043311805941E-2</c:v>
                </c:pt>
                <c:pt idx="78">
                  <c:v>1.5785426649680693E-2</c:v>
                </c:pt>
                <c:pt idx="79">
                  <c:v>1.5928226505808583E-2</c:v>
                </c:pt>
                <c:pt idx="80">
                  <c:v>1.6060570610282144E-2</c:v>
                </c:pt>
                <c:pt idx="81">
                  <c:v>1.6261180164865493E-2</c:v>
                </c:pt>
                <c:pt idx="82">
                  <c:v>1.6524323918745931E-2</c:v>
                </c:pt>
                <c:pt idx="83">
                  <c:v>1.6780089191901517E-2</c:v>
                </c:pt>
                <c:pt idx="84">
                  <c:v>1.6809427742382844E-2</c:v>
                </c:pt>
                <c:pt idx="85">
                  <c:v>1.7083419877962074E-2</c:v>
                </c:pt>
                <c:pt idx="86">
                  <c:v>1.7398315611714104E-2</c:v>
                </c:pt>
                <c:pt idx="87">
                  <c:v>1.7466687681308643E-2</c:v>
                </c:pt>
                <c:pt idx="88">
                  <c:v>1.7656708534261378E-2</c:v>
                </c:pt>
                <c:pt idx="89">
                  <c:v>1.7960844285870168E-2</c:v>
                </c:pt>
                <c:pt idx="90">
                  <c:v>1.8002398618031851E-2</c:v>
                </c:pt>
                <c:pt idx="91">
                  <c:v>1.8373049098200409E-2</c:v>
                </c:pt>
                <c:pt idx="92">
                  <c:v>1.8533678373818675E-2</c:v>
                </c:pt>
                <c:pt idx="93">
                  <c:v>1.8762599492809409E-2</c:v>
                </c:pt>
                <c:pt idx="94">
                  <c:v>1.8976617776410798E-2</c:v>
                </c:pt>
                <c:pt idx="95">
                  <c:v>1.9119830369604712E-2</c:v>
                </c:pt>
                <c:pt idx="96">
                  <c:v>1.9393877017543155E-2</c:v>
                </c:pt>
                <c:pt idx="97">
                  <c:v>1.95436472723595E-2</c:v>
                </c:pt>
                <c:pt idx="98">
                  <c:v>1.9696447666617215E-2</c:v>
                </c:pt>
                <c:pt idx="99">
                  <c:v>1.9906180227386341E-2</c:v>
                </c:pt>
                <c:pt idx="100">
                  <c:v>2.0164186841939619E-2</c:v>
                </c:pt>
                <c:pt idx="101">
                  <c:v>2.0379408450606141E-2</c:v>
                </c:pt>
                <c:pt idx="102">
                  <c:v>2.0444449959333158E-2</c:v>
                </c:pt>
                <c:pt idx="103">
                  <c:v>2.0737547881514194E-2</c:v>
                </c:pt>
                <c:pt idx="104">
                  <c:v>2.0870340034475163E-2</c:v>
                </c:pt>
                <c:pt idx="105">
                  <c:v>2.116541231064252E-2</c:v>
                </c:pt>
                <c:pt idx="106">
                  <c:v>2.1240586210563916E-2</c:v>
                </c:pt>
                <c:pt idx="107">
                  <c:v>2.1417077615255742E-2</c:v>
                </c:pt>
                <c:pt idx="108">
                  <c:v>2.1701366245630516E-2</c:v>
                </c:pt>
                <c:pt idx="109">
                  <c:v>2.1968288735292919E-2</c:v>
                </c:pt>
                <c:pt idx="110">
                  <c:v>2.2157272552921735E-2</c:v>
                </c:pt>
                <c:pt idx="111">
                  <c:v>2.220448112492554E-2</c:v>
                </c:pt>
                <c:pt idx="112">
                  <c:v>2.2596241778274122E-2</c:v>
                </c:pt>
                <c:pt idx="113">
                  <c:v>2.2774170024780129E-2</c:v>
                </c:pt>
                <c:pt idx="114">
                  <c:v>2.291361674981043E-2</c:v>
                </c:pt>
                <c:pt idx="115">
                  <c:v>2.3014554053920916E-2</c:v>
                </c:pt>
                <c:pt idx="116">
                  <c:v>2.3203472806700383E-2</c:v>
                </c:pt>
                <c:pt idx="117">
                  <c:v>2.3406958351658416E-2</c:v>
                </c:pt>
                <c:pt idx="118">
                  <c:v>2.3654545858328824E-2</c:v>
                </c:pt>
                <c:pt idx="119">
                  <c:v>2.3894111989274183E-2</c:v>
                </c:pt>
                <c:pt idx="120">
                  <c:v>2.4089030396167426E-2</c:v>
                </c:pt>
                <c:pt idx="121">
                  <c:v>2.4251652436948299E-2</c:v>
                </c:pt>
                <c:pt idx="122">
                  <c:v>2.4420530745159028E-2</c:v>
                </c:pt>
                <c:pt idx="123">
                  <c:v>2.4678895390005524E-2</c:v>
                </c:pt>
                <c:pt idx="124">
                  <c:v>2.4829670333869215E-2</c:v>
                </c:pt>
                <c:pt idx="125">
                  <c:v>2.5184097212363057E-2</c:v>
                </c:pt>
                <c:pt idx="126">
                  <c:v>2.5209577849090468E-2</c:v>
                </c:pt>
                <c:pt idx="127">
                  <c:v>2.5404028320360005E-2</c:v>
                </c:pt>
                <c:pt idx="128">
                  <c:v>2.5750033040659041E-2</c:v>
                </c:pt>
                <c:pt idx="129">
                  <c:v>2.5806981629227982E-2</c:v>
                </c:pt>
                <c:pt idx="130">
                  <c:v>2.6156602302742329E-2</c:v>
                </c:pt>
                <c:pt idx="131">
                  <c:v>2.63208067912424E-2</c:v>
                </c:pt>
                <c:pt idx="132">
                  <c:v>2.6533415136051695E-2</c:v>
                </c:pt>
                <c:pt idx="133">
                  <c:v>2.6639697372736339E-2</c:v>
                </c:pt>
                <c:pt idx="134">
                  <c:v>2.6858882298846469E-2</c:v>
                </c:pt>
                <c:pt idx="135">
                  <c:v>2.7121837251149541E-2</c:v>
                </c:pt>
                <c:pt idx="136">
                  <c:v>2.7282167652221904E-2</c:v>
                </c:pt>
                <c:pt idx="137">
                  <c:v>2.7411909548102856E-2</c:v>
                </c:pt>
                <c:pt idx="138">
                  <c:v>2.7743454680345826E-2</c:v>
                </c:pt>
                <c:pt idx="139">
                  <c:v>2.7813681914194876E-2</c:v>
                </c:pt>
                <c:pt idx="140">
                  <c:v>2.8183845016542784E-2</c:v>
                </c:pt>
                <c:pt idx="141">
                  <c:v>2.8392399083960896E-2</c:v>
                </c:pt>
                <c:pt idx="142">
                  <c:v>2.8583773251758832E-2</c:v>
                </c:pt>
                <c:pt idx="143">
                  <c:v>2.8745055191811416E-2</c:v>
                </c:pt>
                <c:pt idx="144">
                  <c:v>2.8933577572492316E-2</c:v>
                </c:pt>
                <c:pt idx="145">
                  <c:v>2.9050591824588037E-2</c:v>
                </c:pt>
                <c:pt idx="146">
                  <c:v>2.9306432770077703E-2</c:v>
                </c:pt>
                <c:pt idx="147">
                  <c:v>2.9595487637164884E-2</c:v>
                </c:pt>
                <c:pt idx="148">
                  <c:v>2.9740926683820067E-2</c:v>
                </c:pt>
                <c:pt idx="149">
                  <c:v>2.9936875081978939E-2</c:v>
                </c:pt>
                <c:pt idx="150">
                  <c:v>3.0106928543817937E-2</c:v>
                </c:pt>
                <c:pt idx="151">
                  <c:v>3.0275413232314263E-2</c:v>
                </c:pt>
                <c:pt idx="152">
                  <c:v>3.0427798121009909E-2</c:v>
                </c:pt>
                <c:pt idx="153">
                  <c:v>3.0771796666172288E-2</c:v>
                </c:pt>
                <c:pt idx="154">
                  <c:v>3.0960327223213464E-2</c:v>
                </c:pt>
                <c:pt idx="155">
                  <c:v>3.1180346520240498E-2</c:v>
                </c:pt>
                <c:pt idx="156">
                  <c:v>3.1332749543556186E-2</c:v>
                </c:pt>
                <c:pt idx="157">
                  <c:v>3.1510920713355511E-2</c:v>
                </c:pt>
                <c:pt idx="158">
                  <c:v>3.1601519065490344E-2</c:v>
                </c:pt>
                <c:pt idx="159">
                  <c:v>3.1895201177032477E-2</c:v>
                </c:pt>
                <c:pt idx="160">
                  <c:v>3.2005865018583338E-2</c:v>
                </c:pt>
                <c:pt idx="161">
                  <c:v>3.2326789476193205E-2</c:v>
                </c:pt>
                <c:pt idx="162">
                  <c:v>3.2563799733334176E-2</c:v>
                </c:pt>
                <c:pt idx="163">
                  <c:v>3.2770128059939042E-2</c:v>
                </c:pt>
                <c:pt idx="164">
                  <c:v>3.2992393964760093E-2</c:v>
                </c:pt>
                <c:pt idx="165">
                  <c:v>3.3165890594703588E-2</c:v>
                </c:pt>
                <c:pt idx="166">
                  <c:v>3.3273300606215674E-2</c:v>
                </c:pt>
                <c:pt idx="167">
                  <c:v>3.3432983857773477E-2</c:v>
                </c:pt>
                <c:pt idx="168">
                  <c:v>3.3747355960949174E-2</c:v>
                </c:pt>
                <c:pt idx="169">
                  <c:v>3.3999904913641486E-2</c:v>
                </c:pt>
                <c:pt idx="170">
                  <c:v>3.4139223355459804E-2</c:v>
                </c:pt>
                <c:pt idx="171">
                  <c:v>3.4391870404032958E-2</c:v>
                </c:pt>
                <c:pt idx="172">
                  <c:v>3.4540675735040723E-2</c:v>
                </c:pt>
                <c:pt idx="173">
                  <c:v>3.4716910291117828E-2</c:v>
                </c:pt>
                <c:pt idx="174">
                  <c:v>3.4968580260818956E-2</c:v>
                </c:pt>
                <c:pt idx="175">
                  <c:v>3.5047463115455459E-2</c:v>
                </c:pt>
                <c:pt idx="176">
                  <c:v>3.5334316727224348E-2</c:v>
                </c:pt>
                <c:pt idx="177">
                  <c:v>3.5458661581962057E-2</c:v>
                </c:pt>
                <c:pt idx="178">
                  <c:v>3.5731944958756659E-2</c:v>
                </c:pt>
                <c:pt idx="179">
                  <c:v>3.5860197377172345E-2</c:v>
                </c:pt>
                <c:pt idx="180">
                  <c:v>3.6006091391156916E-2</c:v>
                </c:pt>
                <c:pt idx="181">
                  <c:v>3.6321527085435006E-2</c:v>
                </c:pt>
                <c:pt idx="182">
                  <c:v>3.6586832470071232E-2</c:v>
                </c:pt>
                <c:pt idx="183">
                  <c:v>3.6640500576943277E-2</c:v>
                </c:pt>
                <c:pt idx="184">
                  <c:v>3.6939925692961534E-2</c:v>
                </c:pt>
                <c:pt idx="185">
                  <c:v>3.7079184816516744E-2</c:v>
                </c:pt>
                <c:pt idx="186">
                  <c:v>3.735125292724726E-2</c:v>
                </c:pt>
                <c:pt idx="187">
                  <c:v>3.753275772070809E-2</c:v>
                </c:pt>
                <c:pt idx="188">
                  <c:v>3.7664827134801265E-2</c:v>
                </c:pt>
                <c:pt idx="189">
                  <c:v>3.7923872606717951E-2</c:v>
                </c:pt>
                <c:pt idx="190">
                  <c:v>3.809374999666907E-2</c:v>
                </c:pt>
                <c:pt idx="191">
                  <c:v>3.8283428121005048E-2</c:v>
                </c:pt>
                <c:pt idx="192">
                  <c:v>3.8533648389655548E-2</c:v>
                </c:pt>
                <c:pt idx="193">
                  <c:v>3.868664958357966E-2</c:v>
                </c:pt>
                <c:pt idx="194">
                  <c:v>3.885017059008828E-2</c:v>
                </c:pt>
                <c:pt idx="195">
                  <c:v>3.906353013507638E-2</c:v>
                </c:pt>
                <c:pt idx="196">
                  <c:v>3.9225566989329073E-2</c:v>
                </c:pt>
                <c:pt idx="197">
                  <c:v>3.9592997837763509E-2</c:v>
                </c:pt>
                <c:pt idx="198">
                  <c:v>3.970251142045076E-2</c:v>
                </c:pt>
                <c:pt idx="199">
                  <c:v>3.9919424464069174E-2</c:v>
                </c:pt>
                <c:pt idx="200">
                  <c:v>4.0016460276631742E-2</c:v>
                </c:pt>
                <c:pt idx="201">
                  <c:v>4.0325344721443335E-2</c:v>
                </c:pt>
                <c:pt idx="202">
                  <c:v>4.0419788455176117E-2</c:v>
                </c:pt>
                <c:pt idx="203">
                  <c:v>4.0761081175403925E-2</c:v>
                </c:pt>
                <c:pt idx="204">
                  <c:v>4.094761548897894E-2</c:v>
                </c:pt>
                <c:pt idx="205">
                  <c:v>4.1159398288503152E-2</c:v>
                </c:pt>
                <c:pt idx="206">
                  <c:v>4.1291241044525813E-2</c:v>
                </c:pt>
                <c:pt idx="207">
                  <c:v>4.1402732546348762E-2</c:v>
                </c:pt>
                <c:pt idx="208">
                  <c:v>4.171456536224917E-2</c:v>
                </c:pt>
                <c:pt idx="209">
                  <c:v>4.1912039011510097E-2</c:v>
                </c:pt>
                <c:pt idx="210">
                  <c:v>4.2128027560219175E-2</c:v>
                </c:pt>
                <c:pt idx="211">
                  <c:v>4.2387239697200069E-2</c:v>
                </c:pt>
                <c:pt idx="212">
                  <c:v>4.2516858491747841E-2</c:v>
                </c:pt>
                <c:pt idx="213">
                  <c:v>4.2743651369340635E-2</c:v>
                </c:pt>
                <c:pt idx="214">
                  <c:v>4.2987797969483724E-2</c:v>
                </c:pt>
                <c:pt idx="215">
                  <c:v>4.3074525460338811E-2</c:v>
                </c:pt>
                <c:pt idx="216">
                  <c:v>4.3397181587758751E-2</c:v>
                </c:pt>
                <c:pt idx="217">
                  <c:v>4.3568880585573816E-2</c:v>
                </c:pt>
                <c:pt idx="218">
                  <c:v>4.373099743922497E-2</c:v>
                </c:pt>
                <c:pt idx="219">
                  <c:v>4.3835870103453252E-2</c:v>
                </c:pt>
                <c:pt idx="220">
                  <c:v>4.4009960776430081E-2</c:v>
                </c:pt>
                <c:pt idx="221">
                  <c:v>4.4368142024746197E-2</c:v>
                </c:pt>
                <c:pt idx="222">
                  <c:v>4.4500799828651551E-2</c:v>
                </c:pt>
                <c:pt idx="223">
                  <c:v>4.4787220016258587E-2</c:v>
                </c:pt>
                <c:pt idx="224">
                  <c:v>4.4916476669469026E-2</c:v>
                </c:pt>
                <c:pt idx="225">
                  <c:v>4.5155346688291839E-2</c:v>
                </c:pt>
                <c:pt idx="226">
                  <c:v>4.5398132364451456E-2</c:v>
                </c:pt>
                <c:pt idx="227">
                  <c:v>4.5497708586393321E-2</c:v>
                </c:pt>
                <c:pt idx="228">
                  <c:v>4.5753324589634624E-2</c:v>
                </c:pt>
                <c:pt idx="229">
                  <c:v>4.5875358152174243E-2</c:v>
                </c:pt>
                <c:pt idx="230">
                  <c:v>4.6156232290658218E-2</c:v>
                </c:pt>
                <c:pt idx="231">
                  <c:v>4.6311452541060616E-2</c:v>
                </c:pt>
                <c:pt idx="232">
                  <c:v>4.6557371289785342E-2</c:v>
                </c:pt>
                <c:pt idx="233">
                  <c:v>4.6632389696322475E-2</c:v>
                </c:pt>
                <c:pt idx="234">
                  <c:v>4.6930117031682775E-2</c:v>
                </c:pt>
                <c:pt idx="235">
                  <c:v>4.7089199203785792E-2</c:v>
                </c:pt>
                <c:pt idx="236">
                  <c:v>4.7239337173299707E-2</c:v>
                </c:pt>
                <c:pt idx="237">
                  <c:v>4.7549049224459808E-2</c:v>
                </c:pt>
                <c:pt idx="238">
                  <c:v>4.7735178327871296E-2</c:v>
                </c:pt>
                <c:pt idx="239">
                  <c:v>4.791075487004378E-2</c:v>
                </c:pt>
                <c:pt idx="240">
                  <c:v>4.8052678509161964E-2</c:v>
                </c:pt>
                <c:pt idx="241">
                  <c:v>4.8338560979845596E-2</c:v>
                </c:pt>
                <c:pt idx="242">
                  <c:v>4.8436550538157243E-2</c:v>
                </c:pt>
                <c:pt idx="243">
                  <c:v>4.8704837839422942E-2</c:v>
                </c:pt>
                <c:pt idx="244">
                  <c:v>4.8912322061907577E-2</c:v>
                </c:pt>
                <c:pt idx="245">
                  <c:v>4.9006191735809251E-2</c:v>
                </c:pt>
                <c:pt idx="246">
                  <c:v>4.9311625521516342E-2</c:v>
                </c:pt>
                <c:pt idx="247">
                  <c:v>4.9481261401269877E-2</c:v>
                </c:pt>
                <c:pt idx="248">
                  <c:v>4.9703249899135729E-2</c:v>
                </c:pt>
                <c:pt idx="249">
                  <c:v>4.9943689079383319E-2</c:v>
                </c:pt>
                <c:pt idx="250">
                  <c:v>5.0043285148833709E-2</c:v>
                </c:pt>
                <c:pt idx="251">
                  <c:v>5.0283116772045174E-2</c:v>
                </c:pt>
                <c:pt idx="252">
                  <c:v>5.0581397583703835E-2</c:v>
                </c:pt>
                <c:pt idx="253">
                  <c:v>5.0645900565489635E-2</c:v>
                </c:pt>
                <c:pt idx="254">
                  <c:v>5.080969514223041E-2</c:v>
                </c:pt>
                <c:pt idx="255">
                  <c:v>5.1072728119062424E-2</c:v>
                </c:pt>
                <c:pt idx="256">
                  <c:v>5.1397571786399365E-2</c:v>
                </c:pt>
                <c:pt idx="257">
                  <c:v>5.1407480942040562E-2</c:v>
                </c:pt>
                <c:pt idx="258">
                  <c:v>5.1755716071686643E-2</c:v>
                </c:pt>
                <c:pt idx="259">
                  <c:v>5.1933833916190511E-2</c:v>
                </c:pt>
                <c:pt idx="260">
                  <c:v>5.2183974525142458E-2</c:v>
                </c:pt>
                <c:pt idx="261">
                  <c:v>5.2294998412741121E-2</c:v>
                </c:pt>
                <c:pt idx="262">
                  <c:v>5.2409979225790583E-2</c:v>
                </c:pt>
                <c:pt idx="263">
                  <c:v>5.2655407958490642E-2</c:v>
                </c:pt>
                <c:pt idx="264">
                  <c:v>5.2836629886328389E-2</c:v>
                </c:pt>
                <c:pt idx="265">
                  <c:v>5.3198532077669759E-2</c:v>
                </c:pt>
                <c:pt idx="266">
                  <c:v>5.3383669174272494E-2</c:v>
                </c:pt>
                <c:pt idx="267">
                  <c:v>5.3437653011837428E-2</c:v>
                </c:pt>
                <c:pt idx="268">
                  <c:v>5.3657331269201199E-2</c:v>
                </c:pt>
                <c:pt idx="269">
                  <c:v>5.380128910178348E-2</c:v>
                </c:pt>
                <c:pt idx="270">
                  <c:v>5.4129936044088084E-2</c:v>
                </c:pt>
                <c:pt idx="271">
                  <c:v>5.43973686617793E-2</c:v>
                </c:pt>
                <c:pt idx="272">
                  <c:v>5.4547393825079178E-2</c:v>
                </c:pt>
                <c:pt idx="273">
                  <c:v>5.4746689770358306E-2</c:v>
                </c:pt>
                <c:pt idx="274">
                  <c:v>5.4854489888682613E-2</c:v>
                </c:pt>
                <c:pt idx="275">
                  <c:v>5.5183736765054926E-2</c:v>
                </c:pt>
                <c:pt idx="276">
                  <c:v>5.5338317087092047E-2</c:v>
                </c:pt>
                <c:pt idx="277">
                  <c:v>5.5574923928029582E-2</c:v>
                </c:pt>
                <c:pt idx="278">
                  <c:v>5.5685410379545157E-2</c:v>
                </c:pt>
                <c:pt idx="279">
                  <c:v>5.5824704270955337E-2</c:v>
                </c:pt>
                <c:pt idx="280">
                  <c:v>5.6063853847809104E-2</c:v>
                </c:pt>
                <c:pt idx="281">
                  <c:v>5.6249369156185856E-2</c:v>
                </c:pt>
                <c:pt idx="282">
                  <c:v>5.6537054345974946E-2</c:v>
                </c:pt>
                <c:pt idx="283">
                  <c:v>5.6645049808697091E-2</c:v>
                </c:pt>
                <c:pt idx="284">
                  <c:v>5.6872835815062944E-2</c:v>
                </c:pt>
                <c:pt idx="285">
                  <c:v>5.7113074487706902E-2</c:v>
                </c:pt>
                <c:pt idx="286">
                  <c:v>5.7337546610212314E-2</c:v>
                </c:pt>
                <c:pt idx="287">
                  <c:v>5.754569146413023E-2</c:v>
                </c:pt>
                <c:pt idx="288">
                  <c:v>5.7688279177082767E-2</c:v>
                </c:pt>
                <c:pt idx="289">
                  <c:v>5.7993927098436732E-2</c:v>
                </c:pt>
                <c:pt idx="290">
                  <c:v>5.8197129977167847E-2</c:v>
                </c:pt>
                <c:pt idx="291">
                  <c:v>5.8286153969095582E-2</c:v>
                </c:pt>
                <c:pt idx="292">
                  <c:v>5.8555141885149091E-2</c:v>
                </c:pt>
                <c:pt idx="293">
                  <c:v>5.8626687356463335E-2</c:v>
                </c:pt>
                <c:pt idx="294">
                  <c:v>5.8962000044566115E-2</c:v>
                </c:pt>
                <c:pt idx="295">
                  <c:v>5.9068556422383657E-2</c:v>
                </c:pt>
                <c:pt idx="296">
                  <c:v>5.9371211952709405E-2</c:v>
                </c:pt>
                <c:pt idx="297">
                  <c:v>5.950729739351833E-2</c:v>
                </c:pt>
                <c:pt idx="298">
                  <c:v>5.9778045601299505E-2</c:v>
                </c:pt>
                <c:pt idx="299">
                  <c:v>5.9804099896690832E-2</c:v>
                </c:pt>
                <c:pt idx="300">
                  <c:v>6.0114894931557333E-2</c:v>
                </c:pt>
                <c:pt idx="301">
                  <c:v>6.0207335562074402E-2</c:v>
                </c:pt>
                <c:pt idx="302">
                  <c:v>6.0556758247911173E-2</c:v>
                </c:pt>
                <c:pt idx="303">
                  <c:v>6.0707758044010907E-2</c:v>
                </c:pt>
                <c:pt idx="304">
                  <c:v>6.0802097964101028E-2</c:v>
                </c:pt>
                <c:pt idx="305">
                  <c:v>6.1011817902934695E-2</c:v>
                </c:pt>
                <c:pt idx="306">
                  <c:v>6.1303204892599772E-2</c:v>
                </c:pt>
                <c:pt idx="307">
                  <c:v>6.142323900736478E-2</c:v>
                </c:pt>
                <c:pt idx="308">
                  <c:v>6.1629826016311957E-2</c:v>
                </c:pt>
                <c:pt idx="309">
                  <c:v>6.1864796244368143E-2</c:v>
                </c:pt>
                <c:pt idx="310">
                  <c:v>6.2120352246081541E-2</c:v>
                </c:pt>
                <c:pt idx="311">
                  <c:v>6.229100005274895E-2</c:v>
                </c:pt>
                <c:pt idx="312">
                  <c:v>6.2401204592362328E-2</c:v>
                </c:pt>
                <c:pt idx="313">
                  <c:v>6.2618979600914518E-2</c:v>
                </c:pt>
                <c:pt idx="314">
                  <c:v>6.2802907462884416E-2</c:v>
                </c:pt>
                <c:pt idx="315">
                  <c:v>6.319961317060506E-2</c:v>
                </c:pt>
                <c:pt idx="316">
                  <c:v>6.3347707902255398E-2</c:v>
                </c:pt>
                <c:pt idx="317">
                  <c:v>6.3520977055495836E-2</c:v>
                </c:pt>
                <c:pt idx="318">
                  <c:v>6.3669383399437507E-2</c:v>
                </c:pt>
                <c:pt idx="319">
                  <c:v>6.3969001327308123E-2</c:v>
                </c:pt>
                <c:pt idx="320">
                  <c:v>6.4082027018834378E-2</c:v>
                </c:pt>
                <c:pt idx="321">
                  <c:v>6.4392904408646964E-2</c:v>
                </c:pt>
                <c:pt idx="322">
                  <c:v>6.4451013778068833E-2</c:v>
                </c:pt>
                <c:pt idx="323">
                  <c:v>6.476921457591682E-2</c:v>
                </c:pt>
                <c:pt idx="324">
                  <c:v>6.4906171709323807E-2</c:v>
                </c:pt>
                <c:pt idx="325">
                  <c:v>6.5059223089660334E-2</c:v>
                </c:pt>
                <c:pt idx="326">
                  <c:v>6.532449733217352E-2</c:v>
                </c:pt>
                <c:pt idx="327">
                  <c:v>6.5429428125924768E-2</c:v>
                </c:pt>
                <c:pt idx="328">
                  <c:v>6.5761398488832959E-2</c:v>
                </c:pt>
                <c:pt idx="329">
                  <c:v>6.5858695451183877E-2</c:v>
                </c:pt>
                <c:pt idx="330">
                  <c:v>6.6008087105818111E-2</c:v>
                </c:pt>
                <c:pt idx="331">
                  <c:v>6.6376239830901893E-2</c:v>
                </c:pt>
                <c:pt idx="332">
                  <c:v>6.6447331556083469E-2</c:v>
                </c:pt>
                <c:pt idx="333">
                  <c:v>6.670956614797692E-2</c:v>
                </c:pt>
                <c:pt idx="334">
                  <c:v>6.6850083499040938E-2</c:v>
                </c:pt>
                <c:pt idx="335">
                  <c:v>6.7118787003475899E-2</c:v>
                </c:pt>
                <c:pt idx="336">
                  <c:v>6.7312619871812085E-2</c:v>
                </c:pt>
                <c:pt idx="337">
                  <c:v>6.7577747261938118E-2</c:v>
                </c:pt>
                <c:pt idx="338">
                  <c:v>6.772262893564128E-2</c:v>
                </c:pt>
                <c:pt idx="339">
                  <c:v>6.790762958738665E-2</c:v>
                </c:pt>
                <c:pt idx="340">
                  <c:v>6.8199943368835364E-2</c:v>
                </c:pt>
                <c:pt idx="341">
                  <c:v>6.8344398623086597E-2</c:v>
                </c:pt>
                <c:pt idx="342">
                  <c:v>6.843895494501083E-2</c:v>
                </c:pt>
                <c:pt idx="343">
                  <c:v>6.8755154712254921E-2</c:v>
                </c:pt>
                <c:pt idx="344">
                  <c:v>6.8948596533375928E-2</c:v>
                </c:pt>
                <c:pt idx="345">
                  <c:v>6.9104862282403021E-2</c:v>
                </c:pt>
                <c:pt idx="346">
                  <c:v>6.9222041949402083E-2</c:v>
                </c:pt>
                <c:pt idx="347">
                  <c:v>6.9490941605225884E-2</c:v>
                </c:pt>
                <c:pt idx="348">
                  <c:v>6.9709988673895135E-2</c:v>
                </c:pt>
                <c:pt idx="349">
                  <c:v>6.983570299056259E-2</c:v>
                </c:pt>
                <c:pt idx="350">
                  <c:v>7.0029235030531239E-2</c:v>
                </c:pt>
                <c:pt idx="351">
                  <c:v>7.0378843765468074E-2</c:v>
                </c:pt>
                <c:pt idx="352">
                  <c:v>7.0467877925016881E-2</c:v>
                </c:pt>
                <c:pt idx="353">
                  <c:v>7.0719022620450489E-2</c:v>
                </c:pt>
                <c:pt idx="354">
                  <c:v>7.0939388239276452E-2</c:v>
                </c:pt>
                <c:pt idx="355">
                  <c:v>7.1102135487157422E-2</c:v>
                </c:pt>
                <c:pt idx="356">
                  <c:v>7.1217397705003946E-2</c:v>
                </c:pt>
                <c:pt idx="357">
                  <c:v>7.1479987255129954E-2</c:v>
                </c:pt>
                <c:pt idx="358">
                  <c:v>7.1726637961698383E-2</c:v>
                </c:pt>
                <c:pt idx="359">
                  <c:v>7.1979734873766951E-2</c:v>
                </c:pt>
                <c:pt idx="360">
                  <c:v>7.2110811955554133E-2</c:v>
                </c:pt>
                <c:pt idx="361">
                  <c:v>7.2324854072817801E-2</c:v>
                </c:pt>
                <c:pt idx="362">
                  <c:v>7.2521783036487597E-2</c:v>
                </c:pt>
                <c:pt idx="363">
                  <c:v>7.2767618349978608E-2</c:v>
                </c:pt>
                <c:pt idx="364">
                  <c:v>7.2870639134913373E-2</c:v>
                </c:pt>
                <c:pt idx="365">
                  <c:v>7.3110468573661158E-2</c:v>
                </c:pt>
                <c:pt idx="366">
                  <c:v>7.3349196981813108E-2</c:v>
                </c:pt>
                <c:pt idx="367">
                  <c:v>7.3408997164529047E-2</c:v>
                </c:pt>
                <c:pt idx="368">
                  <c:v>7.3675541846937392E-2</c:v>
                </c:pt>
                <c:pt idx="369">
                  <c:v>7.395886607662748E-2</c:v>
                </c:pt>
                <c:pt idx="370">
                  <c:v>7.4094080710200155E-2</c:v>
                </c:pt>
                <c:pt idx="371">
                  <c:v>7.4263574717255212E-2</c:v>
                </c:pt>
                <c:pt idx="372">
                  <c:v>7.4583009047383214E-2</c:v>
                </c:pt>
                <c:pt idx="373">
                  <c:v>7.4790532869377757E-2</c:v>
                </c:pt>
                <c:pt idx="374">
                  <c:v>7.4971072162308514E-2</c:v>
                </c:pt>
                <c:pt idx="375">
                  <c:v>7.5128643833968944E-2</c:v>
                </c:pt>
                <c:pt idx="376">
                  <c:v>7.5303122099745809E-2</c:v>
                </c:pt>
                <c:pt idx="377">
                  <c:v>7.5509777742789538E-2</c:v>
                </c:pt>
                <c:pt idx="378">
                  <c:v>7.5767932776214533E-2</c:v>
                </c:pt>
                <c:pt idx="379">
                  <c:v>7.595352698922006E-2</c:v>
                </c:pt>
                <c:pt idx="380">
                  <c:v>7.6108295145516355E-2</c:v>
                </c:pt>
                <c:pt idx="381">
                  <c:v>7.6243725160286699E-2</c:v>
                </c:pt>
                <c:pt idx="382">
                  <c:v>7.6443038062668181E-2</c:v>
                </c:pt>
                <c:pt idx="383">
                  <c:v>7.6615345239875676E-2</c:v>
                </c:pt>
                <c:pt idx="384">
                  <c:v>7.6910632187852324E-2</c:v>
                </c:pt>
                <c:pt idx="385">
                  <c:v>7.7074210319638764E-2</c:v>
                </c:pt>
                <c:pt idx="386">
                  <c:v>7.7368702953627494E-2</c:v>
                </c:pt>
                <c:pt idx="387">
                  <c:v>7.746673506839824E-2</c:v>
                </c:pt>
                <c:pt idx="388">
                  <c:v>7.7764774714122714E-2</c:v>
                </c:pt>
                <c:pt idx="389">
                  <c:v>7.7850678629067416E-2</c:v>
                </c:pt>
                <c:pt idx="390">
                  <c:v>7.8096592189207809E-2</c:v>
                </c:pt>
                <c:pt idx="391">
                  <c:v>7.8275942454923864E-2</c:v>
                </c:pt>
                <c:pt idx="392">
                  <c:v>7.8470707662513184E-2</c:v>
                </c:pt>
                <c:pt idx="393">
                  <c:v>7.874018518504225E-2</c:v>
                </c:pt>
                <c:pt idx="394">
                  <c:v>7.8966128377701644E-2</c:v>
                </c:pt>
                <c:pt idx="395">
                  <c:v>7.9084103509989581E-2</c:v>
                </c:pt>
                <c:pt idx="396">
                  <c:v>7.9243722170135866E-2</c:v>
                </c:pt>
                <c:pt idx="397">
                  <c:v>7.9481473690616311E-2</c:v>
                </c:pt>
                <c:pt idx="398">
                  <c:v>7.9651534068643004E-2</c:v>
                </c:pt>
                <c:pt idx="399">
                  <c:v>7.9805117403530773E-2</c:v>
                </c:pt>
                <c:pt idx="400">
                  <c:v>8.0081174945617367E-2</c:v>
                </c:pt>
                <c:pt idx="401">
                  <c:v>8.0306661433937637E-2</c:v>
                </c:pt>
                <c:pt idx="402">
                  <c:v>8.0580619213585891E-2</c:v>
                </c:pt>
                <c:pt idx="403">
                  <c:v>8.0792097412699854E-2</c:v>
                </c:pt>
                <c:pt idx="404">
                  <c:v>8.0813941322829097E-2</c:v>
                </c:pt>
                <c:pt idx="405">
                  <c:v>8.1158813066770974E-2</c:v>
                </c:pt>
                <c:pt idx="406">
                  <c:v>8.1394816244019855E-2</c:v>
                </c:pt>
                <c:pt idx="407">
                  <c:v>8.1505396199344063E-2</c:v>
                </c:pt>
                <c:pt idx="408">
                  <c:v>8.1734129495391189E-2</c:v>
                </c:pt>
                <c:pt idx="409">
                  <c:v>8.1842985875309207E-2</c:v>
                </c:pt>
                <c:pt idx="410">
                  <c:v>8.2081832999848253E-2</c:v>
                </c:pt>
                <c:pt idx="411">
                  <c:v>8.2376512264268592E-2</c:v>
                </c:pt>
                <c:pt idx="412">
                  <c:v>8.2447246576903221E-2</c:v>
                </c:pt>
                <c:pt idx="413">
                  <c:v>8.2653831584577869E-2</c:v>
                </c:pt>
                <c:pt idx="414">
                  <c:v>8.2867603692567821E-2</c:v>
                </c:pt>
                <c:pt idx="415">
                  <c:v>8.305075358507473E-2</c:v>
                </c:pt>
                <c:pt idx="416">
                  <c:v>8.3343312080005019E-2</c:v>
                </c:pt>
                <c:pt idx="417">
                  <c:v>8.3428810142499588E-2</c:v>
                </c:pt>
                <c:pt idx="418">
                  <c:v>8.3654373646726454E-2</c:v>
                </c:pt>
                <c:pt idx="419">
                  <c:v>8.3965974574341892E-2</c:v>
                </c:pt>
                <c:pt idx="420">
                  <c:v>8.4147237039252004E-2</c:v>
                </c:pt>
                <c:pt idx="421">
                  <c:v>8.4366591122412724E-2</c:v>
                </c:pt>
                <c:pt idx="422">
                  <c:v>8.4445769674527868E-2</c:v>
                </c:pt>
                <c:pt idx="423">
                  <c:v>8.4722618213743578E-2</c:v>
                </c:pt>
                <c:pt idx="424">
                  <c:v>8.4977162889478999E-2</c:v>
                </c:pt>
                <c:pt idx="425">
                  <c:v>8.5084096415267346E-2</c:v>
                </c:pt>
                <c:pt idx="426">
                  <c:v>8.527642115277155E-2</c:v>
                </c:pt>
                <c:pt idx="427">
                  <c:v>8.5430519134139293E-2</c:v>
                </c:pt>
                <c:pt idx="428">
                  <c:v>8.5682360935044097E-2</c:v>
                </c:pt>
                <c:pt idx="429">
                  <c:v>8.584871425457502E-2</c:v>
                </c:pt>
                <c:pt idx="430">
                  <c:v>8.6106179533504468E-2</c:v>
                </c:pt>
                <c:pt idx="431">
                  <c:v>8.6254980776518345E-2</c:v>
                </c:pt>
                <c:pt idx="432">
                  <c:v>8.6561425311575041E-2</c:v>
                </c:pt>
                <c:pt idx="433">
                  <c:v>8.6636099252113158E-2</c:v>
                </c:pt>
                <c:pt idx="434">
                  <c:v>8.6883338058340212E-2</c:v>
                </c:pt>
                <c:pt idx="435">
                  <c:v>8.7015696671981294E-2</c:v>
                </c:pt>
                <c:pt idx="436">
                  <c:v>8.7227827399789321E-2</c:v>
                </c:pt>
                <c:pt idx="437">
                  <c:v>8.7487040350420181E-2</c:v>
                </c:pt>
                <c:pt idx="438">
                  <c:v>8.7651677529618999E-2</c:v>
                </c:pt>
                <c:pt idx="439">
                  <c:v>8.7849365170451194E-2</c:v>
                </c:pt>
                <c:pt idx="440">
                  <c:v>8.8189577360355667E-2</c:v>
                </c:pt>
                <c:pt idx="441">
                  <c:v>8.8398650208674059E-2</c:v>
                </c:pt>
                <c:pt idx="442">
                  <c:v>8.8456623990381289E-2</c:v>
                </c:pt>
                <c:pt idx="443">
                  <c:v>8.8786230392192078E-2</c:v>
                </c:pt>
                <c:pt idx="444">
                  <c:v>8.8824517681641624E-2</c:v>
                </c:pt>
                <c:pt idx="445">
                  <c:v>8.9191501721737787E-2</c:v>
                </c:pt>
                <c:pt idx="446">
                  <c:v>8.9356535405236429E-2</c:v>
                </c:pt>
                <c:pt idx="447">
                  <c:v>8.9410264477415541E-2</c:v>
                </c:pt>
                <c:pt idx="448">
                  <c:v>8.9641183296274671E-2</c:v>
                </c:pt>
                <c:pt idx="449">
                  <c:v>8.9836218744431678E-2</c:v>
                </c:pt>
                <c:pt idx="450">
                  <c:v>9.0122054195246215E-2</c:v>
                </c:pt>
                <c:pt idx="451">
                  <c:v>9.0310568461406643E-2</c:v>
                </c:pt>
                <c:pt idx="452">
                  <c:v>9.0560014791311705E-2</c:v>
                </c:pt>
                <c:pt idx="453">
                  <c:v>9.0714597298790375E-2</c:v>
                </c:pt>
                <c:pt idx="454">
                  <c:v>9.0808496871732286E-2</c:v>
                </c:pt>
                <c:pt idx="455">
                  <c:v>9.1048526992939541E-2</c:v>
                </c:pt>
                <c:pt idx="456">
                  <c:v>9.1308537999426148E-2</c:v>
                </c:pt>
                <c:pt idx="457">
                  <c:v>9.1444455776979322E-2</c:v>
                </c:pt>
                <c:pt idx="458">
                  <c:v>9.1620236349203674E-2</c:v>
                </c:pt>
                <c:pt idx="459">
                  <c:v>9.1896723633002664E-2</c:v>
                </c:pt>
                <c:pt idx="460">
                  <c:v>9.2109502053332876E-2</c:v>
                </c:pt>
                <c:pt idx="461">
                  <c:v>9.2252780918463312E-2</c:v>
                </c:pt>
                <c:pt idx="462">
                  <c:v>9.2595201176729799E-2</c:v>
                </c:pt>
                <c:pt idx="463">
                  <c:v>9.2611471374335577E-2</c:v>
                </c:pt>
                <c:pt idx="464">
                  <c:v>9.2998201598505997E-2</c:v>
                </c:pt>
                <c:pt idx="465">
                  <c:v>9.3079470854084814E-2</c:v>
                </c:pt>
                <c:pt idx="466">
                  <c:v>9.3261018525590433E-2</c:v>
                </c:pt>
                <c:pt idx="467">
                  <c:v>9.3582027284284594E-2</c:v>
                </c:pt>
                <c:pt idx="468">
                  <c:v>9.3705910101511025E-2</c:v>
                </c:pt>
                <c:pt idx="469">
                  <c:v>9.3801325074816436E-2</c:v>
                </c:pt>
                <c:pt idx="470">
                  <c:v>9.4198516032704738E-2</c:v>
                </c:pt>
                <c:pt idx="471">
                  <c:v>9.4206935301191855E-2</c:v>
                </c:pt>
                <c:pt idx="472">
                  <c:v>9.4500602246192417E-2</c:v>
                </c:pt>
                <c:pt idx="473">
                  <c:v>9.4669244716518844E-2</c:v>
                </c:pt>
                <c:pt idx="474">
                  <c:v>9.4806251627021998E-2</c:v>
                </c:pt>
                <c:pt idx="475">
                  <c:v>9.5034096743733171E-2</c:v>
                </c:pt>
                <c:pt idx="476">
                  <c:v>9.5237715914528287E-2</c:v>
                </c:pt>
                <c:pt idx="477">
                  <c:v>9.5427146420028794E-2</c:v>
                </c:pt>
                <c:pt idx="478">
                  <c:v>9.5615640472484664E-2</c:v>
                </c:pt>
                <c:pt idx="479">
                  <c:v>9.5946603759086355E-2</c:v>
                </c:pt>
                <c:pt idx="480">
                  <c:v>9.6090065629661575E-2</c:v>
                </c:pt>
                <c:pt idx="481">
                  <c:v>9.6226191449404266E-2</c:v>
                </c:pt>
                <c:pt idx="482">
                  <c:v>9.6591297051587907E-2</c:v>
                </c:pt>
                <c:pt idx="483">
                  <c:v>9.6644711153918109E-2</c:v>
                </c:pt>
                <c:pt idx="484">
                  <c:v>9.6865945044734045E-2</c:v>
                </c:pt>
                <c:pt idx="485">
                  <c:v>9.7018915876843706E-2</c:v>
                </c:pt>
                <c:pt idx="486">
                  <c:v>9.7246140670926809E-2</c:v>
                </c:pt>
                <c:pt idx="487">
                  <c:v>9.7460934843369984E-2</c:v>
                </c:pt>
                <c:pt idx="488">
                  <c:v>9.7652587245370404E-2</c:v>
                </c:pt>
                <c:pt idx="489">
                  <c:v>9.7810331866939174E-2</c:v>
                </c:pt>
                <c:pt idx="490">
                  <c:v>9.8077552836359841E-2</c:v>
                </c:pt>
                <c:pt idx="491">
                  <c:v>9.8225630798010541E-2</c:v>
                </c:pt>
                <c:pt idx="492">
                  <c:v>9.8506322460972309E-2</c:v>
                </c:pt>
                <c:pt idx="493">
                  <c:v>9.8639321057926707E-2</c:v>
                </c:pt>
                <c:pt idx="494">
                  <c:v>9.8938713744501292E-2</c:v>
                </c:pt>
                <c:pt idx="495">
                  <c:v>9.904411216965972E-2</c:v>
                </c:pt>
                <c:pt idx="496">
                  <c:v>9.9275121375051123E-2</c:v>
                </c:pt>
                <c:pt idx="497">
                  <c:v>9.9449896454589889E-2</c:v>
                </c:pt>
                <c:pt idx="498">
                  <c:v>9.977514565316381E-2</c:v>
                </c:pt>
                <c:pt idx="499">
                  <c:v>9.992522443261119E-2</c:v>
                </c:pt>
                <c:pt idx="500">
                  <c:v>0.10014680147314137</c:v>
                </c:pt>
                <c:pt idx="501">
                  <c:v>0.1003065300890027</c:v>
                </c:pt>
                <c:pt idx="502">
                  <c:v>0.10055496205947245</c:v>
                </c:pt>
                <c:pt idx="503">
                  <c:v>0.10071332700515942</c:v>
                </c:pt>
                <c:pt idx="504">
                  <c:v>0.10097646179310429</c:v>
                </c:pt>
                <c:pt idx="505">
                  <c:v>0.10103726535375167</c:v>
                </c:pt>
                <c:pt idx="506">
                  <c:v>0.10137114896824843</c:v>
                </c:pt>
                <c:pt idx="507">
                  <c:v>0.10142068870002886</c:v>
                </c:pt>
                <c:pt idx="508">
                  <c:v>0.10171637664039535</c:v>
                </c:pt>
                <c:pt idx="509">
                  <c:v>0.10191786534449036</c:v>
                </c:pt>
                <c:pt idx="510">
                  <c:v>0.10219570486280036</c:v>
                </c:pt>
                <c:pt idx="511">
                  <c:v>0.10222862240994084</c:v>
                </c:pt>
                <c:pt idx="512">
                  <c:v>0.10259000535048313</c:v>
                </c:pt>
                <c:pt idx="513">
                  <c:v>0.10268452960603977</c:v>
                </c:pt>
                <c:pt idx="514">
                  <c:v>0.1029436925375703</c:v>
                </c:pt>
                <c:pt idx="515">
                  <c:v>0.10311968954096543</c:v>
                </c:pt>
                <c:pt idx="516">
                  <c:v>0.10330394590159503</c:v>
                </c:pt>
                <c:pt idx="517">
                  <c:v>0.10348630627134962</c:v>
                </c:pt>
                <c:pt idx="518">
                  <c:v>0.10361624280647752</c:v>
                </c:pt>
                <c:pt idx="519">
                  <c:v>0.10382838957221908</c:v>
                </c:pt>
                <c:pt idx="520">
                  <c:v>0.10412901250294619</c:v>
                </c:pt>
                <c:pt idx="521">
                  <c:v>0.10434779194829701</c:v>
                </c:pt>
                <c:pt idx="522">
                  <c:v>0.10442367917774796</c:v>
                </c:pt>
                <c:pt idx="523">
                  <c:v>0.10470297210568165</c:v>
                </c:pt>
                <c:pt idx="524">
                  <c:v>0.10482645418882054</c:v>
                </c:pt>
                <c:pt idx="525">
                  <c:v>0.10514808828545456</c:v>
                </c:pt>
                <c:pt idx="526">
                  <c:v>0.10527978996827263</c:v>
                </c:pt>
                <c:pt idx="527">
                  <c:v>0.10558740732650911</c:v>
                </c:pt>
                <c:pt idx="528">
                  <c:v>0.10573563072023347</c:v>
                </c:pt>
                <c:pt idx="529">
                  <c:v>0.10585079817577517</c:v>
                </c:pt>
                <c:pt idx="530">
                  <c:v>0.10608231715058962</c:v>
                </c:pt>
                <c:pt idx="531">
                  <c:v>0.10620632467018588</c:v>
                </c:pt>
                <c:pt idx="532">
                  <c:v>0.106433742400872</c:v>
                </c:pt>
                <c:pt idx="533">
                  <c:v>0.10672491517717132</c:v>
                </c:pt>
                <c:pt idx="534">
                  <c:v>0.10699982452038671</c:v>
                </c:pt>
                <c:pt idx="535">
                  <c:v>0.10704546414661349</c:v>
                </c:pt>
                <c:pt idx="536">
                  <c:v>0.10736601935167937</c:v>
                </c:pt>
                <c:pt idx="537">
                  <c:v>0.10749691819979271</c:v>
                </c:pt>
                <c:pt idx="538">
                  <c:v>0.10773508828555585</c:v>
                </c:pt>
                <c:pt idx="539">
                  <c:v>0.10781453138981353</c:v>
                </c:pt>
                <c:pt idx="540">
                  <c:v>0.10803285953552295</c:v>
                </c:pt>
                <c:pt idx="541">
                  <c:v>0.10836642128558979</c:v>
                </c:pt>
                <c:pt idx="542">
                  <c:v>0.10847025986096594</c:v>
                </c:pt>
                <c:pt idx="543">
                  <c:v>0.1087517215819917</c:v>
                </c:pt>
                <c:pt idx="544">
                  <c:v>0.10893393715553311</c:v>
                </c:pt>
                <c:pt idx="545">
                  <c:v>0.10916113576985922</c:v>
                </c:pt>
                <c:pt idx="546">
                  <c:v>0.10930114112992333</c:v>
                </c:pt>
                <c:pt idx="547">
                  <c:v>0.10957346779028267</c:v>
                </c:pt>
                <c:pt idx="548">
                  <c:v>0.10962327283048612</c:v>
                </c:pt>
                <c:pt idx="549">
                  <c:v>0.10981940058493508</c:v>
                </c:pt>
                <c:pt idx="550">
                  <c:v>0.11017822980153799</c:v>
                </c:pt>
                <c:pt idx="551">
                  <c:v>0.11023369764695728</c:v>
                </c:pt>
                <c:pt idx="552">
                  <c:v>0.11040977223878953</c:v>
                </c:pt>
                <c:pt idx="553">
                  <c:v>0.11073648373972078</c:v>
                </c:pt>
                <c:pt idx="554">
                  <c:v>0.11093156262178243</c:v>
                </c:pt>
                <c:pt idx="555">
                  <c:v>0.11110933413028469</c:v>
                </c:pt>
                <c:pt idx="556">
                  <c:v>0.11139503120640176</c:v>
                </c:pt>
                <c:pt idx="557">
                  <c:v>0.11147782584272274</c:v>
                </c:pt>
                <c:pt idx="558">
                  <c:v>0.1117792305390302</c:v>
                </c:pt>
                <c:pt idx="559">
                  <c:v>0.11184117944520926</c:v>
                </c:pt>
                <c:pt idx="560">
                  <c:v>0.11200455315113174</c:v>
                </c:pt>
                <c:pt idx="561">
                  <c:v>0.11234141922773361</c:v>
                </c:pt>
                <c:pt idx="562">
                  <c:v>0.11242474439177307</c:v>
                </c:pt>
                <c:pt idx="563">
                  <c:v>0.112791153264649</c:v>
                </c:pt>
                <c:pt idx="564">
                  <c:v>0.11293462136577224</c:v>
                </c:pt>
                <c:pt idx="565">
                  <c:v>0.11301634373078502</c:v>
                </c:pt>
                <c:pt idx="566">
                  <c:v>0.11331840866732375</c:v>
                </c:pt>
                <c:pt idx="567">
                  <c:v>0.11348572030418687</c:v>
                </c:pt>
                <c:pt idx="568">
                  <c:v>0.11360765335862702</c:v>
                </c:pt>
                <c:pt idx="569">
                  <c:v>0.11396714388601649</c:v>
                </c:pt>
                <c:pt idx="570">
                  <c:v>0.11409788113448253</c:v>
                </c:pt>
                <c:pt idx="571">
                  <c:v>0.11425128148180695</c:v>
                </c:pt>
                <c:pt idx="572">
                  <c:v>0.11459006620892091</c:v>
                </c:pt>
                <c:pt idx="573">
                  <c:v>0.11479901497787773</c:v>
                </c:pt>
                <c:pt idx="574">
                  <c:v>0.11494344284481915</c:v>
                </c:pt>
                <c:pt idx="575">
                  <c:v>0.1150387412416839</c:v>
                </c:pt>
                <c:pt idx="576">
                  <c:v>0.11531894827133951</c:v>
                </c:pt>
                <c:pt idx="577">
                  <c:v>0.11559551036162197</c:v>
                </c:pt>
                <c:pt idx="578">
                  <c:v>0.11564696287714107</c:v>
                </c:pt>
                <c:pt idx="579">
                  <c:v>0.11584432360153746</c:v>
                </c:pt>
                <c:pt idx="580">
                  <c:v>0.11613465782192878</c:v>
                </c:pt>
                <c:pt idx="581">
                  <c:v>0.11629672180742413</c:v>
                </c:pt>
                <c:pt idx="582">
                  <c:v>0.11655432708676772</c:v>
                </c:pt>
                <c:pt idx="583">
                  <c:v>0.11664556489336435</c:v>
                </c:pt>
                <c:pt idx="584">
                  <c:v>0.11698007436166054</c:v>
                </c:pt>
                <c:pt idx="585">
                  <c:v>0.11702240781169905</c:v>
                </c:pt>
                <c:pt idx="586">
                  <c:v>0.11727406227217849</c:v>
                </c:pt>
                <c:pt idx="587">
                  <c:v>0.11740685263117935</c:v>
                </c:pt>
                <c:pt idx="588">
                  <c:v>0.11763919225578177</c:v>
                </c:pt>
                <c:pt idx="589">
                  <c:v>0.11780524252904702</c:v>
                </c:pt>
                <c:pt idx="590">
                  <c:v>0.1181358490078095</c:v>
                </c:pt>
                <c:pt idx="591">
                  <c:v>0.11839187181028349</c:v>
                </c:pt>
                <c:pt idx="592">
                  <c:v>0.1185186669750881</c:v>
                </c:pt>
                <c:pt idx="593">
                  <c:v>0.11872373547170398</c:v>
                </c:pt>
                <c:pt idx="594">
                  <c:v>0.11892635202834531</c:v>
                </c:pt>
                <c:pt idx="595">
                  <c:v>0.11911020971692872</c:v>
                </c:pt>
                <c:pt idx="596">
                  <c:v>0.11939422001512587</c:v>
                </c:pt>
                <c:pt idx="597">
                  <c:v>0.11945941626673084</c:v>
                </c:pt>
                <c:pt idx="598">
                  <c:v>0.11960558064300697</c:v>
                </c:pt>
                <c:pt idx="599">
                  <c:v>0.1198502285836847</c:v>
                </c:pt>
                <c:pt idx="600">
                  <c:v>0.12005600063462182</c:v>
                </c:pt>
                <c:pt idx="601">
                  <c:v>0.1203572691848402</c:v>
                </c:pt>
                <c:pt idx="602">
                  <c:v>0.12054926784982656</c:v>
                </c:pt>
                <c:pt idx="603">
                  <c:v>0.12071589070249254</c:v>
                </c:pt>
                <c:pt idx="604">
                  <c:v>0.12088510155232741</c:v>
                </c:pt>
                <c:pt idx="605">
                  <c:v>0.12116025567337876</c:v>
                </c:pt>
                <c:pt idx="606">
                  <c:v>0.12130267201394369</c:v>
                </c:pt>
                <c:pt idx="607">
                  <c:v>0.12145387223345551</c:v>
                </c:pt>
                <c:pt idx="608">
                  <c:v>0.12160039609740497</c:v>
                </c:pt>
                <c:pt idx="609">
                  <c:v>0.12188950685921347</c:v>
                </c:pt>
                <c:pt idx="610">
                  <c:v>0.12207334617638806</c:v>
                </c:pt>
                <c:pt idx="611">
                  <c:v>0.12221029164828599</c:v>
                </c:pt>
                <c:pt idx="612">
                  <c:v>0.12255365992876552</c:v>
                </c:pt>
                <c:pt idx="613">
                  <c:v>0.12274938508401378</c:v>
                </c:pt>
                <c:pt idx="614">
                  <c:v>0.12288578435938939</c:v>
                </c:pt>
                <c:pt idx="615">
                  <c:v>0.12312410904935657</c:v>
                </c:pt>
                <c:pt idx="616">
                  <c:v>0.12323872354557709</c:v>
                </c:pt>
                <c:pt idx="617">
                  <c:v>0.12346953234636912</c:v>
                </c:pt>
                <c:pt idx="618">
                  <c:v>0.12367873035429015</c:v>
                </c:pt>
                <c:pt idx="619">
                  <c:v>0.12387558763960274</c:v>
                </c:pt>
                <c:pt idx="620">
                  <c:v>0.12402664175532448</c:v>
                </c:pt>
                <c:pt idx="621">
                  <c:v>0.12422040378763816</c:v>
                </c:pt>
                <c:pt idx="622">
                  <c:v>0.12458460077978312</c:v>
                </c:pt>
                <c:pt idx="623">
                  <c:v>0.12461619288018351</c:v>
                </c:pt>
                <c:pt idx="624">
                  <c:v>0.12481886085868321</c:v>
                </c:pt>
                <c:pt idx="625">
                  <c:v>0.12505851419262087</c:v>
                </c:pt>
                <c:pt idx="626">
                  <c:v>0.12535792558220166</c:v>
                </c:pt>
                <c:pt idx="627">
                  <c:v>0.12543181291120867</c:v>
                </c:pt>
                <c:pt idx="628">
                  <c:v>0.12578723901733457</c:v>
                </c:pt>
                <c:pt idx="629">
                  <c:v>0.12581653277841781</c:v>
                </c:pt>
                <c:pt idx="630">
                  <c:v>0.12617983036776534</c:v>
                </c:pt>
                <c:pt idx="631">
                  <c:v>0.12632443699034035</c:v>
                </c:pt>
                <c:pt idx="632">
                  <c:v>0.12650598453304404</c:v>
                </c:pt>
                <c:pt idx="633">
                  <c:v>0.12677622512406117</c:v>
                </c:pt>
                <c:pt idx="634">
                  <c:v>0.12680570332585034</c:v>
                </c:pt>
                <c:pt idx="635">
                  <c:v>0.12702479289644975</c:v>
                </c:pt>
                <c:pt idx="636">
                  <c:v>0.12732974718751613</c:v>
                </c:pt>
                <c:pt idx="637">
                  <c:v>0.12755627849361773</c:v>
                </c:pt>
                <c:pt idx="638">
                  <c:v>0.12778240214944409</c:v>
                </c:pt>
                <c:pt idx="639">
                  <c:v>0.12793127046635636</c:v>
                </c:pt>
                <c:pt idx="640">
                  <c:v>0.12802364027263216</c:v>
                </c:pt>
                <c:pt idx="641">
                  <c:v>0.12825265571764966</c:v>
                </c:pt>
                <c:pt idx="642">
                  <c:v>0.12852076115340944</c:v>
                </c:pt>
                <c:pt idx="643">
                  <c:v>0.12868869265017302</c:v>
                </c:pt>
                <c:pt idx="644">
                  <c:v>0.12896165069289542</c:v>
                </c:pt>
                <c:pt idx="645">
                  <c:v>0.12918535500359379</c:v>
                </c:pt>
                <c:pt idx="646">
                  <c:v>0.12921901134364749</c:v>
                </c:pt>
                <c:pt idx="647">
                  <c:v>0.12943961803844189</c:v>
                </c:pt>
                <c:pt idx="648">
                  <c:v>0.12973027835808001</c:v>
                </c:pt>
                <c:pt idx="649">
                  <c:v>0.12981931236330871</c:v>
                </c:pt>
                <c:pt idx="650">
                  <c:v>0.13018436319576213</c:v>
                </c:pt>
                <c:pt idx="651">
                  <c:v>0.13023244526666414</c:v>
                </c:pt>
                <c:pt idx="652">
                  <c:v>0.13059146577119629</c:v>
                </c:pt>
                <c:pt idx="653">
                  <c:v>0.13066503818963307</c:v>
                </c:pt>
                <c:pt idx="654">
                  <c:v>0.13082894821936006</c:v>
                </c:pt>
                <c:pt idx="655">
                  <c:v>0.13106689516801082</c:v>
                </c:pt>
                <c:pt idx="656">
                  <c:v>0.13128819300972117</c:v>
                </c:pt>
                <c:pt idx="657">
                  <c:v>0.13144147036328016</c:v>
                </c:pt>
                <c:pt idx="658">
                  <c:v>0.13164338923670429</c:v>
                </c:pt>
                <c:pt idx="659">
                  <c:v>0.13180702429497779</c:v>
                </c:pt>
                <c:pt idx="660">
                  <c:v>0.13200591935184922</c:v>
                </c:pt>
                <c:pt idx="661">
                  <c:v>0.13226870758153236</c:v>
                </c:pt>
                <c:pt idx="662">
                  <c:v>0.13253579508507063</c:v>
                </c:pt>
                <c:pt idx="663">
                  <c:v>0.13268965003613606</c:v>
                </c:pt>
                <c:pt idx="664">
                  <c:v>0.13290972457218678</c:v>
                </c:pt>
                <c:pt idx="665">
                  <c:v>0.13314656990057477</c:v>
                </c:pt>
                <c:pt idx="666">
                  <c:v>0.13328045060575949</c:v>
                </c:pt>
                <c:pt idx="667">
                  <c:v>0.13354500354401419</c:v>
                </c:pt>
                <c:pt idx="668">
                  <c:v>0.13373054006926963</c:v>
                </c:pt>
                <c:pt idx="669">
                  <c:v>0.13381654342986096</c:v>
                </c:pt>
                <c:pt idx="670">
                  <c:v>0.1340756919175097</c:v>
                </c:pt>
                <c:pt idx="671">
                  <c:v>0.13425559313517427</c:v>
                </c:pt>
                <c:pt idx="672">
                  <c:v>0.13445653362769086</c:v>
                </c:pt>
                <c:pt idx="673">
                  <c:v>0.13471252745364617</c:v>
                </c:pt>
                <c:pt idx="674">
                  <c:v>0.13486560960539282</c:v>
                </c:pt>
                <c:pt idx="675">
                  <c:v>0.13500521613615685</c:v>
                </c:pt>
                <c:pt idx="676">
                  <c:v>0.13520676647974336</c:v>
                </c:pt>
                <c:pt idx="677">
                  <c:v>0.13552763230943299</c:v>
                </c:pt>
                <c:pt idx="678">
                  <c:v>0.13567605094105845</c:v>
                </c:pt>
                <c:pt idx="679">
                  <c:v>0.13590197614489635</c:v>
                </c:pt>
                <c:pt idx="680">
                  <c:v>0.13618408809015156</c:v>
                </c:pt>
                <c:pt idx="681">
                  <c:v>0.13622894611200992</c:v>
                </c:pt>
                <c:pt idx="682">
                  <c:v>0.13655271551989781</c:v>
                </c:pt>
                <c:pt idx="683">
                  <c:v>0.1366603612933914</c:v>
                </c:pt>
                <c:pt idx="684">
                  <c:v>0.13687338160483012</c:v>
                </c:pt>
                <c:pt idx="685">
                  <c:v>0.1370904708451802</c:v>
                </c:pt>
                <c:pt idx="686">
                  <c:v>0.13739564469451915</c:v>
                </c:pt>
                <c:pt idx="687">
                  <c:v>0.13740082039865684</c:v>
                </c:pt>
                <c:pt idx="688">
                  <c:v>0.13762068616725054</c:v>
                </c:pt>
                <c:pt idx="689">
                  <c:v>0.13790906342424197</c:v>
                </c:pt>
                <c:pt idx="690">
                  <c:v>0.1381409904610694</c:v>
                </c:pt>
                <c:pt idx="691">
                  <c:v>0.13838786439997794</c:v>
                </c:pt>
                <c:pt idx="692">
                  <c:v>0.13846020925814759</c:v>
                </c:pt>
                <c:pt idx="693">
                  <c:v>0.13879003750942415</c:v>
                </c:pt>
                <c:pt idx="694">
                  <c:v>0.13881369302696867</c:v>
                </c:pt>
                <c:pt idx="695">
                  <c:v>0.1390038800968332</c:v>
                </c:pt>
                <c:pt idx="696">
                  <c:v>0.13939681513220928</c:v>
                </c:pt>
                <c:pt idx="697">
                  <c:v>0.1395185712564547</c:v>
                </c:pt>
                <c:pt idx="698">
                  <c:v>0.13975467852115508</c:v>
                </c:pt>
                <c:pt idx="699">
                  <c:v>0.13993929368973226</c:v>
                </c:pt>
                <c:pt idx="700">
                  <c:v>0.14013465164404704</c:v>
                </c:pt>
                <c:pt idx="701">
                  <c:v>0.14032173230534462</c:v>
                </c:pt>
                <c:pt idx="702">
                  <c:v>0.1405322280201903</c:v>
                </c:pt>
                <c:pt idx="703">
                  <c:v>0.14067408044377205</c:v>
                </c:pt>
                <c:pt idx="704">
                  <c:v>0.1408139358163378</c:v>
                </c:pt>
                <c:pt idx="705">
                  <c:v>0.14117647358280991</c:v>
                </c:pt>
                <c:pt idx="706">
                  <c:v>0.14134012205422394</c:v>
                </c:pt>
                <c:pt idx="707">
                  <c:v>0.14143106984869369</c:v>
                </c:pt>
                <c:pt idx="708">
                  <c:v>0.14160986048360585</c:v>
                </c:pt>
                <c:pt idx="709">
                  <c:v>0.14188290066585943</c:v>
                </c:pt>
                <c:pt idx="710">
                  <c:v>0.1421370570984988</c:v>
                </c:pt>
                <c:pt idx="711">
                  <c:v>0.14229613071994299</c:v>
                </c:pt>
                <c:pt idx="712">
                  <c:v>0.1425366763900818</c:v>
                </c:pt>
                <c:pt idx="713">
                  <c:v>0.14265613065502983</c:v>
                </c:pt>
                <c:pt idx="714">
                  <c:v>0.14286486337610169</c:v>
                </c:pt>
                <c:pt idx="715">
                  <c:v>0.14312111805056246</c:v>
                </c:pt>
                <c:pt idx="716">
                  <c:v>0.14324331971505735</c:v>
                </c:pt>
                <c:pt idx="717">
                  <c:v>0.14340508661377363</c:v>
                </c:pt>
                <c:pt idx="718">
                  <c:v>0.14373563347592383</c:v>
                </c:pt>
                <c:pt idx="719">
                  <c:v>0.1439414063726881</c:v>
                </c:pt>
                <c:pt idx="720">
                  <c:v>0.1440133343683587</c:v>
                </c:pt>
                <c:pt idx="721">
                  <c:v>0.14426059591725018</c:v>
                </c:pt>
                <c:pt idx="722">
                  <c:v>0.14445880822419627</c:v>
                </c:pt>
                <c:pt idx="723">
                  <c:v>0.14467668820961302</c:v>
                </c:pt>
                <c:pt idx="724">
                  <c:v>0.14497165680573593</c:v>
                </c:pt>
                <c:pt idx="725">
                  <c:v>0.14514396952272951</c:v>
                </c:pt>
                <c:pt idx="726">
                  <c:v>0.14520289641679332</c:v>
                </c:pt>
                <c:pt idx="727">
                  <c:v>0.14557592886378429</c:v>
                </c:pt>
                <c:pt idx="728">
                  <c:v>0.14568553010380955</c:v>
                </c:pt>
                <c:pt idx="729">
                  <c:v>0.14594404640922884</c:v>
                </c:pt>
                <c:pt idx="730">
                  <c:v>0.14608603113849788</c:v>
                </c:pt>
                <c:pt idx="731">
                  <c:v>0.14635625243614339</c:v>
                </c:pt>
                <c:pt idx="732">
                  <c:v>0.14642473978498594</c:v>
                </c:pt>
                <c:pt idx="733">
                  <c:v>0.14673263107140841</c:v>
                </c:pt>
                <c:pt idx="734">
                  <c:v>0.14699213720019721</c:v>
                </c:pt>
                <c:pt idx="735">
                  <c:v>0.14713452531568114</c:v>
                </c:pt>
                <c:pt idx="736">
                  <c:v>0.1473282727332153</c:v>
                </c:pt>
                <c:pt idx="737">
                  <c:v>0.14752645500067771</c:v>
                </c:pt>
                <c:pt idx="738">
                  <c:v>0.14765971478332293</c:v>
                </c:pt>
                <c:pt idx="739">
                  <c:v>0.14787162129256678</c:v>
                </c:pt>
                <c:pt idx="740">
                  <c:v>0.14801409549271083</c:v>
                </c:pt>
                <c:pt idx="741">
                  <c:v>0.14836527278725178</c:v>
                </c:pt>
                <c:pt idx="742">
                  <c:v>0.14854754203719728</c:v>
                </c:pt>
                <c:pt idx="743">
                  <c:v>0.14861490079751585</c:v>
                </c:pt>
                <c:pt idx="744">
                  <c:v>0.14882980427994155</c:v>
                </c:pt>
                <c:pt idx="745">
                  <c:v>0.14912584768518011</c:v>
                </c:pt>
                <c:pt idx="746">
                  <c:v>0.14929001930525759</c:v>
                </c:pt>
                <c:pt idx="747">
                  <c:v>0.14941946309959037</c:v>
                </c:pt>
                <c:pt idx="748">
                  <c:v>0.14970749098023109</c:v>
                </c:pt>
                <c:pt idx="749">
                  <c:v>0.1498800443920959</c:v>
                </c:pt>
                <c:pt idx="750">
                  <c:v>0.15019438223484771</c:v>
                </c:pt>
                <c:pt idx="751">
                  <c:v>0.1503441761482377</c:v>
                </c:pt>
                <c:pt idx="752">
                  <c:v>0.15054810200406893</c:v>
                </c:pt>
                <c:pt idx="753">
                  <c:v>0.15064777342147376</c:v>
                </c:pt>
                <c:pt idx="754">
                  <c:v>0.15096660235672413</c:v>
                </c:pt>
                <c:pt idx="755">
                  <c:v>0.15106931126352152</c:v>
                </c:pt>
                <c:pt idx="756">
                  <c:v>0.15120982699571406</c:v>
                </c:pt>
                <c:pt idx="757">
                  <c:v>0.15158343090014145</c:v>
                </c:pt>
                <c:pt idx="758">
                  <c:v>0.15168063219433667</c:v>
                </c:pt>
                <c:pt idx="759">
                  <c:v>0.15182071073987072</c:v>
                </c:pt>
                <c:pt idx="760">
                  <c:v>0.15218185334647583</c:v>
                </c:pt>
                <c:pt idx="761">
                  <c:v>0.15235477588557517</c:v>
                </c:pt>
                <c:pt idx="762">
                  <c:v>0.15246535526324653</c:v>
                </c:pt>
                <c:pt idx="763">
                  <c:v>0.15274481563892794</c:v>
                </c:pt>
                <c:pt idx="764">
                  <c:v>0.15298068160432873</c:v>
                </c:pt>
                <c:pt idx="765">
                  <c:v>0.15305696794401316</c:v>
                </c:pt>
                <c:pt idx="766">
                  <c:v>0.15335178186142626</c:v>
                </c:pt>
                <c:pt idx="767">
                  <c:v>0.15355317582133068</c:v>
                </c:pt>
                <c:pt idx="768">
                  <c:v>0.15362788028019198</c:v>
                </c:pt>
                <c:pt idx="769">
                  <c:v>0.15399561466392958</c:v>
                </c:pt>
                <c:pt idx="770">
                  <c:v>0.15415291292726829</c:v>
                </c:pt>
                <c:pt idx="771">
                  <c:v>0.15422035815828022</c:v>
                </c:pt>
                <c:pt idx="772">
                  <c:v>0.15459619639185168</c:v>
                </c:pt>
                <c:pt idx="773">
                  <c:v>0.15476313590010701</c:v>
                </c:pt>
                <c:pt idx="774">
                  <c:v>0.15483695251109006</c:v>
                </c:pt>
                <c:pt idx="775">
                  <c:v>0.15507895027494031</c:v>
                </c:pt>
                <c:pt idx="776">
                  <c:v>0.15538071560561209</c:v>
                </c:pt>
                <c:pt idx="777">
                  <c:v>0.15545808972293931</c:v>
                </c:pt>
                <c:pt idx="778">
                  <c:v>0.15567134223800883</c:v>
                </c:pt>
                <c:pt idx="779">
                  <c:v>0.15580067523675986</c:v>
                </c:pt>
                <c:pt idx="780">
                  <c:v>0.15615052322832645</c:v>
                </c:pt>
                <c:pt idx="781">
                  <c:v>0.15626093749815154</c:v>
                </c:pt>
                <c:pt idx="782">
                  <c:v>0.15657941213692059</c:v>
                </c:pt>
                <c:pt idx="783">
                  <c:v>0.15669765999673346</c:v>
                </c:pt>
                <c:pt idx="784">
                  <c:v>0.15686599421362998</c:v>
                </c:pt>
                <c:pt idx="785">
                  <c:v>0.15716994154238373</c:v>
                </c:pt>
                <c:pt idx="786">
                  <c:v>0.15736284483740173</c:v>
                </c:pt>
                <c:pt idx="787">
                  <c:v>0.15759531234269852</c:v>
                </c:pt>
                <c:pt idx="788">
                  <c:v>0.15774115537715636</c:v>
                </c:pt>
                <c:pt idx="789">
                  <c:v>0.15788868004532733</c:v>
                </c:pt>
                <c:pt idx="790">
                  <c:v>0.15812452530537838</c:v>
                </c:pt>
                <c:pt idx="791">
                  <c:v>0.15835780829856122</c:v>
                </c:pt>
                <c:pt idx="792">
                  <c:v>0.15858604510938423</c:v>
                </c:pt>
                <c:pt idx="793">
                  <c:v>0.15868113542866921</c:v>
                </c:pt>
                <c:pt idx="794">
                  <c:v>0.15884394870741383</c:v>
                </c:pt>
                <c:pt idx="795">
                  <c:v>0.15918136710244729</c:v>
                </c:pt>
                <c:pt idx="796">
                  <c:v>0.15924233592856732</c:v>
                </c:pt>
                <c:pt idx="797">
                  <c:v>0.15951696504175594</c:v>
                </c:pt>
                <c:pt idx="798">
                  <c:v>0.15972411404371359</c:v>
                </c:pt>
                <c:pt idx="799">
                  <c:v>0.15992969742667157</c:v>
                </c:pt>
                <c:pt idx="800">
                  <c:v>0.16017797426082611</c:v>
                </c:pt>
                <c:pt idx="801">
                  <c:v>0.16025151580391722</c:v>
                </c:pt>
                <c:pt idx="802">
                  <c:v>0.16044861330600657</c:v>
                </c:pt>
                <c:pt idx="803">
                  <c:v>0.1606031080654364</c:v>
                </c:pt>
                <c:pt idx="804">
                  <c:v>0.16092536387735171</c:v>
                </c:pt>
                <c:pt idx="805">
                  <c:v>0.16118803006019164</c:v>
                </c:pt>
                <c:pt idx="806">
                  <c:v>0.16133918017422294</c:v>
                </c:pt>
                <c:pt idx="807">
                  <c:v>0.16152592063060167</c:v>
                </c:pt>
                <c:pt idx="808">
                  <c:v>0.16166306945277917</c:v>
                </c:pt>
                <c:pt idx="809">
                  <c:v>0.16192548499459528</c:v>
                </c:pt>
                <c:pt idx="810">
                  <c:v>0.16215707938027499</c:v>
                </c:pt>
                <c:pt idx="811">
                  <c:v>0.16233365366219862</c:v>
                </c:pt>
                <c:pt idx="812">
                  <c:v>0.16244380928432658</c:v>
                </c:pt>
                <c:pt idx="813">
                  <c:v>0.1626157526996489</c:v>
                </c:pt>
                <c:pt idx="814">
                  <c:v>0.16286814183841183</c:v>
                </c:pt>
                <c:pt idx="815">
                  <c:v>0.16306958834102137</c:v>
                </c:pt>
                <c:pt idx="816">
                  <c:v>0.1632295176422292</c:v>
                </c:pt>
                <c:pt idx="817">
                  <c:v>0.16346260452327846</c:v>
                </c:pt>
                <c:pt idx="818">
                  <c:v>0.16369278498550244</c:v>
                </c:pt>
                <c:pt idx="819">
                  <c:v>0.16395349214020033</c:v>
                </c:pt>
                <c:pt idx="820">
                  <c:v>0.16417743546240438</c:v>
                </c:pt>
                <c:pt idx="821">
                  <c:v>0.16425458000531759</c:v>
                </c:pt>
                <c:pt idx="822">
                  <c:v>0.16455146531852693</c:v>
                </c:pt>
                <c:pt idx="823">
                  <c:v>0.16467017425006958</c:v>
                </c:pt>
                <c:pt idx="824">
                  <c:v>0.16499122635004837</c:v>
                </c:pt>
                <c:pt idx="825">
                  <c:v>0.16510634296622742</c:v>
                </c:pt>
                <c:pt idx="826">
                  <c:v>0.16520604945863737</c:v>
                </c:pt>
                <c:pt idx="827">
                  <c:v>0.16559309404878716</c:v>
                </c:pt>
                <c:pt idx="828">
                  <c:v>0.1657808903735552</c:v>
                </c:pt>
                <c:pt idx="829">
                  <c:v>0.1658443633993725</c:v>
                </c:pt>
                <c:pt idx="830">
                  <c:v>0.16608383207202046</c:v>
                </c:pt>
                <c:pt idx="831">
                  <c:v>0.166353602357943</c:v>
                </c:pt>
                <c:pt idx="832">
                  <c:v>0.16653962403175879</c:v>
                </c:pt>
                <c:pt idx="833">
                  <c:v>0.16662681938568755</c:v>
                </c:pt>
                <c:pt idx="834">
                  <c:v>0.1669503579760786</c:v>
                </c:pt>
                <c:pt idx="835">
                  <c:v>0.1671964030073016</c:v>
                </c:pt>
                <c:pt idx="836">
                  <c:v>0.1672215193172501</c:v>
                </c:pt>
                <c:pt idx="837">
                  <c:v>0.16744407301457692</c:v>
                </c:pt>
                <c:pt idx="838">
                  <c:v>0.16767630478252571</c:v>
                </c:pt>
                <c:pt idx="839">
                  <c:v>0.16782003574944568</c:v>
                </c:pt>
                <c:pt idx="840">
                  <c:v>0.16812261974856318</c:v>
                </c:pt>
                <c:pt idx="841">
                  <c:v>0.16824567471520177</c:v>
                </c:pt>
                <c:pt idx="842">
                  <c:v>0.16855570716107163</c:v>
                </c:pt>
                <c:pt idx="843">
                  <c:v>0.16874667651065314</c:v>
                </c:pt>
                <c:pt idx="844">
                  <c:v>0.16880678506978014</c:v>
                </c:pt>
                <c:pt idx="845">
                  <c:v>0.16902290049698737</c:v>
                </c:pt>
                <c:pt idx="846">
                  <c:v>0.16939637796846135</c:v>
                </c:pt>
                <c:pt idx="847">
                  <c:v>0.16947222932718514</c:v>
                </c:pt>
                <c:pt idx="848">
                  <c:v>0.16964620473935413</c:v>
                </c:pt>
                <c:pt idx="849">
                  <c:v>0.16984309035973694</c:v>
                </c:pt>
                <c:pt idx="850">
                  <c:v>0.17013027107904904</c:v>
                </c:pt>
                <c:pt idx="851">
                  <c:v>0.17022917439807886</c:v>
                </c:pt>
                <c:pt idx="852">
                  <c:v>0.17050111047576672</c:v>
                </c:pt>
                <c:pt idx="853">
                  <c:v>0.17073698396252865</c:v>
                </c:pt>
                <c:pt idx="854">
                  <c:v>0.17083672438884079</c:v>
                </c:pt>
                <c:pt idx="855">
                  <c:v>0.17107432931416536</c:v>
                </c:pt>
                <c:pt idx="856">
                  <c:v>0.17128822158651616</c:v>
                </c:pt>
                <c:pt idx="857">
                  <c:v>0.17150584447353748</c:v>
                </c:pt>
                <c:pt idx="858">
                  <c:v>0.17160383311654528</c:v>
                </c:pt>
                <c:pt idx="859">
                  <c:v>0.17186815578222001</c:v>
                </c:pt>
                <c:pt idx="860">
                  <c:v>0.17217097061974251</c:v>
                </c:pt>
                <c:pt idx="861">
                  <c:v>0.17237457474390386</c:v>
                </c:pt>
                <c:pt idx="862">
                  <c:v>0.17245595483413337</c:v>
                </c:pt>
                <c:pt idx="863">
                  <c:v>0.172745317781797</c:v>
                </c:pt>
                <c:pt idx="864">
                  <c:v>0.17284929202535407</c:v>
                </c:pt>
                <c:pt idx="865">
                  <c:v>0.17311749493272915</c:v>
                </c:pt>
                <c:pt idx="866">
                  <c:v>0.17320974769443501</c:v>
                </c:pt>
                <c:pt idx="867">
                  <c:v>0.17346374568489004</c:v>
                </c:pt>
                <c:pt idx="868">
                  <c:v>0.17371645591266371</c:v>
                </c:pt>
                <c:pt idx="869">
                  <c:v>0.17387473577192861</c:v>
                </c:pt>
                <c:pt idx="870">
                  <c:v>0.17404305333035139</c:v>
                </c:pt>
                <c:pt idx="871">
                  <c:v>0.174233748700757</c:v>
                </c:pt>
                <c:pt idx="872">
                  <c:v>0.17447843423794918</c:v>
                </c:pt>
                <c:pt idx="873">
                  <c:v>0.17472833579949296</c:v>
                </c:pt>
                <c:pt idx="874">
                  <c:v>0.17497553936386845</c:v>
                </c:pt>
                <c:pt idx="875">
                  <c:v>0.17507162578312485</c:v>
                </c:pt>
                <c:pt idx="876">
                  <c:v>0.17527124402692337</c:v>
                </c:pt>
                <c:pt idx="877">
                  <c:v>0.17549146599194304</c:v>
                </c:pt>
                <c:pt idx="878">
                  <c:v>0.17576198171241256</c:v>
                </c:pt>
                <c:pt idx="879">
                  <c:v>0.17595184689586793</c:v>
                </c:pt>
                <c:pt idx="880">
                  <c:v>0.17600701719429507</c:v>
                </c:pt>
                <c:pt idx="881">
                  <c:v>0.17634691157162816</c:v>
                </c:pt>
                <c:pt idx="882">
                  <c:v>0.17658287226566646</c:v>
                </c:pt>
                <c:pt idx="883">
                  <c:v>0.17670012420641726</c:v>
                </c:pt>
                <c:pt idx="884">
                  <c:v>0.17681688474421783</c:v>
                </c:pt>
                <c:pt idx="885">
                  <c:v>0.17702286069770876</c:v>
                </c:pt>
                <c:pt idx="886">
                  <c:v>0.17722095243619312</c:v>
                </c:pt>
                <c:pt idx="887">
                  <c:v>0.17751079563524361</c:v>
                </c:pt>
                <c:pt idx="888">
                  <c:v>0.177654529912084</c:v>
                </c:pt>
                <c:pt idx="889">
                  <c:v>0.17787001443879447</c:v>
                </c:pt>
                <c:pt idx="890">
                  <c:v>0.17815160793795987</c:v>
                </c:pt>
                <c:pt idx="891">
                  <c:v>0.1783590159448234</c:v>
                </c:pt>
                <c:pt idx="892">
                  <c:v>0.17846812281731242</c:v>
                </c:pt>
                <c:pt idx="893">
                  <c:v>0.17876596253019894</c:v>
                </c:pt>
                <c:pt idx="894">
                  <c:v>0.17890004711521323</c:v>
                </c:pt>
                <c:pt idx="895">
                  <c:v>0.17904671564829691</c:v>
                </c:pt>
                <c:pt idx="896">
                  <c:v>0.17924355920163065</c:v>
                </c:pt>
                <c:pt idx="897">
                  <c:v>0.17951183676987695</c:v>
                </c:pt>
                <c:pt idx="898">
                  <c:v>0.1796984866635172</c:v>
                </c:pt>
                <c:pt idx="899">
                  <c:v>0.17990327037468162</c:v>
                </c:pt>
                <c:pt idx="900">
                  <c:v>0.18010260889928384</c:v>
                </c:pt>
                <c:pt idx="901">
                  <c:v>0.18028059546902789</c:v>
                </c:pt>
                <c:pt idx="902">
                  <c:v>0.18050878961610348</c:v>
                </c:pt>
                <c:pt idx="903">
                  <c:v>0.18074219315958726</c:v>
                </c:pt>
                <c:pt idx="904">
                  <c:v>0.18093818997497163</c:v>
                </c:pt>
                <c:pt idx="905">
                  <c:v>0.181007814148955</c:v>
                </c:pt>
                <c:pt idx="906">
                  <c:v>0.18129011759871852</c:v>
                </c:pt>
                <c:pt idx="907">
                  <c:v>0.18152727029633878</c:v>
                </c:pt>
                <c:pt idx="908">
                  <c:v>0.1817288972657474</c:v>
                </c:pt>
                <c:pt idx="909">
                  <c:v>0.18180186159354678</c:v>
                </c:pt>
                <c:pt idx="910">
                  <c:v>0.18204439499677263</c:v>
                </c:pt>
                <c:pt idx="911">
                  <c:v>0.18231748024996311</c:v>
                </c:pt>
                <c:pt idx="912">
                  <c:v>0.18243663995359946</c:v>
                </c:pt>
                <c:pt idx="913">
                  <c:v>0.18268545692970173</c:v>
                </c:pt>
                <c:pt idx="914">
                  <c:v>0.18291822720894549</c:v>
                </c:pt>
                <c:pt idx="915">
                  <c:v>0.18315151821625222</c:v>
                </c:pt>
                <c:pt idx="916">
                  <c:v>0.18338869033483524</c:v>
                </c:pt>
                <c:pt idx="917">
                  <c:v>0.18342631556629815</c:v>
                </c:pt>
                <c:pt idx="918">
                  <c:v>0.18374512257407072</c:v>
                </c:pt>
                <c:pt idx="919">
                  <c:v>0.18396988991125718</c:v>
                </c:pt>
                <c:pt idx="920">
                  <c:v>0.18418154383510854</c:v>
                </c:pt>
                <c:pt idx="921">
                  <c:v>0.18423548014299837</c:v>
                </c:pt>
                <c:pt idx="922">
                  <c:v>0.18443308589505802</c:v>
                </c:pt>
                <c:pt idx="923">
                  <c:v>0.18477970545952666</c:v>
                </c:pt>
                <c:pt idx="924">
                  <c:v>0.18495874019976677</c:v>
                </c:pt>
                <c:pt idx="925">
                  <c:v>0.18514950282516646</c:v>
                </c:pt>
                <c:pt idx="926">
                  <c:v>0.18520457633352014</c:v>
                </c:pt>
                <c:pt idx="927">
                  <c:v>0.18559280593967828</c:v>
                </c:pt>
                <c:pt idx="928">
                  <c:v>0.18574380444510463</c:v>
                </c:pt>
                <c:pt idx="929">
                  <c:v>0.18594305759415566</c:v>
                </c:pt>
                <c:pt idx="930">
                  <c:v>0.18614812075066103</c:v>
                </c:pt>
                <c:pt idx="931">
                  <c:v>0.18627211295302773</c:v>
                </c:pt>
                <c:pt idx="932">
                  <c:v>0.1865593926014284</c:v>
                </c:pt>
                <c:pt idx="933">
                  <c:v>0.1867854833934888</c:v>
                </c:pt>
                <c:pt idx="934">
                  <c:v>0.18684306018963528</c:v>
                </c:pt>
                <c:pt idx="935">
                  <c:v>0.18716951871681248</c:v>
                </c:pt>
                <c:pt idx="936">
                  <c:v>0.18730295194729765</c:v>
                </c:pt>
                <c:pt idx="937">
                  <c:v>0.18759767325017546</c:v>
                </c:pt>
                <c:pt idx="938">
                  <c:v>0.18770733082539107</c:v>
                </c:pt>
                <c:pt idx="939">
                  <c:v>0.18783749031457991</c:v>
                </c:pt>
                <c:pt idx="940">
                  <c:v>0.18815783122315952</c:v>
                </c:pt>
                <c:pt idx="941">
                  <c:v>0.18836419599008844</c:v>
                </c:pt>
                <c:pt idx="942">
                  <c:v>0.18849533638146132</c:v>
                </c:pt>
                <c:pt idx="943">
                  <c:v>0.18864289515508406</c:v>
                </c:pt>
                <c:pt idx="944">
                  <c:v>0.18888390300434174</c:v>
                </c:pt>
                <c:pt idx="945">
                  <c:v>0.18911545899000845</c:v>
                </c:pt>
                <c:pt idx="946">
                  <c:v>0.18936204599881593</c:v>
                </c:pt>
                <c:pt idx="947">
                  <c:v>0.18951086458119351</c:v>
                </c:pt>
                <c:pt idx="948">
                  <c:v>0.18963201605412924</c:v>
                </c:pt>
                <c:pt idx="949">
                  <c:v>0.18989527855834348</c:v>
                </c:pt>
                <c:pt idx="950">
                  <c:v>0.19017281036618464</c:v>
                </c:pt>
                <c:pt idx="951">
                  <c:v>0.19038483915035259</c:v>
                </c:pt>
                <c:pt idx="952">
                  <c:v>0.19051484632485427</c:v>
                </c:pt>
                <c:pt idx="953">
                  <c:v>0.19069787762130094</c:v>
                </c:pt>
                <c:pt idx="954">
                  <c:v>0.19092186579348563</c:v>
                </c:pt>
                <c:pt idx="955">
                  <c:v>0.19112285798008621</c:v>
                </c:pt>
                <c:pt idx="956">
                  <c:v>0.19127024429456102</c:v>
                </c:pt>
                <c:pt idx="957">
                  <c:v>0.19158920119949363</c:v>
                </c:pt>
                <c:pt idx="958">
                  <c:v>0.19161440022769718</c:v>
                </c:pt>
                <c:pt idx="959">
                  <c:v>0.19189745580113898</c:v>
                </c:pt>
                <c:pt idx="960">
                  <c:v>0.19214549462738109</c:v>
                </c:pt>
                <c:pt idx="961">
                  <c:v>0.1923278070358857</c:v>
                </c:pt>
                <c:pt idx="962">
                  <c:v>0.19259747880641312</c:v>
                </c:pt>
                <c:pt idx="963">
                  <c:v>0.1926429952550314</c:v>
                </c:pt>
                <c:pt idx="964">
                  <c:v>0.19280243937270772</c:v>
                </c:pt>
                <c:pt idx="965">
                  <c:v>0.19313722576218126</c:v>
                </c:pt>
                <c:pt idx="966">
                  <c:v>0.19329730866651454</c:v>
                </c:pt>
                <c:pt idx="967">
                  <c:v>0.19342013130668087</c:v>
                </c:pt>
                <c:pt idx="968">
                  <c:v>0.19363870134335912</c:v>
                </c:pt>
                <c:pt idx="969">
                  <c:v>0.19389206655348934</c:v>
                </c:pt>
                <c:pt idx="970">
                  <c:v>0.19418273083841958</c:v>
                </c:pt>
                <c:pt idx="971">
                  <c:v>0.19421856446536689</c:v>
                </c:pt>
                <c:pt idx="972">
                  <c:v>0.19452454896092519</c:v>
                </c:pt>
                <c:pt idx="973">
                  <c:v>0.19462972514965332</c:v>
                </c:pt>
                <c:pt idx="974">
                  <c:v>0.19499805359239644</c:v>
                </c:pt>
                <c:pt idx="975">
                  <c:v>0.19501194930943005</c:v>
                </c:pt>
                <c:pt idx="976">
                  <c:v>0.19522321788161603</c:v>
                </c:pt>
                <c:pt idx="977">
                  <c:v>0.19540257572932229</c:v>
                </c:pt>
                <c:pt idx="978">
                  <c:v>0.19579551094695821</c:v>
                </c:pt>
                <c:pt idx="979">
                  <c:v>0.19585161530167136</c:v>
                </c:pt>
                <c:pt idx="980">
                  <c:v>0.19616556663144508</c:v>
                </c:pt>
                <c:pt idx="981">
                  <c:v>0.19620316758211775</c:v>
                </c:pt>
                <c:pt idx="982">
                  <c:v>0.1964871156953478</c:v>
                </c:pt>
                <c:pt idx="983">
                  <c:v>0.19665593595529346</c:v>
                </c:pt>
                <c:pt idx="984">
                  <c:v>0.19699459534324582</c:v>
                </c:pt>
                <c:pt idx="985">
                  <c:v>0.19708676990985097</c:v>
                </c:pt>
                <c:pt idx="986">
                  <c:v>0.19732492625604497</c:v>
                </c:pt>
                <c:pt idx="987">
                  <c:v>0.19744195502224424</c:v>
                </c:pt>
                <c:pt idx="988">
                  <c:v>0.1976605827151473</c:v>
                </c:pt>
                <c:pt idx="989">
                  <c:v>0.19781782144457516</c:v>
                </c:pt>
                <c:pt idx="990">
                  <c:v>0.19818501103003161</c:v>
                </c:pt>
                <c:pt idx="991">
                  <c:v>0.19823372558318864</c:v>
                </c:pt>
                <c:pt idx="992">
                  <c:v>0.19858183997398751</c:v>
                </c:pt>
                <c:pt idx="993">
                  <c:v>0.19863657286559153</c:v>
                </c:pt>
                <c:pt idx="994">
                  <c:v>0.19891061561301132</c:v>
                </c:pt>
                <c:pt idx="995">
                  <c:v>0.19914295392947806</c:v>
                </c:pt>
                <c:pt idx="996">
                  <c:v>0.19936026496602227</c:v>
                </c:pt>
                <c:pt idx="997">
                  <c:v>0.1994014637873977</c:v>
                </c:pt>
                <c:pt idx="998">
                  <c:v>0.19966729151640722</c:v>
                </c:pt>
                <c:pt idx="999">
                  <c:v>0.19993408386025904</c:v>
                </c:pt>
                <c:pt idx="1000">
                  <c:v>0.2000507862308181</c:v>
                </c:pt>
                <c:pt idx="1001">
                  <c:v>0.2003314008416914</c:v>
                </c:pt>
                <c:pt idx="1002">
                  <c:v>0.20054956783008521</c:v>
                </c:pt>
                <c:pt idx="1003">
                  <c:v>0.20074851997111656</c:v>
                </c:pt>
                <c:pt idx="1004">
                  <c:v>0.20095703080942784</c:v>
                </c:pt>
                <c:pt idx="1005">
                  <c:v>0.20117816279804757</c:v>
                </c:pt>
                <c:pt idx="1006">
                  <c:v>0.20138054120237486</c:v>
                </c:pt>
                <c:pt idx="1007">
                  <c:v>0.20151635364371265</c:v>
                </c:pt>
                <c:pt idx="1008">
                  <c:v>0.20179505053399946</c:v>
                </c:pt>
                <c:pt idx="1009">
                  <c:v>0.20195755424568371</c:v>
                </c:pt>
                <c:pt idx="1010">
                  <c:v>0.20206850166750803</c:v>
                </c:pt>
                <c:pt idx="1011">
                  <c:v>0.20237239060140502</c:v>
                </c:pt>
                <c:pt idx="1012">
                  <c:v>0.20247862086204779</c:v>
                </c:pt>
                <c:pt idx="1013">
                  <c:v>0.20263178698221029</c:v>
                </c:pt>
                <c:pt idx="1014">
                  <c:v>0.2029391754560031</c:v>
                </c:pt>
                <c:pt idx="1015">
                  <c:v>0.20318339151502202</c:v>
                </c:pt>
                <c:pt idx="1016">
                  <c:v>0.20337841424075384</c:v>
                </c:pt>
                <c:pt idx="1017">
                  <c:v>0.20350643747120781</c:v>
                </c:pt>
                <c:pt idx="1018">
                  <c:v>0.20366363615604668</c:v>
                </c:pt>
                <c:pt idx="1019">
                  <c:v>0.20385163594345834</c:v>
                </c:pt>
                <c:pt idx="1020">
                  <c:v>0.2040521362299221</c:v>
                </c:pt>
                <c:pt idx="1021">
                  <c:v>0.20429422730060626</c:v>
                </c:pt>
                <c:pt idx="1022">
                  <c:v>0.20459746293201983</c:v>
                </c:pt>
                <c:pt idx="1023">
                  <c:v>0.20476657355645825</c:v>
                </c:pt>
                <c:pt idx="1024">
                  <c:v>0.20487707122938642</c:v>
                </c:pt>
                <c:pt idx="1025">
                  <c:v>0.20515378782096172</c:v>
                </c:pt>
                <c:pt idx="1026">
                  <c:v>0.20531551358465</c:v>
                </c:pt>
                <c:pt idx="1027">
                  <c:v>0.20545527173198183</c:v>
                </c:pt>
                <c:pt idx="1028">
                  <c:v>0.20574270885692508</c:v>
                </c:pt>
                <c:pt idx="1029">
                  <c:v>0.20597436977726744</c:v>
                </c:pt>
                <c:pt idx="1030">
                  <c:v>0.20600477639814016</c:v>
                </c:pt>
                <c:pt idx="1031">
                  <c:v>0.20620161142693869</c:v>
                </c:pt>
                <c:pt idx="1032">
                  <c:v>0.20649415751423084</c:v>
                </c:pt>
                <c:pt idx="1033">
                  <c:v>0.20661124162064198</c:v>
                </c:pt>
                <c:pt idx="1034">
                  <c:v>0.20681247195555189</c:v>
                </c:pt>
                <c:pt idx="1035">
                  <c:v>0.20712126097854258</c:v>
                </c:pt>
                <c:pt idx="1036">
                  <c:v>0.20730474083081463</c:v>
                </c:pt>
                <c:pt idx="1037">
                  <c:v>0.20746816358926432</c:v>
                </c:pt>
                <c:pt idx="1038">
                  <c:v>0.2077248384035483</c:v>
                </c:pt>
                <c:pt idx="1039">
                  <c:v>0.20787197227204959</c:v>
                </c:pt>
                <c:pt idx="1040">
                  <c:v>0.20800258266218066</c:v>
                </c:pt>
                <c:pt idx="1041">
                  <c:v>0.20835537239461099</c:v>
                </c:pt>
                <c:pt idx="1042">
                  <c:v>0.20858490342893288</c:v>
                </c:pt>
                <c:pt idx="1043">
                  <c:v>0.20862261251383987</c:v>
                </c:pt>
                <c:pt idx="1044">
                  <c:v>0.20898089621127136</c:v>
                </c:pt>
                <c:pt idx="1045">
                  <c:v>0.20913279474348129</c:v>
                </c:pt>
                <c:pt idx="1046">
                  <c:v>0.20928897098211782</c:v>
                </c:pt>
                <c:pt idx="1047">
                  <c:v>0.20958849157290266</c:v>
                </c:pt>
                <c:pt idx="1048">
                  <c:v>0.20968233045173865</c:v>
                </c:pt>
                <c:pt idx="1049">
                  <c:v>0.20982189550004476</c:v>
                </c:pt>
                <c:pt idx="1050">
                  <c:v>0.21003674304956493</c:v>
                </c:pt>
                <c:pt idx="1051">
                  <c:v>0.21033919075833152</c:v>
                </c:pt>
                <c:pt idx="1052">
                  <c:v>0.21045283145295751</c:v>
                </c:pt>
                <c:pt idx="1053">
                  <c:v>0.21075607111499553</c:v>
                </c:pt>
                <c:pt idx="1054">
                  <c:v>0.21098728812974582</c:v>
                </c:pt>
                <c:pt idx="1055">
                  <c:v>0.2110772810691682</c:v>
                </c:pt>
                <c:pt idx="1056">
                  <c:v>0.21128755730336707</c:v>
                </c:pt>
                <c:pt idx="1057">
                  <c:v>0.21159702055253951</c:v>
                </c:pt>
                <c:pt idx="1058">
                  <c:v>0.2117999006872065</c:v>
                </c:pt>
                <c:pt idx="1059">
                  <c:v>0.21195987021060658</c:v>
                </c:pt>
                <c:pt idx="1060">
                  <c:v>0.21200721207875928</c:v>
                </c:pt>
                <c:pt idx="1061">
                  <c:v>0.21225639430709567</c:v>
                </c:pt>
                <c:pt idx="1062">
                  <c:v>0.21259418626068954</c:v>
                </c:pt>
                <c:pt idx="1063">
                  <c:v>0.21269845959849154</c:v>
                </c:pt>
                <c:pt idx="1064">
                  <c:v>0.21299432161999735</c:v>
                </c:pt>
                <c:pt idx="1065">
                  <c:v>0.2131035507873873</c:v>
                </c:pt>
                <c:pt idx="1066">
                  <c:v>0.21324327927791592</c:v>
                </c:pt>
                <c:pt idx="1067">
                  <c:v>0.21341103370394812</c:v>
                </c:pt>
                <c:pt idx="1068">
                  <c:v>0.21367708993937753</c:v>
                </c:pt>
                <c:pt idx="1069">
                  <c:v>0.21384973022566406</c:v>
                </c:pt>
                <c:pt idx="1070">
                  <c:v>0.21406637008308116</c:v>
                </c:pt>
                <c:pt idx="1071">
                  <c:v>0.21427047405915114</c:v>
                </c:pt>
                <c:pt idx="1072">
                  <c:v>0.21451844824122226</c:v>
                </c:pt>
                <c:pt idx="1073">
                  <c:v>0.2147335670907827</c:v>
                </c:pt>
                <c:pt idx="1074">
                  <c:v>0.21499728645035002</c:v>
                </c:pt>
                <c:pt idx="1075">
                  <c:v>0.21518477300265448</c:v>
                </c:pt>
                <c:pt idx="1076">
                  <c:v>0.21531426445816509</c:v>
                </c:pt>
                <c:pt idx="1077">
                  <c:v>0.21549996450582984</c:v>
                </c:pt>
                <c:pt idx="1078">
                  <c:v>0.21562145240293384</c:v>
                </c:pt>
                <c:pt idx="1079">
                  <c:v>0.21588228435113146</c:v>
                </c:pt>
                <c:pt idx="1080">
                  <c:v>0.21618582516805868</c:v>
                </c:pt>
                <c:pt idx="1081">
                  <c:v>0.21626045021020354</c:v>
                </c:pt>
                <c:pt idx="1082">
                  <c:v>0.21652133636998974</c:v>
                </c:pt>
                <c:pt idx="1083">
                  <c:v>0.21668582945631018</c:v>
                </c:pt>
                <c:pt idx="1084">
                  <c:v>0.21684043326369495</c:v>
                </c:pt>
                <c:pt idx="1085">
                  <c:v>0.21701920184758938</c:v>
                </c:pt>
                <c:pt idx="1086">
                  <c:v>0.2173992347443009</c:v>
                </c:pt>
                <c:pt idx="1087">
                  <c:v>0.21741519778841531</c:v>
                </c:pt>
                <c:pt idx="1088">
                  <c:v>0.21779972267211412</c:v>
                </c:pt>
                <c:pt idx="1089">
                  <c:v>0.21798510235263621</c:v>
                </c:pt>
                <c:pt idx="1090">
                  <c:v>0.21812987380584933</c:v>
                </c:pt>
                <c:pt idx="1091">
                  <c:v>0.21831953976850946</c:v>
                </c:pt>
                <c:pt idx="1092">
                  <c:v>0.2184336103411004</c:v>
                </c:pt>
                <c:pt idx="1093">
                  <c:v>0.21872629064524696</c:v>
                </c:pt>
                <c:pt idx="1094">
                  <c:v>0.21892919988025197</c:v>
                </c:pt>
                <c:pt idx="1095">
                  <c:v>0.21919105370733677</c:v>
                </c:pt>
                <c:pt idx="1096">
                  <c:v>0.21929143487822531</c:v>
                </c:pt>
                <c:pt idx="1097">
                  <c:v>0.21944188549826896</c:v>
                </c:pt>
                <c:pt idx="1098">
                  <c:v>0.21967415644742413</c:v>
                </c:pt>
                <c:pt idx="1099">
                  <c:v>0.21998873483119269</c:v>
                </c:pt>
                <c:pt idx="1100">
                  <c:v>0.2200259901182321</c:v>
                </c:pt>
                <c:pt idx="1101">
                  <c:v>0.22038417396177171</c:v>
                </c:pt>
                <c:pt idx="1102">
                  <c:v>0.22044929320473439</c:v>
                </c:pt>
                <c:pt idx="1103">
                  <c:v>0.22078869026596395</c:v>
                </c:pt>
                <c:pt idx="1104">
                  <c:v>0.2209390270496111</c:v>
                </c:pt>
                <c:pt idx="1105">
                  <c:v>0.22110551749717106</c:v>
                </c:pt>
                <c:pt idx="1106">
                  <c:v>0.22122881434346292</c:v>
                </c:pt>
                <c:pt idx="1107">
                  <c:v>0.22149657769973774</c:v>
                </c:pt>
                <c:pt idx="1108">
                  <c:v>0.22169828908282757</c:v>
                </c:pt>
                <c:pt idx="1109">
                  <c:v>0.22199971078825179</c:v>
                </c:pt>
                <c:pt idx="1110">
                  <c:v>0.22209137518403385</c:v>
                </c:pt>
                <c:pt idx="1111">
                  <c:v>0.2222118661512183</c:v>
                </c:pt>
                <c:pt idx="1112">
                  <c:v>0.22245765014250241</c:v>
                </c:pt>
                <c:pt idx="1113">
                  <c:v>0.22261146781216642</c:v>
                </c:pt>
                <c:pt idx="1114">
                  <c:v>0.22290441888722229</c:v>
                </c:pt>
                <c:pt idx="1115">
                  <c:v>0.2230092116881649</c:v>
                </c:pt>
                <c:pt idx="1116">
                  <c:v>0.22339388661174894</c:v>
                </c:pt>
                <c:pt idx="1117">
                  <c:v>0.22354990107741901</c:v>
                </c:pt>
                <c:pt idx="1118">
                  <c:v>0.22372842435169232</c:v>
                </c:pt>
                <c:pt idx="1119">
                  <c:v>0.22388075919968092</c:v>
                </c:pt>
                <c:pt idx="1120">
                  <c:v>0.22413815320984881</c:v>
                </c:pt>
                <c:pt idx="1121">
                  <c:v>0.22432502387718414</c:v>
                </c:pt>
                <c:pt idx="1122">
                  <c:v>0.2244292897757211</c:v>
                </c:pt>
                <c:pt idx="1123">
                  <c:v>0.22474001475878527</c:v>
                </c:pt>
                <c:pt idx="1124">
                  <c:v>0.22490175675235263</c:v>
                </c:pt>
                <c:pt idx="1125">
                  <c:v>0.22518560820719821</c:v>
                </c:pt>
                <c:pt idx="1126">
                  <c:v>0.22530439946816874</c:v>
                </c:pt>
                <c:pt idx="1127">
                  <c:v>0.22558180345780723</c:v>
                </c:pt>
                <c:pt idx="1128">
                  <c:v>0.22561898040911624</c:v>
                </c:pt>
                <c:pt idx="1129">
                  <c:v>0.22591637412303045</c:v>
                </c:pt>
                <c:pt idx="1130">
                  <c:v>0.22612512313181654</c:v>
                </c:pt>
                <c:pt idx="1131">
                  <c:v>0.22632577639811807</c:v>
                </c:pt>
                <c:pt idx="1132">
                  <c:v>0.22640596924107662</c:v>
                </c:pt>
                <c:pt idx="1133">
                  <c:v>0.22662537703756835</c:v>
                </c:pt>
                <c:pt idx="1134">
                  <c:v>0.22693149901775911</c:v>
                </c:pt>
                <c:pt idx="1135">
                  <c:v>0.22713443652850909</c:v>
                </c:pt>
                <c:pt idx="1136">
                  <c:v>0.22722876878847106</c:v>
                </c:pt>
                <c:pt idx="1137">
                  <c:v>0.22750411270230639</c:v>
                </c:pt>
                <c:pt idx="1138">
                  <c:v>0.22766978621498443</c:v>
                </c:pt>
                <c:pt idx="1139">
                  <c:v>0.22786294355519648</c:v>
                </c:pt>
                <c:pt idx="1140">
                  <c:v>0.22819721151757921</c:v>
                </c:pt>
                <c:pt idx="1141">
                  <c:v>0.22826948796707894</c:v>
                </c:pt>
                <c:pt idx="1142">
                  <c:v>0.22841391121023658</c:v>
                </c:pt>
                <c:pt idx="1143">
                  <c:v>0.2287573516108462</c:v>
                </c:pt>
                <c:pt idx="1144">
                  <c:v>0.22896823141145711</c:v>
                </c:pt>
                <c:pt idx="1145">
                  <c:v>0.22912413943422125</c:v>
                </c:pt>
                <c:pt idx="1146">
                  <c:v>0.22935448816003148</c:v>
                </c:pt>
                <c:pt idx="1147">
                  <c:v>0.2295942560577752</c:v>
                </c:pt>
                <c:pt idx="1148">
                  <c:v>0.22973799651701424</c:v>
                </c:pt>
                <c:pt idx="1149">
                  <c:v>0.22994105977084045</c:v>
                </c:pt>
                <c:pt idx="1150">
                  <c:v>0.23010760661543059</c:v>
                </c:pt>
                <c:pt idx="1151">
                  <c:v>0.23024072660399619</c:v>
                </c:pt>
                <c:pt idx="1152">
                  <c:v>0.23052378719894304</c:v>
                </c:pt>
                <c:pt idx="1153">
                  <c:v>0.23064535137821113</c:v>
                </c:pt>
                <c:pt idx="1154">
                  <c:v>0.23096072706788795</c:v>
                </c:pt>
                <c:pt idx="1155">
                  <c:v>0.23100258275093569</c:v>
                </c:pt>
                <c:pt idx="1156">
                  <c:v>0.23137297307838989</c:v>
                </c:pt>
                <c:pt idx="1157">
                  <c:v>0.23151748923936802</c:v>
                </c:pt>
                <c:pt idx="1158">
                  <c:v>0.23179324047257965</c:v>
                </c:pt>
                <c:pt idx="1159">
                  <c:v>0.23187306880147035</c:v>
                </c:pt>
                <c:pt idx="1160">
                  <c:v>0.23208975853931388</c:v>
                </c:pt>
                <c:pt idx="1161">
                  <c:v>0.23221098179910588</c:v>
                </c:pt>
                <c:pt idx="1162">
                  <c:v>0.23242130022687402</c:v>
                </c:pt>
                <c:pt idx="1163">
                  <c:v>0.23264018933382821</c:v>
                </c:pt>
                <c:pt idx="1164">
                  <c:v>0.23285009925473718</c:v>
                </c:pt>
                <c:pt idx="1165">
                  <c:v>0.23304166183770672</c:v>
                </c:pt>
                <c:pt idx="1166">
                  <c:v>0.23323178510629383</c:v>
                </c:pt>
                <c:pt idx="1167">
                  <c:v>0.23357030097389833</c:v>
                </c:pt>
                <c:pt idx="1168">
                  <c:v>0.23373423586481581</c:v>
                </c:pt>
                <c:pt idx="1169">
                  <c:v>0.23385261141086289</c:v>
                </c:pt>
                <c:pt idx="1170">
                  <c:v>0.23408751124164265</c:v>
                </c:pt>
                <c:pt idx="1171">
                  <c:v>0.23435880378697971</c:v>
                </c:pt>
                <c:pt idx="1172">
                  <c:v>0.23442472749655713</c:v>
                </c:pt>
                <c:pt idx="1173">
                  <c:v>0.23464064688110739</c:v>
                </c:pt>
                <c:pt idx="1174">
                  <c:v>0.23492806740662273</c:v>
                </c:pt>
                <c:pt idx="1175">
                  <c:v>0.23510011605115147</c:v>
                </c:pt>
                <c:pt idx="1176">
                  <c:v>0.23536233379472102</c:v>
                </c:pt>
                <c:pt idx="1177">
                  <c:v>0.23551903971063881</c:v>
                </c:pt>
                <c:pt idx="1178">
                  <c:v>0.23579728890084597</c:v>
                </c:pt>
                <c:pt idx="1179">
                  <c:v>0.23598150771292425</c:v>
                </c:pt>
                <c:pt idx="1180">
                  <c:v>0.23613881050980157</c:v>
                </c:pt>
                <c:pt idx="1181">
                  <c:v>0.23621231739474746</c:v>
                </c:pt>
                <c:pt idx="1182">
                  <c:v>0.23651247852884991</c:v>
                </c:pt>
                <c:pt idx="1183">
                  <c:v>0.23665248696800614</c:v>
                </c:pt>
                <c:pt idx="1184">
                  <c:v>0.23696123610631595</c:v>
                </c:pt>
                <c:pt idx="1185">
                  <c:v>0.23718214047923269</c:v>
                </c:pt>
                <c:pt idx="1186">
                  <c:v>0.23726964673089557</c:v>
                </c:pt>
                <c:pt idx="1187">
                  <c:v>0.23747955613934424</c:v>
                </c:pt>
                <c:pt idx="1188">
                  <c:v>0.23779055545935188</c:v>
                </c:pt>
                <c:pt idx="1189">
                  <c:v>0.23788616278532104</c:v>
                </c:pt>
                <c:pt idx="1190">
                  <c:v>0.23818400110755675</c:v>
                </c:pt>
                <c:pt idx="1191">
                  <c:v>0.23837512651741857</c:v>
                </c:pt>
                <c:pt idx="1192">
                  <c:v>0.23842977018263883</c:v>
                </c:pt>
                <c:pt idx="1193">
                  <c:v>0.23870565186634327</c:v>
                </c:pt>
                <c:pt idx="1194">
                  <c:v>0.2388477287990152</c:v>
                </c:pt>
                <c:pt idx="1195">
                  <c:v>0.23904594915589455</c:v>
                </c:pt>
                <c:pt idx="1196">
                  <c:v>0.23929059656222598</c:v>
                </c:pt>
                <c:pt idx="1197">
                  <c:v>0.2395575997784635</c:v>
                </c:pt>
                <c:pt idx="1198">
                  <c:v>0.23970977250936204</c:v>
                </c:pt>
                <c:pt idx="1199">
                  <c:v>0.23999928124928829</c:v>
                </c:pt>
                <c:pt idx="1200">
                  <c:v>0.2401775011870492</c:v>
                </c:pt>
                <c:pt idx="1201">
                  <c:v>0.24022160036247728</c:v>
                </c:pt>
                <c:pt idx="1202">
                  <c:v>0.24049857535001323</c:v>
                </c:pt>
                <c:pt idx="1203">
                  <c:v>0.24078231537062261</c:v>
                </c:pt>
                <c:pt idx="1204">
                  <c:v>0.24090986048279092</c:v>
                </c:pt>
                <c:pt idx="1205">
                  <c:v>0.24109002120003337</c:v>
                </c:pt>
                <c:pt idx="1206">
                  <c:v>0.24135275786899793</c:v>
                </c:pt>
                <c:pt idx="1207">
                  <c:v>0.24151395645866028</c:v>
                </c:pt>
                <c:pt idx="1208">
                  <c:v>0.241605934333011</c:v>
                </c:pt>
                <c:pt idx="1209">
                  <c:v>0.24198626877967883</c:v>
                </c:pt>
                <c:pt idx="1210">
                  <c:v>0.24201986036585177</c:v>
                </c:pt>
                <c:pt idx="1211">
                  <c:v>0.24229464789868677</c:v>
                </c:pt>
                <c:pt idx="1212">
                  <c:v>0.24243361043139211</c:v>
                </c:pt>
                <c:pt idx="1213">
                  <c:v>0.24273682360172666</c:v>
                </c:pt>
                <c:pt idx="1214">
                  <c:v>0.24299173974250252</c:v>
                </c:pt>
                <c:pt idx="1215">
                  <c:v>0.24307334509549511</c:v>
                </c:pt>
                <c:pt idx="1216">
                  <c:v>0.24331466872224461</c:v>
                </c:pt>
                <c:pt idx="1217">
                  <c:v>0.24352901406989644</c:v>
                </c:pt>
                <c:pt idx="1218">
                  <c:v>0.24368120939160726</c:v>
                </c:pt>
                <c:pt idx="1219">
                  <c:v>0.24382570806886669</c:v>
                </c:pt>
                <c:pt idx="1220">
                  <c:v>0.24403913143282735</c:v>
                </c:pt>
                <c:pt idx="1221">
                  <c:v>0.24438070032419187</c:v>
                </c:pt>
                <c:pt idx="1222">
                  <c:v>0.24443880521246206</c:v>
                </c:pt>
                <c:pt idx="1223">
                  <c:v>0.24468396385630686</c:v>
                </c:pt>
                <c:pt idx="1224">
                  <c:v>0.24489837801677605</c:v>
                </c:pt>
                <c:pt idx="1225">
                  <c:v>0.24506925306196076</c:v>
                </c:pt>
                <c:pt idx="1226">
                  <c:v>0.24532736992187038</c:v>
                </c:pt>
                <c:pt idx="1227">
                  <c:v>0.24546797895093167</c:v>
                </c:pt>
                <c:pt idx="1228">
                  <c:v>0.24579688490871268</c:v>
                </c:pt>
                <c:pt idx="1229">
                  <c:v>0.24586911381847903</c:v>
                </c:pt>
                <c:pt idx="1230">
                  <c:v>0.24611658702369701</c:v>
                </c:pt>
                <c:pt idx="1231">
                  <c:v>0.24626641807478536</c:v>
                </c:pt>
                <c:pt idx="1232">
                  <c:v>0.24659943181467228</c:v>
                </c:pt>
                <c:pt idx="1233">
                  <c:v>0.24670117898944327</c:v>
                </c:pt>
                <c:pt idx="1234">
                  <c:v>0.24684035887686545</c:v>
                </c:pt>
                <c:pt idx="1235">
                  <c:v>0.24703785472792525</c:v>
                </c:pt>
                <c:pt idx="1236">
                  <c:v>0.2473423350298643</c:v>
                </c:pt>
                <c:pt idx="1237">
                  <c:v>0.24759910463858373</c:v>
                </c:pt>
                <c:pt idx="1238">
                  <c:v>0.24764138694518278</c:v>
                </c:pt>
                <c:pt idx="1239">
                  <c:v>0.2479998513022903</c:v>
                </c:pt>
                <c:pt idx="1240">
                  <c:v>0.24802276653773683</c:v>
                </c:pt>
                <c:pt idx="1241">
                  <c:v>0.24829958527383852</c:v>
                </c:pt>
                <c:pt idx="1242">
                  <c:v>0.2484310142854301</c:v>
                </c:pt>
                <c:pt idx="1243">
                  <c:v>0.24864603770730229</c:v>
                </c:pt>
                <c:pt idx="1244">
                  <c:v>0.24897764634102995</c:v>
                </c:pt>
                <c:pt idx="1245">
                  <c:v>0.24918434161129044</c:v>
                </c:pt>
                <c:pt idx="1246">
                  <c:v>0.24923873933279855</c:v>
                </c:pt>
                <c:pt idx="1247">
                  <c:v>0.24955297511037275</c:v>
                </c:pt>
                <c:pt idx="1248">
                  <c:v>0.24963572441582468</c:v>
                </c:pt>
                <c:pt idx="1249">
                  <c:v>0.24986454101006139</c:v>
                </c:pt>
                <c:pt idx="1250">
                  <c:v>0.25004867763641492</c:v>
                </c:pt>
                <c:pt idx="1251">
                  <c:v>0.25022300495976185</c:v>
                </c:pt>
                <c:pt idx="1252">
                  <c:v>0.25059509333530328</c:v>
                </c:pt>
                <c:pt idx="1253">
                  <c:v>0.25072885435492009</c:v>
                </c:pt>
                <c:pt idx="1254">
                  <c:v>0.25090822946920716</c:v>
                </c:pt>
                <c:pt idx="1255">
                  <c:v>0.25105924893390835</c:v>
                </c:pt>
                <c:pt idx="1256">
                  <c:v>0.25125442138022147</c:v>
                </c:pt>
                <c:pt idx="1257">
                  <c:v>0.25157967984182289</c:v>
                </c:pt>
                <c:pt idx="1258">
                  <c:v>0.25168526074846398</c:v>
                </c:pt>
                <c:pt idx="1259">
                  <c:v>0.25190781415424024</c:v>
                </c:pt>
                <c:pt idx="1260">
                  <c:v>0.25200089334719838</c:v>
                </c:pt>
                <c:pt idx="1261">
                  <c:v>0.2522725318152626</c:v>
                </c:pt>
                <c:pt idx="1262">
                  <c:v>0.25240887826080638</c:v>
                </c:pt>
                <c:pt idx="1263">
                  <c:v>0.25266610768648468</c:v>
                </c:pt>
                <c:pt idx="1264">
                  <c:v>0.25295424351048523</c:v>
                </c:pt>
                <c:pt idx="1265">
                  <c:v>0.25311178065894913</c:v>
                </c:pt>
                <c:pt idx="1266">
                  <c:v>0.25331249788247806</c:v>
                </c:pt>
                <c:pt idx="1267">
                  <c:v>0.25352179109140344</c:v>
                </c:pt>
                <c:pt idx="1268">
                  <c:v>0.2537845673973636</c:v>
                </c:pt>
                <c:pt idx="1269">
                  <c:v>0.2538055186336407</c:v>
                </c:pt>
                <c:pt idx="1270">
                  <c:v>0.25407240777632045</c:v>
                </c:pt>
                <c:pt idx="1271">
                  <c:v>0.25422970534694139</c:v>
                </c:pt>
                <c:pt idx="1272">
                  <c:v>0.25446975382623954</c:v>
                </c:pt>
                <c:pt idx="1273">
                  <c:v>0.25478957349764875</c:v>
                </c:pt>
                <c:pt idx="1274">
                  <c:v>0.25498628500555326</c:v>
                </c:pt>
                <c:pt idx="1275">
                  <c:v>0.25511983755401335</c:v>
                </c:pt>
                <c:pt idx="1276">
                  <c:v>0.25538252468369499</c:v>
                </c:pt>
                <c:pt idx="1277">
                  <c:v>0.2554879422333296</c:v>
                </c:pt>
                <c:pt idx="1278">
                  <c:v>0.25579327501221405</c:v>
                </c:pt>
                <c:pt idx="1279">
                  <c:v>0.25594939844052994</c:v>
                </c:pt>
                <c:pt idx="1280">
                  <c:v>0.25612504867960817</c:v>
                </c:pt>
                <c:pt idx="1281">
                  <c:v>0.25634189831249926</c:v>
                </c:pt>
                <c:pt idx="1282">
                  <c:v>0.25640692316168145</c:v>
                </c:pt>
                <c:pt idx="1283">
                  <c:v>0.25674068770514352</c:v>
                </c:pt>
                <c:pt idx="1284">
                  <c:v>0.25695972654869775</c:v>
                </c:pt>
                <c:pt idx="1285">
                  <c:v>0.25705064994987348</c:v>
                </c:pt>
                <c:pt idx="1286">
                  <c:v>0.2572072331480233</c:v>
                </c:pt>
                <c:pt idx="1287">
                  <c:v>0.25756093249259537</c:v>
                </c:pt>
                <c:pt idx="1288">
                  <c:v>0.25769399090481315</c:v>
                </c:pt>
                <c:pt idx="1289">
                  <c:v>0.25784496524288436</c:v>
                </c:pt>
                <c:pt idx="1290">
                  <c:v>0.25813447776197795</c:v>
                </c:pt>
                <c:pt idx="1291">
                  <c:v>0.25837786781126121</c:v>
                </c:pt>
                <c:pt idx="1292">
                  <c:v>0.25841611248110796</c:v>
                </c:pt>
                <c:pt idx="1293">
                  <c:v>0.25867959721416228</c:v>
                </c:pt>
                <c:pt idx="1294">
                  <c:v>0.25880871888036111</c:v>
                </c:pt>
                <c:pt idx="1295">
                  <c:v>0.25914648540153784</c:v>
                </c:pt>
                <c:pt idx="1296">
                  <c:v>0.25931943258985862</c:v>
                </c:pt>
                <c:pt idx="1297">
                  <c:v>0.2595257521847556</c:v>
                </c:pt>
                <c:pt idx="1298">
                  <c:v>0.25969874994277459</c:v>
                </c:pt>
                <c:pt idx="1299">
                  <c:v>0.25984591282118247</c:v>
                </c:pt>
                <c:pt idx="1300">
                  <c:v>0.26015622663967225</c:v>
                </c:pt>
                <c:pt idx="1301">
                  <c:v>0.26034782730102257</c:v>
                </c:pt>
                <c:pt idx="1302">
                  <c:v>0.26051095844072081</c:v>
                </c:pt>
                <c:pt idx="1303">
                  <c:v>0.26079801774057515</c:v>
                </c:pt>
                <c:pt idx="1304">
                  <c:v>0.26092316751613359</c:v>
                </c:pt>
                <c:pt idx="1305">
                  <c:v>0.26114229383853788</c:v>
                </c:pt>
                <c:pt idx="1306">
                  <c:v>0.2612287486124385</c:v>
                </c:pt>
                <c:pt idx="1307">
                  <c:v>0.26157313551483047</c:v>
                </c:pt>
                <c:pt idx="1308">
                  <c:v>0.26174649944304174</c:v>
                </c:pt>
                <c:pt idx="1309">
                  <c:v>0.26198789900638814</c:v>
                </c:pt>
                <c:pt idx="1310">
                  <c:v>0.26209236144998399</c:v>
                </c:pt>
                <c:pt idx="1311">
                  <c:v>0.26239345904704964</c:v>
                </c:pt>
                <c:pt idx="1312">
                  <c:v>0.26257292874133514</c:v>
                </c:pt>
                <c:pt idx="1313">
                  <c:v>0.26265564210760772</c:v>
                </c:pt>
                <c:pt idx="1314">
                  <c:v>0.26290414741023072</c:v>
                </c:pt>
                <c:pt idx="1315">
                  <c:v>0.26312891345222689</c:v>
                </c:pt>
                <c:pt idx="1316">
                  <c:v>0.26338463427307657</c:v>
                </c:pt>
                <c:pt idx="1317">
                  <c:v>0.26350802880835439</c:v>
                </c:pt>
                <c:pt idx="1318">
                  <c:v>0.26364446637757227</c:v>
                </c:pt>
                <c:pt idx="1319">
                  <c:v>0.26386529650549989</c:v>
                </c:pt>
                <c:pt idx="1320">
                  <c:v>0.2641189671443121</c:v>
                </c:pt>
                <c:pt idx="1321">
                  <c:v>0.26429792048328038</c:v>
                </c:pt>
                <c:pt idx="1322">
                  <c:v>0.26447582412945941</c:v>
                </c:pt>
                <c:pt idx="1323">
                  <c:v>0.26463962380770584</c:v>
                </c:pt>
                <c:pt idx="1324">
                  <c:v>0.26490800020115168</c:v>
                </c:pt>
                <c:pt idx="1325">
                  <c:v>0.26507956248523656</c:v>
                </c:pt>
                <c:pt idx="1326">
                  <c:v>0.26537395380525247</c:v>
                </c:pt>
                <c:pt idx="1327">
                  <c:v>0.26547465918508234</c:v>
                </c:pt>
                <c:pt idx="1328">
                  <c:v>0.26571521643458756</c:v>
                </c:pt>
                <c:pt idx="1329">
                  <c:v>0.26592765230264692</c:v>
                </c:pt>
                <c:pt idx="1330">
                  <c:v>0.26608356849972242</c:v>
                </c:pt>
                <c:pt idx="1331">
                  <c:v>0.26627258842225948</c:v>
                </c:pt>
                <c:pt idx="1332">
                  <c:v>0.26657989932759196</c:v>
                </c:pt>
                <c:pt idx="1333">
                  <c:v>0.26672156039688771</c:v>
                </c:pt>
                <c:pt idx="1334">
                  <c:v>0.26689112955454997</c:v>
                </c:pt>
                <c:pt idx="1335">
                  <c:v>0.26713497542043563</c:v>
                </c:pt>
                <c:pt idx="1336">
                  <c:v>0.26732416469336584</c:v>
                </c:pt>
                <c:pt idx="1337">
                  <c:v>0.26752730643253947</c:v>
                </c:pt>
                <c:pt idx="1338">
                  <c:v>0.2677244378929316</c:v>
                </c:pt>
                <c:pt idx="1339">
                  <c:v>0.26796776136554956</c:v>
                </c:pt>
                <c:pt idx="1340">
                  <c:v>0.2680950791932864</c:v>
                </c:pt>
                <c:pt idx="1341">
                  <c:v>0.26825588945463669</c:v>
                </c:pt>
                <c:pt idx="1342">
                  <c:v>0.26859525176696369</c:v>
                </c:pt>
                <c:pt idx="1343">
                  <c:v>0.26875882649094768</c:v>
                </c:pt>
                <c:pt idx="1344">
                  <c:v>0.26886708866694642</c:v>
                </c:pt>
                <c:pt idx="1345">
                  <c:v>0.26918150067086832</c:v>
                </c:pt>
                <c:pt idx="1346">
                  <c:v>0.26923980045300905</c:v>
                </c:pt>
                <c:pt idx="1347">
                  <c:v>0.26942083272296491</c:v>
                </c:pt>
                <c:pt idx="1348">
                  <c:v>0.26965932269353871</c:v>
                </c:pt>
                <c:pt idx="1349">
                  <c:v>0.26998599499496306</c:v>
                </c:pt>
                <c:pt idx="1350">
                  <c:v>0.27008987441498084</c:v>
                </c:pt>
                <c:pt idx="1351">
                  <c:v>0.27036383477830417</c:v>
                </c:pt>
                <c:pt idx="1352">
                  <c:v>0.27055633379927752</c:v>
                </c:pt>
                <c:pt idx="1353">
                  <c:v>0.27061912553552986</c:v>
                </c:pt>
                <c:pt idx="1354">
                  <c:v>0.27096518264649555</c:v>
                </c:pt>
                <c:pt idx="1355">
                  <c:v>0.27111176288312105</c:v>
                </c:pt>
                <c:pt idx="1356">
                  <c:v>0.27122283997349972</c:v>
                </c:pt>
                <c:pt idx="1357">
                  <c:v>0.27156780549841181</c:v>
                </c:pt>
                <c:pt idx="1358">
                  <c:v>0.27172924937376036</c:v>
                </c:pt>
                <c:pt idx="1359">
                  <c:v>0.27180374586749906</c:v>
                </c:pt>
                <c:pt idx="1360">
                  <c:v>0.27207446868602986</c:v>
                </c:pt>
                <c:pt idx="1361">
                  <c:v>0.2722067789473121</c:v>
                </c:pt>
                <c:pt idx="1362">
                  <c:v>0.27259867329406517</c:v>
                </c:pt>
                <c:pt idx="1363">
                  <c:v>0.27275970032377161</c:v>
                </c:pt>
                <c:pt idx="1364">
                  <c:v>0.27292431747371432</c:v>
                </c:pt>
                <c:pt idx="1365">
                  <c:v>0.27310393915518744</c:v>
                </c:pt>
                <c:pt idx="1366">
                  <c:v>0.27328546698486561</c:v>
                </c:pt>
                <c:pt idx="1367">
                  <c:v>0.27353979092159769</c:v>
                </c:pt>
                <c:pt idx="1368">
                  <c:v>0.27379038495914787</c:v>
                </c:pt>
                <c:pt idx="1369">
                  <c:v>0.27398482214761544</c:v>
                </c:pt>
                <c:pt idx="1370">
                  <c:v>0.27403558015377155</c:v>
                </c:pt>
                <c:pt idx="1371">
                  <c:v>0.27424307546006588</c:v>
                </c:pt>
                <c:pt idx="1372">
                  <c:v>0.27443511542906873</c:v>
                </c:pt>
                <c:pt idx="1373">
                  <c:v>0.27477367124049312</c:v>
                </c:pt>
                <c:pt idx="1374">
                  <c:v>0.27493757216896336</c:v>
                </c:pt>
                <c:pt idx="1375">
                  <c:v>0.27513634093542033</c:v>
                </c:pt>
                <c:pt idx="1376">
                  <c:v>0.27521673363224064</c:v>
                </c:pt>
                <c:pt idx="1377">
                  <c:v>0.27558040379667198</c:v>
                </c:pt>
                <c:pt idx="1378">
                  <c:v>0.27576970130423312</c:v>
                </c:pt>
                <c:pt idx="1379">
                  <c:v>0.27582271283576792</c:v>
                </c:pt>
                <c:pt idx="1380">
                  <c:v>0.27602054262748466</c:v>
                </c:pt>
                <c:pt idx="1381">
                  <c:v>0.27629226067557283</c:v>
                </c:pt>
                <c:pt idx="1382">
                  <c:v>0.27653566391121964</c:v>
                </c:pt>
                <c:pt idx="1383">
                  <c:v>0.27666239928087738</c:v>
                </c:pt>
                <c:pt idx="1384">
                  <c:v>0.27684356970909135</c:v>
                </c:pt>
                <c:pt idx="1385">
                  <c:v>0.2771107159966395</c:v>
                </c:pt>
                <c:pt idx="1386">
                  <c:v>0.27732166082852561</c:v>
                </c:pt>
                <c:pt idx="1387">
                  <c:v>0.27748212480500389</c:v>
                </c:pt>
                <c:pt idx="1388">
                  <c:v>0.27761820286242717</c:v>
                </c:pt>
                <c:pt idx="1389">
                  <c:v>0.27791568558097718</c:v>
                </c:pt>
                <c:pt idx="1390">
                  <c:v>0.27818954961900355</c:v>
                </c:pt>
                <c:pt idx="1391">
                  <c:v>0.27821381636043402</c:v>
                </c:pt>
                <c:pt idx="1392">
                  <c:v>0.27853357366801557</c:v>
                </c:pt>
                <c:pt idx="1393">
                  <c:v>0.27862802834893302</c:v>
                </c:pt>
                <c:pt idx="1394">
                  <c:v>0.2788274572826055</c:v>
                </c:pt>
                <c:pt idx="1395">
                  <c:v>0.27914873666929751</c:v>
                </c:pt>
                <c:pt idx="1396">
                  <c:v>0.27936163354398724</c:v>
                </c:pt>
                <c:pt idx="1397">
                  <c:v>0.27954558661364615</c:v>
                </c:pt>
                <c:pt idx="1398">
                  <c:v>0.27972559031362776</c:v>
                </c:pt>
                <c:pt idx="1399">
                  <c:v>0.27983883935977677</c:v>
                </c:pt>
                <c:pt idx="1400">
                  <c:v>0.28015479989679409</c:v>
                </c:pt>
                <c:pt idx="1401">
                  <c:v>0.28034954936880374</c:v>
                </c:pt>
                <c:pt idx="1402">
                  <c:v>0.28041120369262323</c:v>
                </c:pt>
                <c:pt idx="1403">
                  <c:v>0.28076774500901058</c:v>
                </c:pt>
                <c:pt idx="1404">
                  <c:v>0.28099690750283118</c:v>
                </c:pt>
                <c:pt idx="1405">
                  <c:v>0.28103932686178928</c:v>
                </c:pt>
                <c:pt idx="1406">
                  <c:v>0.28132674504595967</c:v>
                </c:pt>
                <c:pt idx="1407">
                  <c:v>0.28141475600032484</c:v>
                </c:pt>
                <c:pt idx="1408">
                  <c:v>0.28177462297886952</c:v>
                </c:pt>
                <c:pt idx="1409">
                  <c:v>0.28197851453888662</c:v>
                </c:pt>
                <c:pt idx="1410">
                  <c:v>0.28215541041091913</c:v>
                </c:pt>
                <c:pt idx="1411">
                  <c:v>0.28221162612038009</c:v>
                </c:pt>
                <c:pt idx="1412">
                  <c:v>0.28250431779630114</c:v>
                </c:pt>
                <c:pt idx="1413">
                  <c:v>0.282652556684998</c:v>
                </c:pt>
                <c:pt idx="1414">
                  <c:v>0.28283397993911846</c:v>
                </c:pt>
                <c:pt idx="1415">
                  <c:v>0.2831518955439683</c:v>
                </c:pt>
                <c:pt idx="1416">
                  <c:v>0.28334623585835711</c:v>
                </c:pt>
                <c:pt idx="1417">
                  <c:v>0.28351059653337823</c:v>
                </c:pt>
                <c:pt idx="1418">
                  <c:v>0.2836644993846455</c:v>
                </c:pt>
                <c:pt idx="1419">
                  <c:v>0.28387178351359255</c:v>
                </c:pt>
                <c:pt idx="1420">
                  <c:v>0.28403856670130939</c:v>
                </c:pt>
                <c:pt idx="1421">
                  <c:v>0.28439077389617234</c:v>
                </c:pt>
                <c:pt idx="1422">
                  <c:v>0.28441307205139033</c:v>
                </c:pt>
                <c:pt idx="1423">
                  <c:v>0.28471433075515418</c:v>
                </c:pt>
                <c:pt idx="1424">
                  <c:v>0.28493121014915668</c:v>
                </c:pt>
                <c:pt idx="1425">
                  <c:v>0.28502946846420629</c:v>
                </c:pt>
                <c:pt idx="1426">
                  <c:v>0.28527033884159064</c:v>
                </c:pt>
                <c:pt idx="1427">
                  <c:v>0.28543709657751887</c:v>
                </c:pt>
                <c:pt idx="1428">
                  <c:v>0.28562557345168327</c:v>
                </c:pt>
                <c:pt idx="1429">
                  <c:v>0.28596009430716751</c:v>
                </c:pt>
                <c:pt idx="1430">
                  <c:v>0.2861164474532279</c:v>
                </c:pt>
                <c:pt idx="1431">
                  <c:v>0.28625284280820118</c:v>
                </c:pt>
                <c:pt idx="1432">
                  <c:v>0.2865345647744682</c:v>
                </c:pt>
                <c:pt idx="1433">
                  <c:v>0.28672179128423375</c:v>
                </c:pt>
                <c:pt idx="1434">
                  <c:v>0.28696340896821659</c:v>
                </c:pt>
                <c:pt idx="1435">
                  <c:v>0.28712524560888419</c:v>
                </c:pt>
                <c:pt idx="1436">
                  <c:v>0.28727265224523674</c:v>
                </c:pt>
                <c:pt idx="1437">
                  <c:v>0.28748641416339349</c:v>
                </c:pt>
                <c:pt idx="1438">
                  <c:v>0.28779094903529412</c:v>
                </c:pt>
                <c:pt idx="1439">
                  <c:v>0.28782515139650211</c:v>
                </c:pt>
                <c:pt idx="1440">
                  <c:v>0.28807096992686176</c:v>
                </c:pt>
                <c:pt idx="1441">
                  <c:v>0.28835517992813964</c:v>
                </c:pt>
                <c:pt idx="1442">
                  <c:v>0.28852196294514504</c:v>
                </c:pt>
                <c:pt idx="1443">
                  <c:v>0.28871794331197581</c:v>
                </c:pt>
                <c:pt idx="1444">
                  <c:v>0.28890135207206508</c:v>
                </c:pt>
                <c:pt idx="1445">
                  <c:v>0.28909775030941182</c:v>
                </c:pt>
                <c:pt idx="1446">
                  <c:v>0.28931033859972616</c:v>
                </c:pt>
                <c:pt idx="1447">
                  <c:v>0.28953323207826659</c:v>
                </c:pt>
                <c:pt idx="1448">
                  <c:v>0.28963592702393326</c:v>
                </c:pt>
                <c:pt idx="1449">
                  <c:v>0.289954142688856</c:v>
                </c:pt>
                <c:pt idx="1450">
                  <c:v>0.29017748274611715</c:v>
                </c:pt>
                <c:pt idx="1451">
                  <c:v>0.29027362916620297</c:v>
                </c:pt>
                <c:pt idx="1452">
                  <c:v>0.29054515150705007</c:v>
                </c:pt>
                <c:pt idx="1453">
                  <c:v>0.29073834837007762</c:v>
                </c:pt>
                <c:pt idx="1454">
                  <c:v>0.29082955628913582</c:v>
                </c:pt>
                <c:pt idx="1455">
                  <c:v>0.29101967318850097</c:v>
                </c:pt>
                <c:pt idx="1456">
                  <c:v>0.29122275137822673</c:v>
                </c:pt>
                <c:pt idx="1457">
                  <c:v>0.29150700043456329</c:v>
                </c:pt>
                <c:pt idx="1458">
                  <c:v>0.29162838380793771</c:v>
                </c:pt>
                <c:pt idx="1459">
                  <c:v>0.29193840407918636</c:v>
                </c:pt>
                <c:pt idx="1460">
                  <c:v>0.29219678740682942</c:v>
                </c:pt>
                <c:pt idx="1461">
                  <c:v>0.29237242852052964</c:v>
                </c:pt>
                <c:pt idx="1462">
                  <c:v>0.29244746800704102</c:v>
                </c:pt>
                <c:pt idx="1463">
                  <c:v>0.29274806092976313</c:v>
                </c:pt>
                <c:pt idx="1464">
                  <c:v>0.29282674262677943</c:v>
                </c:pt>
                <c:pt idx="1465">
                  <c:v>0.29310613623254606</c:v>
                </c:pt>
                <c:pt idx="1466">
                  <c:v>0.29332389162222944</c:v>
                </c:pt>
                <c:pt idx="1467">
                  <c:v>0.2934536065636793</c:v>
                </c:pt>
                <c:pt idx="1468">
                  <c:v>0.29375963902691371</c:v>
                </c:pt>
                <c:pt idx="1469">
                  <c:v>0.2939175794380991</c:v>
                </c:pt>
                <c:pt idx="1470">
                  <c:v>0.29414299647094283</c:v>
                </c:pt>
                <c:pt idx="1471">
                  <c:v>0.29436636783833764</c:v>
                </c:pt>
                <c:pt idx="1472">
                  <c:v>0.29441686147847607</c:v>
                </c:pt>
                <c:pt idx="1473">
                  <c:v>0.29470199912872674</c:v>
                </c:pt>
                <c:pt idx="1474">
                  <c:v>0.29486870721286834</c:v>
                </c:pt>
                <c:pt idx="1475">
                  <c:v>0.2950183535270901</c:v>
                </c:pt>
                <c:pt idx="1476">
                  <c:v>0.29529325923241984</c:v>
                </c:pt>
                <c:pt idx="1477">
                  <c:v>0.29553931393607968</c:v>
                </c:pt>
                <c:pt idx="1478">
                  <c:v>0.29570530203485518</c:v>
                </c:pt>
                <c:pt idx="1479">
                  <c:v>0.2958234614825862</c:v>
                </c:pt>
                <c:pt idx="1480">
                  <c:v>0.29614402181556077</c:v>
                </c:pt>
                <c:pt idx="1481">
                  <c:v>0.29627576007360495</c:v>
                </c:pt>
                <c:pt idx="1482">
                  <c:v>0.29648204925537158</c:v>
                </c:pt>
                <c:pt idx="1483">
                  <c:v>0.29667741712883056</c:v>
                </c:pt>
                <c:pt idx="1484">
                  <c:v>0.29695693584255806</c:v>
                </c:pt>
                <c:pt idx="1485">
                  <c:v>0.29719921165052782</c:v>
                </c:pt>
                <c:pt idx="1486">
                  <c:v>0.29720076484438052</c:v>
                </c:pt>
                <c:pt idx="1487">
                  <c:v>0.2975617079707239</c:v>
                </c:pt>
                <c:pt idx="1488">
                  <c:v>0.29760906198257792</c:v>
                </c:pt>
                <c:pt idx="1489">
                  <c:v>0.29783931878927145</c:v>
                </c:pt>
                <c:pt idx="1490">
                  <c:v>0.29803875392210638</c:v>
                </c:pt>
                <c:pt idx="1491">
                  <c:v>0.29836899768597652</c:v>
                </c:pt>
                <c:pt idx="1492">
                  <c:v>0.29852547281769232</c:v>
                </c:pt>
                <c:pt idx="1493">
                  <c:v>0.29866950519230906</c:v>
                </c:pt>
                <c:pt idx="1494">
                  <c:v>0.29885738379677235</c:v>
                </c:pt>
                <c:pt idx="1495">
                  <c:v>0.29903761136420948</c:v>
                </c:pt>
                <c:pt idx="1496">
                  <c:v>0.29937620105579871</c:v>
                </c:pt>
                <c:pt idx="1497">
                  <c:v>0.29940720646586438</c:v>
                </c:pt>
                <c:pt idx="1498">
                  <c:v>0.29977642635646656</c:v>
                </c:pt>
                <c:pt idx="1499">
                  <c:v>0.2999943276674939</c:v>
                </c:pt>
                <c:pt idx="1500">
                  <c:v>0.30010990104789614</c:v>
                </c:pt>
                <c:pt idx="1501">
                  <c:v>0.30021850621900953</c:v>
                </c:pt>
                <c:pt idx="1502">
                  <c:v>0.3005607021453699</c:v>
                </c:pt>
                <c:pt idx="1503">
                  <c:v>0.30065924846531339</c:v>
                </c:pt>
                <c:pt idx="1504">
                  <c:v>0.30085359505667664</c:v>
                </c:pt>
                <c:pt idx="1505">
                  <c:v>0.30110586854827259</c:v>
                </c:pt>
                <c:pt idx="1506">
                  <c:v>0.30123530336214122</c:v>
                </c:pt>
                <c:pt idx="1507">
                  <c:v>0.30153307952278596</c:v>
                </c:pt>
                <c:pt idx="1508">
                  <c:v>0.3016376263758721</c:v>
                </c:pt>
                <c:pt idx="1509">
                  <c:v>0.30187240956818512</c:v>
                </c:pt>
                <c:pt idx="1510">
                  <c:v>0.30212041124983702</c:v>
                </c:pt>
                <c:pt idx="1511">
                  <c:v>0.30227968653582027</c:v>
                </c:pt>
                <c:pt idx="1512">
                  <c:v>0.30254177073774435</c:v>
                </c:pt>
                <c:pt idx="1513">
                  <c:v>0.30270668181509403</c:v>
                </c:pt>
                <c:pt idx="1514">
                  <c:v>0.30281990288431287</c:v>
                </c:pt>
                <c:pt idx="1515">
                  <c:v>0.30314532227500929</c:v>
                </c:pt>
                <c:pt idx="1516">
                  <c:v>0.30325171323643341</c:v>
                </c:pt>
                <c:pt idx="1517">
                  <c:v>0.30343371378477518</c:v>
                </c:pt>
                <c:pt idx="1518">
                  <c:v>0.30371867650209899</c:v>
                </c:pt>
                <c:pt idx="1519">
                  <c:v>0.3039187331317269</c:v>
                </c:pt>
                <c:pt idx="1520">
                  <c:v>0.3041021436421904</c:v>
                </c:pt>
                <c:pt idx="1521">
                  <c:v>0.30420713749630546</c:v>
                </c:pt>
                <c:pt idx="1522">
                  <c:v>0.30457143851694918</c:v>
                </c:pt>
                <c:pt idx="1523">
                  <c:v>0.30471210014031086</c:v>
                </c:pt>
                <c:pt idx="1524">
                  <c:v>0.3049575570231205</c:v>
                </c:pt>
                <c:pt idx="1525">
                  <c:v>0.30503252094784578</c:v>
                </c:pt>
                <c:pt idx="1526">
                  <c:v>0.30528106353159085</c:v>
                </c:pt>
                <c:pt idx="1527">
                  <c:v>0.30544132312756067</c:v>
                </c:pt>
                <c:pt idx="1528">
                  <c:v>0.30577908448753394</c:v>
                </c:pt>
                <c:pt idx="1529">
                  <c:v>0.30592720154340547</c:v>
                </c:pt>
                <c:pt idx="1530">
                  <c:v>0.30602713767653961</c:v>
                </c:pt>
                <c:pt idx="1531">
                  <c:v>0.30635020575503591</c:v>
                </c:pt>
                <c:pt idx="1532">
                  <c:v>0.30654888779626899</c:v>
                </c:pt>
                <c:pt idx="1533">
                  <c:v>0.30663012857870897</c:v>
                </c:pt>
                <c:pt idx="1534">
                  <c:v>0.30689991320630072</c:v>
                </c:pt>
                <c:pt idx="1535">
                  <c:v>0.3070163509320506</c:v>
                </c:pt>
                <c:pt idx="1536">
                  <c:v>0.30728545070343782</c:v>
                </c:pt>
                <c:pt idx="1537">
                  <c:v>0.30757274172123816</c:v>
                </c:pt>
                <c:pt idx="1538">
                  <c:v>0.30767664875231604</c:v>
                </c:pt>
                <c:pt idx="1539">
                  <c:v>0.3078540924797426</c:v>
                </c:pt>
                <c:pt idx="1540">
                  <c:v>0.30804058984924121</c:v>
                </c:pt>
                <c:pt idx="1541">
                  <c:v>0.30830180887521752</c:v>
                </c:pt>
                <c:pt idx="1542">
                  <c:v>0.30848706282309424</c:v>
                </c:pt>
                <c:pt idx="1543">
                  <c:v>0.30870753747283192</c:v>
                </c:pt>
                <c:pt idx="1544">
                  <c:v>0.30891115927205215</c:v>
                </c:pt>
                <c:pt idx="1545">
                  <c:v>0.30917323603298824</c:v>
                </c:pt>
                <c:pt idx="1546">
                  <c:v>0.30937531641185639</c:v>
                </c:pt>
                <c:pt idx="1547">
                  <c:v>0.30951106430234182</c:v>
                </c:pt>
                <c:pt idx="1548">
                  <c:v>0.3097587114419692</c:v>
                </c:pt>
                <c:pt idx="1549">
                  <c:v>0.30994411371507313</c:v>
                </c:pt>
                <c:pt idx="1550">
                  <c:v>0.31010796760374398</c:v>
                </c:pt>
                <c:pt idx="1551">
                  <c:v>0.31027294044999237</c:v>
                </c:pt>
                <c:pt idx="1552">
                  <c:v>0.31042060392201426</c:v>
                </c:pt>
                <c:pt idx="1553">
                  <c:v>0.31069757151247412</c:v>
                </c:pt>
                <c:pt idx="1554">
                  <c:v>0.31083961059093468</c:v>
                </c:pt>
                <c:pt idx="1555">
                  <c:v>0.3111554742640712</c:v>
                </c:pt>
                <c:pt idx="1556">
                  <c:v>0.31130043661894752</c:v>
                </c:pt>
                <c:pt idx="1557">
                  <c:v>0.31157452321526935</c:v>
                </c:pt>
                <c:pt idx="1558">
                  <c:v>0.31170639096365926</c:v>
                </c:pt>
                <c:pt idx="1559">
                  <c:v>0.31198231488167827</c:v>
                </c:pt>
                <c:pt idx="1560">
                  <c:v>0.31218154127751047</c:v>
                </c:pt>
                <c:pt idx="1561">
                  <c:v>0.31239410534258794</c:v>
                </c:pt>
                <c:pt idx="1562">
                  <c:v>0.31248608955375062</c:v>
                </c:pt>
                <c:pt idx="1563">
                  <c:v>0.31271027049373612</c:v>
                </c:pt>
                <c:pt idx="1564">
                  <c:v>0.31294132889573029</c:v>
                </c:pt>
                <c:pt idx="1565">
                  <c:v>0.31303437881130597</c:v>
                </c:pt>
                <c:pt idx="1566">
                  <c:v>0.31328446833111445</c:v>
                </c:pt>
                <c:pt idx="1567">
                  <c:v>0.31354264547809552</c:v>
                </c:pt>
                <c:pt idx="1568">
                  <c:v>0.31370103722519732</c:v>
                </c:pt>
                <c:pt idx="1569">
                  <c:v>0.31392932848789012</c:v>
                </c:pt>
                <c:pt idx="1570">
                  <c:v>0.31405390068382349</c:v>
                </c:pt>
                <c:pt idx="1571">
                  <c:v>0.31421806820137849</c:v>
                </c:pt>
                <c:pt idx="1572">
                  <c:v>0.31444943476730247</c:v>
                </c:pt>
                <c:pt idx="1573">
                  <c:v>0.31478901742584747</c:v>
                </c:pt>
                <c:pt idx="1574">
                  <c:v>0.31492362006477165</c:v>
                </c:pt>
                <c:pt idx="1575">
                  <c:v>0.31508808238741198</c:v>
                </c:pt>
                <c:pt idx="1576">
                  <c:v>0.31535913707319629</c:v>
                </c:pt>
                <c:pt idx="1577">
                  <c:v>0.31554132314118122</c:v>
                </c:pt>
                <c:pt idx="1578">
                  <c:v>0.3157482581295884</c:v>
                </c:pt>
                <c:pt idx="1579">
                  <c:v>0.31590749664867934</c:v>
                </c:pt>
                <c:pt idx="1580">
                  <c:v>0.31607185871332694</c:v>
                </c:pt>
                <c:pt idx="1581">
                  <c:v>0.31620109576652783</c:v>
                </c:pt>
                <c:pt idx="1582">
                  <c:v>0.3165453384241893</c:v>
                </c:pt>
                <c:pt idx="1583">
                  <c:v>0.3166566284051297</c:v>
                </c:pt>
                <c:pt idx="1584">
                  <c:v>0.31697335890726497</c:v>
                </c:pt>
                <c:pt idx="1585">
                  <c:v>0.31719264813246961</c:v>
                </c:pt>
                <c:pt idx="1586">
                  <c:v>0.31738606360363453</c:v>
                </c:pt>
                <c:pt idx="1587">
                  <c:v>0.3174417682017297</c:v>
                </c:pt>
                <c:pt idx="1588">
                  <c:v>0.31773715556914384</c:v>
                </c:pt>
                <c:pt idx="1589">
                  <c:v>0.31793550159035611</c:v>
                </c:pt>
                <c:pt idx="1590">
                  <c:v>0.3180487755716892</c:v>
                </c:pt>
                <c:pt idx="1591">
                  <c:v>0.31827153107926054</c:v>
                </c:pt>
                <c:pt idx="1592">
                  <c:v>0.31847438742473594</c:v>
                </c:pt>
                <c:pt idx="1593">
                  <c:v>0.31860010796030985</c:v>
                </c:pt>
                <c:pt idx="1594">
                  <c:v>0.31885118410658353</c:v>
                </c:pt>
                <c:pt idx="1595">
                  <c:v>0.31910110476112485</c:v>
                </c:pt>
                <c:pt idx="1596">
                  <c:v>0.31923147438481253</c:v>
                </c:pt>
                <c:pt idx="1597">
                  <c:v>0.31946313844478297</c:v>
                </c:pt>
                <c:pt idx="1598">
                  <c:v>0.31977045656292946</c:v>
                </c:pt>
                <c:pt idx="1599">
                  <c:v>0.31997116657918578</c:v>
                </c:pt>
                <c:pt idx="1600">
                  <c:v>0.32004724682291208</c:v>
                </c:pt>
                <c:pt idx="1601">
                  <c:v>0.32032865627774243</c:v>
                </c:pt>
                <c:pt idx="1602">
                  <c:v>0.32050224704768099</c:v>
                </c:pt>
                <c:pt idx="1603">
                  <c:v>0.3206211169587963</c:v>
                </c:pt>
                <c:pt idx="1604">
                  <c:v>0.32099174528419783</c:v>
                </c:pt>
                <c:pt idx="1605">
                  <c:v>0.32107592278837133</c:v>
                </c:pt>
                <c:pt idx="1606">
                  <c:v>0.32132213216901806</c:v>
                </c:pt>
                <c:pt idx="1607">
                  <c:v>0.32157721497066716</c:v>
                </c:pt>
                <c:pt idx="1608">
                  <c:v>0.32177092348764902</c:v>
                </c:pt>
                <c:pt idx="1609">
                  <c:v>0.32193857240382079</c:v>
                </c:pt>
                <c:pt idx="1610">
                  <c:v>0.32213728973747635</c:v>
                </c:pt>
                <c:pt idx="1611">
                  <c:v>0.32231024244616513</c:v>
                </c:pt>
                <c:pt idx="1612">
                  <c:v>0.32254152182618662</c:v>
                </c:pt>
                <c:pt idx="1613">
                  <c:v>0.32261809433424338</c:v>
                </c:pt>
                <c:pt idx="1614">
                  <c:v>0.32280327838631423</c:v>
                </c:pt>
                <c:pt idx="1615">
                  <c:v>0.32317839088974948</c:v>
                </c:pt>
                <c:pt idx="1616">
                  <c:v>0.32330005464053246</c:v>
                </c:pt>
                <c:pt idx="1617">
                  <c:v>0.32352706917080265</c:v>
                </c:pt>
                <c:pt idx="1618">
                  <c:v>0.32376024952390237</c:v>
                </c:pt>
                <c:pt idx="1619">
                  <c:v>0.32386519457610913</c:v>
                </c:pt>
                <c:pt idx="1620">
                  <c:v>0.32414913146331653</c:v>
                </c:pt>
                <c:pt idx="1621">
                  <c:v>0.32431153197048967</c:v>
                </c:pt>
                <c:pt idx="1622">
                  <c:v>0.32455282295810822</c:v>
                </c:pt>
                <c:pt idx="1623">
                  <c:v>0.32467434605068396</c:v>
                </c:pt>
                <c:pt idx="1624">
                  <c:v>0.3249719881955469</c:v>
                </c:pt>
                <c:pt idx="1625">
                  <c:v>0.32509462542182171</c:v>
                </c:pt>
                <c:pt idx="1626">
                  <c:v>0.32529401008260761</c:v>
                </c:pt>
                <c:pt idx="1627">
                  <c:v>0.32542975921552386</c:v>
                </c:pt>
                <c:pt idx="1628">
                  <c:v>0.32578275558175118</c:v>
                </c:pt>
                <c:pt idx="1629">
                  <c:v>0.32582312744348846</c:v>
                </c:pt>
                <c:pt idx="1630">
                  <c:v>0.32605613563392682</c:v>
                </c:pt>
                <c:pt idx="1631">
                  <c:v>0.32633754074702448</c:v>
                </c:pt>
                <c:pt idx="1632">
                  <c:v>0.32646981011584164</c:v>
                </c:pt>
                <c:pt idx="1633">
                  <c:v>0.32674079208870904</c:v>
                </c:pt>
                <c:pt idx="1634">
                  <c:v>0.32692003977660095</c:v>
                </c:pt>
                <c:pt idx="1635">
                  <c:v>0.32704343954227943</c:v>
                </c:pt>
                <c:pt idx="1636">
                  <c:v>0.32723123823679778</c:v>
                </c:pt>
                <c:pt idx="1637">
                  <c:v>0.32740524958232542</c:v>
                </c:pt>
                <c:pt idx="1638">
                  <c:v>0.32773689592432625</c:v>
                </c:pt>
                <c:pt idx="1639">
                  <c:v>0.3279650375039701</c:v>
                </c:pt>
                <c:pt idx="1640">
                  <c:v>0.32800531240366521</c:v>
                </c:pt>
                <c:pt idx="1641">
                  <c:v>0.3283349949750432</c:v>
                </c:pt>
                <c:pt idx="1642">
                  <c:v>0.32856306390724216</c:v>
                </c:pt>
                <c:pt idx="1643">
                  <c:v>0.32877631983872885</c:v>
                </c:pt>
                <c:pt idx="1644">
                  <c:v>0.32894137791011979</c:v>
                </c:pt>
                <c:pt idx="1645">
                  <c:v>0.3291522566857637</c:v>
                </c:pt>
                <c:pt idx="1646">
                  <c:v>0.32937524223457443</c:v>
                </c:pt>
                <c:pt idx="1647">
                  <c:v>0.32952916302604812</c:v>
                </c:pt>
                <c:pt idx="1648">
                  <c:v>0.32977909049489051</c:v>
                </c:pt>
                <c:pt idx="1649">
                  <c:v>0.32994364658141123</c:v>
                </c:pt>
                <c:pt idx="1650">
                  <c:v>0.33008564969624526</c:v>
                </c:pt>
                <c:pt idx="1651">
                  <c:v>0.33024582032599625</c:v>
                </c:pt>
                <c:pt idx="1652">
                  <c:v>0.3305871762904774</c:v>
                </c:pt>
                <c:pt idx="1653">
                  <c:v>0.33071761611139344</c:v>
                </c:pt>
                <c:pt idx="1654">
                  <c:v>0.33090171618254433</c:v>
                </c:pt>
                <c:pt idx="1655">
                  <c:v>0.33119317583292562</c:v>
                </c:pt>
                <c:pt idx="1656">
                  <c:v>0.33128429651537078</c:v>
                </c:pt>
                <c:pt idx="1657">
                  <c:v>0.33150907415349712</c:v>
                </c:pt>
                <c:pt idx="1658">
                  <c:v>0.33175065279527349</c:v>
                </c:pt>
                <c:pt idx="1659">
                  <c:v>0.33198254521535303</c:v>
                </c:pt>
                <c:pt idx="1660">
                  <c:v>0.33216316161764858</c:v>
                </c:pt>
                <c:pt idx="1661">
                  <c:v>0.33230526244735936</c:v>
                </c:pt>
                <c:pt idx="1662">
                  <c:v>0.33247111119750677</c:v>
                </c:pt>
                <c:pt idx="1663">
                  <c:v>0.33267756020130534</c:v>
                </c:pt>
                <c:pt idx="1664">
                  <c:v>0.33280155205568335</c:v>
                </c:pt>
                <c:pt idx="1665">
                  <c:v>0.33311443141701502</c:v>
                </c:pt>
                <c:pt idx="1666">
                  <c:v>0.33330807238302845</c:v>
                </c:pt>
                <c:pt idx="1667">
                  <c:v>0.33350244654456679</c:v>
                </c:pt>
                <c:pt idx="1668">
                  <c:v>0.33361804411458268</c:v>
                </c:pt>
                <c:pt idx="1669">
                  <c:v>0.33381426113779056</c:v>
                </c:pt>
                <c:pt idx="1670">
                  <c:v>0.33400637233606689</c:v>
                </c:pt>
                <c:pt idx="1671">
                  <c:v>0.3342019517863174</c:v>
                </c:pt>
                <c:pt idx="1672">
                  <c:v>0.33452137634919987</c:v>
                </c:pt>
                <c:pt idx="1673">
                  <c:v>0.33477351643256226</c:v>
                </c:pt>
                <c:pt idx="1674">
                  <c:v>0.33499227136107912</c:v>
                </c:pt>
                <c:pt idx="1675">
                  <c:v>0.33519931665742758</c:v>
                </c:pt>
                <c:pt idx="1676">
                  <c:v>0.33526638608455339</c:v>
                </c:pt>
                <c:pt idx="1677">
                  <c:v>0.33542239641105348</c:v>
                </c:pt>
                <c:pt idx="1678">
                  <c:v>0.33570378676604101</c:v>
                </c:pt>
                <c:pt idx="1679">
                  <c:v>0.33585395215131664</c:v>
                </c:pt>
                <c:pt idx="1680">
                  <c:v>0.3360745098304177</c:v>
                </c:pt>
                <c:pt idx="1681">
                  <c:v>0.33636898024752016</c:v>
                </c:pt>
                <c:pt idx="1682">
                  <c:v>0.3364295637627201</c:v>
                </c:pt>
                <c:pt idx="1683">
                  <c:v>0.33676706157568076</c:v>
                </c:pt>
                <c:pt idx="1684">
                  <c:v>0.33680089438478483</c:v>
                </c:pt>
                <c:pt idx="1685">
                  <c:v>0.33700056677418777</c:v>
                </c:pt>
                <c:pt idx="1686">
                  <c:v>0.33722663817871978</c:v>
                </c:pt>
                <c:pt idx="1687">
                  <c:v>0.33757507845814688</c:v>
                </c:pt>
                <c:pt idx="1688">
                  <c:v>0.33767767911317703</c:v>
                </c:pt>
                <c:pt idx="1689">
                  <c:v>0.33782809738969155</c:v>
                </c:pt>
                <c:pt idx="1690">
                  <c:v>0.33802009234265895</c:v>
                </c:pt>
                <c:pt idx="1691">
                  <c:v>0.33838425290211666</c:v>
                </c:pt>
                <c:pt idx="1692">
                  <c:v>0.33858854393060051</c:v>
                </c:pt>
                <c:pt idx="1693">
                  <c:v>0.33869704745954299</c:v>
                </c:pt>
                <c:pt idx="1694">
                  <c:v>0.33897589744785239</c:v>
                </c:pt>
                <c:pt idx="1695">
                  <c:v>0.33916725682252252</c:v>
                </c:pt>
                <c:pt idx="1696">
                  <c:v>0.3393533267727013</c:v>
                </c:pt>
                <c:pt idx="1697">
                  <c:v>0.33942693224475418</c:v>
                </c:pt>
                <c:pt idx="1698">
                  <c:v>0.33967176487061002</c:v>
                </c:pt>
                <c:pt idx="1699">
                  <c:v>0.33996012504509654</c:v>
                </c:pt>
                <c:pt idx="1700">
                  <c:v>0.34019245705865148</c:v>
                </c:pt>
                <c:pt idx="1701">
                  <c:v>0.34035450011337048</c:v>
                </c:pt>
                <c:pt idx="1702">
                  <c:v>0.34040198552226691</c:v>
                </c:pt>
                <c:pt idx="1703">
                  <c:v>0.3406303749786761</c:v>
                </c:pt>
                <c:pt idx="1704">
                  <c:v>0.34087352917056379</c:v>
                </c:pt>
                <c:pt idx="1705">
                  <c:v>0.34105471374445007</c:v>
                </c:pt>
                <c:pt idx="1706">
                  <c:v>0.34120982588930282</c:v>
                </c:pt>
                <c:pt idx="1707">
                  <c:v>0.34152881265714041</c:v>
                </c:pt>
                <c:pt idx="1708">
                  <c:v>0.34164479075089205</c:v>
                </c:pt>
                <c:pt idx="1709">
                  <c:v>0.3419873902945284</c:v>
                </c:pt>
                <c:pt idx="1710">
                  <c:v>0.34211496035547811</c:v>
                </c:pt>
                <c:pt idx="1711">
                  <c:v>0.3422271098301809</c:v>
                </c:pt>
                <c:pt idx="1712">
                  <c:v>0.34253943885051169</c:v>
                </c:pt>
                <c:pt idx="1713">
                  <c:v>0.34279229585993859</c:v>
                </c:pt>
                <c:pt idx="1714">
                  <c:v>0.34286121341112563</c:v>
                </c:pt>
                <c:pt idx="1715">
                  <c:v>0.34304525637292427</c:v>
                </c:pt>
                <c:pt idx="1716">
                  <c:v>0.34326930276869549</c:v>
                </c:pt>
                <c:pt idx="1717">
                  <c:v>0.34350964253663774</c:v>
                </c:pt>
                <c:pt idx="1718">
                  <c:v>0.3437398924202984</c:v>
                </c:pt>
                <c:pt idx="1719">
                  <c:v>0.34390337742546184</c:v>
                </c:pt>
                <c:pt idx="1720">
                  <c:v>0.34406526025977574</c:v>
                </c:pt>
                <c:pt idx="1721">
                  <c:v>0.34428171164460519</c:v>
                </c:pt>
                <c:pt idx="1722">
                  <c:v>0.34457877634069389</c:v>
                </c:pt>
                <c:pt idx="1723">
                  <c:v>0.34467739029034911</c:v>
                </c:pt>
                <c:pt idx="1724">
                  <c:v>0.34487772137450001</c:v>
                </c:pt>
                <c:pt idx="1725">
                  <c:v>0.34505541409157575</c:v>
                </c:pt>
                <c:pt idx="1726">
                  <c:v>0.3453904985183362</c:v>
                </c:pt>
                <c:pt idx="1727">
                  <c:v>0.34552040452219551</c:v>
                </c:pt>
                <c:pt idx="1728">
                  <c:v>0.34560447864490668</c:v>
                </c:pt>
                <c:pt idx="1729">
                  <c:v>0.34599983264300965</c:v>
                </c:pt>
                <c:pt idx="1730">
                  <c:v>0.34603623941243539</c:v>
                </c:pt>
                <c:pt idx="1731">
                  <c:v>0.34633471135379157</c:v>
                </c:pt>
                <c:pt idx="1732">
                  <c:v>0.34656696133398612</c:v>
                </c:pt>
                <c:pt idx="1733">
                  <c:v>0.34669036094515826</c:v>
                </c:pt>
                <c:pt idx="1734">
                  <c:v>0.34687765806198068</c:v>
                </c:pt>
                <c:pt idx="1735">
                  <c:v>0.34710443416170417</c:v>
                </c:pt>
                <c:pt idx="1736">
                  <c:v>0.34721617323849729</c:v>
                </c:pt>
                <c:pt idx="1737">
                  <c:v>0.34746388300174469</c:v>
                </c:pt>
                <c:pt idx="1738">
                  <c:v>0.34764936483713088</c:v>
                </c:pt>
                <c:pt idx="1739">
                  <c:v>0.34792983636114044</c:v>
                </c:pt>
                <c:pt idx="1740">
                  <c:v>0.34807679324049429</c:v>
                </c:pt>
                <c:pt idx="1741">
                  <c:v>0.34832941601740419</c:v>
                </c:pt>
                <c:pt idx="1742">
                  <c:v>0.34852800794270072</c:v>
                </c:pt>
                <c:pt idx="1743">
                  <c:v>0.34863759265854899</c:v>
                </c:pt>
                <c:pt idx="1744">
                  <c:v>0.34890747464390176</c:v>
                </c:pt>
                <c:pt idx="1745">
                  <c:v>0.34901504178126691</c:v>
                </c:pt>
                <c:pt idx="1746">
                  <c:v>0.34939954842980941</c:v>
                </c:pt>
                <c:pt idx="1747">
                  <c:v>0.34955040744881855</c:v>
                </c:pt>
                <c:pt idx="1748">
                  <c:v>0.34970138695158559</c:v>
                </c:pt>
                <c:pt idx="1749">
                  <c:v>0.34993872549006216</c:v>
                </c:pt>
                <c:pt idx="1750">
                  <c:v>0.35007895655065752</c:v>
                </c:pt>
                <c:pt idx="1751">
                  <c:v>0.35023141808799269</c:v>
                </c:pt>
                <c:pt idx="1752">
                  <c:v>0.3504412597995813</c:v>
                </c:pt>
                <c:pt idx="1753">
                  <c:v>0.35060256665777473</c:v>
                </c:pt>
                <c:pt idx="1754">
                  <c:v>0.3509444501189386</c:v>
                </c:pt>
                <c:pt idx="1755">
                  <c:v>0.3510612709617385</c:v>
                </c:pt>
                <c:pt idx="1756">
                  <c:v>0.35130978038588301</c:v>
                </c:pt>
                <c:pt idx="1757">
                  <c:v>0.35148403091549035</c:v>
                </c:pt>
                <c:pt idx="1758">
                  <c:v>0.35162398494887726</c:v>
                </c:pt>
                <c:pt idx="1759">
                  <c:v>0.351820677118241</c:v>
                </c:pt>
                <c:pt idx="1760">
                  <c:v>0.35200202602753461</c:v>
                </c:pt>
                <c:pt idx="1761">
                  <c:v>0.35222729067863601</c:v>
                </c:pt>
                <c:pt idx="1762">
                  <c:v>0.35247691718597823</c:v>
                </c:pt>
                <c:pt idx="1763">
                  <c:v>0.35275536856789963</c:v>
                </c:pt>
                <c:pt idx="1764">
                  <c:v>0.35297648491938055</c:v>
                </c:pt>
                <c:pt idx="1765">
                  <c:v>0.35312453716516601</c:v>
                </c:pt>
                <c:pt idx="1766">
                  <c:v>0.35330227635253741</c:v>
                </c:pt>
                <c:pt idx="1767">
                  <c:v>0.35342867775392456</c:v>
                </c:pt>
                <c:pt idx="1768">
                  <c:v>0.35377234380547246</c:v>
                </c:pt>
                <c:pt idx="1769">
                  <c:v>0.35386393338089434</c:v>
                </c:pt>
                <c:pt idx="1770">
                  <c:v>0.35413305461931344</c:v>
                </c:pt>
                <c:pt idx="1771">
                  <c:v>0.35433569805983822</c:v>
                </c:pt>
                <c:pt idx="1772">
                  <c:v>0.35451881074973352</c:v>
                </c:pt>
                <c:pt idx="1773">
                  <c:v>0.35475026543176502</c:v>
                </c:pt>
                <c:pt idx="1774">
                  <c:v>0.35483615692575371</c:v>
                </c:pt>
                <c:pt idx="1775">
                  <c:v>0.35513070574093858</c:v>
                </c:pt>
                <c:pt idx="1776">
                  <c:v>0.35520027771373286</c:v>
                </c:pt>
                <c:pt idx="1777">
                  <c:v>0.35555343771990239</c:v>
                </c:pt>
                <c:pt idx="1778">
                  <c:v>0.35569130403587856</c:v>
                </c:pt>
                <c:pt idx="1779">
                  <c:v>0.35599524963484036</c:v>
                </c:pt>
                <c:pt idx="1780">
                  <c:v>0.35605841967818758</c:v>
                </c:pt>
                <c:pt idx="1781">
                  <c:v>0.35635975396841757</c:v>
                </c:pt>
                <c:pt idx="1782">
                  <c:v>0.35653120096780622</c:v>
                </c:pt>
                <c:pt idx="1783">
                  <c:v>0.35664790932793355</c:v>
                </c:pt>
                <c:pt idx="1784">
                  <c:v>0.35694389210896194</c:v>
                </c:pt>
                <c:pt idx="1785">
                  <c:v>0.35707949272880318</c:v>
                </c:pt>
                <c:pt idx="1786">
                  <c:v>0.35720387067124337</c:v>
                </c:pt>
                <c:pt idx="1787">
                  <c:v>0.35741074373577969</c:v>
                </c:pt>
                <c:pt idx="1788">
                  <c:v>0.35765766825942735</c:v>
                </c:pt>
                <c:pt idx="1789">
                  <c:v>0.35792427969540569</c:v>
                </c:pt>
                <c:pt idx="1790">
                  <c:v>0.35805549273594645</c:v>
                </c:pt>
                <c:pt idx="1791">
                  <c:v>0.35821774320747185</c:v>
                </c:pt>
                <c:pt idx="1792">
                  <c:v>0.3585510207941176</c:v>
                </c:pt>
                <c:pt idx="1793">
                  <c:v>0.35876840990119807</c:v>
                </c:pt>
                <c:pt idx="1794">
                  <c:v>0.35897227603601578</c:v>
                </c:pt>
                <c:pt idx="1795">
                  <c:v>0.35910844702453082</c:v>
                </c:pt>
                <c:pt idx="1796">
                  <c:v>0.35934224694123079</c:v>
                </c:pt>
                <c:pt idx="1797">
                  <c:v>0.35943558352287758</c:v>
                </c:pt>
                <c:pt idx="1798">
                  <c:v>0.35976271901739826</c:v>
                </c:pt>
                <c:pt idx="1799">
                  <c:v>0.35986649384090358</c:v>
                </c:pt>
                <c:pt idx="1800">
                  <c:v>0.36017563044521389</c:v>
                </c:pt>
                <c:pt idx="1801">
                  <c:v>0.36024175752271942</c:v>
                </c:pt>
                <c:pt idx="1802">
                  <c:v>0.36052020413869063</c:v>
                </c:pt>
                <c:pt idx="1803">
                  <c:v>0.3606292489157592</c:v>
                </c:pt>
                <c:pt idx="1804">
                  <c:v>0.3608018342339438</c:v>
                </c:pt>
                <c:pt idx="1805">
                  <c:v>0.36119318527281125</c:v>
                </c:pt>
                <c:pt idx="1806">
                  <c:v>0.36133033431436173</c:v>
                </c:pt>
                <c:pt idx="1807">
                  <c:v>0.36145794149419713</c:v>
                </c:pt>
                <c:pt idx="1808">
                  <c:v>0.36160719574070704</c:v>
                </c:pt>
                <c:pt idx="1809">
                  <c:v>0.36197324750115473</c:v>
                </c:pt>
                <c:pt idx="1810">
                  <c:v>0.36201963308654256</c:v>
                </c:pt>
                <c:pt idx="1811">
                  <c:v>0.36238189269690352</c:v>
                </c:pt>
                <c:pt idx="1812">
                  <c:v>0.36244019381949683</c:v>
                </c:pt>
                <c:pt idx="1813">
                  <c:v>0.36270500515902065</c:v>
                </c:pt>
                <c:pt idx="1814">
                  <c:v>0.36290580190692701</c:v>
                </c:pt>
                <c:pt idx="1815">
                  <c:v>0.36311535604435846</c:v>
                </c:pt>
                <c:pt idx="1816">
                  <c:v>0.36332441235345891</c:v>
                </c:pt>
                <c:pt idx="1817">
                  <c:v>0.36358350499034475</c:v>
                </c:pt>
                <c:pt idx="1818">
                  <c:v>0.36370791005238606</c:v>
                </c:pt>
                <c:pt idx="1819">
                  <c:v>0.3639514364234524</c:v>
                </c:pt>
                <c:pt idx="1820">
                  <c:v>0.36401798195932478</c:v>
                </c:pt>
                <c:pt idx="1821">
                  <c:v>0.36423204118475133</c:v>
                </c:pt>
                <c:pt idx="1822">
                  <c:v>0.36445886165184405</c:v>
                </c:pt>
                <c:pt idx="1823">
                  <c:v>0.36479323099572053</c:v>
                </c:pt>
                <c:pt idx="1824">
                  <c:v>0.36498540670564056</c:v>
                </c:pt>
                <c:pt idx="1825">
                  <c:v>0.36502938304823573</c:v>
                </c:pt>
                <c:pt idx="1826">
                  <c:v>0.36522126520453518</c:v>
                </c:pt>
                <c:pt idx="1827">
                  <c:v>0.3654747743956453</c:v>
                </c:pt>
                <c:pt idx="1828">
                  <c:v>0.36573221937821532</c:v>
                </c:pt>
                <c:pt idx="1829">
                  <c:v>0.36583550535743953</c:v>
                </c:pt>
                <c:pt idx="1830">
                  <c:v>0.36601115922704597</c:v>
                </c:pt>
                <c:pt idx="1831">
                  <c:v>0.36622020980217962</c:v>
                </c:pt>
                <c:pt idx="1832">
                  <c:v>0.36656028219637471</c:v>
                </c:pt>
                <c:pt idx="1833">
                  <c:v>0.36678142704451022</c:v>
                </c:pt>
                <c:pt idx="1834">
                  <c:v>0.36699898187229385</c:v>
                </c:pt>
                <c:pt idx="1835">
                  <c:v>0.36716748285851619</c:v>
                </c:pt>
                <c:pt idx="1836">
                  <c:v>0.36722264072117922</c:v>
                </c:pt>
                <c:pt idx="1837">
                  <c:v>0.3674875754202454</c:v>
                </c:pt>
                <c:pt idx="1838">
                  <c:v>0.3676246939177682</c:v>
                </c:pt>
                <c:pt idx="1839">
                  <c:v>0.36793647572871685</c:v>
                </c:pt>
                <c:pt idx="1840">
                  <c:v>0.36808382456965832</c:v>
                </c:pt>
                <c:pt idx="1841">
                  <c:v>0.36823241378297855</c:v>
                </c:pt>
                <c:pt idx="1842">
                  <c:v>0.368595792916323</c:v>
                </c:pt>
                <c:pt idx="1843">
                  <c:v>0.36875689152175489</c:v>
                </c:pt>
                <c:pt idx="1844">
                  <c:v>0.36890693300448052</c:v>
                </c:pt>
                <c:pt idx="1845">
                  <c:v>0.3691053270583286</c:v>
                </c:pt>
                <c:pt idx="1846">
                  <c:v>0.36928892142015718</c:v>
                </c:pt>
                <c:pt idx="1847">
                  <c:v>0.36946659347383926</c:v>
                </c:pt>
                <c:pt idx="1848">
                  <c:v>0.36977997055626005</c:v>
                </c:pt>
                <c:pt idx="1849">
                  <c:v>0.36986873005616216</c:v>
                </c:pt>
                <c:pt idx="1850">
                  <c:v>0.37013107528745454</c:v>
                </c:pt>
                <c:pt idx="1851">
                  <c:v>0.37023345493195425</c:v>
                </c:pt>
                <c:pt idx="1852">
                  <c:v>0.37057345827528587</c:v>
                </c:pt>
                <c:pt idx="1853">
                  <c:v>0.37077665779911367</c:v>
                </c:pt>
                <c:pt idx="1854">
                  <c:v>0.37099469408290336</c:v>
                </c:pt>
                <c:pt idx="1855">
                  <c:v>0.3710834856927589</c:v>
                </c:pt>
                <c:pt idx="1856">
                  <c:v>0.37127483251785737</c:v>
                </c:pt>
                <c:pt idx="1857">
                  <c:v>0.37147929367224669</c:v>
                </c:pt>
                <c:pt idx="1858">
                  <c:v>0.37162249953202497</c:v>
                </c:pt>
                <c:pt idx="1859">
                  <c:v>0.37183493634574927</c:v>
                </c:pt>
                <c:pt idx="1860">
                  <c:v>0.37202056201282435</c:v>
                </c:pt>
                <c:pt idx="1861">
                  <c:v>0.37239453714135906</c:v>
                </c:pt>
                <c:pt idx="1862">
                  <c:v>0.37256039569744848</c:v>
                </c:pt>
                <c:pt idx="1863">
                  <c:v>0.37279529246403725</c:v>
                </c:pt>
                <c:pt idx="1864">
                  <c:v>0.37282239613808282</c:v>
                </c:pt>
                <c:pt idx="1865">
                  <c:v>0.37310901539295654</c:v>
                </c:pt>
                <c:pt idx="1866">
                  <c:v>0.37334622887227364</c:v>
                </c:pt>
                <c:pt idx="1867">
                  <c:v>0.3734235833624433</c:v>
                </c:pt>
                <c:pt idx="1868">
                  <c:v>0.3736578700404749</c:v>
                </c:pt>
                <c:pt idx="1869">
                  <c:v>0.37386208866067744</c:v>
                </c:pt>
                <c:pt idx="1870">
                  <c:v>0.37400257344516052</c:v>
                </c:pt>
                <c:pt idx="1871">
                  <c:v>0.37435462059191305</c:v>
                </c:pt>
                <c:pt idx="1872">
                  <c:v>0.37459659206201246</c:v>
                </c:pt>
                <c:pt idx="1873">
                  <c:v>0.37466880491000337</c:v>
                </c:pt>
                <c:pt idx="1874">
                  <c:v>0.37485546204798281</c:v>
                </c:pt>
                <c:pt idx="1875">
                  <c:v>0.37519181664166779</c:v>
                </c:pt>
                <c:pt idx="1876">
                  <c:v>0.3752758810534319</c:v>
                </c:pt>
                <c:pt idx="1877">
                  <c:v>0.37557750091789699</c:v>
                </c:pt>
                <c:pt idx="1878">
                  <c:v>0.37578775572040762</c:v>
                </c:pt>
                <c:pt idx="1879">
                  <c:v>0.3759599625814613</c:v>
                </c:pt>
                <c:pt idx="1880">
                  <c:v>0.37608003913487309</c:v>
                </c:pt>
                <c:pt idx="1881">
                  <c:v>0.37625766069406125</c:v>
                </c:pt>
                <c:pt idx="1882">
                  <c:v>0.37647380905367289</c:v>
                </c:pt>
                <c:pt idx="1883">
                  <c:v>0.37665671403637541</c:v>
                </c:pt>
                <c:pt idx="1884">
                  <c:v>0.37697666896166671</c:v>
                </c:pt>
                <c:pt idx="1885">
                  <c:v>0.37708216852575593</c:v>
                </c:pt>
                <c:pt idx="1886">
                  <c:v>0.37738166441265064</c:v>
                </c:pt>
                <c:pt idx="1887">
                  <c:v>0.3774317653489373</c:v>
                </c:pt>
                <c:pt idx="1888">
                  <c:v>0.37763844437432442</c:v>
                </c:pt>
                <c:pt idx="1889">
                  <c:v>0.37790665744890145</c:v>
                </c:pt>
                <c:pt idx="1890">
                  <c:v>0.37812926751778675</c:v>
                </c:pt>
                <c:pt idx="1891">
                  <c:v>0.3783552953947697</c:v>
                </c:pt>
                <c:pt idx="1892">
                  <c:v>0.37847809315218545</c:v>
                </c:pt>
                <c:pt idx="1893">
                  <c:v>0.37873574695380768</c:v>
                </c:pt>
                <c:pt idx="1894">
                  <c:v>0.37881756344428696</c:v>
                </c:pt>
                <c:pt idx="1895">
                  <c:v>0.37916448195156743</c:v>
                </c:pt>
                <c:pt idx="1896">
                  <c:v>0.3793721455948828</c:v>
                </c:pt>
                <c:pt idx="1897">
                  <c:v>0.37940297643090665</c:v>
                </c:pt>
                <c:pt idx="1898">
                  <c:v>0.37979522270541527</c:v>
                </c:pt>
                <c:pt idx="1899">
                  <c:v>0.37995212105828152</c:v>
                </c:pt>
                <c:pt idx="1900">
                  <c:v>0.38019201872758379</c:v>
                </c:pt>
                <c:pt idx="1901">
                  <c:v>0.38024436308384041</c:v>
                </c:pt>
                <c:pt idx="1902">
                  <c:v>0.38044855615730599</c:v>
                </c:pt>
                <c:pt idx="1903">
                  <c:v>0.380741895973017</c:v>
                </c:pt>
                <c:pt idx="1904">
                  <c:v>0.38084115915900124</c:v>
                </c:pt>
                <c:pt idx="1905">
                  <c:v>0.38110645638259744</c:v>
                </c:pt>
                <c:pt idx="1906">
                  <c:v>0.38132110299149552</c:v>
                </c:pt>
                <c:pt idx="1907">
                  <c:v>0.38141786602656769</c:v>
                </c:pt>
                <c:pt idx="1908">
                  <c:v>0.38177336218510138</c:v>
                </c:pt>
                <c:pt idx="1909">
                  <c:v>0.38181505844258123</c:v>
                </c:pt>
                <c:pt idx="1910">
                  <c:v>0.38217578672198016</c:v>
                </c:pt>
                <c:pt idx="1911">
                  <c:v>0.38233219246369138</c:v>
                </c:pt>
                <c:pt idx="1912">
                  <c:v>0.38256849092682094</c:v>
                </c:pt>
                <c:pt idx="1913">
                  <c:v>0.3826876466033719</c:v>
                </c:pt>
                <c:pt idx="1914">
                  <c:v>0.38292861025415559</c:v>
                </c:pt>
                <c:pt idx="1915">
                  <c:v>0.38308768308765434</c:v>
                </c:pt>
                <c:pt idx="1916">
                  <c:v>0.38332276096016232</c:v>
                </c:pt>
                <c:pt idx="1917">
                  <c:v>0.38348994765819283</c:v>
                </c:pt>
                <c:pt idx="1918">
                  <c:v>0.38374543239016679</c:v>
                </c:pt>
                <c:pt idx="1919">
                  <c:v>0.3839207680397948</c:v>
                </c:pt>
                <c:pt idx="1920">
                  <c:v>0.38413789454860098</c:v>
                </c:pt>
                <c:pt idx="1921">
                  <c:v>0.38429207165229412</c:v>
                </c:pt>
                <c:pt idx="1922">
                  <c:v>0.38443319480466498</c:v>
                </c:pt>
                <c:pt idx="1923">
                  <c:v>0.38479474067413127</c:v>
                </c:pt>
                <c:pt idx="1924">
                  <c:v>0.38496979413669785</c:v>
                </c:pt>
                <c:pt idx="1925">
                  <c:v>0.38507632028848782</c:v>
                </c:pt>
                <c:pt idx="1926">
                  <c:v>0.38539611151288172</c:v>
                </c:pt>
                <c:pt idx="1927">
                  <c:v>0.38554120892932203</c:v>
                </c:pt>
                <c:pt idx="1928">
                  <c:v>0.38564465402621884</c:v>
                </c:pt>
                <c:pt idx="1929">
                  <c:v>0.38593596426866389</c:v>
                </c:pt>
                <c:pt idx="1930">
                  <c:v>0.3861245834684755</c:v>
                </c:pt>
                <c:pt idx="1931">
                  <c:v>0.38623701725467974</c:v>
                </c:pt>
                <c:pt idx="1932">
                  <c:v>0.38649935704104121</c:v>
                </c:pt>
                <c:pt idx="1933">
                  <c:v>0.3866741726022852</c:v>
                </c:pt>
                <c:pt idx="1934">
                  <c:v>0.38691803596590596</c:v>
                </c:pt>
                <c:pt idx="1935">
                  <c:v>0.38700740381754178</c:v>
                </c:pt>
                <c:pt idx="1936">
                  <c:v>0.38738773888018629</c:v>
                </c:pt>
                <c:pt idx="1937">
                  <c:v>0.38745146689900467</c:v>
                </c:pt>
                <c:pt idx="1938">
                  <c:v>0.38766283467311013</c:v>
                </c:pt>
                <c:pt idx="1939">
                  <c:v>0.38797968707461367</c:v>
                </c:pt>
                <c:pt idx="1940">
                  <c:v>0.38801320751416807</c:v>
                </c:pt>
                <c:pt idx="1941">
                  <c:v>0.38834085289364234</c:v>
                </c:pt>
                <c:pt idx="1942">
                  <c:v>0.38845690540668015</c:v>
                </c:pt>
                <c:pt idx="1943">
                  <c:v>0.38866608182561257</c:v>
                </c:pt>
                <c:pt idx="1944">
                  <c:v>0.38881416423456144</c:v>
                </c:pt>
                <c:pt idx="1945">
                  <c:v>0.38900372951557016</c:v>
                </c:pt>
                <c:pt idx="1946">
                  <c:v>0.38920697090281337</c:v>
                </c:pt>
                <c:pt idx="1947">
                  <c:v>0.38959378334772626</c:v>
                </c:pt>
                <c:pt idx="1948">
                  <c:v>0.38973659458834131</c:v>
                </c:pt>
                <c:pt idx="1949">
                  <c:v>0.38988463157235753</c:v>
                </c:pt>
                <c:pt idx="1950">
                  <c:v>0.39001030404996367</c:v>
                </c:pt>
                <c:pt idx="1951">
                  <c:v>0.3902076377992536</c:v>
                </c:pt>
                <c:pt idx="1952">
                  <c:v>0.39049898970944319</c:v>
                </c:pt>
                <c:pt idx="1953">
                  <c:v>0.39072665392577799</c:v>
                </c:pt>
                <c:pt idx="1954">
                  <c:v>0.39099335254016176</c:v>
                </c:pt>
                <c:pt idx="1955">
                  <c:v>0.39110581063244165</c:v>
                </c:pt>
                <c:pt idx="1956">
                  <c:v>0.39134901218869467</c:v>
                </c:pt>
                <c:pt idx="1957">
                  <c:v>0.39142715678755824</c:v>
                </c:pt>
                <c:pt idx="1958">
                  <c:v>0.39170661273917806</c:v>
                </c:pt>
                <c:pt idx="1959">
                  <c:v>0.39182486879504863</c:v>
                </c:pt>
                <c:pt idx="1960">
                  <c:v>0.392068021874099</c:v>
                </c:pt>
                <c:pt idx="1961">
                  <c:v>0.39225164670503038</c:v>
                </c:pt>
                <c:pt idx="1962">
                  <c:v>0.39256547314984852</c:v>
                </c:pt>
                <c:pt idx="1963">
                  <c:v>0.3926769216239166</c:v>
                </c:pt>
                <c:pt idx="1964">
                  <c:v>0.39282110168822598</c:v>
                </c:pt>
                <c:pt idx="1965">
                  <c:v>0.39311559596911905</c:v>
                </c:pt>
                <c:pt idx="1966">
                  <c:v>0.39322017697948497</c:v>
                </c:pt>
                <c:pt idx="1967">
                  <c:v>0.39358208030242986</c:v>
                </c:pt>
                <c:pt idx="1968">
                  <c:v>0.39376299783204755</c:v>
                </c:pt>
                <c:pt idx="1969">
                  <c:v>0.3939473827542615</c:v>
                </c:pt>
                <c:pt idx="1970">
                  <c:v>0.39413026013996694</c:v>
                </c:pt>
                <c:pt idx="1971">
                  <c:v>0.39429575700003089</c:v>
                </c:pt>
                <c:pt idx="1972">
                  <c:v>0.39452192740578246</c:v>
                </c:pt>
                <c:pt idx="1973">
                  <c:v>0.39478234798200018</c:v>
                </c:pt>
                <c:pt idx="1974">
                  <c:v>0.3948461968870941</c:v>
                </c:pt>
                <c:pt idx="1975">
                  <c:v>0.39505888122130622</c:v>
                </c:pt>
                <c:pt idx="1976">
                  <c:v>0.39522658309913861</c:v>
                </c:pt>
                <c:pt idx="1977">
                  <c:v>0.39553502440632671</c:v>
                </c:pt>
                <c:pt idx="1978">
                  <c:v>0.39564305685265988</c:v>
                </c:pt>
                <c:pt idx="1979">
                  <c:v>0.39593220028377424</c:v>
                </c:pt>
                <c:pt idx="1980">
                  <c:v>0.39603330763127503</c:v>
                </c:pt>
                <c:pt idx="1981">
                  <c:v>0.39627641889515247</c:v>
                </c:pt>
                <c:pt idx="1982">
                  <c:v>0.39657022811695242</c:v>
                </c:pt>
                <c:pt idx="1983">
                  <c:v>0.39675457072084641</c:v>
                </c:pt>
                <c:pt idx="1984">
                  <c:v>0.3969870749965746</c:v>
                </c:pt>
                <c:pt idx="1985">
                  <c:v>0.39714744700168897</c:v>
                </c:pt>
                <c:pt idx="1986">
                  <c:v>0.39737250010235525</c:v>
                </c:pt>
                <c:pt idx="1987">
                  <c:v>0.39751686559843757</c:v>
                </c:pt>
                <c:pt idx="1988">
                  <c:v>0.39763385552364255</c:v>
                </c:pt>
                <c:pt idx="1989">
                  <c:v>0.39798554932833313</c:v>
                </c:pt>
                <c:pt idx="1990">
                  <c:v>0.39802073579184261</c:v>
                </c:pt>
                <c:pt idx="1991">
                  <c:v>0.39820320294750927</c:v>
                </c:pt>
                <c:pt idx="1992">
                  <c:v>0.39843189786216987</c:v>
                </c:pt>
                <c:pt idx="1993">
                  <c:v>0.39871590403633095</c:v>
                </c:pt>
                <c:pt idx="1994">
                  <c:v>0.39886346244762266</c:v>
                </c:pt>
                <c:pt idx="1995">
                  <c:v>0.39911442393872759</c:v>
                </c:pt>
                <c:pt idx="1996">
                  <c:v>0.399344191675853</c:v>
                </c:pt>
                <c:pt idx="1997">
                  <c:v>0.39942157807364631</c:v>
                </c:pt>
                <c:pt idx="1998">
                  <c:v>0.39961687528817375</c:v>
                </c:pt>
                <c:pt idx="1999">
                  <c:v>0.39992675700665609</c:v>
                </c:pt>
                <c:pt idx="2000">
                  <c:v>0.40010247901293972</c:v>
                </c:pt>
                <c:pt idx="2001">
                  <c:v>0.40039166492731115</c:v>
                </c:pt>
                <c:pt idx="2002">
                  <c:v>0.40042782944427519</c:v>
                </c:pt>
                <c:pt idx="2003">
                  <c:v>0.4007375860127475</c:v>
                </c:pt>
                <c:pt idx="2004">
                  <c:v>0.40091313723463406</c:v>
                </c:pt>
                <c:pt idx="2005">
                  <c:v>0.4011828023211525</c:v>
                </c:pt>
                <c:pt idx="2006">
                  <c:v>0.4012909791534513</c:v>
                </c:pt>
                <c:pt idx="2007">
                  <c:v>0.40147395599858698</c:v>
                </c:pt>
                <c:pt idx="2008">
                  <c:v>0.40163825093205979</c:v>
                </c:pt>
                <c:pt idx="2009">
                  <c:v>0.40181069932044733</c:v>
                </c:pt>
                <c:pt idx="2010">
                  <c:v>0.40207691972713849</c:v>
                </c:pt>
                <c:pt idx="2011">
                  <c:v>0.40233741561424397</c:v>
                </c:pt>
                <c:pt idx="2012">
                  <c:v>0.40241654494577472</c:v>
                </c:pt>
                <c:pt idx="2013">
                  <c:v>0.40268853451416092</c:v>
                </c:pt>
                <c:pt idx="2014">
                  <c:v>0.40299649294167678</c:v>
                </c:pt>
                <c:pt idx="2015">
                  <c:v>0.40315289344018163</c:v>
                </c:pt>
                <c:pt idx="2016">
                  <c:v>0.40327641489316624</c:v>
                </c:pt>
                <c:pt idx="2017">
                  <c:v>0.40357514745285156</c:v>
                </c:pt>
                <c:pt idx="2018">
                  <c:v>0.40370571318816062</c:v>
                </c:pt>
                <c:pt idx="2019">
                  <c:v>0.40396955158979853</c:v>
                </c:pt>
                <c:pt idx="2020">
                  <c:v>0.4041877284852759</c:v>
                </c:pt>
                <c:pt idx="2021">
                  <c:v>0.4043344099094473</c:v>
                </c:pt>
                <c:pt idx="2022">
                  <c:v>0.40455002142152519</c:v>
                </c:pt>
                <c:pt idx="2023">
                  <c:v>0.40468225567412613</c:v>
                </c:pt>
                <c:pt idx="2024">
                  <c:v>0.40485791797369208</c:v>
                </c:pt>
                <c:pt idx="2025">
                  <c:v>0.40504662061036723</c:v>
                </c:pt>
                <c:pt idx="2026">
                  <c:v>0.40536367450579153</c:v>
                </c:pt>
                <c:pt idx="2027">
                  <c:v>0.40557613552607974</c:v>
                </c:pt>
                <c:pt idx="2028">
                  <c:v>0.40560988217224597</c:v>
                </c:pt>
                <c:pt idx="2029">
                  <c:v>0.40599532412513983</c:v>
                </c:pt>
                <c:pt idx="2030">
                  <c:v>0.40610181357974695</c:v>
                </c:pt>
                <c:pt idx="2031">
                  <c:v>0.40623114791755355</c:v>
                </c:pt>
                <c:pt idx="2032">
                  <c:v>0.4065315139562663</c:v>
                </c:pt>
                <c:pt idx="2033">
                  <c:v>0.4066268537478584</c:v>
                </c:pt>
                <c:pt idx="2034">
                  <c:v>0.40699828568575863</c:v>
                </c:pt>
                <c:pt idx="2035">
                  <c:v>0.40705106112883682</c:v>
                </c:pt>
                <c:pt idx="2036">
                  <c:v>0.40728680387760668</c:v>
                </c:pt>
                <c:pt idx="2037">
                  <c:v>0.40752443554781481</c:v>
                </c:pt>
                <c:pt idx="2038">
                  <c:v>0.40765472886125897</c:v>
                </c:pt>
                <c:pt idx="2039">
                  <c:v>0.40781474663322204</c:v>
                </c:pt>
                <c:pt idx="2040">
                  <c:v>0.40815665338732227</c:v>
                </c:pt>
                <c:pt idx="2041">
                  <c:v>0.4082183648498306</c:v>
                </c:pt>
                <c:pt idx="2042">
                  <c:v>0.40850129698535925</c:v>
                </c:pt>
                <c:pt idx="2043">
                  <c:v>0.40869292705182286</c:v>
                </c:pt>
                <c:pt idx="2044">
                  <c:v>0.40897785389441482</c:v>
                </c:pt>
                <c:pt idx="2045">
                  <c:v>0.40915859638167512</c:v>
                </c:pt>
                <c:pt idx="2046">
                  <c:v>0.40928251767383944</c:v>
                </c:pt>
                <c:pt idx="2047">
                  <c:v>0.40957913763792703</c:v>
                </c:pt>
                <c:pt idx="2048">
                  <c:v>0.40967612109325735</c:v>
                </c:pt>
                <c:pt idx="2049">
                  <c:v>0.40996665122466319</c:v>
                </c:pt>
                <c:pt idx="2050">
                  <c:v>0.4100643295792547</c:v>
                </c:pt>
                <c:pt idx="2051">
                  <c:v>0.41026958384408374</c:v>
                </c:pt>
                <c:pt idx="2052">
                  <c:v>0.41041377335824392</c:v>
                </c:pt>
                <c:pt idx="2053">
                  <c:v>0.41069728293830932</c:v>
                </c:pt>
                <c:pt idx="2054">
                  <c:v>0.410890036295189</c:v>
                </c:pt>
                <c:pt idx="2055">
                  <c:v>0.41117190390489339</c:v>
                </c:pt>
                <c:pt idx="2056">
                  <c:v>0.41130516966858532</c:v>
                </c:pt>
                <c:pt idx="2057">
                  <c:v>0.41153774588334791</c:v>
                </c:pt>
                <c:pt idx="2058">
                  <c:v>0.41175513913555889</c:v>
                </c:pt>
                <c:pt idx="2059">
                  <c:v>0.4119634308370676</c:v>
                </c:pt>
                <c:pt idx="2060">
                  <c:v>0.41218242796686999</c:v>
                </c:pt>
                <c:pt idx="2061">
                  <c:v>0.41228788376061432</c:v>
                </c:pt>
                <c:pt idx="2062">
                  <c:v>0.41257696327054338</c:v>
                </c:pt>
                <c:pt idx="2063">
                  <c:v>0.41276208122390373</c:v>
                </c:pt>
                <c:pt idx="2064">
                  <c:v>0.41284047511030003</c:v>
                </c:pt>
                <c:pt idx="2065">
                  <c:v>0.41302957333420165</c:v>
                </c:pt>
                <c:pt idx="2066">
                  <c:v>0.41328724707669745</c:v>
                </c:pt>
                <c:pt idx="2067">
                  <c:v>0.41353720208367734</c:v>
                </c:pt>
                <c:pt idx="2068">
                  <c:v>0.41374069590925722</c:v>
                </c:pt>
                <c:pt idx="2069">
                  <c:v>0.41392290096434836</c:v>
                </c:pt>
                <c:pt idx="2070">
                  <c:v>0.41407557116785909</c:v>
                </c:pt>
                <c:pt idx="2071">
                  <c:v>0.41424164336678615</c:v>
                </c:pt>
                <c:pt idx="2072">
                  <c:v>0.41453435658061283</c:v>
                </c:pt>
                <c:pt idx="2073">
                  <c:v>0.41474491574953892</c:v>
                </c:pt>
                <c:pt idx="2074">
                  <c:v>0.41487463430442723</c:v>
                </c:pt>
                <c:pt idx="2075">
                  <c:v>0.41503535619420828</c:v>
                </c:pt>
                <c:pt idx="2076">
                  <c:v>0.41535826882719018</c:v>
                </c:pt>
                <c:pt idx="2077">
                  <c:v>0.41555554024576102</c:v>
                </c:pt>
                <c:pt idx="2078">
                  <c:v>0.41561666423734667</c:v>
                </c:pt>
                <c:pt idx="2079">
                  <c:v>0.41581552312379133</c:v>
                </c:pt>
                <c:pt idx="2080">
                  <c:v>0.41600731803062546</c:v>
                </c:pt>
                <c:pt idx="2081">
                  <c:v>0.41631697617567071</c:v>
                </c:pt>
                <c:pt idx="2082">
                  <c:v>0.41653917900480775</c:v>
                </c:pt>
                <c:pt idx="2083">
                  <c:v>0.41674064054781118</c:v>
                </c:pt>
                <c:pt idx="2084">
                  <c:v>0.416876273573068</c:v>
                </c:pt>
                <c:pt idx="2085">
                  <c:v>0.41702061192458978</c:v>
                </c:pt>
                <c:pt idx="2086">
                  <c:v>0.41733110812165103</c:v>
                </c:pt>
                <c:pt idx="2087">
                  <c:v>0.41751343361845084</c:v>
                </c:pt>
                <c:pt idx="2088">
                  <c:v>0.41764693582394319</c:v>
                </c:pt>
                <c:pt idx="2089">
                  <c:v>0.41792040247705775</c:v>
                </c:pt>
                <c:pt idx="2090">
                  <c:v>0.41805805031714455</c:v>
                </c:pt>
                <c:pt idx="2091">
                  <c:v>0.41832155600369941</c:v>
                </c:pt>
                <c:pt idx="2092">
                  <c:v>0.41845289017158854</c:v>
                </c:pt>
                <c:pt idx="2093">
                  <c:v>0.41871648797609762</c:v>
                </c:pt>
                <c:pt idx="2094">
                  <c:v>0.4189608798527068</c:v>
                </c:pt>
                <c:pt idx="2095">
                  <c:v>0.41908043701804254</c:v>
                </c:pt>
                <c:pt idx="2096">
                  <c:v>0.4193710004417624</c:v>
                </c:pt>
                <c:pt idx="2097">
                  <c:v>0.419501953075198</c:v>
                </c:pt>
                <c:pt idx="2098">
                  <c:v>0.41964830621230614</c:v>
                </c:pt>
                <c:pt idx="2099">
                  <c:v>0.41980397780598233</c:v>
                </c:pt>
                <c:pt idx="2100">
                  <c:v>0.42007947747741808</c:v>
                </c:pt>
                <c:pt idx="2101">
                  <c:v>0.42025664301949012</c:v>
                </c:pt>
                <c:pt idx="2102">
                  <c:v>0.42055705722141012</c:v>
                </c:pt>
                <c:pt idx="2103">
                  <c:v>0.42068158004197331</c:v>
                </c:pt>
                <c:pt idx="2104">
                  <c:v>0.42087968725694336</c:v>
                </c:pt>
                <c:pt idx="2105">
                  <c:v>0.42100523343565993</c:v>
                </c:pt>
                <c:pt idx="2106">
                  <c:v>0.42122511847471467</c:v>
                </c:pt>
                <c:pt idx="2107">
                  <c:v>0.42140799075951979</c:v>
                </c:pt>
                <c:pt idx="2108">
                  <c:v>0.42165273078117815</c:v>
                </c:pt>
                <c:pt idx="2109">
                  <c:v>0.42183490599171136</c:v>
                </c:pt>
                <c:pt idx="2110">
                  <c:v>0.42215673975780527</c:v>
                </c:pt>
                <c:pt idx="2111">
                  <c:v>0.42228192009811338</c:v>
                </c:pt>
                <c:pt idx="2112">
                  <c:v>0.42246063680543111</c:v>
                </c:pt>
                <c:pt idx="2113">
                  <c:v>0.42273011505639413</c:v>
                </c:pt>
                <c:pt idx="2114">
                  <c:v>0.42296101068886016</c:v>
                </c:pt>
                <c:pt idx="2115">
                  <c:v>0.42310519890214898</c:v>
                </c:pt>
                <c:pt idx="2116">
                  <c:v>0.42333083967378615</c:v>
                </c:pt>
                <c:pt idx="2117">
                  <c:v>0.42357820578184402</c:v>
                </c:pt>
                <c:pt idx="2118">
                  <c:v>0.42373492498885251</c:v>
                </c:pt>
                <c:pt idx="2119">
                  <c:v>0.42383833908164836</c:v>
                </c:pt>
                <c:pt idx="2120">
                  <c:v>0.4241541952765906</c:v>
                </c:pt>
                <c:pt idx="2121">
                  <c:v>0.4243923220558074</c:v>
                </c:pt>
                <c:pt idx="2122">
                  <c:v>0.42447793329844208</c:v>
                </c:pt>
                <c:pt idx="2123">
                  <c:v>0.42469270036395002</c:v>
                </c:pt>
                <c:pt idx="2124">
                  <c:v>0.42486500527236259</c:v>
                </c:pt>
                <c:pt idx="2125">
                  <c:v>0.42518293211510938</c:v>
                </c:pt>
                <c:pt idx="2126">
                  <c:v>0.42520340880774976</c:v>
                </c:pt>
                <c:pt idx="2127">
                  <c:v>0.42545528539066563</c:v>
                </c:pt>
                <c:pt idx="2128">
                  <c:v>0.42565803433867594</c:v>
                </c:pt>
                <c:pt idx="2129">
                  <c:v>0.42590254099008223</c:v>
                </c:pt>
                <c:pt idx="2130">
                  <c:v>0.42616674896841095</c:v>
                </c:pt>
                <c:pt idx="2131">
                  <c:v>0.42630911308762359</c:v>
                </c:pt>
                <c:pt idx="2132">
                  <c:v>0.42640825290847761</c:v>
                </c:pt>
                <c:pt idx="2133">
                  <c:v>0.42666613571962014</c:v>
                </c:pt>
                <c:pt idx="2134">
                  <c:v>0.42680966967172218</c:v>
                </c:pt>
                <c:pt idx="2135">
                  <c:v>0.42714390831085475</c:v>
                </c:pt>
                <c:pt idx="2136">
                  <c:v>0.42729431971295134</c:v>
                </c:pt>
                <c:pt idx="2137">
                  <c:v>0.42758017454980407</c:v>
                </c:pt>
                <c:pt idx="2138">
                  <c:v>0.42773717294669178</c:v>
                </c:pt>
                <c:pt idx="2139">
                  <c:v>0.42785386252111146</c:v>
                </c:pt>
                <c:pt idx="2140">
                  <c:v>0.42810229373027159</c:v>
                </c:pt>
                <c:pt idx="2141">
                  <c:v>0.42833894653272325</c:v>
                </c:pt>
                <c:pt idx="2142">
                  <c:v>0.4284050076210883</c:v>
                </c:pt>
                <c:pt idx="2143">
                  <c:v>0.42867231506567266</c:v>
                </c:pt>
                <c:pt idx="2144">
                  <c:v>0.42893290004654155</c:v>
                </c:pt>
                <c:pt idx="2145">
                  <c:v>0.4291295107855298</c:v>
                </c:pt>
                <c:pt idx="2146">
                  <c:v>0.42938816011026226</c:v>
                </c:pt>
                <c:pt idx="2147">
                  <c:v>0.42946070463519093</c:v>
                </c:pt>
                <c:pt idx="2148">
                  <c:v>0.42963579835324456</c:v>
                </c:pt>
                <c:pt idx="2149">
                  <c:v>0.42996500927334763</c:v>
                </c:pt>
                <c:pt idx="2150">
                  <c:v>0.43015473878140437</c:v>
                </c:pt>
                <c:pt idx="2151">
                  <c:v>0.43030755484246358</c:v>
                </c:pt>
                <c:pt idx="2152">
                  <c:v>0.43047483004324022</c:v>
                </c:pt>
                <c:pt idx="2153">
                  <c:v>0.43073521786456348</c:v>
                </c:pt>
                <c:pt idx="2154">
                  <c:v>0.43099248694726094</c:v>
                </c:pt>
                <c:pt idx="2155">
                  <c:v>0.4310269666025478</c:v>
                </c:pt>
                <c:pt idx="2156">
                  <c:v>0.4312788540996329</c:v>
                </c:pt>
                <c:pt idx="2157">
                  <c:v>0.43156695424736635</c:v>
                </c:pt>
                <c:pt idx="2158">
                  <c:v>0.43162341042054431</c:v>
                </c:pt>
                <c:pt idx="2159">
                  <c:v>0.43186901246459902</c:v>
                </c:pt>
                <c:pt idx="2160">
                  <c:v>0.43209686209016873</c:v>
                </c:pt>
                <c:pt idx="2161">
                  <c:v>0.43231331765631059</c:v>
                </c:pt>
                <c:pt idx="2162">
                  <c:v>0.43256504389219108</c:v>
                </c:pt>
                <c:pt idx="2163">
                  <c:v>0.43260403957595206</c:v>
                </c:pt>
                <c:pt idx="2164">
                  <c:v>0.43283275068710392</c:v>
                </c:pt>
                <c:pt idx="2165">
                  <c:v>0.4330728382683528</c:v>
                </c:pt>
                <c:pt idx="2166">
                  <c:v>0.43324632143798436</c:v>
                </c:pt>
                <c:pt idx="2167">
                  <c:v>0.43358475369782762</c:v>
                </c:pt>
                <c:pt idx="2168">
                  <c:v>0.43371494238220965</c:v>
                </c:pt>
                <c:pt idx="2169">
                  <c:v>0.43391334010402516</c:v>
                </c:pt>
                <c:pt idx="2170">
                  <c:v>0.4340941995734568</c:v>
                </c:pt>
                <c:pt idx="2171">
                  <c:v>0.43436350246401589</c:v>
                </c:pt>
                <c:pt idx="2172">
                  <c:v>0.43455807621617759</c:v>
                </c:pt>
                <c:pt idx="2173">
                  <c:v>0.43474959819595088</c:v>
                </c:pt>
                <c:pt idx="2174">
                  <c:v>0.43490295130179801</c:v>
                </c:pt>
                <c:pt idx="2175">
                  <c:v>0.435002922061552</c:v>
                </c:pt>
                <c:pt idx="2176">
                  <c:v>0.43525412954852316</c:v>
                </c:pt>
                <c:pt idx="2177">
                  <c:v>0.43551571429346586</c:v>
                </c:pt>
                <c:pt idx="2178">
                  <c:v>0.43577044110334717</c:v>
                </c:pt>
                <c:pt idx="2179">
                  <c:v>0.43593520004482361</c:v>
                </c:pt>
                <c:pt idx="2180">
                  <c:v>0.43612937238806143</c:v>
                </c:pt>
                <c:pt idx="2181">
                  <c:v>0.4363683831300047</c:v>
                </c:pt>
                <c:pt idx="2182">
                  <c:v>0.43641668965090458</c:v>
                </c:pt>
                <c:pt idx="2183">
                  <c:v>0.43668933878356814</c:v>
                </c:pt>
                <c:pt idx="2184">
                  <c:v>0.43692898246173956</c:v>
                </c:pt>
                <c:pt idx="2185">
                  <c:v>0.4371141019434468</c:v>
                </c:pt>
                <c:pt idx="2186">
                  <c:v>0.43732982531826237</c:v>
                </c:pt>
                <c:pt idx="2187">
                  <c:v>0.43757610671398606</c:v>
                </c:pt>
                <c:pt idx="2188">
                  <c:v>0.43763216484683382</c:v>
                </c:pt>
                <c:pt idx="2189">
                  <c:v>0.4379730667895575</c:v>
                </c:pt>
                <c:pt idx="2190">
                  <c:v>0.43816379879339684</c:v>
                </c:pt>
                <c:pt idx="2191">
                  <c:v>0.43823096509581216</c:v>
                </c:pt>
                <c:pt idx="2192">
                  <c:v>0.43847098907317761</c:v>
                </c:pt>
                <c:pt idx="2193">
                  <c:v>0.43866253781697306</c:v>
                </c:pt>
                <c:pt idx="2194">
                  <c:v>0.43889710776049112</c:v>
                </c:pt>
                <c:pt idx="2195">
                  <c:v>0.43912027347384031</c:v>
                </c:pt>
                <c:pt idx="2196">
                  <c:v>0.43925028113188463</c:v>
                </c:pt>
                <c:pt idx="2197">
                  <c:v>0.4394361006313553</c:v>
                </c:pt>
                <c:pt idx="2198">
                  <c:v>0.439623624058958</c:v>
                </c:pt>
                <c:pt idx="2199">
                  <c:v>0.43997477769543758</c:v>
                </c:pt>
                <c:pt idx="2200">
                  <c:v>0.44010665988188857</c:v>
                </c:pt>
                <c:pt idx="2201">
                  <c:v>0.44023893725994023</c:v>
                </c:pt>
                <c:pt idx="2202">
                  <c:v>0.44059384314501515</c:v>
                </c:pt>
                <c:pt idx="2203">
                  <c:v>0.4406963323841096</c:v>
                </c:pt>
                <c:pt idx="2204">
                  <c:v>0.44098859807369034</c:v>
                </c:pt>
                <c:pt idx="2205">
                  <c:v>0.441098929121508</c:v>
                </c:pt>
                <c:pt idx="2206">
                  <c:v>0.44126388515156323</c:v>
                </c:pt>
                <c:pt idx="2207">
                  <c:v>0.44141242949115406</c:v>
                </c:pt>
                <c:pt idx="2208">
                  <c:v>0.44172785895418554</c:v>
                </c:pt>
                <c:pt idx="2209">
                  <c:v>0.4419775985450432</c:v>
                </c:pt>
                <c:pt idx="2210">
                  <c:v>0.44214406630078895</c:v>
                </c:pt>
                <c:pt idx="2211">
                  <c:v>0.44233743038231915</c:v>
                </c:pt>
                <c:pt idx="2212">
                  <c:v>0.44257137710819289</c:v>
                </c:pt>
                <c:pt idx="2213">
                  <c:v>0.44268757628465244</c:v>
                </c:pt>
                <c:pt idx="2214">
                  <c:v>0.44292875442810564</c:v>
                </c:pt>
                <c:pt idx="2215">
                  <c:v>0.4431546119285642</c:v>
                </c:pt>
                <c:pt idx="2216">
                  <c:v>0.44330362218313468</c:v>
                </c:pt>
                <c:pt idx="2217">
                  <c:v>0.44352659317709658</c:v>
                </c:pt>
                <c:pt idx="2218">
                  <c:v>0.44362992083072433</c:v>
                </c:pt>
                <c:pt idx="2219">
                  <c:v>0.44389758052106426</c:v>
                </c:pt>
                <c:pt idx="2220">
                  <c:v>0.44417857852638198</c:v>
                </c:pt>
                <c:pt idx="2221">
                  <c:v>0.44429988498135936</c:v>
                </c:pt>
                <c:pt idx="2222">
                  <c:v>0.44452875539542386</c:v>
                </c:pt>
                <c:pt idx="2223">
                  <c:v>0.44462068026867246</c:v>
                </c:pt>
                <c:pt idx="2224">
                  <c:v>0.44493360959522743</c:v>
                </c:pt>
                <c:pt idx="2225">
                  <c:v>0.44509087100613187</c:v>
                </c:pt>
                <c:pt idx="2226">
                  <c:v>0.4453558028870625</c:v>
                </c:pt>
                <c:pt idx="2227">
                  <c:v>0.44552635141311359</c:v>
                </c:pt>
                <c:pt idx="2228">
                  <c:v>0.44564566776823383</c:v>
                </c:pt>
                <c:pt idx="2229">
                  <c:v>0.4459573981651006</c:v>
                </c:pt>
                <c:pt idx="2230">
                  <c:v>0.44607151577129761</c:v>
                </c:pt>
                <c:pt idx="2231">
                  <c:v>0.44626221088372686</c:v>
                </c:pt>
                <c:pt idx="2232">
                  <c:v>0.44658920130291702</c:v>
                </c:pt>
                <c:pt idx="2233">
                  <c:v>0.44663943215525698</c:v>
                </c:pt>
                <c:pt idx="2234">
                  <c:v>0.4468471137863228</c:v>
                </c:pt>
                <c:pt idx="2235">
                  <c:v>0.44708500676841595</c:v>
                </c:pt>
                <c:pt idx="2236">
                  <c:v>0.44726963419869298</c:v>
                </c:pt>
                <c:pt idx="2237">
                  <c:v>0.44750258938355902</c:v>
                </c:pt>
                <c:pt idx="2238">
                  <c:v>0.44773079241428776</c:v>
                </c:pt>
                <c:pt idx="2239">
                  <c:v>0.44784789738092756</c:v>
                </c:pt>
                <c:pt idx="2240">
                  <c:v>0.44808213239933409</c:v>
                </c:pt>
                <c:pt idx="2241">
                  <c:v>0.44820908169690726</c:v>
                </c:pt>
                <c:pt idx="2242">
                  <c:v>0.44849907028765867</c:v>
                </c:pt>
                <c:pt idx="2243">
                  <c:v>0.44860838519404833</c:v>
                </c:pt>
                <c:pt idx="2244">
                  <c:v>0.44895013715195237</c:v>
                </c:pt>
                <c:pt idx="2245">
                  <c:v>0.44910737465752926</c:v>
                </c:pt>
                <c:pt idx="2246">
                  <c:v>0.44934238621432859</c:v>
                </c:pt>
                <c:pt idx="2247">
                  <c:v>0.44941755799628275</c:v>
                </c:pt>
                <c:pt idx="2248">
                  <c:v>0.44975453164893081</c:v>
                </c:pt>
                <c:pt idx="2249">
                  <c:v>0.44988888817175504</c:v>
                </c:pt>
                <c:pt idx="2250">
                  <c:v>0.4500918231723578</c:v>
                </c:pt>
                <c:pt idx="2251">
                  <c:v>0.45020185690373227</c:v>
                </c:pt>
                <c:pt idx="2252">
                  <c:v>0.4505874552272231</c:v>
                </c:pt>
                <c:pt idx="2253">
                  <c:v>0.45075157587080067</c:v>
                </c:pt>
                <c:pt idx="2254">
                  <c:v>0.45096923308069098</c:v>
                </c:pt>
                <c:pt idx="2255">
                  <c:v>0.45119519466296659</c:v>
                </c:pt>
                <c:pt idx="2256">
                  <c:v>0.45126403815617416</c:v>
                </c:pt>
                <c:pt idx="2257">
                  <c:v>0.45141714831837854</c:v>
                </c:pt>
                <c:pt idx="2258">
                  <c:v>0.45164393591900442</c:v>
                </c:pt>
                <c:pt idx="2259">
                  <c:v>0.45185195556125884</c:v>
                </c:pt>
                <c:pt idx="2260">
                  <c:v>0.45217735803457382</c:v>
                </c:pt>
                <c:pt idx="2261">
                  <c:v>0.45222979642376993</c:v>
                </c:pt>
                <c:pt idx="2262">
                  <c:v>0.45258681362392073</c:v>
                </c:pt>
                <c:pt idx="2263">
                  <c:v>0.45266149173841375</c:v>
                </c:pt>
                <c:pt idx="2264">
                  <c:v>0.45284578416977211</c:v>
                </c:pt>
                <c:pt idx="2265">
                  <c:v>0.45319339763340388</c:v>
                </c:pt>
                <c:pt idx="2266">
                  <c:v>0.45330905411902561</c:v>
                </c:pt>
                <c:pt idx="2267">
                  <c:v>0.45359798467368773</c:v>
                </c:pt>
                <c:pt idx="2268">
                  <c:v>0.45360785524691638</c:v>
                </c:pt>
                <c:pt idx="2269">
                  <c:v>0.45397217388068611</c:v>
                </c:pt>
                <c:pt idx="2270">
                  <c:v>0.45400810454329665</c:v>
                </c:pt>
                <c:pt idx="2271">
                  <c:v>0.45439190157521325</c:v>
                </c:pt>
                <c:pt idx="2272">
                  <c:v>0.45454026621192234</c:v>
                </c:pt>
                <c:pt idx="2273">
                  <c:v>0.45463912611455637</c:v>
                </c:pt>
                <c:pt idx="2274">
                  <c:v>0.45496248793531269</c:v>
                </c:pt>
                <c:pt idx="2275">
                  <c:v>0.45509845161770901</c:v>
                </c:pt>
                <c:pt idx="2276">
                  <c:v>0.45520167471608186</c:v>
                </c:pt>
                <c:pt idx="2277">
                  <c:v>0.45544612944830348</c:v>
                </c:pt>
                <c:pt idx="2278">
                  <c:v>0.45571752908139435</c:v>
                </c:pt>
                <c:pt idx="2279">
                  <c:v>0.45592094996825816</c:v>
                </c:pt>
                <c:pt idx="2280">
                  <c:v>0.45608380756328909</c:v>
                </c:pt>
                <c:pt idx="2281">
                  <c:v>0.45629176715488823</c:v>
                </c:pt>
                <c:pt idx="2282">
                  <c:v>0.45649879187589948</c:v>
                </c:pt>
                <c:pt idx="2283">
                  <c:v>0.45673697536716634</c:v>
                </c:pt>
                <c:pt idx="2284">
                  <c:v>0.45687029430509318</c:v>
                </c:pt>
                <c:pt idx="2285">
                  <c:v>0.45708371937411924</c:v>
                </c:pt>
                <c:pt idx="2286">
                  <c:v>0.45731771749302691</c:v>
                </c:pt>
                <c:pt idx="2287">
                  <c:v>0.45754466302197999</c:v>
                </c:pt>
                <c:pt idx="2288">
                  <c:v>0.45768604105284577</c:v>
                </c:pt>
                <c:pt idx="2289">
                  <c:v>0.4578434965437379</c:v>
                </c:pt>
                <c:pt idx="2290">
                  <c:v>0.45815994450486258</c:v>
                </c:pt>
                <c:pt idx="2291">
                  <c:v>0.45830585004158919</c:v>
                </c:pt>
                <c:pt idx="2292">
                  <c:v>0.45852114506548297</c:v>
                </c:pt>
                <c:pt idx="2293">
                  <c:v>0.45860275006722723</c:v>
                </c:pt>
                <c:pt idx="2294">
                  <c:v>0.45884288957497177</c:v>
                </c:pt>
                <c:pt idx="2295">
                  <c:v>0.45912264333114089</c:v>
                </c:pt>
                <c:pt idx="2296">
                  <c:v>0.45938376127034042</c:v>
                </c:pt>
                <c:pt idx="2297">
                  <c:v>0.45948331502282136</c:v>
                </c:pt>
                <c:pt idx="2298">
                  <c:v>0.45962207355271611</c:v>
                </c:pt>
                <c:pt idx="2299">
                  <c:v>0.45980504444376685</c:v>
                </c:pt>
                <c:pt idx="2300">
                  <c:v>0.46011996466753069</c:v>
                </c:pt>
                <c:pt idx="2301">
                  <c:v>0.46029347832200429</c:v>
                </c:pt>
                <c:pt idx="2302">
                  <c:v>0.46057552121634954</c:v>
                </c:pt>
                <c:pt idx="2303">
                  <c:v>0.46075892571289068</c:v>
                </c:pt>
                <c:pt idx="2304">
                  <c:v>0.46088286851553312</c:v>
                </c:pt>
                <c:pt idx="2305">
                  <c:v>0.46100628256146009</c:v>
                </c:pt>
                <c:pt idx="2306">
                  <c:v>0.4612853886154214</c:v>
                </c:pt>
                <c:pt idx="2307">
                  <c:v>0.4615479242012715</c:v>
                </c:pt>
                <c:pt idx="2308">
                  <c:v>0.46164624659718156</c:v>
                </c:pt>
                <c:pt idx="2309">
                  <c:v>0.46184249137138078</c:v>
                </c:pt>
                <c:pt idx="2310">
                  <c:v>0.46215753460870063</c:v>
                </c:pt>
                <c:pt idx="2311">
                  <c:v>0.46222219811017212</c:v>
                </c:pt>
                <c:pt idx="2312">
                  <c:v>0.46243805584507947</c:v>
                </c:pt>
                <c:pt idx="2313">
                  <c:v>0.46269152860862467</c:v>
                </c:pt>
                <c:pt idx="2314">
                  <c:v>0.46292876645455344</c:v>
                </c:pt>
                <c:pt idx="2315">
                  <c:v>0.46309705143400859</c:v>
                </c:pt>
                <c:pt idx="2316">
                  <c:v>0.46334218729579407</c:v>
                </c:pt>
                <c:pt idx="2317">
                  <c:v>0.46349203119834237</c:v>
                </c:pt>
                <c:pt idx="2318">
                  <c:v>0.46375412005301431</c:v>
                </c:pt>
                <c:pt idx="2319">
                  <c:v>0.46384536103546742</c:v>
                </c:pt>
                <c:pt idx="2320">
                  <c:v>0.46400160744451024</c:v>
                </c:pt>
                <c:pt idx="2321">
                  <c:v>0.4643252422251099</c:v>
                </c:pt>
                <c:pt idx="2322">
                  <c:v>0.46448486582974086</c:v>
                </c:pt>
                <c:pt idx="2323">
                  <c:v>0.46461155859786357</c:v>
                </c:pt>
                <c:pt idx="2324">
                  <c:v>0.46482304274365843</c:v>
                </c:pt>
                <c:pt idx="2325">
                  <c:v>0.46516344910034985</c:v>
                </c:pt>
                <c:pt idx="2326">
                  <c:v>0.46526425441453795</c:v>
                </c:pt>
                <c:pt idx="2327">
                  <c:v>0.46557974033578758</c:v>
                </c:pt>
                <c:pt idx="2328">
                  <c:v>0.46560415516807796</c:v>
                </c:pt>
                <c:pt idx="2329">
                  <c:v>0.46590174672359169</c:v>
                </c:pt>
                <c:pt idx="2330">
                  <c:v>0.46610858356270674</c:v>
                </c:pt>
                <c:pt idx="2331">
                  <c:v>0.46632855227634507</c:v>
                </c:pt>
                <c:pt idx="2332">
                  <c:v>0.46655816183862237</c:v>
                </c:pt>
                <c:pt idx="2333">
                  <c:v>0.46677205499959457</c:v>
                </c:pt>
                <c:pt idx="2334">
                  <c:v>0.46691051750357976</c:v>
                </c:pt>
                <c:pt idx="2335">
                  <c:v>0.46719730349993271</c:v>
                </c:pt>
                <c:pt idx="2336">
                  <c:v>0.46737081956392401</c:v>
                </c:pt>
                <c:pt idx="2337">
                  <c:v>0.4675146086038357</c:v>
                </c:pt>
                <c:pt idx="2338">
                  <c:v>0.46765728349840674</c:v>
                </c:pt>
                <c:pt idx="2339">
                  <c:v>0.46789330183884442</c:v>
                </c:pt>
                <c:pt idx="2340">
                  <c:v>0.46803406546787218</c:v>
                </c:pt>
                <c:pt idx="2341">
                  <c:v>0.46836577355306724</c:v>
                </c:pt>
                <c:pt idx="2342">
                  <c:v>0.46853345197791552</c:v>
                </c:pt>
                <c:pt idx="2343">
                  <c:v>0.46879203286440863</c:v>
                </c:pt>
                <c:pt idx="2344">
                  <c:v>0.46899498599781536</c:v>
                </c:pt>
                <c:pt idx="2345">
                  <c:v>0.46914011193964172</c:v>
                </c:pt>
                <c:pt idx="2346">
                  <c:v>0.46931994004745964</c:v>
                </c:pt>
                <c:pt idx="2347">
                  <c:v>0.46945668727575257</c:v>
                </c:pt>
                <c:pt idx="2348">
                  <c:v>0.46977871081782002</c:v>
                </c:pt>
                <c:pt idx="2349">
                  <c:v>0.46988765803596177</c:v>
                </c:pt>
                <c:pt idx="2350">
                  <c:v>0.47018816050793705</c:v>
                </c:pt>
                <c:pt idx="2351">
                  <c:v>0.47037006120518082</c:v>
                </c:pt>
                <c:pt idx="2352">
                  <c:v>0.47058296936507871</c:v>
                </c:pt>
                <c:pt idx="2353">
                  <c:v>0.47068218987534799</c:v>
                </c:pt>
                <c:pt idx="2354">
                  <c:v>0.47084362830278553</c:v>
                </c:pt>
                <c:pt idx="2355">
                  <c:v>0.47108478603169435</c:v>
                </c:pt>
                <c:pt idx="2356">
                  <c:v>0.47135978958652347</c:v>
                </c:pt>
                <c:pt idx="2357">
                  <c:v>0.47154320648530113</c:v>
                </c:pt>
                <c:pt idx="2358">
                  <c:v>0.4717048757469991</c:v>
                </c:pt>
                <c:pt idx="2359">
                  <c:v>0.47180843693455882</c:v>
                </c:pt>
                <c:pt idx="2360">
                  <c:v>0.47212967388130017</c:v>
                </c:pt>
                <c:pt idx="2361">
                  <c:v>0.47229012271624299</c:v>
                </c:pt>
                <c:pt idx="2362">
                  <c:v>0.47258366591138384</c:v>
                </c:pt>
                <c:pt idx="2363">
                  <c:v>0.47265911163730989</c:v>
                </c:pt>
                <c:pt idx="2364">
                  <c:v>0.47291848497044259</c:v>
                </c:pt>
                <c:pt idx="2365">
                  <c:v>0.47312541550498582</c:v>
                </c:pt>
                <c:pt idx="2366">
                  <c:v>0.47323476112886209</c:v>
                </c:pt>
                <c:pt idx="2367">
                  <c:v>0.47352672115842032</c:v>
                </c:pt>
                <c:pt idx="2368">
                  <c:v>0.47374286820752148</c:v>
                </c:pt>
                <c:pt idx="2369">
                  <c:v>0.47385205737637637</c:v>
                </c:pt>
                <c:pt idx="2370">
                  <c:v>0.47402865881035766</c:v>
                </c:pt>
                <c:pt idx="2371">
                  <c:v>0.47433761881374231</c:v>
                </c:pt>
                <c:pt idx="2372">
                  <c:v>0.47453707269540457</c:v>
                </c:pt>
                <c:pt idx="2373">
                  <c:v>0.4746020381143321</c:v>
                </c:pt>
                <c:pt idx="2374">
                  <c:v>0.47495922084286796</c:v>
                </c:pt>
                <c:pt idx="2375">
                  <c:v>0.47508017294255089</c:v>
                </c:pt>
                <c:pt idx="2376">
                  <c:v>0.4752281998938015</c:v>
                </c:pt>
                <c:pt idx="2377">
                  <c:v>0.47557098821517341</c:v>
                </c:pt>
                <c:pt idx="2378">
                  <c:v>0.47574072249148519</c:v>
                </c:pt>
                <c:pt idx="2379">
                  <c:v>0.47595438829826991</c:v>
                </c:pt>
                <c:pt idx="2380">
                  <c:v>0.47600849931054018</c:v>
                </c:pt>
                <c:pt idx="2381">
                  <c:v>0.47639554648110544</c:v>
                </c:pt>
                <c:pt idx="2382">
                  <c:v>0.47642510240977282</c:v>
                </c:pt>
                <c:pt idx="2383">
                  <c:v>0.47677954573430581</c:v>
                </c:pt>
                <c:pt idx="2384">
                  <c:v>0.47688329242767841</c:v>
                </c:pt>
                <c:pt idx="2385">
                  <c:v>0.4771801688814955</c:v>
                </c:pt>
                <c:pt idx="2386">
                  <c:v>0.47734142389435819</c:v>
                </c:pt>
                <c:pt idx="2387">
                  <c:v>0.47754974718102011</c:v>
                </c:pt>
                <c:pt idx="2388">
                  <c:v>0.47765611066176933</c:v>
                </c:pt>
                <c:pt idx="2389">
                  <c:v>0.47782890494904223</c:v>
                </c:pt>
                <c:pt idx="2390">
                  <c:v>0.47813665489781104</c:v>
                </c:pt>
                <c:pt idx="2391">
                  <c:v>0.47827158943942549</c:v>
                </c:pt>
                <c:pt idx="2392">
                  <c:v>0.47844433461242453</c:v>
                </c:pt>
                <c:pt idx="2393">
                  <c:v>0.47879071571016468</c:v>
                </c:pt>
                <c:pt idx="2394">
                  <c:v>0.47883365921038984</c:v>
                </c:pt>
                <c:pt idx="2395">
                  <c:v>0.47912812419695039</c:v>
                </c:pt>
                <c:pt idx="2396">
                  <c:v>0.47939928768924417</c:v>
                </c:pt>
                <c:pt idx="2397">
                  <c:v>0.47950241482711919</c:v>
                </c:pt>
                <c:pt idx="2398">
                  <c:v>0.47976343363927754</c:v>
                </c:pt>
                <c:pt idx="2399">
                  <c:v>0.47986994319340909</c:v>
                </c:pt>
                <c:pt idx="2400">
                  <c:v>0.4801663456618242</c:v>
                </c:pt>
                <c:pt idx="2401">
                  <c:v>0.48032229572486185</c:v>
                </c:pt>
                <c:pt idx="2402">
                  <c:v>0.4805950735786918</c:v>
                </c:pt>
                <c:pt idx="2403">
                  <c:v>0.48073068973546168</c:v>
                </c:pt>
                <c:pt idx="2404">
                  <c:v>0.48090495395620936</c:v>
                </c:pt>
                <c:pt idx="2405">
                  <c:v>0.48109128954598945</c:v>
                </c:pt>
                <c:pt idx="2406">
                  <c:v>0.48134103644763609</c:v>
                </c:pt>
                <c:pt idx="2407">
                  <c:v>0.48146460498172428</c:v>
                </c:pt>
                <c:pt idx="2408">
                  <c:v>0.48177386841642994</c:v>
                </c:pt>
                <c:pt idx="2409">
                  <c:v>0.48183973354511889</c:v>
                </c:pt>
                <c:pt idx="2410">
                  <c:v>0.48204140254842148</c:v>
                </c:pt>
                <c:pt idx="2411">
                  <c:v>0.48223332998404123</c:v>
                </c:pt>
                <c:pt idx="2412">
                  <c:v>0.48256859975828992</c:v>
                </c:pt>
                <c:pt idx="2413">
                  <c:v>0.48273684459466876</c:v>
                </c:pt>
                <c:pt idx="2414">
                  <c:v>0.48282895576060492</c:v>
                </c:pt>
                <c:pt idx="2415">
                  <c:v>0.48304214069895496</c:v>
                </c:pt>
                <c:pt idx="2416">
                  <c:v>0.48327090367792896</c:v>
                </c:pt>
                <c:pt idx="2417">
                  <c:v>0.48358614130010508</c:v>
                </c:pt>
                <c:pt idx="2418">
                  <c:v>0.48366455556332705</c:v>
                </c:pt>
                <c:pt idx="2419">
                  <c:v>0.48384348804090249</c:v>
                </c:pt>
                <c:pt idx="2420">
                  <c:v>0.4840577834411659</c:v>
                </c:pt>
                <c:pt idx="2421">
                  <c:v>0.48439100779276134</c:v>
                </c:pt>
                <c:pt idx="2422">
                  <c:v>0.48441406532614817</c:v>
                </c:pt>
                <c:pt idx="2423">
                  <c:v>0.48472007341760209</c:v>
                </c:pt>
                <c:pt idx="2424">
                  <c:v>0.48488618941504658</c:v>
                </c:pt>
                <c:pt idx="2425">
                  <c:v>0.48514471642280571</c:v>
                </c:pt>
                <c:pt idx="2426">
                  <c:v>0.48530528855144639</c:v>
                </c:pt>
                <c:pt idx="2427">
                  <c:v>0.48540154353482684</c:v>
                </c:pt>
                <c:pt idx="2428">
                  <c:v>0.48560256290203024</c:v>
                </c:pt>
                <c:pt idx="2429">
                  <c:v>0.48592237212125267</c:v>
                </c:pt>
                <c:pt idx="2430">
                  <c:v>0.48604455388855294</c:v>
                </c:pt>
                <c:pt idx="2431">
                  <c:v>0.48622619763976571</c:v>
                </c:pt>
                <c:pt idx="2432">
                  <c:v>0.48645285901195667</c:v>
                </c:pt>
                <c:pt idx="2433">
                  <c:v>0.48673101577538319</c:v>
                </c:pt>
                <c:pt idx="2434">
                  <c:v>0.48693080859280446</c:v>
                </c:pt>
                <c:pt idx="2435">
                  <c:v>0.48718003118629105</c:v>
                </c:pt>
                <c:pt idx="2436">
                  <c:v>0.48724932116401598</c:v>
                </c:pt>
                <c:pt idx="2437">
                  <c:v>0.4875174342901254</c:v>
                </c:pt>
                <c:pt idx="2438">
                  <c:v>0.48779915034379789</c:v>
                </c:pt>
                <c:pt idx="2439">
                  <c:v>0.48796552302519924</c:v>
                </c:pt>
                <c:pt idx="2440">
                  <c:v>0.48806466143430788</c:v>
                </c:pt>
                <c:pt idx="2441">
                  <c:v>0.4883087965866339</c:v>
                </c:pt>
                <c:pt idx="2442">
                  <c:v>0.4885929703148531</c:v>
                </c:pt>
                <c:pt idx="2443">
                  <c:v>0.48869352955247586</c:v>
                </c:pt>
                <c:pt idx="2444">
                  <c:v>0.48895533919864231</c:v>
                </c:pt>
                <c:pt idx="2445">
                  <c:v>0.4890095258919544</c:v>
                </c:pt>
                <c:pt idx="2446">
                  <c:v>0.48922750729816672</c:v>
                </c:pt>
                <c:pt idx="2447">
                  <c:v>0.48959286436792299</c:v>
                </c:pt>
                <c:pt idx="2448">
                  <c:v>0.48971396945061024</c:v>
                </c:pt>
                <c:pt idx="2449">
                  <c:v>0.48981147505296657</c:v>
                </c:pt>
                <c:pt idx="2450">
                  <c:v>0.49013382192578492</c:v>
                </c:pt>
                <c:pt idx="2451">
                  <c:v>0.49039601968121627</c:v>
                </c:pt>
                <c:pt idx="2452">
                  <c:v>0.49043091557762375</c:v>
                </c:pt>
                <c:pt idx="2453">
                  <c:v>0.49063745976501089</c:v>
                </c:pt>
                <c:pt idx="2454">
                  <c:v>0.49085434437744652</c:v>
                </c:pt>
                <c:pt idx="2455">
                  <c:v>0.49119568251562207</c:v>
                </c:pt>
                <c:pt idx="2456">
                  <c:v>0.49121652112864339</c:v>
                </c:pt>
                <c:pt idx="2457">
                  <c:v>0.49146353747455024</c:v>
                </c:pt>
                <c:pt idx="2458">
                  <c:v>0.49165355672199595</c:v>
                </c:pt>
                <c:pt idx="2459">
                  <c:v>0.49185049658814689</c:v>
                </c:pt>
                <c:pt idx="2460">
                  <c:v>0.49203547981768742</c:v>
                </c:pt>
                <c:pt idx="2461">
                  <c:v>0.49238477243766765</c:v>
                </c:pt>
                <c:pt idx="2462">
                  <c:v>0.49245294106105647</c:v>
                </c:pt>
                <c:pt idx="2463">
                  <c:v>0.49269026023631224</c:v>
                </c:pt>
                <c:pt idx="2464">
                  <c:v>0.49281630417700306</c:v>
                </c:pt>
                <c:pt idx="2465">
                  <c:v>0.49303961597844947</c:v>
                </c:pt>
                <c:pt idx="2466">
                  <c:v>0.4933682479830851</c:v>
                </c:pt>
                <c:pt idx="2467">
                  <c:v>0.49344996268005342</c:v>
                </c:pt>
                <c:pt idx="2468">
                  <c:v>0.49364061900620365</c:v>
                </c:pt>
                <c:pt idx="2469">
                  <c:v>0.49397052888939408</c:v>
                </c:pt>
                <c:pt idx="2470">
                  <c:v>0.49410006224915853</c:v>
                </c:pt>
                <c:pt idx="2471">
                  <c:v>0.49438514161435543</c:v>
                </c:pt>
                <c:pt idx="2472">
                  <c:v>0.49457609843019773</c:v>
                </c:pt>
                <c:pt idx="2473">
                  <c:v>0.49467421887798102</c:v>
                </c:pt>
                <c:pt idx="2474">
                  <c:v>0.4948733370512895</c:v>
                </c:pt>
                <c:pt idx="2475">
                  <c:v>0.49511191614771077</c:v>
                </c:pt>
                <c:pt idx="2476">
                  <c:v>0.49537799896718426</c:v>
                </c:pt>
                <c:pt idx="2477">
                  <c:v>0.49552966918487329</c:v>
                </c:pt>
                <c:pt idx="2478">
                  <c:v>0.49562142437301143</c:v>
                </c:pt>
                <c:pt idx="2479">
                  <c:v>0.49598652377272645</c:v>
                </c:pt>
                <c:pt idx="2480">
                  <c:v>0.49610716923519665</c:v>
                </c:pt>
                <c:pt idx="2481">
                  <c:v>0.49622824386591746</c:v>
                </c:pt>
                <c:pt idx="2482">
                  <c:v>0.49644759932226679</c:v>
                </c:pt>
                <c:pt idx="2483">
                  <c:v>0.49678567969910464</c:v>
                </c:pt>
                <c:pt idx="2484">
                  <c:v>0.49699075695420397</c:v>
                </c:pt>
                <c:pt idx="2485">
                  <c:v>0.4971256476883138</c:v>
                </c:pt>
                <c:pt idx="2486">
                  <c:v>0.49722615241278573</c:v>
                </c:pt>
                <c:pt idx="2487">
                  <c:v>0.49759692525933424</c:v>
                </c:pt>
                <c:pt idx="2488">
                  <c:v>0.49760451196809408</c:v>
                </c:pt>
                <c:pt idx="2489">
                  <c:v>0.49790966436367246</c:v>
                </c:pt>
                <c:pt idx="2490">
                  <c:v>0.49800106918439296</c:v>
                </c:pt>
                <c:pt idx="2491">
                  <c:v>0.49823260844779027</c:v>
                </c:pt>
                <c:pt idx="2492">
                  <c:v>0.49853322077797102</c:v>
                </c:pt>
                <c:pt idx="2493">
                  <c:v>0.4986533013934859</c:v>
                </c:pt>
                <c:pt idx="2494">
                  <c:v>0.49888497802463483</c:v>
                </c:pt>
                <c:pt idx="2495">
                  <c:v>0.49912161409298922</c:v>
                </c:pt>
                <c:pt idx="2496">
                  <c:v>0.49931439543341155</c:v>
                </c:pt>
                <c:pt idx="2497">
                  <c:v>0.4995442503409796</c:v>
                </c:pt>
                <c:pt idx="2498">
                  <c:v>0.49975691325905663</c:v>
                </c:pt>
                <c:pt idx="2499">
                  <c:v>0.49981634387341711</c:v>
                </c:pt>
                <c:pt idx="2500">
                  <c:v>0.50012077506764807</c:v>
                </c:pt>
                <c:pt idx="2501">
                  <c:v>0.50037268170327243</c:v>
                </c:pt>
                <c:pt idx="2502">
                  <c:v>0.50044794409774429</c:v>
                </c:pt>
                <c:pt idx="2503">
                  <c:v>0.50061577822850445</c:v>
                </c:pt>
                <c:pt idx="2504">
                  <c:v>0.50081082944623445</c:v>
                </c:pt>
                <c:pt idx="2505">
                  <c:v>0.50116775493858556</c:v>
                </c:pt>
                <c:pt idx="2506">
                  <c:v>0.50123378263074758</c:v>
                </c:pt>
                <c:pt idx="2507">
                  <c:v>0.50150244011974487</c:v>
                </c:pt>
                <c:pt idx="2508">
                  <c:v>0.50176511963181325</c:v>
                </c:pt>
                <c:pt idx="2509">
                  <c:v>0.50197333311144576</c:v>
                </c:pt>
                <c:pt idx="2510">
                  <c:v>0.50210111594505169</c:v>
                </c:pt>
                <c:pt idx="2511">
                  <c:v>0.50237099423617382</c:v>
                </c:pt>
                <c:pt idx="2512">
                  <c:v>0.50247706684295013</c:v>
                </c:pt>
                <c:pt idx="2513">
                  <c:v>0.50279863877990261</c:v>
                </c:pt>
                <c:pt idx="2514">
                  <c:v>0.50287858210026248</c:v>
                </c:pt>
                <c:pt idx="2515">
                  <c:v>0.50309101725520822</c:v>
                </c:pt>
                <c:pt idx="2516">
                  <c:v>0.50330633849089645</c:v>
                </c:pt>
                <c:pt idx="2517">
                  <c:v>0.50345868201918398</c:v>
                </c:pt>
                <c:pt idx="2518">
                  <c:v>0.50363530629808906</c:v>
                </c:pt>
                <c:pt idx="2519">
                  <c:v>0.50389888442035269</c:v>
                </c:pt>
                <c:pt idx="2520">
                  <c:v>0.50405743649184176</c:v>
                </c:pt>
                <c:pt idx="2521">
                  <c:v>0.50426608661610306</c:v>
                </c:pt>
                <c:pt idx="2522">
                  <c:v>0.50441294607878961</c:v>
                </c:pt>
                <c:pt idx="2523">
                  <c:v>0.50468301028117613</c:v>
                </c:pt>
                <c:pt idx="2524">
                  <c:v>0.50486574322792366</c:v>
                </c:pt>
                <c:pt idx="2525">
                  <c:v>0.50505909352168887</c:v>
                </c:pt>
                <c:pt idx="2526">
                  <c:v>0.50537763887056564</c:v>
                </c:pt>
                <c:pt idx="2527">
                  <c:v>0.50558723237127701</c:v>
                </c:pt>
                <c:pt idx="2528">
                  <c:v>0.50560381419155842</c:v>
                </c:pt>
                <c:pt idx="2529">
                  <c:v>0.50598433290184108</c:v>
                </c:pt>
                <c:pt idx="2530">
                  <c:v>0.50619805006287011</c:v>
                </c:pt>
                <c:pt idx="2531">
                  <c:v>0.50632250116703159</c:v>
                </c:pt>
                <c:pt idx="2532">
                  <c:v>0.50642736922666132</c:v>
                </c:pt>
                <c:pt idx="2533">
                  <c:v>0.50667678482757805</c:v>
                </c:pt>
                <c:pt idx="2534">
                  <c:v>0.50694735938835589</c:v>
                </c:pt>
                <c:pt idx="2535">
                  <c:v>0.5070346820273518</c:v>
                </c:pt>
                <c:pt idx="2536">
                  <c:v>0.50728793458675214</c:v>
                </c:pt>
                <c:pt idx="2537">
                  <c:v>0.50758081376808251</c:v>
                </c:pt>
                <c:pt idx="2538">
                  <c:v>0.50763252679142923</c:v>
                </c:pt>
                <c:pt idx="2539">
                  <c:v>0.50795180104750948</c:v>
                </c:pt>
                <c:pt idx="2540">
                  <c:v>0.50803066938897379</c:v>
                </c:pt>
                <c:pt idx="2541">
                  <c:v>0.50821040001460593</c:v>
                </c:pt>
                <c:pt idx="2542">
                  <c:v>0.50850690481753713</c:v>
                </c:pt>
                <c:pt idx="2543">
                  <c:v>0.50863848916754095</c:v>
                </c:pt>
                <c:pt idx="2544">
                  <c:v>0.50886626889683917</c:v>
                </c:pt>
                <c:pt idx="2545">
                  <c:v>0.50910732983669904</c:v>
                </c:pt>
                <c:pt idx="2546">
                  <c:v>0.50924597477043188</c:v>
                </c:pt>
                <c:pt idx="2547">
                  <c:v>0.50942664110018554</c:v>
                </c:pt>
                <c:pt idx="2548">
                  <c:v>0.50978808299321399</c:v>
                </c:pt>
                <c:pt idx="2549">
                  <c:v>0.50982379142642575</c:v>
                </c:pt>
                <c:pt idx="2550">
                  <c:v>0.51001685753860904</c:v>
                </c:pt>
                <c:pt idx="2551">
                  <c:v>0.51020097242649665</c:v>
                </c:pt>
                <c:pt idx="2552">
                  <c:v>0.51041205171742754</c:v>
                </c:pt>
                <c:pt idx="2553">
                  <c:v>0.51074963441662247</c:v>
                </c:pt>
                <c:pt idx="2554">
                  <c:v>0.51092165750091001</c:v>
                </c:pt>
                <c:pt idx="2555">
                  <c:v>0.51104286896368556</c:v>
                </c:pt>
                <c:pt idx="2556">
                  <c:v>0.51138986686584298</c:v>
                </c:pt>
                <c:pt idx="2557">
                  <c:v>0.5114151072169224</c:v>
                </c:pt>
                <c:pt idx="2558">
                  <c:v>0.51160477290731032</c:v>
                </c:pt>
                <c:pt idx="2559">
                  <c:v>0.51183138120170479</c:v>
                </c:pt>
                <c:pt idx="2560">
                  <c:v>0.51206067857729753</c:v>
                </c:pt>
                <c:pt idx="2561">
                  <c:v>0.51236316106099711</c:v>
                </c:pt>
                <c:pt idx="2562">
                  <c:v>0.51258012448115742</c:v>
                </c:pt>
                <c:pt idx="2563">
                  <c:v>0.5127784626823334</c:v>
                </c:pt>
                <c:pt idx="2564">
                  <c:v>0.51286259595105943</c:v>
                </c:pt>
                <c:pt idx="2565">
                  <c:v>0.51308344853233634</c:v>
                </c:pt>
                <c:pt idx="2566">
                  <c:v>0.5133064998521718</c:v>
                </c:pt>
                <c:pt idx="2567">
                  <c:v>0.51351624556591646</c:v>
                </c:pt>
                <c:pt idx="2568">
                  <c:v>0.51370803635742246</c:v>
                </c:pt>
                <c:pt idx="2569">
                  <c:v>0.51391093387401454</c:v>
                </c:pt>
                <c:pt idx="2570">
                  <c:v>0.5140589791327852</c:v>
                </c:pt>
                <c:pt idx="2571">
                  <c:v>0.51433091411360787</c:v>
                </c:pt>
                <c:pt idx="2572">
                  <c:v>0.5145167490234871</c:v>
                </c:pt>
                <c:pt idx="2573">
                  <c:v>0.51460759672485468</c:v>
                </c:pt>
                <c:pt idx="2574">
                  <c:v>0.51493461517480543</c:v>
                </c:pt>
                <c:pt idx="2575">
                  <c:v>0.51507380702790662</c:v>
                </c:pt>
                <c:pt idx="2576">
                  <c:v>0.51537865077489486</c:v>
                </c:pt>
                <c:pt idx="2577">
                  <c:v>0.51549733225798633</c:v>
                </c:pt>
                <c:pt idx="2578">
                  <c:v>0.51562023785054223</c:v>
                </c:pt>
                <c:pt idx="2579">
                  <c:v>0.51586498438009643</c:v>
                </c:pt>
                <c:pt idx="2580">
                  <c:v>0.51615285881207151</c:v>
                </c:pt>
                <c:pt idx="2581">
                  <c:v>0.51620408160523601</c:v>
                </c:pt>
                <c:pt idx="2582">
                  <c:v>0.51654679687855465</c:v>
                </c:pt>
                <c:pt idx="2583">
                  <c:v>0.51665143411733483</c:v>
                </c:pt>
                <c:pt idx="2584">
                  <c:v>0.51690304928452313</c:v>
                </c:pt>
                <c:pt idx="2585">
                  <c:v>0.51712534395584964</c:v>
                </c:pt>
                <c:pt idx="2586">
                  <c:v>0.51734692028312634</c:v>
                </c:pt>
                <c:pt idx="2587">
                  <c:v>0.517486486617589</c:v>
                </c:pt>
                <c:pt idx="2588">
                  <c:v>0.51769661732653538</c:v>
                </c:pt>
                <c:pt idx="2589">
                  <c:v>0.51789060373541218</c:v>
                </c:pt>
                <c:pt idx="2590">
                  <c:v>0.51807560351525339</c:v>
                </c:pt>
                <c:pt idx="2591">
                  <c:v>0.51835614477371705</c:v>
                </c:pt>
                <c:pt idx="2592">
                  <c:v>0.51849906923484501</c:v>
                </c:pt>
                <c:pt idx="2593">
                  <c:v>0.51878868691888369</c:v>
                </c:pt>
                <c:pt idx="2594">
                  <c:v>0.51895315577223733</c:v>
                </c:pt>
                <c:pt idx="2595">
                  <c:v>0.51916995986610881</c:v>
                </c:pt>
                <c:pt idx="2596">
                  <c:v>0.51926428472275488</c:v>
                </c:pt>
                <c:pt idx="2597">
                  <c:v>0.51949316952873337</c:v>
                </c:pt>
                <c:pt idx="2598">
                  <c:v>0.51973038906616398</c:v>
                </c:pt>
                <c:pt idx="2599">
                  <c:v>0.51992258935950764</c:v>
                </c:pt>
                <c:pt idx="2600">
                  <c:v>0.52015956676107822</c:v>
                </c:pt>
                <c:pt idx="2601">
                  <c:v>0.52036286079170246</c:v>
                </c:pt>
                <c:pt idx="2602">
                  <c:v>0.52058204054692336</c:v>
                </c:pt>
                <c:pt idx="2603">
                  <c:v>0.52074843778567115</c:v>
                </c:pt>
                <c:pt idx="2604">
                  <c:v>0.52095405337255307</c:v>
                </c:pt>
                <c:pt idx="2605">
                  <c:v>0.52116308443447645</c:v>
                </c:pt>
                <c:pt idx="2606">
                  <c:v>0.52138563781212677</c:v>
                </c:pt>
                <c:pt idx="2607">
                  <c:v>0.52150486261427975</c:v>
                </c:pt>
                <c:pt idx="2608">
                  <c:v>0.52160594266639226</c:v>
                </c:pt>
                <c:pt idx="2609">
                  <c:v>0.52188200249557426</c:v>
                </c:pt>
                <c:pt idx="2610">
                  <c:v>0.52212789941512228</c:v>
                </c:pt>
                <c:pt idx="2611">
                  <c:v>0.52227571806844231</c:v>
                </c:pt>
                <c:pt idx="2612">
                  <c:v>0.52249892469288284</c:v>
                </c:pt>
                <c:pt idx="2613">
                  <c:v>0.52263237613584668</c:v>
                </c:pt>
                <c:pt idx="2614">
                  <c:v>0.52290741586897227</c:v>
                </c:pt>
                <c:pt idx="2615">
                  <c:v>0.5231769559110927</c:v>
                </c:pt>
                <c:pt idx="2616">
                  <c:v>0.52322015271159361</c:v>
                </c:pt>
                <c:pt idx="2617">
                  <c:v>0.52353644894336726</c:v>
                </c:pt>
                <c:pt idx="2618">
                  <c:v>0.52375639652781103</c:v>
                </c:pt>
                <c:pt idx="2619">
                  <c:v>0.52394992924312833</c:v>
                </c:pt>
                <c:pt idx="2620">
                  <c:v>0.52417879544118862</c:v>
                </c:pt>
                <c:pt idx="2621">
                  <c:v>0.52438671623137467</c:v>
                </c:pt>
                <c:pt idx="2622">
                  <c:v>0.52444449878713217</c:v>
                </c:pt>
                <c:pt idx="2623">
                  <c:v>0.52472430089351818</c:v>
                </c:pt>
                <c:pt idx="2624">
                  <c:v>0.52492482678320374</c:v>
                </c:pt>
                <c:pt idx="2625">
                  <c:v>0.52506891361858432</c:v>
                </c:pt>
                <c:pt idx="2626">
                  <c:v>0.52526281637797667</c:v>
                </c:pt>
                <c:pt idx="2627">
                  <c:v>0.52559453718061433</c:v>
                </c:pt>
                <c:pt idx="2628">
                  <c:v>0.52572161254610905</c:v>
                </c:pt>
                <c:pt idx="2629">
                  <c:v>0.52595781851908141</c:v>
                </c:pt>
                <c:pt idx="2630">
                  <c:v>0.52612733487941499</c:v>
                </c:pt>
                <c:pt idx="2631">
                  <c:v>0.52633306785876244</c:v>
                </c:pt>
                <c:pt idx="2632">
                  <c:v>0.52647261305490334</c:v>
                </c:pt>
                <c:pt idx="2633">
                  <c:v>0.52675021196383764</c:v>
                </c:pt>
                <c:pt idx="2634">
                  <c:v>0.52699102019434585</c:v>
                </c:pt>
                <c:pt idx="2635">
                  <c:v>0.52700376420975759</c:v>
                </c:pt>
                <c:pt idx="2636">
                  <c:v>0.52723594448627809</c:v>
                </c:pt>
                <c:pt idx="2637">
                  <c:v>0.52745143422285368</c:v>
                </c:pt>
                <c:pt idx="2638">
                  <c:v>0.52773269927635158</c:v>
                </c:pt>
                <c:pt idx="2639">
                  <c:v>0.52796270586093019</c:v>
                </c:pt>
                <c:pt idx="2640">
                  <c:v>0.52804056645958697</c:v>
                </c:pt>
                <c:pt idx="2641">
                  <c:v>0.52825301294458404</c:v>
                </c:pt>
                <c:pt idx="2642">
                  <c:v>0.52857838282989766</c:v>
                </c:pt>
                <c:pt idx="2643">
                  <c:v>0.52867227199605482</c:v>
                </c:pt>
                <c:pt idx="2644">
                  <c:v>0.52893144589185981</c:v>
                </c:pt>
                <c:pt idx="2645">
                  <c:v>0.52900076232347659</c:v>
                </c:pt>
                <c:pt idx="2646">
                  <c:v>0.52930550442978397</c:v>
                </c:pt>
                <c:pt idx="2647">
                  <c:v>0.52940862156707058</c:v>
                </c:pt>
                <c:pt idx="2648">
                  <c:v>0.52971174950779221</c:v>
                </c:pt>
                <c:pt idx="2649">
                  <c:v>0.52995929118300777</c:v>
                </c:pt>
                <c:pt idx="2650">
                  <c:v>0.5300249999652209</c:v>
                </c:pt>
                <c:pt idx="2651">
                  <c:v>0.53024242571379121</c:v>
                </c:pt>
                <c:pt idx="2652">
                  <c:v>0.53049108317668803</c:v>
                </c:pt>
                <c:pt idx="2653">
                  <c:v>0.53069665741866834</c:v>
                </c:pt>
                <c:pt idx="2654">
                  <c:v>0.53093107729599143</c:v>
                </c:pt>
                <c:pt idx="2655">
                  <c:v>0.53113594446176104</c:v>
                </c:pt>
                <c:pt idx="2656">
                  <c:v>0.53136547509086451</c:v>
                </c:pt>
                <c:pt idx="2657">
                  <c:v>0.5315221129550417</c:v>
                </c:pt>
                <c:pt idx="2658">
                  <c:v>0.53160047011626899</c:v>
                </c:pt>
                <c:pt idx="2659">
                  <c:v>0.53196214076740711</c:v>
                </c:pt>
                <c:pt idx="2660">
                  <c:v>0.53202055337871912</c:v>
                </c:pt>
                <c:pt idx="2661">
                  <c:v>0.53236539223142088</c:v>
                </c:pt>
                <c:pt idx="2662">
                  <c:v>0.53254403952018925</c:v>
                </c:pt>
                <c:pt idx="2663">
                  <c:v>0.53262958997465426</c:v>
                </c:pt>
                <c:pt idx="2664">
                  <c:v>0.53288478416667429</c:v>
                </c:pt>
                <c:pt idx="2665">
                  <c:v>0.5330361680213912</c:v>
                </c:pt>
                <c:pt idx="2666">
                  <c:v>0.53333186103923524</c:v>
                </c:pt>
                <c:pt idx="2667">
                  <c:v>0.53352684717553833</c:v>
                </c:pt>
                <c:pt idx="2668">
                  <c:v>0.5336092987526696</c:v>
                </c:pt>
                <c:pt idx="2669">
                  <c:v>0.53393491897334688</c:v>
                </c:pt>
                <c:pt idx="2670">
                  <c:v>0.5340358667052435</c:v>
                </c:pt>
                <c:pt idx="2671">
                  <c:v>0.53430954996587465</c:v>
                </c:pt>
                <c:pt idx="2672">
                  <c:v>0.53456007353941914</c:v>
                </c:pt>
                <c:pt idx="2673">
                  <c:v>0.5346230472822262</c:v>
                </c:pt>
                <c:pt idx="2674">
                  <c:v>0.53492287594222532</c:v>
                </c:pt>
                <c:pt idx="2675">
                  <c:v>0.5351396236224425</c:v>
                </c:pt>
                <c:pt idx="2676">
                  <c:v>0.53530946860939943</c:v>
                </c:pt>
                <c:pt idx="2677">
                  <c:v>0.5354210254476921</c:v>
                </c:pt>
                <c:pt idx="2678">
                  <c:v>0.53576097666597011</c:v>
                </c:pt>
                <c:pt idx="2679">
                  <c:v>0.53583864292601091</c:v>
                </c:pt>
                <c:pt idx="2680">
                  <c:v>0.53610334480891553</c:v>
                </c:pt>
                <c:pt idx="2681">
                  <c:v>0.53628041615483357</c:v>
                </c:pt>
                <c:pt idx="2682">
                  <c:v>0.53646018809775364</c:v>
                </c:pt>
                <c:pt idx="2683">
                  <c:v>0.5366134562735011</c:v>
                </c:pt>
                <c:pt idx="2684">
                  <c:v>0.53691629936083141</c:v>
                </c:pt>
                <c:pt idx="2685">
                  <c:v>0.53710417243267972</c:v>
                </c:pt>
                <c:pt idx="2686">
                  <c:v>0.53735520032671169</c:v>
                </c:pt>
                <c:pt idx="2687">
                  <c:v>0.5375956623048046</c:v>
                </c:pt>
                <c:pt idx="2688">
                  <c:v>0.53767793668747832</c:v>
                </c:pt>
                <c:pt idx="2689">
                  <c:v>0.53789853198525928</c:v>
                </c:pt>
                <c:pt idx="2690">
                  <c:v>0.53817385083403757</c:v>
                </c:pt>
                <c:pt idx="2691">
                  <c:v>0.53836524950074149</c:v>
                </c:pt>
                <c:pt idx="2692">
                  <c:v>0.53857780187269155</c:v>
                </c:pt>
                <c:pt idx="2693">
                  <c:v>0.53878375452579552</c:v>
                </c:pt>
                <c:pt idx="2694">
                  <c:v>0.5388470136963871</c:v>
                </c:pt>
                <c:pt idx="2695">
                  <c:v>0.53904279141599376</c:v>
                </c:pt>
                <c:pt idx="2696">
                  <c:v>0.5393025875931845</c:v>
                </c:pt>
                <c:pt idx="2697">
                  <c:v>0.53943054749673014</c:v>
                </c:pt>
                <c:pt idx="2698">
                  <c:v>0.53975519117316118</c:v>
                </c:pt>
                <c:pt idx="2699">
                  <c:v>0.53998619319791585</c:v>
                </c:pt>
                <c:pt idx="2700">
                  <c:v>0.54009989319194573</c:v>
                </c:pt>
                <c:pt idx="2701">
                  <c:v>0.54028272014830325</c:v>
                </c:pt>
                <c:pt idx="2702">
                  <c:v>0.54042143990677349</c:v>
                </c:pt>
                <c:pt idx="2703">
                  <c:v>0.5407290211125112</c:v>
                </c:pt>
                <c:pt idx="2704">
                  <c:v>0.54092289075132527</c:v>
                </c:pt>
                <c:pt idx="2705">
                  <c:v>0.54109245350051027</c:v>
                </c:pt>
                <c:pt idx="2706">
                  <c:v>0.54133168178585633</c:v>
                </c:pt>
                <c:pt idx="2707">
                  <c:v>0.54151170793965264</c:v>
                </c:pt>
                <c:pt idx="2708">
                  <c:v>0.54160243119499696</c:v>
                </c:pt>
                <c:pt idx="2709">
                  <c:v>0.54185611959375823</c:v>
                </c:pt>
                <c:pt idx="2710">
                  <c:v>0.54211451539451128</c:v>
                </c:pt>
                <c:pt idx="2711">
                  <c:v>0.54222351494613652</c:v>
                </c:pt>
                <c:pt idx="2712">
                  <c:v>0.54240571330674126</c:v>
                </c:pt>
                <c:pt idx="2713">
                  <c:v>0.54278423984394975</c:v>
                </c:pt>
                <c:pt idx="2714">
                  <c:v>0.54297782125179139</c:v>
                </c:pt>
                <c:pt idx="2715">
                  <c:v>0.5430951526250446</c:v>
                </c:pt>
                <c:pt idx="2716">
                  <c:v>0.5432491880329906</c:v>
                </c:pt>
                <c:pt idx="2717">
                  <c:v>0.54344760205653675</c:v>
                </c:pt>
                <c:pt idx="2718">
                  <c:v>0.54379252156582492</c:v>
                </c:pt>
                <c:pt idx="2719">
                  <c:v>0.5439084221785675</c:v>
                </c:pt>
                <c:pt idx="2720">
                  <c:v>0.54416123843881337</c:v>
                </c:pt>
                <c:pt idx="2721">
                  <c:v>0.54425431478634811</c:v>
                </c:pt>
                <c:pt idx="2722">
                  <c:v>0.54452877791713195</c:v>
                </c:pt>
                <c:pt idx="2723">
                  <c:v>0.54463133903872951</c:v>
                </c:pt>
                <c:pt idx="2724">
                  <c:v>0.54491119203137028</c:v>
                </c:pt>
                <c:pt idx="2725">
                  <c:v>0.54509552924774951</c:v>
                </c:pt>
                <c:pt idx="2726">
                  <c:v>0.54528156043055509</c:v>
                </c:pt>
                <c:pt idx="2727">
                  <c:v>0.54550512751627367</c:v>
                </c:pt>
                <c:pt idx="2728">
                  <c:v>0.54576467085456593</c:v>
                </c:pt>
                <c:pt idx="2729">
                  <c:v>0.54596392182371678</c:v>
                </c:pt>
                <c:pt idx="2730">
                  <c:v>0.54613523278719167</c:v>
                </c:pt>
                <c:pt idx="2731">
                  <c:v>0.54633897322768787</c:v>
                </c:pt>
                <c:pt idx="2732">
                  <c:v>0.5465645017978652</c:v>
                </c:pt>
                <c:pt idx="2733">
                  <c:v>0.5467516891877986</c:v>
                </c:pt>
                <c:pt idx="2734">
                  <c:v>0.54688867261681906</c:v>
                </c:pt>
                <c:pt idx="2735">
                  <c:v>0.54711345990647409</c:v>
                </c:pt>
                <c:pt idx="2736">
                  <c:v>0.54722270319448385</c:v>
                </c:pt>
                <c:pt idx="2737">
                  <c:v>0.5474159086244218</c:v>
                </c:pt>
                <c:pt idx="2738">
                  <c:v>0.547687536992153</c:v>
                </c:pt>
                <c:pt idx="2739">
                  <c:v>0.54796018067820929</c:v>
                </c:pt>
                <c:pt idx="2740">
                  <c:v>0.54814656316231625</c:v>
                </c:pt>
                <c:pt idx="2741">
                  <c:v>0.54822297539730158</c:v>
                </c:pt>
                <c:pt idx="2742">
                  <c:v>0.54840377988843336</c:v>
                </c:pt>
                <c:pt idx="2743">
                  <c:v>0.54865801727312113</c:v>
                </c:pt>
                <c:pt idx="2744">
                  <c:v>0.54891959995201778</c:v>
                </c:pt>
                <c:pt idx="2745">
                  <c:v>0.54912128707969587</c:v>
                </c:pt>
                <c:pt idx="2746">
                  <c:v>0.54931485183078677</c:v>
                </c:pt>
                <c:pt idx="2747">
                  <c:v>0.54943456661916212</c:v>
                </c:pt>
                <c:pt idx="2748">
                  <c:v>0.54966596386229294</c:v>
                </c:pt>
                <c:pt idx="2749">
                  <c:v>0.54982446600790713</c:v>
                </c:pt>
                <c:pt idx="2750">
                  <c:v>0.55009685957378174</c:v>
                </c:pt>
                <c:pt idx="2751">
                  <c:v>0.55034347793225746</c:v>
                </c:pt>
                <c:pt idx="2752">
                  <c:v>0.5504881958458312</c:v>
                </c:pt>
                <c:pt idx="2753">
                  <c:v>0.55076353103149767</c:v>
                </c:pt>
                <c:pt idx="2754">
                  <c:v>0.55097555873887039</c:v>
                </c:pt>
                <c:pt idx="2755">
                  <c:v>0.55100648157047261</c:v>
                </c:pt>
                <c:pt idx="2756">
                  <c:v>0.55139537937147431</c:v>
                </c:pt>
                <c:pt idx="2757">
                  <c:v>0.55158016142211386</c:v>
                </c:pt>
                <c:pt idx="2758">
                  <c:v>0.55169477333009587</c:v>
                </c:pt>
                <c:pt idx="2759">
                  <c:v>0.55191199537057245</c:v>
                </c:pt>
                <c:pt idx="2760">
                  <c:v>0.55202969204164798</c:v>
                </c:pt>
                <c:pt idx="2761">
                  <c:v>0.55221392613579845</c:v>
                </c:pt>
                <c:pt idx="2762">
                  <c:v>0.55246298914008374</c:v>
                </c:pt>
                <c:pt idx="2763">
                  <c:v>0.55279526723497441</c:v>
                </c:pt>
                <c:pt idx="2764">
                  <c:v>0.55283155505918702</c:v>
                </c:pt>
                <c:pt idx="2765">
                  <c:v>0.55311454256780312</c:v>
                </c:pt>
                <c:pt idx="2766">
                  <c:v>0.55328253292704055</c:v>
                </c:pt>
                <c:pt idx="2767">
                  <c:v>0.55341442085742354</c:v>
                </c:pt>
                <c:pt idx="2768">
                  <c:v>0.55371222589060476</c:v>
                </c:pt>
                <c:pt idx="2769">
                  <c:v>0.55396201002899603</c:v>
                </c:pt>
                <c:pt idx="2770">
                  <c:v>0.55416656939717157</c:v>
                </c:pt>
                <c:pt idx="2771">
                  <c:v>0.554271471411798</c:v>
                </c:pt>
                <c:pt idx="2772">
                  <c:v>0.55442958881716009</c:v>
                </c:pt>
                <c:pt idx="2773">
                  <c:v>0.55468250370684136</c:v>
                </c:pt>
                <c:pt idx="2774">
                  <c:v>0.55491399700914368</c:v>
                </c:pt>
                <c:pt idx="2775">
                  <c:v>0.55504241731093329</c:v>
                </c:pt>
                <c:pt idx="2776">
                  <c:v>0.5552523674316826</c:v>
                </c:pt>
                <c:pt idx="2777">
                  <c:v>0.55549974213105147</c:v>
                </c:pt>
                <c:pt idx="2778">
                  <c:v>0.5557244634662114</c:v>
                </c:pt>
                <c:pt idx="2779">
                  <c:v>0.55581654796000024</c:v>
                </c:pt>
                <c:pt idx="2780">
                  <c:v>0.55608719618392344</c:v>
                </c:pt>
                <c:pt idx="2781">
                  <c:v>0.55632757913584996</c:v>
                </c:pt>
                <c:pt idx="2782">
                  <c:v>0.55651582074358963</c:v>
                </c:pt>
                <c:pt idx="2783">
                  <c:v>0.5567590342898292</c:v>
                </c:pt>
                <c:pt idx="2784">
                  <c:v>0.55683002687809757</c:v>
                </c:pt>
                <c:pt idx="2785">
                  <c:v>0.55701361904978142</c:v>
                </c:pt>
                <c:pt idx="2786">
                  <c:v>0.55734499488830214</c:v>
                </c:pt>
                <c:pt idx="2787">
                  <c:v>0.55742611165024014</c:v>
                </c:pt>
                <c:pt idx="2788">
                  <c:v>0.55760999151831725</c:v>
                </c:pt>
                <c:pt idx="2789">
                  <c:v>0.5579553923521553</c:v>
                </c:pt>
                <c:pt idx="2790">
                  <c:v>0.5581027021948487</c:v>
                </c:pt>
                <c:pt idx="2791">
                  <c:v>0.5582611157744799</c:v>
                </c:pt>
                <c:pt idx="2792">
                  <c:v>0.55846243670439877</c:v>
                </c:pt>
                <c:pt idx="2793">
                  <c:v>0.55863882084242966</c:v>
                </c:pt>
                <c:pt idx="2794">
                  <c:v>0.55898819928336618</c:v>
                </c:pt>
                <c:pt idx="2795">
                  <c:v>0.55907660613508814</c:v>
                </c:pt>
                <c:pt idx="2796">
                  <c:v>0.55925082824645811</c:v>
                </c:pt>
                <c:pt idx="2797">
                  <c:v>0.55948717131160364</c:v>
                </c:pt>
                <c:pt idx="2798">
                  <c:v>0.55972041750897661</c:v>
                </c:pt>
                <c:pt idx="2799">
                  <c:v>0.55985504201083791</c:v>
                </c:pt>
                <c:pt idx="2800">
                  <c:v>0.5600040347379176</c:v>
                </c:pt>
                <c:pt idx="2801">
                  <c:v>0.56020106161041217</c:v>
                </c:pt>
                <c:pt idx="2802">
                  <c:v>0.56048225779945082</c:v>
                </c:pt>
                <c:pt idx="2803">
                  <c:v>0.56063159104814553</c:v>
                </c:pt>
                <c:pt idx="2804">
                  <c:v>0.56098577868621469</c:v>
                </c:pt>
                <c:pt idx="2805">
                  <c:v>0.56101952456604209</c:v>
                </c:pt>
                <c:pt idx="2806">
                  <c:v>0.56128727642066945</c:v>
                </c:pt>
                <c:pt idx="2807">
                  <c:v>0.56146112877010856</c:v>
                </c:pt>
                <c:pt idx="2808">
                  <c:v>0.56168459769861878</c:v>
                </c:pt>
                <c:pt idx="2809">
                  <c:v>0.5618657311172377</c:v>
                </c:pt>
                <c:pt idx="2810">
                  <c:v>0.56217499381782832</c:v>
                </c:pt>
                <c:pt idx="2811">
                  <c:v>0.56238430753158974</c:v>
                </c:pt>
                <c:pt idx="2812">
                  <c:v>0.56255807984754402</c:v>
                </c:pt>
                <c:pt idx="2813">
                  <c:v>0.56265237912611388</c:v>
                </c:pt>
                <c:pt idx="2814">
                  <c:v>0.56299099957565568</c:v>
                </c:pt>
                <c:pt idx="2815">
                  <c:v>0.5630426513205381</c:v>
                </c:pt>
                <c:pt idx="2816">
                  <c:v>0.56328662151863951</c:v>
                </c:pt>
                <c:pt idx="2817">
                  <c:v>0.56356775654637437</c:v>
                </c:pt>
                <c:pt idx="2818">
                  <c:v>0.56362283033682559</c:v>
                </c:pt>
                <c:pt idx="2819">
                  <c:v>0.56392214509568228</c:v>
                </c:pt>
                <c:pt idx="2820">
                  <c:v>0.56404840740939799</c:v>
                </c:pt>
                <c:pt idx="2821">
                  <c:v>0.56433075397944332</c:v>
                </c:pt>
                <c:pt idx="2822">
                  <c:v>0.56454596094790521</c:v>
                </c:pt>
                <c:pt idx="2823">
                  <c:v>0.5646704096542835</c:v>
                </c:pt>
                <c:pt idx="2824">
                  <c:v>0.56482903782069427</c:v>
                </c:pt>
                <c:pt idx="2825">
                  <c:v>0.5650998305163113</c:v>
                </c:pt>
                <c:pt idx="2826">
                  <c:v>0.56529696072086155</c:v>
                </c:pt>
                <c:pt idx="2827">
                  <c:v>0.56546315809359382</c:v>
                </c:pt>
                <c:pt idx="2828">
                  <c:v>0.56579306176188238</c:v>
                </c:pt>
                <c:pt idx="2829">
                  <c:v>0.56583282906935384</c:v>
                </c:pt>
                <c:pt idx="2830">
                  <c:v>0.5660100370849972</c:v>
                </c:pt>
                <c:pt idx="2831">
                  <c:v>0.56627039878765828</c:v>
                </c:pt>
                <c:pt idx="2832">
                  <c:v>0.56652310402466055</c:v>
                </c:pt>
                <c:pt idx="2833">
                  <c:v>0.56665119138426412</c:v>
                </c:pt>
                <c:pt idx="2834">
                  <c:v>0.56686704182696235</c:v>
                </c:pt>
                <c:pt idx="2835">
                  <c:v>0.56712477953194751</c:v>
                </c:pt>
                <c:pt idx="2836">
                  <c:v>0.56736180151155258</c:v>
                </c:pt>
                <c:pt idx="2837">
                  <c:v>0.56740201324904382</c:v>
                </c:pt>
                <c:pt idx="2838">
                  <c:v>0.56760651416685581</c:v>
                </c:pt>
                <c:pt idx="2839">
                  <c:v>0.56780640277648486</c:v>
                </c:pt>
                <c:pt idx="2840">
                  <c:v>0.56803739209404158</c:v>
                </c:pt>
                <c:pt idx="2841">
                  <c:v>0.56828593983605646</c:v>
                </c:pt>
                <c:pt idx="2842">
                  <c:v>0.56840286333179169</c:v>
                </c:pt>
                <c:pt idx="2843">
                  <c:v>0.56865065964489492</c:v>
                </c:pt>
                <c:pt idx="2844">
                  <c:v>0.5688084219334667</c:v>
                </c:pt>
                <c:pt idx="2845">
                  <c:v>0.56912267883124823</c:v>
                </c:pt>
                <c:pt idx="2846">
                  <c:v>0.56927681672309449</c:v>
                </c:pt>
                <c:pt idx="2847">
                  <c:v>0.5695547565588156</c:v>
                </c:pt>
                <c:pt idx="2848">
                  <c:v>0.56969408925243048</c:v>
                </c:pt>
                <c:pt idx="2849">
                  <c:v>0.56996177301992701</c:v>
                </c:pt>
                <c:pt idx="2850">
                  <c:v>0.57002554895133373</c:v>
                </c:pt>
                <c:pt idx="2851">
                  <c:v>0.57025388059561466</c:v>
                </c:pt>
                <c:pt idx="2852">
                  <c:v>0.57058909029764804</c:v>
                </c:pt>
                <c:pt idx="2853">
                  <c:v>0.57076501971673332</c:v>
                </c:pt>
                <c:pt idx="2854">
                  <c:v>0.57086863662294784</c:v>
                </c:pt>
                <c:pt idx="2855">
                  <c:v>0.57107118235744325</c:v>
                </c:pt>
                <c:pt idx="2856">
                  <c:v>0.57134805072507544</c:v>
                </c:pt>
                <c:pt idx="2857">
                  <c:v>0.57157001377110606</c:v>
                </c:pt>
                <c:pt idx="2858">
                  <c:v>0.5716035931129948</c:v>
                </c:pt>
                <c:pt idx="2859">
                  <c:v>0.57199457172523127</c:v>
                </c:pt>
                <c:pt idx="2860">
                  <c:v>0.57201023783269578</c:v>
                </c:pt>
                <c:pt idx="2861">
                  <c:v>0.57233682013348131</c:v>
                </c:pt>
                <c:pt idx="2862">
                  <c:v>0.57242783840606637</c:v>
                </c:pt>
                <c:pt idx="2863">
                  <c:v>0.57278316310317801</c:v>
                </c:pt>
                <c:pt idx="2864">
                  <c:v>0.57287879435417222</c:v>
                </c:pt>
                <c:pt idx="2865">
                  <c:v>0.57307457021341535</c:v>
                </c:pt>
                <c:pt idx="2866">
                  <c:v>0.57322734137466813</c:v>
                </c:pt>
                <c:pt idx="2867">
                  <c:v>0.57346819538023985</c:v>
                </c:pt>
                <c:pt idx="2868">
                  <c:v>0.5736457386884013</c:v>
                </c:pt>
                <c:pt idx="2869">
                  <c:v>0.57397160468906427</c:v>
                </c:pt>
                <c:pt idx="2870">
                  <c:v>0.57416469962656613</c:v>
                </c:pt>
                <c:pt idx="2871">
                  <c:v>0.57434617572560587</c:v>
                </c:pt>
                <c:pt idx="2872">
                  <c:v>0.57459832805544098</c:v>
                </c:pt>
                <c:pt idx="2873">
                  <c:v>0.57469478063036106</c:v>
                </c:pt>
                <c:pt idx="2874">
                  <c:v>0.5749692502787731</c:v>
                </c:pt>
                <c:pt idx="2875">
                  <c:v>0.57510464357992275</c:v>
                </c:pt>
                <c:pt idx="2876">
                  <c:v>0.57531262105645442</c:v>
                </c:pt>
                <c:pt idx="2877">
                  <c:v>0.57544010761288</c:v>
                </c:pt>
                <c:pt idx="2878">
                  <c:v>0.57568470188236909</c:v>
                </c:pt>
                <c:pt idx="2879">
                  <c:v>0.57588814350587514</c:v>
                </c:pt>
                <c:pt idx="2880">
                  <c:v>0.57613798473434008</c:v>
                </c:pt>
                <c:pt idx="2881">
                  <c:v>0.57636974167497124</c:v>
                </c:pt>
                <c:pt idx="2882">
                  <c:v>0.57652726277786481</c:v>
                </c:pt>
                <c:pt idx="2883">
                  <c:v>0.57679869223087998</c:v>
                </c:pt>
                <c:pt idx="2884">
                  <c:v>0.57686950178231799</c:v>
                </c:pt>
                <c:pt idx="2885">
                  <c:v>0.57700081735169528</c:v>
                </c:pt>
                <c:pt idx="2886">
                  <c:v>0.57733156171094901</c:v>
                </c:pt>
                <c:pt idx="2887">
                  <c:v>0.57758461760012081</c:v>
                </c:pt>
                <c:pt idx="2888">
                  <c:v>0.57773703472529003</c:v>
                </c:pt>
                <c:pt idx="2889">
                  <c:v>0.57782985520107433</c:v>
                </c:pt>
                <c:pt idx="2890">
                  <c:v>0.57811510237858521</c:v>
                </c:pt>
                <c:pt idx="2891">
                  <c:v>0.57839303170470358</c:v>
                </c:pt>
                <c:pt idx="2892">
                  <c:v>0.57841868414795461</c:v>
                </c:pt>
                <c:pt idx="2893">
                  <c:v>0.57871095542272344</c:v>
                </c:pt>
                <c:pt idx="2894">
                  <c:v>0.57888361620183182</c:v>
                </c:pt>
                <c:pt idx="2895">
                  <c:v>0.57903673196915462</c:v>
                </c:pt>
                <c:pt idx="2896">
                  <c:v>0.57923559284574244</c:v>
                </c:pt>
                <c:pt idx="2897">
                  <c:v>0.57944966232433204</c:v>
                </c:pt>
                <c:pt idx="2898">
                  <c:v>0.57975495169483016</c:v>
                </c:pt>
                <c:pt idx="2899">
                  <c:v>0.57998692221268711</c:v>
                </c:pt>
                <c:pt idx="2900">
                  <c:v>0.58010464889688995</c:v>
                </c:pt>
                <c:pt idx="2901">
                  <c:v>0.58035201909215006</c:v>
                </c:pt>
                <c:pt idx="2902">
                  <c:v>0.58056570845487654</c:v>
                </c:pt>
                <c:pt idx="2903">
                  <c:v>0.58077533395364311</c:v>
                </c:pt>
                <c:pt idx="2904">
                  <c:v>0.58093615853538183</c:v>
                </c:pt>
                <c:pt idx="2905">
                  <c:v>0.58111985462157056</c:v>
                </c:pt>
                <c:pt idx="2906">
                  <c:v>0.58129222291440052</c:v>
                </c:pt>
                <c:pt idx="2907">
                  <c:v>0.58159520949390608</c:v>
                </c:pt>
                <c:pt idx="2908">
                  <c:v>0.58178972523207539</c:v>
                </c:pt>
                <c:pt idx="2909">
                  <c:v>0.58187655340970412</c:v>
                </c:pt>
                <c:pt idx="2910">
                  <c:v>0.58216767641603195</c:v>
                </c:pt>
                <c:pt idx="2911">
                  <c:v>0.58229639017109214</c:v>
                </c:pt>
                <c:pt idx="2912">
                  <c:v>0.58254531882883642</c:v>
                </c:pt>
                <c:pt idx="2913">
                  <c:v>0.58269831972101205</c:v>
                </c:pt>
                <c:pt idx="2914">
                  <c:v>0.58296656939549518</c:v>
                </c:pt>
                <c:pt idx="2915">
                  <c:v>0.5830673748337355</c:v>
                </c:pt>
                <c:pt idx="2916">
                  <c:v>0.58321261365968091</c:v>
                </c:pt>
                <c:pt idx="2917">
                  <c:v>0.58352919675971593</c:v>
                </c:pt>
                <c:pt idx="2918">
                  <c:v>0.58377610879735464</c:v>
                </c:pt>
                <c:pt idx="2919">
                  <c:v>0.58393207008380721</c:v>
                </c:pt>
                <c:pt idx="2920">
                  <c:v>0.58406676050044293</c:v>
                </c:pt>
                <c:pt idx="2921">
                  <c:v>0.58425456855852498</c:v>
                </c:pt>
                <c:pt idx="2922">
                  <c:v>0.58455387006969051</c:v>
                </c:pt>
                <c:pt idx="2923">
                  <c:v>0.5847952075933095</c:v>
                </c:pt>
                <c:pt idx="2924">
                  <c:v>0.58484236107138965</c:v>
                </c:pt>
                <c:pt idx="2925">
                  <c:v>0.5850365934554107</c:v>
                </c:pt>
                <c:pt idx="2926">
                  <c:v>0.5852882155274246</c:v>
                </c:pt>
                <c:pt idx="2927">
                  <c:v>0.58546218192015353</c:v>
                </c:pt>
                <c:pt idx="2928">
                  <c:v>0.58568170641136397</c:v>
                </c:pt>
                <c:pt idx="2929">
                  <c:v>0.58599249756396576</c:v>
                </c:pt>
                <c:pt idx="2930">
                  <c:v>0.58600159857487344</c:v>
                </c:pt>
                <c:pt idx="2931">
                  <c:v>0.58639667501170112</c:v>
                </c:pt>
                <c:pt idx="2932">
                  <c:v>0.58657352997529633</c:v>
                </c:pt>
                <c:pt idx="2933">
                  <c:v>0.58663939155718303</c:v>
                </c:pt>
                <c:pt idx="2934">
                  <c:v>0.58680644236649537</c:v>
                </c:pt>
                <c:pt idx="2935">
                  <c:v>0.58707360195328329</c:v>
                </c:pt>
                <c:pt idx="2936">
                  <c:v>0.58732393162607299</c:v>
                </c:pt>
                <c:pt idx="2937">
                  <c:v>0.58753169673288508</c:v>
                </c:pt>
                <c:pt idx="2938">
                  <c:v>0.58762391111772128</c:v>
                </c:pt>
                <c:pt idx="2939">
                  <c:v>0.58797181085668782</c:v>
                </c:pt>
                <c:pt idx="2940">
                  <c:v>0.58807569272701532</c:v>
                </c:pt>
                <c:pt idx="2941">
                  <c:v>0.58822733273893302</c:v>
                </c:pt>
                <c:pt idx="2942">
                  <c:v>0.58843949814155683</c:v>
                </c:pt>
                <c:pt idx="2943">
                  <c:v>0.58876213701739022</c:v>
                </c:pt>
                <c:pt idx="2944">
                  <c:v>0.58897267337212633</c:v>
                </c:pt>
                <c:pt idx="2945">
                  <c:v>0.58914482869872475</c:v>
                </c:pt>
                <c:pt idx="2946">
                  <c:v>0.58931773634108653</c:v>
                </c:pt>
                <c:pt idx="2947">
                  <c:v>0.58957008566823088</c:v>
                </c:pt>
                <c:pt idx="2948">
                  <c:v>0.5896977866675932</c:v>
                </c:pt>
                <c:pt idx="2949">
                  <c:v>0.58991189293319168</c:v>
                </c:pt>
                <c:pt idx="2950">
                  <c:v>0.59011088462046135</c:v>
                </c:pt>
                <c:pt idx="2951">
                  <c:v>0.59034943683923913</c:v>
                </c:pt>
                <c:pt idx="2952">
                  <c:v>0.5905866707640669</c:v>
                </c:pt>
                <c:pt idx="2953">
                  <c:v>0.59062397564785174</c:v>
                </c:pt>
                <c:pt idx="2954">
                  <c:v>0.59083301979075964</c:v>
                </c:pt>
                <c:pt idx="2955">
                  <c:v>0.59117677848007921</c:v>
                </c:pt>
                <c:pt idx="2956">
                  <c:v>0.59130235943414788</c:v>
                </c:pt>
                <c:pt idx="2957">
                  <c:v>0.59156374959316194</c:v>
                </c:pt>
                <c:pt idx="2958">
                  <c:v>0.59170338978658044</c:v>
                </c:pt>
                <c:pt idx="2959">
                  <c:v>0.59184020186551856</c:v>
                </c:pt>
                <c:pt idx="2960">
                  <c:v>0.59216477916663623</c:v>
                </c:pt>
                <c:pt idx="2961">
                  <c:v>0.59234416316741711</c:v>
                </c:pt>
                <c:pt idx="2962">
                  <c:v>0.59253276570395863</c:v>
                </c:pt>
                <c:pt idx="2963">
                  <c:v>0.59279874437414082</c:v>
                </c:pt>
                <c:pt idx="2964">
                  <c:v>0.59287385574622864</c:v>
                </c:pt>
                <c:pt idx="2965">
                  <c:v>0.59317451254044995</c:v>
                </c:pt>
                <c:pt idx="2966">
                  <c:v>0.59331943638104001</c:v>
                </c:pt>
                <c:pt idx="2967">
                  <c:v>0.59356240781726377</c:v>
                </c:pt>
                <c:pt idx="2968">
                  <c:v>0.59368064444900503</c:v>
                </c:pt>
                <c:pt idx="2969">
                  <c:v>0.59382583892015406</c:v>
                </c:pt>
                <c:pt idx="2970">
                  <c:v>0.59406165103159414</c:v>
                </c:pt>
                <c:pt idx="2971">
                  <c:v>0.59423929596409186</c:v>
                </c:pt>
                <c:pt idx="2972">
                  <c:v>0.59447362358487987</c:v>
                </c:pt>
                <c:pt idx="2973">
                  <c:v>0.59469357764075825</c:v>
                </c:pt>
                <c:pt idx="2974">
                  <c:v>0.59482257767348146</c:v>
                </c:pt>
                <c:pt idx="2975">
                  <c:v>0.59511416520786331</c:v>
                </c:pt>
                <c:pt idx="2976">
                  <c:v>0.59528278995782202</c:v>
                </c:pt>
                <c:pt idx="2977">
                  <c:v>0.5955081151552285</c:v>
                </c:pt>
                <c:pt idx="2978">
                  <c:v>0.59576706497184173</c:v>
                </c:pt>
                <c:pt idx="2979">
                  <c:v>0.59597021575141007</c:v>
                </c:pt>
                <c:pt idx="2980">
                  <c:v>0.59609122146100069</c:v>
                </c:pt>
                <c:pt idx="2981">
                  <c:v>0.59639377087969192</c:v>
                </c:pt>
                <c:pt idx="2982">
                  <c:v>0.59659114568056326</c:v>
                </c:pt>
                <c:pt idx="2983">
                  <c:v>0.59670024982204206</c:v>
                </c:pt>
                <c:pt idx="2984">
                  <c:v>0.59699742668261691</c:v>
                </c:pt>
                <c:pt idx="2985">
                  <c:v>0.59703623156534424</c:v>
                </c:pt>
                <c:pt idx="2986">
                  <c:v>0.59732492501463863</c:v>
                </c:pt>
                <c:pt idx="2987">
                  <c:v>0.59749102902135132</c:v>
                </c:pt>
                <c:pt idx="2988">
                  <c:v>0.59764643233703596</c:v>
                </c:pt>
                <c:pt idx="2989">
                  <c:v>0.59796791027303975</c:v>
                </c:pt>
                <c:pt idx="2990">
                  <c:v>0.59811498419258624</c:v>
                </c:pt>
                <c:pt idx="2991">
                  <c:v>0.59837572427205177</c:v>
                </c:pt>
                <c:pt idx="2992">
                  <c:v>0.59856028600860389</c:v>
                </c:pt>
                <c:pt idx="2993">
                  <c:v>0.59876234883823487</c:v>
                </c:pt>
                <c:pt idx="2994">
                  <c:v>0.59892505749187552</c:v>
                </c:pt>
                <c:pt idx="2995">
                  <c:v>0.59909997088571543</c:v>
                </c:pt>
                <c:pt idx="2996">
                  <c:v>0.59925091201380143</c:v>
                </c:pt>
                <c:pt idx="2997">
                  <c:v>0.59950773700543392</c:v>
                </c:pt>
                <c:pt idx="2998">
                  <c:v>0.59962311289143355</c:v>
                </c:pt>
                <c:pt idx="2999">
                  <c:v>0.59989284322501457</c:v>
                </c:pt>
                <c:pt idx="3000">
                  <c:v>0.60012262680486839</c:v>
                </c:pt>
                <c:pt idx="3001">
                  <c:v>0.60031507419457553</c:v>
                </c:pt>
                <c:pt idx="3002">
                  <c:v>0.60054946738787685</c:v>
                </c:pt>
                <c:pt idx="3003">
                  <c:v>0.60073765835145898</c:v>
                </c:pt>
                <c:pt idx="3004">
                  <c:v>0.60091333881740305</c:v>
                </c:pt>
                <c:pt idx="3005">
                  <c:v>0.60117085989699015</c:v>
                </c:pt>
                <c:pt idx="3006">
                  <c:v>0.60121328986222233</c:v>
                </c:pt>
                <c:pt idx="3007">
                  <c:v>0.60154962833513259</c:v>
                </c:pt>
                <c:pt idx="3008">
                  <c:v>0.60163233817201867</c:v>
                </c:pt>
                <c:pt idx="3009">
                  <c:v>0.60197085057561539</c:v>
                </c:pt>
                <c:pt idx="3010">
                  <c:v>0.60217675761728928</c:v>
                </c:pt>
                <c:pt idx="3011">
                  <c:v>0.60228947028799207</c:v>
                </c:pt>
                <c:pt idx="3012">
                  <c:v>0.60256026561790155</c:v>
                </c:pt>
                <c:pt idx="3013">
                  <c:v>0.60268458284090387</c:v>
                </c:pt>
                <c:pt idx="3014">
                  <c:v>0.60281674716039957</c:v>
                </c:pt>
                <c:pt idx="3015">
                  <c:v>0.60307456380917568</c:v>
                </c:pt>
                <c:pt idx="3016">
                  <c:v>0.60328497740078835</c:v>
                </c:pt>
                <c:pt idx="3017">
                  <c:v>0.60353871871124454</c:v>
                </c:pt>
                <c:pt idx="3018">
                  <c:v>0.60371591852771023</c:v>
                </c:pt>
                <c:pt idx="3019">
                  <c:v>0.6038851186057751</c:v>
                </c:pt>
                <c:pt idx="3020">
                  <c:v>0.60414677466171485</c:v>
                </c:pt>
                <c:pt idx="3021">
                  <c:v>0.60427169597262331</c:v>
                </c:pt>
                <c:pt idx="3022">
                  <c:v>0.60443847857528332</c:v>
                </c:pt>
                <c:pt idx="3023">
                  <c:v>0.60465068173023195</c:v>
                </c:pt>
                <c:pt idx="3024">
                  <c:v>0.60485045471658239</c:v>
                </c:pt>
                <c:pt idx="3025">
                  <c:v>0.60507496271111882</c:v>
                </c:pt>
                <c:pt idx="3026">
                  <c:v>0.60536654833312298</c:v>
                </c:pt>
                <c:pt idx="3027">
                  <c:v>0.60550721434133759</c:v>
                </c:pt>
                <c:pt idx="3028">
                  <c:v>0.60570050145576249</c:v>
                </c:pt>
                <c:pt idx="3029">
                  <c:v>0.60585662961235653</c:v>
                </c:pt>
                <c:pt idx="3030">
                  <c:v>0.60616431794244896</c:v>
                </c:pt>
                <c:pt idx="3031">
                  <c:v>0.60636985697121593</c:v>
                </c:pt>
                <c:pt idx="3032">
                  <c:v>0.60644969386715664</c:v>
                </c:pt>
                <c:pt idx="3033">
                  <c:v>0.60676599561841371</c:v>
                </c:pt>
                <c:pt idx="3034">
                  <c:v>0.60683152520373274</c:v>
                </c:pt>
                <c:pt idx="3035">
                  <c:v>0.60711279216639535</c:v>
                </c:pt>
                <c:pt idx="3036">
                  <c:v>0.60728010305438196</c:v>
                </c:pt>
                <c:pt idx="3037">
                  <c:v>0.60750158582537006</c:v>
                </c:pt>
                <c:pt idx="3038">
                  <c:v>0.60774350649396502</c:v>
                </c:pt>
                <c:pt idx="3039">
                  <c:v>0.60781540657920186</c:v>
                </c:pt>
                <c:pt idx="3040">
                  <c:v>0.60812160814812444</c:v>
                </c:pt>
                <c:pt idx="3041">
                  <c:v>0.60838835021876458</c:v>
                </c:pt>
                <c:pt idx="3042">
                  <c:v>0.60840022293883389</c:v>
                </c:pt>
                <c:pt idx="3043">
                  <c:v>0.60879491788335027</c:v>
                </c:pt>
                <c:pt idx="3044">
                  <c:v>0.60893672641151042</c:v>
                </c:pt>
                <c:pt idx="3045">
                  <c:v>0.60901938454471982</c:v>
                </c:pt>
                <c:pt idx="3046">
                  <c:v>0.60938064726008578</c:v>
                </c:pt>
                <c:pt idx="3047">
                  <c:v>0.6095931810026507</c:v>
                </c:pt>
                <c:pt idx="3048">
                  <c:v>0.60965606541835149</c:v>
                </c:pt>
                <c:pt idx="3049">
                  <c:v>0.60991302832800731</c:v>
                </c:pt>
                <c:pt idx="3050">
                  <c:v>0.61006300344803899</c:v>
                </c:pt>
                <c:pt idx="3051">
                  <c:v>0.61038569947494792</c:v>
                </c:pt>
                <c:pt idx="3052">
                  <c:v>0.61048545291113798</c:v>
                </c:pt>
                <c:pt idx="3053">
                  <c:v>0.6107245814035005</c:v>
                </c:pt>
                <c:pt idx="3054">
                  <c:v>0.61090773168176127</c:v>
                </c:pt>
                <c:pt idx="3055">
                  <c:v>0.61115842782076413</c:v>
                </c:pt>
                <c:pt idx="3056">
                  <c:v>0.61122245343314074</c:v>
                </c:pt>
                <c:pt idx="3057">
                  <c:v>0.61155928654530067</c:v>
                </c:pt>
                <c:pt idx="3058">
                  <c:v>0.61179856019215617</c:v>
                </c:pt>
                <c:pt idx="3059">
                  <c:v>0.61198073672670428</c:v>
                </c:pt>
                <c:pt idx="3060">
                  <c:v>0.61200505738724142</c:v>
                </c:pt>
                <c:pt idx="3061">
                  <c:v>0.61223096053247128</c:v>
                </c:pt>
                <c:pt idx="3062">
                  <c:v>0.61259065371565302</c:v>
                </c:pt>
                <c:pt idx="3063">
                  <c:v>0.61269966505316542</c:v>
                </c:pt>
                <c:pt idx="3064">
                  <c:v>0.61293601292440103</c:v>
                </c:pt>
                <c:pt idx="3065">
                  <c:v>0.61313919018631313</c:v>
                </c:pt>
                <c:pt idx="3066">
                  <c:v>0.61334253947533257</c:v>
                </c:pt>
                <c:pt idx="3067">
                  <c:v>0.61340497424444307</c:v>
                </c:pt>
                <c:pt idx="3068">
                  <c:v>0.61371712689584057</c:v>
                </c:pt>
                <c:pt idx="3069">
                  <c:v>0.61394584218267023</c:v>
                </c:pt>
                <c:pt idx="3070">
                  <c:v>0.61413578944046421</c:v>
                </c:pt>
                <c:pt idx="3071">
                  <c:v>0.61434153552445148</c:v>
                </c:pt>
                <c:pt idx="3072">
                  <c:v>0.61448005466896116</c:v>
                </c:pt>
                <c:pt idx="3073">
                  <c:v>0.61462310037240919</c:v>
                </c:pt>
                <c:pt idx="3074">
                  <c:v>0.61491711675965166</c:v>
                </c:pt>
                <c:pt idx="3075">
                  <c:v>0.61508580210867481</c:v>
                </c:pt>
                <c:pt idx="3076">
                  <c:v>0.61529426546457555</c:v>
                </c:pt>
                <c:pt idx="3077">
                  <c:v>0.6154432517982189</c:v>
                </c:pt>
                <c:pt idx="3078">
                  <c:v>0.61568596578149259</c:v>
                </c:pt>
                <c:pt idx="3079">
                  <c:v>0.61595628688641735</c:v>
                </c:pt>
                <c:pt idx="3080">
                  <c:v>0.61617833200385297</c:v>
                </c:pt>
                <c:pt idx="3081">
                  <c:v>0.61631484993959662</c:v>
                </c:pt>
                <c:pt idx="3082">
                  <c:v>0.61646031024699566</c:v>
                </c:pt>
                <c:pt idx="3083">
                  <c:v>0.61663802094455755</c:v>
                </c:pt>
                <c:pt idx="3084">
                  <c:v>0.61681868265192463</c:v>
                </c:pt>
                <c:pt idx="3085">
                  <c:v>0.61711428185340822</c:v>
                </c:pt>
                <c:pt idx="3086">
                  <c:v>0.61723328370271091</c:v>
                </c:pt>
                <c:pt idx="3087">
                  <c:v>0.61757249679625326</c:v>
                </c:pt>
                <c:pt idx="3088">
                  <c:v>0.61775996210737161</c:v>
                </c:pt>
                <c:pt idx="3089">
                  <c:v>0.61784145535743829</c:v>
                </c:pt>
                <c:pt idx="3090">
                  <c:v>0.61817665235059727</c:v>
                </c:pt>
                <c:pt idx="3091">
                  <c:v>0.61827024215368331</c:v>
                </c:pt>
                <c:pt idx="3092">
                  <c:v>0.61855155957996644</c:v>
                </c:pt>
                <c:pt idx="3093">
                  <c:v>0.61864015825824814</c:v>
                </c:pt>
                <c:pt idx="3094">
                  <c:v>0.61890247144482624</c:v>
                </c:pt>
                <c:pt idx="3095">
                  <c:v>0.61911925519512012</c:v>
                </c:pt>
                <c:pt idx="3096">
                  <c:v>0.61931000863916941</c:v>
                </c:pt>
                <c:pt idx="3097">
                  <c:v>0.61942376484163664</c:v>
                </c:pt>
                <c:pt idx="3098">
                  <c:v>0.61976193572356419</c:v>
                </c:pt>
                <c:pt idx="3099">
                  <c:v>0.61996505118947598</c:v>
                </c:pt>
                <c:pt idx="3100">
                  <c:v>0.62006153108683926</c:v>
                </c:pt>
                <c:pt idx="3101">
                  <c:v>0.62035345379862783</c:v>
                </c:pt>
                <c:pt idx="3102">
                  <c:v>0.62059923399616945</c:v>
                </c:pt>
                <c:pt idx="3103">
                  <c:v>0.62063255071212364</c:v>
                </c:pt>
                <c:pt idx="3104">
                  <c:v>0.62082431878732147</c:v>
                </c:pt>
                <c:pt idx="3105">
                  <c:v>0.62107398569441252</c:v>
                </c:pt>
                <c:pt idx="3106">
                  <c:v>0.62134486935868505</c:v>
                </c:pt>
                <c:pt idx="3107">
                  <c:v>0.62145317213820594</c:v>
                </c:pt>
                <c:pt idx="3108">
                  <c:v>0.62163760157116632</c:v>
                </c:pt>
                <c:pt idx="3109">
                  <c:v>0.62186998778383018</c:v>
                </c:pt>
                <c:pt idx="3110">
                  <c:v>0.62203573250659638</c:v>
                </c:pt>
                <c:pt idx="3111">
                  <c:v>0.6223766513606479</c:v>
                </c:pt>
                <c:pt idx="3112">
                  <c:v>0.62254705582250536</c:v>
                </c:pt>
                <c:pt idx="3113">
                  <c:v>0.62260484403297411</c:v>
                </c:pt>
                <c:pt idx="3114">
                  <c:v>0.62293391164139233</c:v>
                </c:pt>
                <c:pt idx="3115">
                  <c:v>0.62306282200414287</c:v>
                </c:pt>
                <c:pt idx="3116">
                  <c:v>0.62332739406706006</c:v>
                </c:pt>
                <c:pt idx="3117">
                  <c:v>0.623584035014078</c:v>
                </c:pt>
                <c:pt idx="3118">
                  <c:v>0.6237374736871425</c:v>
                </c:pt>
                <c:pt idx="3119">
                  <c:v>0.62387304997920823</c:v>
                </c:pt>
                <c:pt idx="3120">
                  <c:v>0.62412378881362351</c:v>
                </c:pt>
                <c:pt idx="3121">
                  <c:v>0.62434160974112851</c:v>
                </c:pt>
                <c:pt idx="3122">
                  <c:v>0.62440301126148623</c:v>
                </c:pt>
                <c:pt idx="3123">
                  <c:v>0.62472598494666776</c:v>
                </c:pt>
                <c:pt idx="3124">
                  <c:v>0.62491785470240702</c:v>
                </c:pt>
                <c:pt idx="3125">
                  <c:v>0.62518000826462639</c:v>
                </c:pt>
                <c:pt idx="3126">
                  <c:v>0.62523375461381714</c:v>
                </c:pt>
                <c:pt idx="3127">
                  <c:v>0.62559409506334784</c:v>
                </c:pt>
                <c:pt idx="3128">
                  <c:v>0.62579329591938138</c:v>
                </c:pt>
                <c:pt idx="3129">
                  <c:v>0.62580402418351821</c:v>
                </c:pt>
                <c:pt idx="3130">
                  <c:v>0.62600804287898548</c:v>
                </c:pt>
                <c:pt idx="3131">
                  <c:v>0.62635208146575649</c:v>
                </c:pt>
                <c:pt idx="3132">
                  <c:v>0.62642683234969787</c:v>
                </c:pt>
                <c:pt idx="3133">
                  <c:v>0.62677933641625083</c:v>
                </c:pt>
                <c:pt idx="3134">
                  <c:v>0.62697018546964278</c:v>
                </c:pt>
                <c:pt idx="3135">
                  <c:v>0.62705564013292436</c:v>
                </c:pt>
                <c:pt idx="3136">
                  <c:v>0.62725847890378406</c:v>
                </c:pt>
                <c:pt idx="3137">
                  <c:v>0.62740700934496874</c:v>
                </c:pt>
                <c:pt idx="3138">
                  <c:v>0.62772411422602004</c:v>
                </c:pt>
                <c:pt idx="3139">
                  <c:v>0.62788961924274667</c:v>
                </c:pt>
                <c:pt idx="3140">
                  <c:v>0.62804835383511348</c:v>
                </c:pt>
                <c:pt idx="3141">
                  <c:v>0.62827483176749088</c:v>
                </c:pt>
                <c:pt idx="3142">
                  <c:v>0.62854224452174789</c:v>
                </c:pt>
                <c:pt idx="3143">
                  <c:v>0.62861328128502081</c:v>
                </c:pt>
                <c:pt idx="3144">
                  <c:v>0.62893960672573634</c:v>
                </c:pt>
                <c:pt idx="3145">
                  <c:v>0.62902429957944528</c:v>
                </c:pt>
                <c:pt idx="3146">
                  <c:v>0.62937742394762519</c:v>
                </c:pt>
                <c:pt idx="3147">
                  <c:v>0.62953894716266989</c:v>
                </c:pt>
                <c:pt idx="3148">
                  <c:v>0.62974071881313354</c:v>
                </c:pt>
                <c:pt idx="3149">
                  <c:v>0.62981311251237371</c:v>
                </c:pt>
                <c:pt idx="3150">
                  <c:v>0.63003720075004666</c:v>
                </c:pt>
                <c:pt idx="3151">
                  <c:v>0.63032739671350624</c:v>
                </c:pt>
                <c:pt idx="3152">
                  <c:v>0.63053234738142516</c:v>
                </c:pt>
                <c:pt idx="3153">
                  <c:v>0.63072537213669289</c:v>
                </c:pt>
                <c:pt idx="3154">
                  <c:v>0.63090772265799056</c:v>
                </c:pt>
                <c:pt idx="3155">
                  <c:v>0.63114819539500122</c:v>
                </c:pt>
                <c:pt idx="3156">
                  <c:v>0.63121198800858391</c:v>
                </c:pt>
                <c:pt idx="3157">
                  <c:v>0.63150662203196128</c:v>
                </c:pt>
                <c:pt idx="3158">
                  <c:v>0.63164492461212096</c:v>
                </c:pt>
                <c:pt idx="3159">
                  <c:v>0.6319247155699238</c:v>
                </c:pt>
                <c:pt idx="3160">
                  <c:v>0.63218672930933228</c:v>
                </c:pt>
                <c:pt idx="3161">
                  <c:v>0.63235016375862763</c:v>
                </c:pt>
                <c:pt idx="3162">
                  <c:v>0.63242561003580355</c:v>
                </c:pt>
                <c:pt idx="3163">
                  <c:v>0.63267424455198329</c:v>
                </c:pt>
                <c:pt idx="3164">
                  <c:v>0.63295072965634769</c:v>
                </c:pt>
                <c:pt idx="3165">
                  <c:v>0.63305389705431969</c:v>
                </c:pt>
                <c:pt idx="3166">
                  <c:v>0.63325783002936697</c:v>
                </c:pt>
                <c:pt idx="3167">
                  <c:v>0.63344571627947632</c:v>
                </c:pt>
                <c:pt idx="3168">
                  <c:v>0.63367814323917915</c:v>
                </c:pt>
                <c:pt idx="3169">
                  <c:v>0.63395494498348681</c:v>
                </c:pt>
                <c:pt idx="3170">
                  <c:v>0.63407584506945591</c:v>
                </c:pt>
                <c:pt idx="3171">
                  <c:v>0.63426012921725872</c:v>
                </c:pt>
                <c:pt idx="3172">
                  <c:v>0.63454910532309428</c:v>
                </c:pt>
                <c:pt idx="3173">
                  <c:v>0.63472724579193796</c:v>
                </c:pt>
                <c:pt idx="3174">
                  <c:v>0.63497399991372927</c:v>
                </c:pt>
                <c:pt idx="3175">
                  <c:v>0.63506866989593691</c:v>
                </c:pt>
                <c:pt idx="3176">
                  <c:v>0.63522783874897937</c:v>
                </c:pt>
                <c:pt idx="3177">
                  <c:v>0.63542014728868856</c:v>
                </c:pt>
                <c:pt idx="3178">
                  <c:v>0.63561269509867124</c:v>
                </c:pt>
                <c:pt idx="3179">
                  <c:v>0.63595838159372986</c:v>
                </c:pt>
                <c:pt idx="3180">
                  <c:v>0.63608795486122549</c:v>
                </c:pt>
                <c:pt idx="3181">
                  <c:v>0.63633593425618851</c:v>
                </c:pt>
                <c:pt idx="3182">
                  <c:v>0.63641218615458628</c:v>
                </c:pt>
                <c:pt idx="3183">
                  <c:v>0.63671624236184088</c:v>
                </c:pt>
                <c:pt idx="3184">
                  <c:v>0.63685382332598184</c:v>
                </c:pt>
                <c:pt idx="3185">
                  <c:v>0.6371080719521055</c:v>
                </c:pt>
                <c:pt idx="3186">
                  <c:v>0.63730762511033279</c:v>
                </c:pt>
                <c:pt idx="3187">
                  <c:v>0.637506917350671</c:v>
                </c:pt>
                <c:pt idx="3188">
                  <c:v>0.63761404815940514</c:v>
                </c:pt>
                <c:pt idx="3189">
                  <c:v>0.63797229708073944</c:v>
                </c:pt>
                <c:pt idx="3190">
                  <c:v>0.6380995202642632</c:v>
                </c:pt>
                <c:pt idx="3191">
                  <c:v>0.63832204382329294</c:v>
                </c:pt>
                <c:pt idx="3192">
                  <c:v>0.638488390956374</c:v>
                </c:pt>
                <c:pt idx="3193">
                  <c:v>0.63871782376005271</c:v>
                </c:pt>
                <c:pt idx="3194">
                  <c:v>0.63882348433356351</c:v>
                </c:pt>
                <c:pt idx="3195">
                  <c:v>0.63919140749475722</c:v>
                </c:pt>
                <c:pt idx="3196">
                  <c:v>0.6392787701063507</c:v>
                </c:pt>
                <c:pt idx="3197">
                  <c:v>0.63944878165606611</c:v>
                </c:pt>
                <c:pt idx="3198">
                  <c:v>0.63977917341468371</c:v>
                </c:pt>
                <c:pt idx="3199">
                  <c:v>0.63997379569443269</c:v>
                </c:pt>
                <c:pt idx="3200">
                  <c:v>0.64000771559793679</c:v>
                </c:pt>
                <c:pt idx="3201">
                  <c:v>0.64038126089334979</c:v>
                </c:pt>
                <c:pt idx="3202">
                  <c:v>0.64050224066639838</c:v>
                </c:pt>
                <c:pt idx="3203">
                  <c:v>0.64068845260899709</c:v>
                </c:pt>
                <c:pt idx="3204">
                  <c:v>0.64088132048265112</c:v>
                </c:pt>
                <c:pt idx="3205">
                  <c:v>0.64107457915131805</c:v>
                </c:pt>
                <c:pt idx="3206">
                  <c:v>0.64127609531108198</c:v>
                </c:pt>
                <c:pt idx="3207">
                  <c:v>0.64153851640330128</c:v>
                </c:pt>
                <c:pt idx="3208">
                  <c:v>0.64165305458694999</c:v>
                </c:pt>
                <c:pt idx="3209">
                  <c:v>0.64185272255415393</c:v>
                </c:pt>
                <c:pt idx="3210">
                  <c:v>0.64217637167069519</c:v>
                </c:pt>
                <c:pt idx="3211">
                  <c:v>0.64222525287634358</c:v>
                </c:pt>
                <c:pt idx="3212">
                  <c:v>0.64251492742968608</c:v>
                </c:pt>
                <c:pt idx="3213">
                  <c:v>0.64267870137097283</c:v>
                </c:pt>
                <c:pt idx="3214">
                  <c:v>0.64283938992974332</c:v>
                </c:pt>
                <c:pt idx="3215">
                  <c:v>0.64311796397662679</c:v>
                </c:pt>
                <c:pt idx="3216">
                  <c:v>0.64332663746227658</c:v>
                </c:pt>
                <c:pt idx="3217">
                  <c:v>0.64356264603761082</c:v>
                </c:pt>
                <c:pt idx="3218">
                  <c:v>0.64367947072900811</c:v>
                </c:pt>
                <c:pt idx="3219">
                  <c:v>0.64394697570538773</c:v>
                </c:pt>
                <c:pt idx="3220">
                  <c:v>0.64400863683731491</c:v>
                </c:pt>
                <c:pt idx="3221">
                  <c:v>0.64423247798980032</c:v>
                </c:pt>
                <c:pt idx="3222">
                  <c:v>0.64459473632280595</c:v>
                </c:pt>
                <c:pt idx="3223">
                  <c:v>0.64478222081339498</c:v>
                </c:pt>
                <c:pt idx="3224">
                  <c:v>0.64494388230017941</c:v>
                </c:pt>
                <c:pt idx="3225">
                  <c:v>0.64510987836632638</c:v>
                </c:pt>
                <c:pt idx="3226">
                  <c:v>0.64525422108509911</c:v>
                </c:pt>
                <c:pt idx="3227">
                  <c:v>0.64546365340609657</c:v>
                </c:pt>
                <c:pt idx="3228">
                  <c:v>0.64568795057174</c:v>
                </c:pt>
                <c:pt idx="3229">
                  <c:v>0.64580055649466817</c:v>
                </c:pt>
                <c:pt idx="3230">
                  <c:v>0.64603338295771584</c:v>
                </c:pt>
                <c:pt idx="3231">
                  <c:v>0.64624311798439427</c:v>
                </c:pt>
                <c:pt idx="3232">
                  <c:v>0.64658721858267376</c:v>
                </c:pt>
                <c:pt idx="3233">
                  <c:v>0.6467442545350045</c:v>
                </c:pt>
                <c:pt idx="3234">
                  <c:v>0.64698345532989676</c:v>
                </c:pt>
                <c:pt idx="3235">
                  <c:v>0.64716913972608026</c:v>
                </c:pt>
                <c:pt idx="3236">
                  <c:v>0.6473469998870387</c:v>
                </c:pt>
                <c:pt idx="3237">
                  <c:v>0.64750710121875332</c:v>
                </c:pt>
                <c:pt idx="3238">
                  <c:v>0.64765273014159241</c:v>
                </c:pt>
                <c:pt idx="3239">
                  <c:v>0.64787841332910545</c:v>
                </c:pt>
                <c:pt idx="3240">
                  <c:v>0.64809710526720088</c:v>
                </c:pt>
                <c:pt idx="3241">
                  <c:v>0.64831991060923788</c:v>
                </c:pt>
                <c:pt idx="3242">
                  <c:v>0.64842808931205143</c:v>
                </c:pt>
                <c:pt idx="3243">
                  <c:v>0.64865081316829909</c:v>
                </c:pt>
                <c:pt idx="3244">
                  <c:v>0.6489287972285247</c:v>
                </c:pt>
                <c:pt idx="3245">
                  <c:v>0.64911384454940302</c:v>
                </c:pt>
                <c:pt idx="3246">
                  <c:v>0.64925105613000955</c:v>
                </c:pt>
                <c:pt idx="3247">
                  <c:v>0.6495993104344232</c:v>
                </c:pt>
                <c:pt idx="3248">
                  <c:v>0.64978135806303039</c:v>
                </c:pt>
                <c:pt idx="3249">
                  <c:v>0.64985067748223679</c:v>
                </c:pt>
                <c:pt idx="3250">
                  <c:v>0.6500380371420732</c:v>
                </c:pt>
                <c:pt idx="3251">
                  <c:v>0.65025616055355784</c:v>
                </c:pt>
                <c:pt idx="3252">
                  <c:v>0.65057738105630902</c:v>
                </c:pt>
                <c:pt idx="3253">
                  <c:v>0.65061448009084311</c:v>
                </c:pt>
                <c:pt idx="3254">
                  <c:v>0.65084824602008995</c:v>
                </c:pt>
                <c:pt idx="3255">
                  <c:v>0.6510935322372926</c:v>
                </c:pt>
                <c:pt idx="3256">
                  <c:v>0.65134370126317809</c:v>
                </c:pt>
                <c:pt idx="3257">
                  <c:v>0.65154641301993899</c:v>
                </c:pt>
                <c:pt idx="3258">
                  <c:v>0.65165175601701519</c:v>
                </c:pt>
                <c:pt idx="3259">
                  <c:v>0.65196472710998843</c:v>
                </c:pt>
                <c:pt idx="3260">
                  <c:v>0.65200716206086962</c:v>
                </c:pt>
                <c:pt idx="3261">
                  <c:v>0.6522699220276601</c:v>
                </c:pt>
                <c:pt idx="3262">
                  <c:v>0.6524955741008035</c:v>
                </c:pt>
                <c:pt idx="3263">
                  <c:v>0.6526135395473367</c:v>
                </c:pt>
                <c:pt idx="3264">
                  <c:v>0.65292612669079708</c:v>
                </c:pt>
                <c:pt idx="3265">
                  <c:v>0.65312060556917473</c:v>
                </c:pt>
                <c:pt idx="3266">
                  <c:v>0.65329533091618108</c:v>
                </c:pt>
                <c:pt idx="3267">
                  <c:v>0.65359214540221544</c:v>
                </c:pt>
                <c:pt idx="3268">
                  <c:v>0.65369038742242624</c:v>
                </c:pt>
                <c:pt idx="3269">
                  <c:v>0.65385443862035275</c:v>
                </c:pt>
                <c:pt idx="3270">
                  <c:v>0.65407733227738118</c:v>
                </c:pt>
                <c:pt idx="3271">
                  <c:v>0.65421835362860425</c:v>
                </c:pt>
                <c:pt idx="3272">
                  <c:v>0.65454092382796603</c:v>
                </c:pt>
                <c:pt idx="3273">
                  <c:v>0.65460985652106107</c:v>
                </c:pt>
                <c:pt idx="3274">
                  <c:v>0.65492547836669845</c:v>
                </c:pt>
                <c:pt idx="3275">
                  <c:v>0.65504810705884542</c:v>
                </c:pt>
                <c:pt idx="3276">
                  <c:v>0.6553229075630016</c:v>
                </c:pt>
                <c:pt idx="3277">
                  <c:v>0.65551870255589451</c:v>
                </c:pt>
                <c:pt idx="3278">
                  <c:v>0.6557324410593911</c:v>
                </c:pt>
                <c:pt idx="3279">
                  <c:v>0.65584036481753927</c:v>
                </c:pt>
                <c:pt idx="3280">
                  <c:v>0.65604874984045713</c:v>
                </c:pt>
                <c:pt idx="3281">
                  <c:v>0.65634795680673519</c:v>
                </c:pt>
                <c:pt idx="3282">
                  <c:v>0.65656211287755573</c:v>
                </c:pt>
                <c:pt idx="3283">
                  <c:v>0.65676016996269115</c:v>
                </c:pt>
                <c:pt idx="3284">
                  <c:v>0.65697845658449883</c:v>
                </c:pt>
                <c:pt idx="3285">
                  <c:v>0.65708829324154372</c:v>
                </c:pt>
                <c:pt idx="3286">
                  <c:v>0.65727789724629315</c:v>
                </c:pt>
                <c:pt idx="3287">
                  <c:v>0.65757160885598775</c:v>
                </c:pt>
                <c:pt idx="3288">
                  <c:v>0.657743572515469</c:v>
                </c:pt>
                <c:pt idx="3289">
                  <c:v>0.65780944768241822</c:v>
                </c:pt>
                <c:pt idx="3290">
                  <c:v>0.65803773304560176</c:v>
                </c:pt>
                <c:pt idx="3291">
                  <c:v>0.65833290611508599</c:v>
                </c:pt>
                <c:pt idx="3292">
                  <c:v>0.65840500617870246</c:v>
                </c:pt>
                <c:pt idx="3293">
                  <c:v>0.65876996691286793</c:v>
                </c:pt>
                <c:pt idx="3294">
                  <c:v>0.65888420097615674</c:v>
                </c:pt>
                <c:pt idx="3295">
                  <c:v>0.65911980243486346</c:v>
                </c:pt>
                <c:pt idx="3296">
                  <c:v>0.65932570589951378</c:v>
                </c:pt>
                <c:pt idx="3297">
                  <c:v>0.65957408381397231</c:v>
                </c:pt>
                <c:pt idx="3298">
                  <c:v>0.659674779706652</c:v>
                </c:pt>
                <c:pt idx="3299">
                  <c:v>0.65995250521720206</c:v>
                </c:pt>
                <c:pt idx="3300">
                  <c:v>0.66019267987836916</c:v>
                </c:pt>
                <c:pt idx="3301">
                  <c:v>0.66038593497536746</c:v>
                </c:pt>
                <c:pt idx="3302">
                  <c:v>0.66059662031256516</c:v>
                </c:pt>
                <c:pt idx="3303">
                  <c:v>0.66070202295777902</c:v>
                </c:pt>
                <c:pt idx="3304">
                  <c:v>0.66085899159048189</c:v>
                </c:pt>
                <c:pt idx="3305">
                  <c:v>0.6610200422850484</c:v>
                </c:pt>
                <c:pt idx="3306">
                  <c:v>0.66130467738842236</c:v>
                </c:pt>
                <c:pt idx="3307">
                  <c:v>0.66155602480158116</c:v>
                </c:pt>
                <c:pt idx="3308">
                  <c:v>0.6616559714945629</c:v>
                </c:pt>
                <c:pt idx="3309">
                  <c:v>0.66182581572863874</c:v>
                </c:pt>
                <c:pt idx="3310">
                  <c:v>0.66209009106836525</c:v>
                </c:pt>
                <c:pt idx="3311">
                  <c:v>0.6623590006280129</c:v>
                </c:pt>
                <c:pt idx="3312">
                  <c:v>0.66241753112525159</c:v>
                </c:pt>
                <c:pt idx="3313">
                  <c:v>0.66272518851075435</c:v>
                </c:pt>
                <c:pt idx="3314">
                  <c:v>0.66295933187984846</c:v>
                </c:pt>
                <c:pt idx="3315">
                  <c:v>0.66314156381048761</c:v>
                </c:pt>
                <c:pt idx="3316">
                  <c:v>0.66330048087199689</c:v>
                </c:pt>
                <c:pt idx="3317">
                  <c:v>0.66357796723842111</c:v>
                </c:pt>
                <c:pt idx="3318">
                  <c:v>0.66361449802313333</c:v>
                </c:pt>
                <c:pt idx="3319">
                  <c:v>0.66383006191403371</c:v>
                </c:pt>
                <c:pt idx="3320">
                  <c:v>0.66418466146695077</c:v>
                </c:pt>
                <c:pt idx="3321">
                  <c:v>0.66432658490420471</c:v>
                </c:pt>
                <c:pt idx="3322">
                  <c:v>0.66447650254677904</c:v>
                </c:pt>
                <c:pt idx="3323">
                  <c:v>0.66461028561326907</c:v>
                </c:pt>
                <c:pt idx="3324">
                  <c:v>0.66485667966344786</c:v>
                </c:pt>
                <c:pt idx="3325">
                  <c:v>0.66516653451080587</c:v>
                </c:pt>
                <c:pt idx="3326">
                  <c:v>0.66529325060953692</c:v>
                </c:pt>
                <c:pt idx="3327">
                  <c:v>0.66546241339311529</c:v>
                </c:pt>
                <c:pt idx="3328">
                  <c:v>0.66577747559449107</c:v>
                </c:pt>
                <c:pt idx="3329">
                  <c:v>0.66584564773259813</c:v>
                </c:pt>
                <c:pt idx="3330">
                  <c:v>0.66615882119800873</c:v>
                </c:pt>
                <c:pt idx="3331">
                  <c:v>0.66632969054601376</c:v>
                </c:pt>
                <c:pt idx="3332">
                  <c:v>0.66644918100187767</c:v>
                </c:pt>
                <c:pt idx="3333">
                  <c:v>0.6667759190512299</c:v>
                </c:pt>
                <c:pt idx="3334">
                  <c:v>0.66682925430453133</c:v>
                </c:pt>
                <c:pt idx="3335">
                  <c:v>0.66700643893224332</c:v>
                </c:pt>
                <c:pt idx="3336">
                  <c:v>0.66729621180149168</c:v>
                </c:pt>
                <c:pt idx="3337">
                  <c:v>0.66740829299250803</c:v>
                </c:pt>
                <c:pt idx="3338">
                  <c:v>0.66770375389589554</c:v>
                </c:pt>
                <c:pt idx="3339">
                  <c:v>0.66799071848043023</c:v>
                </c:pt>
                <c:pt idx="3340">
                  <c:v>0.66816969139589222</c:v>
                </c:pt>
                <c:pt idx="3341">
                  <c:v>0.66829855700463481</c:v>
                </c:pt>
                <c:pt idx="3342">
                  <c:v>0.6684063700144659</c:v>
                </c:pt>
                <c:pt idx="3343">
                  <c:v>0.66862054118561109</c:v>
                </c:pt>
                <c:pt idx="3344">
                  <c:v>0.66890163328067898</c:v>
                </c:pt>
                <c:pt idx="3345">
                  <c:v>0.66913641546092373</c:v>
                </c:pt>
                <c:pt idx="3346">
                  <c:v>0.66934556691067892</c:v>
                </c:pt>
                <c:pt idx="3347">
                  <c:v>0.66954158983550538</c:v>
                </c:pt>
                <c:pt idx="3348">
                  <c:v>0.66972292879464179</c:v>
                </c:pt>
                <c:pt idx="3349">
                  <c:v>0.66992015216884215</c:v>
                </c:pt>
                <c:pt idx="3350">
                  <c:v>0.67019633099716069</c:v>
                </c:pt>
                <c:pt idx="3351">
                  <c:v>0.67034630845900312</c:v>
                </c:pt>
                <c:pt idx="3352">
                  <c:v>0.67042058545384109</c:v>
                </c:pt>
                <c:pt idx="3353">
                  <c:v>0.67067834332452125</c:v>
                </c:pt>
                <c:pt idx="3354">
                  <c:v>0.67083888665038138</c:v>
                </c:pt>
                <c:pt idx="3355">
                  <c:v>0.67109583595355404</c:v>
                </c:pt>
                <c:pt idx="3356">
                  <c:v>0.67136912808412896</c:v>
                </c:pt>
                <c:pt idx="3357">
                  <c:v>0.67143760373388361</c:v>
                </c:pt>
                <c:pt idx="3358">
                  <c:v>0.67162082776558141</c:v>
                </c:pt>
                <c:pt idx="3359">
                  <c:v>0.67188290601458467</c:v>
                </c:pt>
                <c:pt idx="3360">
                  <c:v>0.67206107024631023</c:v>
                </c:pt>
                <c:pt idx="3361">
                  <c:v>0.67236744115226144</c:v>
                </c:pt>
                <c:pt idx="3362">
                  <c:v>0.67254946423665374</c:v>
                </c:pt>
                <c:pt idx="3363">
                  <c:v>0.67261897457796593</c:v>
                </c:pt>
                <c:pt idx="3364">
                  <c:v>0.67285610777937255</c:v>
                </c:pt>
                <c:pt idx="3365">
                  <c:v>0.67319773858278009</c:v>
                </c:pt>
                <c:pt idx="3366">
                  <c:v>0.67338089428715897</c:v>
                </c:pt>
                <c:pt idx="3367">
                  <c:v>0.67347733081227101</c:v>
                </c:pt>
                <c:pt idx="3368">
                  <c:v>0.6737649698285304</c:v>
                </c:pt>
                <c:pt idx="3369">
                  <c:v>0.67381493340237408</c:v>
                </c:pt>
                <c:pt idx="3370">
                  <c:v>0.67405440419284957</c:v>
                </c:pt>
                <c:pt idx="3371">
                  <c:v>0.67421973108263222</c:v>
                </c:pt>
                <c:pt idx="3372">
                  <c:v>0.6745647079839755</c:v>
                </c:pt>
                <c:pt idx="3373">
                  <c:v>0.67476543707050518</c:v>
                </c:pt>
                <c:pt idx="3374">
                  <c:v>0.67488370736378334</c:v>
                </c:pt>
                <c:pt idx="3375">
                  <c:v>0.6751877190094413</c:v>
                </c:pt>
                <c:pt idx="3376">
                  <c:v>0.67520827348875068</c:v>
                </c:pt>
                <c:pt idx="3377">
                  <c:v>0.67554680333494832</c:v>
                </c:pt>
                <c:pt idx="3378">
                  <c:v>0.67579223315212689</c:v>
                </c:pt>
                <c:pt idx="3379">
                  <c:v>0.67587539243527583</c:v>
                </c:pt>
                <c:pt idx="3380">
                  <c:v>0.67617002559499118</c:v>
                </c:pt>
                <c:pt idx="3381">
                  <c:v>0.6762406864368451</c:v>
                </c:pt>
                <c:pt idx="3382">
                  <c:v>0.67657978817191433</c:v>
                </c:pt>
                <c:pt idx="3383">
                  <c:v>0.67669653147940911</c:v>
                </c:pt>
                <c:pt idx="3384">
                  <c:v>0.67691892610744542</c:v>
                </c:pt>
                <c:pt idx="3385">
                  <c:v>0.67701653557466723</c:v>
                </c:pt>
                <c:pt idx="3386">
                  <c:v>0.67726473100834172</c:v>
                </c:pt>
                <c:pt idx="3387">
                  <c:v>0.67740925559732346</c:v>
                </c:pt>
                <c:pt idx="3388">
                  <c:v>0.67779982997886834</c:v>
                </c:pt>
                <c:pt idx="3389">
                  <c:v>0.67796805791341885</c:v>
                </c:pt>
                <c:pt idx="3390">
                  <c:v>0.67814890865258615</c:v>
                </c:pt>
                <c:pt idx="3391">
                  <c:v>0.67836939387590844</c:v>
                </c:pt>
                <c:pt idx="3392">
                  <c:v>0.67851619119255713</c:v>
                </c:pt>
                <c:pt idx="3393">
                  <c:v>0.6787411551712409</c:v>
                </c:pt>
                <c:pt idx="3394">
                  <c:v>0.67880832752860343</c:v>
                </c:pt>
                <c:pt idx="3395">
                  <c:v>0.67916899435058453</c:v>
                </c:pt>
                <c:pt idx="3396">
                  <c:v>0.67939073791787741</c:v>
                </c:pt>
                <c:pt idx="3397">
                  <c:v>0.67944111168823229</c:v>
                </c:pt>
                <c:pt idx="3398">
                  <c:v>0.67964488308458704</c:v>
                </c:pt>
                <c:pt idx="3399">
                  <c:v>0.67997691743033406</c:v>
                </c:pt>
                <c:pt idx="3400">
                  <c:v>0.68006020725058858</c:v>
                </c:pt>
                <c:pt idx="3401">
                  <c:v>0.68035799099243199</c:v>
                </c:pt>
                <c:pt idx="3402">
                  <c:v>0.68041718688491204</c:v>
                </c:pt>
                <c:pt idx="3403">
                  <c:v>0.68065807805705303</c:v>
                </c:pt>
                <c:pt idx="3404">
                  <c:v>0.68094390978620944</c:v>
                </c:pt>
                <c:pt idx="3405">
                  <c:v>0.68118091966816707</c:v>
                </c:pt>
                <c:pt idx="3406">
                  <c:v>0.68127606799809171</c:v>
                </c:pt>
                <c:pt idx="3407">
                  <c:v>0.68142692286475259</c:v>
                </c:pt>
                <c:pt idx="3408">
                  <c:v>0.68166686419217537</c:v>
                </c:pt>
                <c:pt idx="3409">
                  <c:v>0.6818732561732348</c:v>
                </c:pt>
                <c:pt idx="3410">
                  <c:v>0.6820593045746115</c:v>
                </c:pt>
                <c:pt idx="3411">
                  <c:v>0.68229422879589119</c:v>
                </c:pt>
                <c:pt idx="3412">
                  <c:v>0.68248575673803824</c:v>
                </c:pt>
                <c:pt idx="3413">
                  <c:v>0.68263312134343046</c:v>
                </c:pt>
                <c:pt idx="3414">
                  <c:v>0.68283902349491576</c:v>
                </c:pt>
                <c:pt idx="3415">
                  <c:v>0.68312739498296926</c:v>
                </c:pt>
                <c:pt idx="3416">
                  <c:v>0.68334270687250942</c:v>
                </c:pt>
                <c:pt idx="3417">
                  <c:v>0.68349168935126903</c:v>
                </c:pt>
                <c:pt idx="3418">
                  <c:v>0.68365629894432056</c:v>
                </c:pt>
                <c:pt idx="3419">
                  <c:v>0.68395473168491261</c:v>
                </c:pt>
                <c:pt idx="3420">
                  <c:v>0.6841410945569959</c:v>
                </c:pt>
                <c:pt idx="3421">
                  <c:v>0.68428643338887163</c:v>
                </c:pt>
                <c:pt idx="3422">
                  <c:v>0.68455702288675979</c:v>
                </c:pt>
                <c:pt idx="3423">
                  <c:v>0.68471589137360356</c:v>
                </c:pt>
                <c:pt idx="3424">
                  <c:v>0.68484642999112755</c:v>
                </c:pt>
                <c:pt idx="3425">
                  <c:v>0.68518601138195623</c:v>
                </c:pt>
                <c:pt idx="3426">
                  <c:v>0.68520169315473212</c:v>
                </c:pt>
                <c:pt idx="3427">
                  <c:v>0.68543195747501029</c:v>
                </c:pt>
                <c:pt idx="3428">
                  <c:v>0.68576732871294188</c:v>
                </c:pt>
                <c:pt idx="3429">
                  <c:v>0.68582660039934018</c:v>
                </c:pt>
                <c:pt idx="3430">
                  <c:v>0.68612471553858478</c:v>
                </c:pt>
                <c:pt idx="3431">
                  <c:v>0.68621561460360314</c:v>
                </c:pt>
                <c:pt idx="3432">
                  <c:v>0.68649374695226872</c:v>
                </c:pt>
                <c:pt idx="3433">
                  <c:v>0.68674336194641505</c:v>
                </c:pt>
                <c:pt idx="3434">
                  <c:v>0.68682092491817226</c:v>
                </c:pt>
                <c:pt idx="3435">
                  <c:v>0.68715716424709117</c:v>
                </c:pt>
                <c:pt idx="3436">
                  <c:v>0.68736431849006663</c:v>
                </c:pt>
                <c:pt idx="3437">
                  <c:v>0.68742109696097231</c:v>
                </c:pt>
                <c:pt idx="3438">
                  <c:v>0.68764984186632794</c:v>
                </c:pt>
                <c:pt idx="3439">
                  <c:v>0.68799462298611047</c:v>
                </c:pt>
                <c:pt idx="3440">
                  <c:v>0.68811234754452311</c:v>
                </c:pt>
                <c:pt idx="3441">
                  <c:v>0.68832113355373059</c:v>
                </c:pt>
                <c:pt idx="3442">
                  <c:v>0.68857063104402527</c:v>
                </c:pt>
                <c:pt idx="3443">
                  <c:v>0.68879180136751195</c:v>
                </c:pt>
                <c:pt idx="3444">
                  <c:v>0.68897157805766251</c:v>
                </c:pt>
                <c:pt idx="3445">
                  <c:v>0.68906160848114217</c:v>
                </c:pt>
                <c:pt idx="3446">
                  <c:v>0.68933150161004897</c:v>
                </c:pt>
                <c:pt idx="3447">
                  <c:v>0.6895263761038255</c:v>
                </c:pt>
                <c:pt idx="3448">
                  <c:v>0.68973463820422409</c:v>
                </c:pt>
                <c:pt idx="3449">
                  <c:v>0.68985256513195414</c:v>
                </c:pt>
                <c:pt idx="3450">
                  <c:v>0.69011101142762021</c:v>
                </c:pt>
                <c:pt idx="3451">
                  <c:v>0.69029527400319823</c:v>
                </c:pt>
                <c:pt idx="3452">
                  <c:v>0.69051251648094325</c:v>
                </c:pt>
                <c:pt idx="3453">
                  <c:v>0.69067441579654687</c:v>
                </c:pt>
                <c:pt idx="3454">
                  <c:v>0.69092406984323729</c:v>
                </c:pt>
                <c:pt idx="3455">
                  <c:v>0.69116347521216681</c:v>
                </c:pt>
                <c:pt idx="3456">
                  <c:v>0.69135350664885564</c:v>
                </c:pt>
                <c:pt idx="3457">
                  <c:v>0.6915104891105347</c:v>
                </c:pt>
                <c:pt idx="3458">
                  <c:v>0.69176928785992065</c:v>
                </c:pt>
                <c:pt idx="3459">
                  <c:v>0.6918931809418587</c:v>
                </c:pt>
                <c:pt idx="3460">
                  <c:v>0.6920300526531018</c:v>
                </c:pt>
                <c:pt idx="3461">
                  <c:v>0.69223229646138673</c:v>
                </c:pt>
                <c:pt idx="3462">
                  <c:v>0.69254794384016372</c:v>
                </c:pt>
                <c:pt idx="3463">
                  <c:v>0.69276880025257559</c:v>
                </c:pt>
                <c:pt idx="3464">
                  <c:v>0.69287720737999248</c:v>
                </c:pt>
                <c:pt idx="3465">
                  <c:v>0.69304810480062107</c:v>
                </c:pt>
                <c:pt idx="3466">
                  <c:v>0.6933002899344779</c:v>
                </c:pt>
                <c:pt idx="3467">
                  <c:v>0.69350620047853007</c:v>
                </c:pt>
                <c:pt idx="3468">
                  <c:v>0.69379741503274939</c:v>
                </c:pt>
                <c:pt idx="3469">
                  <c:v>0.69386329431330396</c:v>
                </c:pt>
                <c:pt idx="3470">
                  <c:v>0.69409438924298028</c:v>
                </c:pt>
                <c:pt idx="3471">
                  <c:v>0.69424596676520212</c:v>
                </c:pt>
                <c:pt idx="3472">
                  <c:v>0.69447821629673201</c:v>
                </c:pt>
                <c:pt idx="3473">
                  <c:v>0.69473906885887005</c:v>
                </c:pt>
                <c:pt idx="3474">
                  <c:v>0.69495295922838918</c:v>
                </c:pt>
                <c:pt idx="3475">
                  <c:v>0.6950545243553945</c:v>
                </c:pt>
                <c:pt idx="3476">
                  <c:v>0.69522400254104844</c:v>
                </c:pt>
                <c:pt idx="3477">
                  <c:v>0.69544997040542078</c:v>
                </c:pt>
                <c:pt idx="3478">
                  <c:v>0.69570248025751258</c:v>
                </c:pt>
                <c:pt idx="3479">
                  <c:v>0.69593995301512535</c:v>
                </c:pt>
                <c:pt idx="3480">
                  <c:v>0.69617494328328755</c:v>
                </c:pt>
                <c:pt idx="3481">
                  <c:v>0.69638820262844403</c:v>
                </c:pt>
                <c:pt idx="3482">
                  <c:v>0.69658030602656784</c:v>
                </c:pt>
                <c:pt idx="3483">
                  <c:v>0.69664352509911254</c:v>
                </c:pt>
                <c:pt idx="3484">
                  <c:v>0.69688129446303504</c:v>
                </c:pt>
                <c:pt idx="3485">
                  <c:v>0.69703552888329967</c:v>
                </c:pt>
                <c:pt idx="3486">
                  <c:v>0.69731256077208381</c:v>
                </c:pt>
                <c:pt idx="3487">
                  <c:v>0.69751995026024993</c:v>
                </c:pt>
                <c:pt idx="3488">
                  <c:v>0.69778608289402577</c:v>
                </c:pt>
                <c:pt idx="3489">
                  <c:v>0.69796071177519869</c:v>
                </c:pt>
                <c:pt idx="3490">
                  <c:v>0.69805014949404864</c:v>
                </c:pt>
                <c:pt idx="3491">
                  <c:v>0.69827905871106288</c:v>
                </c:pt>
                <c:pt idx="3492">
                  <c:v>0.69843463407392492</c:v>
                </c:pt>
                <c:pt idx="3493">
                  <c:v>0.69874917861929842</c:v>
                </c:pt>
                <c:pt idx="3494">
                  <c:v>0.69895547370355471</c:v>
                </c:pt>
                <c:pt idx="3495">
                  <c:v>0.69910636505389268</c:v>
                </c:pt>
                <c:pt idx="3496">
                  <c:v>0.6992157996443602</c:v>
                </c:pt>
                <c:pt idx="3497">
                  <c:v>0.69944308455531556</c:v>
                </c:pt>
                <c:pt idx="3498">
                  <c:v>0.69965376797221923</c:v>
                </c:pt>
                <c:pt idx="3499">
                  <c:v>0.69994051275740854</c:v>
                </c:pt>
                <c:pt idx="3500">
                  <c:v>0.70009222687349937</c:v>
                </c:pt>
                <c:pt idx="3501">
                  <c:v>0.70027225878626864</c:v>
                </c:pt>
                <c:pt idx="3502">
                  <c:v>0.70045587221152517</c:v>
                </c:pt>
                <c:pt idx="3503">
                  <c:v>0.70075551024595173</c:v>
                </c:pt>
                <c:pt idx="3504">
                  <c:v>0.70085348512745782</c:v>
                </c:pt>
                <c:pt idx="3505">
                  <c:v>0.70115066734984299</c:v>
                </c:pt>
                <c:pt idx="3506">
                  <c:v>0.7013785964242133</c:v>
                </c:pt>
                <c:pt idx="3507">
                  <c:v>0.70148159643981645</c:v>
                </c:pt>
                <c:pt idx="3508">
                  <c:v>0.70164127237960727</c:v>
                </c:pt>
                <c:pt idx="3509">
                  <c:v>0.7018599596209032</c:v>
                </c:pt>
                <c:pt idx="3510">
                  <c:v>0.70218221674770631</c:v>
                </c:pt>
                <c:pt idx="3511">
                  <c:v>0.70230073541926707</c:v>
                </c:pt>
                <c:pt idx="3512">
                  <c:v>0.70251697632933896</c:v>
                </c:pt>
                <c:pt idx="3513">
                  <c:v>0.70268316900252437</c:v>
                </c:pt>
                <c:pt idx="3514">
                  <c:v>0.70285734741684458</c:v>
                </c:pt>
                <c:pt idx="3515">
                  <c:v>0.70318534533022559</c:v>
                </c:pt>
                <c:pt idx="3516">
                  <c:v>0.70327794678389988</c:v>
                </c:pt>
                <c:pt idx="3517">
                  <c:v>0.7035718330167634</c:v>
                </c:pt>
                <c:pt idx="3518">
                  <c:v>0.70376649193958529</c:v>
                </c:pt>
                <c:pt idx="3519">
                  <c:v>0.70399463183102073</c:v>
                </c:pt>
                <c:pt idx="3520">
                  <c:v>0.70415907328528327</c:v>
                </c:pt>
                <c:pt idx="3521">
                  <c:v>0.70428121025582802</c:v>
                </c:pt>
                <c:pt idx="3522">
                  <c:v>0.70457607132796574</c:v>
                </c:pt>
                <c:pt idx="3523">
                  <c:v>0.7046816099509321</c:v>
                </c:pt>
                <c:pt idx="3524">
                  <c:v>0.70481759588229875</c:v>
                </c:pt>
                <c:pt idx="3525">
                  <c:v>0.70504684552467589</c:v>
                </c:pt>
                <c:pt idx="3526">
                  <c:v>0.70535319814727482</c:v>
                </c:pt>
                <c:pt idx="3527">
                  <c:v>0.70553757088429703</c:v>
                </c:pt>
                <c:pt idx="3528">
                  <c:v>0.70563937499416984</c:v>
                </c:pt>
                <c:pt idx="3529">
                  <c:v>0.70582286406662853</c:v>
                </c:pt>
                <c:pt idx="3530">
                  <c:v>0.70610801292744185</c:v>
                </c:pt>
                <c:pt idx="3531">
                  <c:v>0.7063141744066761</c:v>
                </c:pt>
                <c:pt idx="3532">
                  <c:v>0.70646260302510633</c:v>
                </c:pt>
                <c:pt idx="3533">
                  <c:v>0.7067777789691877</c:v>
                </c:pt>
                <c:pt idx="3534">
                  <c:v>0.70694531835749408</c:v>
                </c:pt>
                <c:pt idx="3535">
                  <c:v>0.70702989591775234</c:v>
                </c:pt>
                <c:pt idx="3536">
                  <c:v>0.70739197052521441</c:v>
                </c:pt>
                <c:pt idx="3537">
                  <c:v>0.70752410497281804</c:v>
                </c:pt>
                <c:pt idx="3538">
                  <c:v>0.70765998608569147</c:v>
                </c:pt>
                <c:pt idx="3539">
                  <c:v>0.70787188029062742</c:v>
                </c:pt>
                <c:pt idx="3540">
                  <c:v>0.70800453922813866</c:v>
                </c:pt>
                <c:pt idx="3541">
                  <c:v>0.70838408558969013</c:v>
                </c:pt>
                <c:pt idx="3542">
                  <c:v>0.70842932797852654</c:v>
                </c:pt>
                <c:pt idx="3543">
                  <c:v>0.70870215552041826</c:v>
                </c:pt>
                <c:pt idx="3544">
                  <c:v>0.70893141628516165</c:v>
                </c:pt>
                <c:pt idx="3545">
                  <c:v>0.70914305901414321</c:v>
                </c:pt>
                <c:pt idx="3546">
                  <c:v>0.70936099129457975</c:v>
                </c:pt>
                <c:pt idx="3547">
                  <c:v>0.70940158086507621</c:v>
                </c:pt>
                <c:pt idx="3548">
                  <c:v>0.70970279483704424</c:v>
                </c:pt>
                <c:pt idx="3549">
                  <c:v>0.70999576013237142</c:v>
                </c:pt>
                <c:pt idx="3550">
                  <c:v>0.71012996905993908</c:v>
                </c:pt>
                <c:pt idx="3551">
                  <c:v>0.71030382219816179</c:v>
                </c:pt>
                <c:pt idx="3552">
                  <c:v>0.71043348517055471</c:v>
                </c:pt>
                <c:pt idx="3553">
                  <c:v>0.71078098751222274</c:v>
                </c:pt>
                <c:pt idx="3554">
                  <c:v>0.71094879899922503</c:v>
                </c:pt>
                <c:pt idx="3555">
                  <c:v>0.71103756849533817</c:v>
                </c:pt>
                <c:pt idx="3556">
                  <c:v>0.71122512255218462</c:v>
                </c:pt>
                <c:pt idx="3557">
                  <c:v>0.71149938164947069</c:v>
                </c:pt>
                <c:pt idx="3558">
                  <c:v>0.71177205805801136</c:v>
                </c:pt>
                <c:pt idx="3559">
                  <c:v>0.71197772578750218</c:v>
                </c:pt>
                <c:pt idx="3560">
                  <c:v>0.71219892895398629</c:v>
                </c:pt>
                <c:pt idx="3561">
                  <c:v>0.71231072981243737</c:v>
                </c:pt>
                <c:pt idx="3562">
                  <c:v>0.71254133548139165</c:v>
                </c:pt>
                <c:pt idx="3563">
                  <c:v>0.7126424599448784</c:v>
                </c:pt>
                <c:pt idx="3564">
                  <c:v>0.71289868631318654</c:v>
                </c:pt>
                <c:pt idx="3565">
                  <c:v>0.71308962188770286</c:v>
                </c:pt>
                <c:pt idx="3566">
                  <c:v>0.71326784344452154</c:v>
                </c:pt>
                <c:pt idx="3567">
                  <c:v>0.71356324040721242</c:v>
                </c:pt>
                <c:pt idx="3568">
                  <c:v>0.71362576256008492</c:v>
                </c:pt>
                <c:pt idx="3569">
                  <c:v>0.71388871500573325</c:v>
                </c:pt>
                <c:pt idx="3570">
                  <c:v>0.714133941860016</c:v>
                </c:pt>
                <c:pt idx="3571">
                  <c:v>0.714367075373737</c:v>
                </c:pt>
                <c:pt idx="3572">
                  <c:v>0.7144242281224169</c:v>
                </c:pt>
                <c:pt idx="3573">
                  <c:v>0.7147961484455494</c:v>
                </c:pt>
                <c:pt idx="3574">
                  <c:v>0.71485599204074957</c:v>
                </c:pt>
                <c:pt idx="3575">
                  <c:v>0.71501694059037069</c:v>
                </c:pt>
                <c:pt idx="3576">
                  <c:v>0.71521195419333228</c:v>
                </c:pt>
                <c:pt idx="3577">
                  <c:v>0.71558912059352475</c:v>
                </c:pt>
                <c:pt idx="3578">
                  <c:v>0.71571723367490736</c:v>
                </c:pt>
                <c:pt idx="3579">
                  <c:v>0.71595361974107885</c:v>
                </c:pt>
                <c:pt idx="3580">
                  <c:v>0.71619008752936275</c:v>
                </c:pt>
                <c:pt idx="3581">
                  <c:v>0.71628760053936569</c:v>
                </c:pt>
                <c:pt idx="3582">
                  <c:v>0.71640194092737552</c:v>
                </c:pt>
                <c:pt idx="3583">
                  <c:v>0.71668066221961757</c:v>
                </c:pt>
                <c:pt idx="3584">
                  <c:v>0.71695669466945267</c:v>
                </c:pt>
                <c:pt idx="3585">
                  <c:v>0.71708752882287086</c:v>
                </c:pt>
                <c:pt idx="3586">
                  <c:v>0.71735232623716638</c:v>
                </c:pt>
                <c:pt idx="3587">
                  <c:v>0.7174488274420725</c:v>
                </c:pt>
                <c:pt idx="3588">
                  <c:v>0.71762918759030969</c:v>
                </c:pt>
                <c:pt idx="3589">
                  <c:v>0.71799638470192362</c:v>
                </c:pt>
                <c:pt idx="3590">
                  <c:v>0.71811993436909283</c:v>
                </c:pt>
                <c:pt idx="3591">
                  <c:v>0.71823662250070752</c:v>
                </c:pt>
                <c:pt idx="3592">
                  <c:v>0.71845921053277784</c:v>
                </c:pt>
                <c:pt idx="3593">
                  <c:v>0.71876345900408067</c:v>
                </c:pt>
                <c:pt idx="3594">
                  <c:v>0.71880098831267125</c:v>
                </c:pt>
                <c:pt idx="3595">
                  <c:v>0.71906508074069053</c:v>
                </c:pt>
                <c:pt idx="3596">
                  <c:v>0.71938796461485044</c:v>
                </c:pt>
                <c:pt idx="3597">
                  <c:v>0.71941526286770008</c:v>
                </c:pt>
                <c:pt idx="3598">
                  <c:v>0.71966630571071677</c:v>
                </c:pt>
                <c:pt idx="3599">
                  <c:v>0.71998426939691051</c:v>
                </c:pt>
                <c:pt idx="3600">
                  <c:v>0.72015589012921688</c:v>
                </c:pt>
                <c:pt idx="3601">
                  <c:v>0.72026112860810498</c:v>
                </c:pt>
                <c:pt idx="3602">
                  <c:v>0.72053851791665391</c:v>
                </c:pt>
                <c:pt idx="3603">
                  <c:v>0.72072115196644349</c:v>
                </c:pt>
                <c:pt idx="3604">
                  <c:v>0.72096589000322064</c:v>
                </c:pt>
                <c:pt idx="3605">
                  <c:v>0.72113753711351603</c:v>
                </c:pt>
                <c:pt idx="3606">
                  <c:v>0.72134541673952368</c:v>
                </c:pt>
                <c:pt idx="3607">
                  <c:v>0.72158588217561737</c:v>
                </c:pt>
                <c:pt idx="3608">
                  <c:v>0.72168733807645913</c:v>
                </c:pt>
                <c:pt idx="3609">
                  <c:v>0.72195414342674291</c:v>
                </c:pt>
                <c:pt idx="3610">
                  <c:v>0.72207827686753079</c:v>
                </c:pt>
                <c:pt idx="3611">
                  <c:v>0.72234078854367623</c:v>
                </c:pt>
                <c:pt idx="3612">
                  <c:v>0.72242144584898405</c:v>
                </c:pt>
                <c:pt idx="3613">
                  <c:v>0.72272082276286576</c:v>
                </c:pt>
                <c:pt idx="3614">
                  <c:v>0.72294775837663272</c:v>
                </c:pt>
                <c:pt idx="3615">
                  <c:v>0.72317822954575017</c:v>
                </c:pt>
                <c:pt idx="3616">
                  <c:v>0.72330921311599883</c:v>
                </c:pt>
                <c:pt idx="3617">
                  <c:v>0.7235227909699834</c:v>
                </c:pt>
                <c:pt idx="3618">
                  <c:v>0.72362591161770418</c:v>
                </c:pt>
                <c:pt idx="3619">
                  <c:v>0.72391426103667222</c:v>
                </c:pt>
                <c:pt idx="3620">
                  <c:v>0.72404968737625741</c:v>
                </c:pt>
                <c:pt idx="3621">
                  <c:v>0.72427567501139734</c:v>
                </c:pt>
                <c:pt idx="3622">
                  <c:v>0.7244267284320729</c:v>
                </c:pt>
                <c:pt idx="3623">
                  <c:v>0.72475875927045907</c:v>
                </c:pt>
                <c:pt idx="3624">
                  <c:v>0.72496480042174571</c:v>
                </c:pt>
                <c:pt idx="3625">
                  <c:v>0.72507495459748317</c:v>
                </c:pt>
                <c:pt idx="3626">
                  <c:v>0.72522005146216129</c:v>
                </c:pt>
                <c:pt idx="3627">
                  <c:v>0.725432020720847</c:v>
                </c:pt>
                <c:pt idx="3628">
                  <c:v>0.72564255151009249</c:v>
                </c:pt>
                <c:pt idx="3629">
                  <c:v>0.72593568328352076</c:v>
                </c:pt>
                <c:pt idx="3630">
                  <c:v>0.72610308478802976</c:v>
                </c:pt>
                <c:pt idx="3631">
                  <c:v>0.72621260509193231</c:v>
                </c:pt>
                <c:pt idx="3632">
                  <c:v>0.72655489014628227</c:v>
                </c:pt>
                <c:pt idx="3633">
                  <c:v>0.72661834994983354</c:v>
                </c:pt>
                <c:pt idx="3634">
                  <c:v>0.72693967964875972</c:v>
                </c:pt>
                <c:pt idx="3635">
                  <c:v>0.7270026701204485</c:v>
                </c:pt>
                <c:pt idx="3636">
                  <c:v>0.72720188329592395</c:v>
                </c:pt>
                <c:pt idx="3637">
                  <c:v>0.72756358316986902</c:v>
                </c:pt>
                <c:pt idx="3638">
                  <c:v>0.72770580867349777</c:v>
                </c:pt>
                <c:pt idx="3639">
                  <c:v>0.72798816596897975</c:v>
                </c:pt>
                <c:pt idx="3640">
                  <c:v>0.72813857392820969</c:v>
                </c:pt>
                <c:pt idx="3641">
                  <c:v>0.72833466801427649</c:v>
                </c:pt>
                <c:pt idx="3642">
                  <c:v>0.72840190522605597</c:v>
                </c:pt>
                <c:pt idx="3643">
                  <c:v>0.72878653784976033</c:v>
                </c:pt>
                <c:pt idx="3644">
                  <c:v>0.72889089118207129</c:v>
                </c:pt>
                <c:pt idx="3645">
                  <c:v>0.72917680732863421</c:v>
                </c:pt>
                <c:pt idx="3646">
                  <c:v>0.72930313714954609</c:v>
                </c:pt>
                <c:pt idx="3647">
                  <c:v>0.72958998813247067</c:v>
                </c:pt>
                <c:pt idx="3648">
                  <c:v>0.72970071430488037</c:v>
                </c:pt>
                <c:pt idx="3649">
                  <c:v>0.72993841023154982</c:v>
                </c:pt>
                <c:pt idx="3650">
                  <c:v>0.7300256988931042</c:v>
                </c:pt>
                <c:pt idx="3651">
                  <c:v>0.73023817861001894</c:v>
                </c:pt>
                <c:pt idx="3652">
                  <c:v>0.73040275876564043</c:v>
                </c:pt>
                <c:pt idx="3653">
                  <c:v>0.73060551783656824</c:v>
                </c:pt>
                <c:pt idx="3654">
                  <c:v>0.73086703651101959</c:v>
                </c:pt>
                <c:pt idx="3655">
                  <c:v>0.73111824144407134</c:v>
                </c:pt>
                <c:pt idx="3656">
                  <c:v>0.73136013836519798</c:v>
                </c:pt>
                <c:pt idx="3657">
                  <c:v>0.73159243420264508</c:v>
                </c:pt>
                <c:pt idx="3658">
                  <c:v>0.731651165036869</c:v>
                </c:pt>
                <c:pt idx="3659">
                  <c:v>0.73190606280968207</c:v>
                </c:pt>
                <c:pt idx="3660">
                  <c:v>0.73204605814224255</c:v>
                </c:pt>
                <c:pt idx="3661">
                  <c:v>0.73220465714922289</c:v>
                </c:pt>
                <c:pt idx="3662">
                  <c:v>0.73242834993773809</c:v>
                </c:pt>
                <c:pt idx="3663">
                  <c:v>0.73262525151973246</c:v>
                </c:pt>
                <c:pt idx="3664">
                  <c:v>0.73299268729174338</c:v>
                </c:pt>
                <c:pt idx="3665">
                  <c:v>0.7331959546018848</c:v>
                </c:pt>
                <c:pt idx="3666">
                  <c:v>0.73327651931482285</c:v>
                </c:pt>
                <c:pt idx="3667">
                  <c:v>0.73343623452802098</c:v>
                </c:pt>
                <c:pt idx="3668">
                  <c:v>0.73366309614518266</c:v>
                </c:pt>
                <c:pt idx="3669">
                  <c:v>0.7338502075992176</c:v>
                </c:pt>
                <c:pt idx="3670">
                  <c:v>0.73417480626054454</c:v>
                </c:pt>
                <c:pt idx="3671">
                  <c:v>0.73429404662742603</c:v>
                </c:pt>
                <c:pt idx="3672">
                  <c:v>0.73453709556668467</c:v>
                </c:pt>
                <c:pt idx="3673">
                  <c:v>0.73473833105492836</c:v>
                </c:pt>
                <c:pt idx="3674">
                  <c:v>0.73485574641829721</c:v>
                </c:pt>
                <c:pt idx="3675">
                  <c:v>0.73508643907184856</c:v>
                </c:pt>
                <c:pt idx="3676">
                  <c:v>0.73527772576847994</c:v>
                </c:pt>
                <c:pt idx="3677">
                  <c:v>0.73542772668027967</c:v>
                </c:pt>
                <c:pt idx="3678">
                  <c:v>0.73561072714911091</c:v>
                </c:pt>
                <c:pt idx="3679">
                  <c:v>0.73590324088258274</c:v>
                </c:pt>
                <c:pt idx="3680">
                  <c:v>0.73612901700263123</c:v>
                </c:pt>
                <c:pt idx="3681">
                  <c:v>0.73636626428364926</c:v>
                </c:pt>
                <c:pt idx="3682">
                  <c:v>0.73649872457238352</c:v>
                </c:pt>
                <c:pt idx="3683">
                  <c:v>0.73670109634425052</c:v>
                </c:pt>
                <c:pt idx="3684">
                  <c:v>0.73692440039900231</c:v>
                </c:pt>
                <c:pt idx="3685">
                  <c:v>0.73706763974471656</c:v>
                </c:pt>
                <c:pt idx="3686">
                  <c:v>0.73723685274558071</c:v>
                </c:pt>
                <c:pt idx="3687">
                  <c:v>0.73749096849325368</c:v>
                </c:pt>
                <c:pt idx="3688">
                  <c:v>0.73779959333222356</c:v>
                </c:pt>
                <c:pt idx="3689">
                  <c:v>0.73796207637511246</c:v>
                </c:pt>
                <c:pt idx="3690">
                  <c:v>0.73809527901459837</c:v>
                </c:pt>
                <c:pt idx="3691">
                  <c:v>0.73822609767914427</c:v>
                </c:pt>
                <c:pt idx="3692">
                  <c:v>0.73850810466914163</c:v>
                </c:pt>
                <c:pt idx="3693">
                  <c:v>0.73863267628840001</c:v>
                </c:pt>
                <c:pt idx="3694">
                  <c:v>0.73892300577753289</c:v>
                </c:pt>
                <c:pt idx="3695">
                  <c:v>0.73906611441370706</c:v>
                </c:pt>
                <c:pt idx="3696">
                  <c:v>0.73933480664252649</c:v>
                </c:pt>
                <c:pt idx="3697">
                  <c:v>0.73957152105788038</c:v>
                </c:pt>
                <c:pt idx="3698">
                  <c:v>0.73964032572709026</c:v>
                </c:pt>
                <c:pt idx="3699">
                  <c:v>0.73993549100019396</c:v>
                </c:pt>
                <c:pt idx="3700">
                  <c:v>0.74003772369093213</c:v>
                </c:pt>
                <c:pt idx="3701">
                  <c:v>0.74028985862063468</c:v>
                </c:pt>
                <c:pt idx="3702">
                  <c:v>0.74047174959161133</c:v>
                </c:pt>
                <c:pt idx="3703">
                  <c:v>0.74066158698090856</c:v>
                </c:pt>
                <c:pt idx="3704">
                  <c:v>0.74092650001876204</c:v>
                </c:pt>
                <c:pt idx="3705">
                  <c:v>0.74110321207998864</c:v>
                </c:pt>
                <c:pt idx="3706">
                  <c:v>0.74124974891768058</c:v>
                </c:pt>
                <c:pt idx="3707">
                  <c:v>0.74143582364032878</c:v>
                </c:pt>
                <c:pt idx="3708">
                  <c:v>0.74168090905567652</c:v>
                </c:pt>
                <c:pt idx="3709">
                  <c:v>0.7419424943403673</c:v>
                </c:pt>
                <c:pt idx="3710">
                  <c:v>0.74209276727267837</c:v>
                </c:pt>
                <c:pt idx="3711">
                  <c:v>0.74229094547296204</c:v>
                </c:pt>
                <c:pt idx="3712">
                  <c:v>0.74254150100474747</c:v>
                </c:pt>
                <c:pt idx="3713">
                  <c:v>0.74262395884460397</c:v>
                </c:pt>
                <c:pt idx="3714">
                  <c:v>0.74282926046676689</c:v>
                </c:pt>
                <c:pt idx="3715">
                  <c:v>0.74300929479189437</c:v>
                </c:pt>
                <c:pt idx="3716">
                  <c:v>0.74321491891448732</c:v>
                </c:pt>
                <c:pt idx="3717">
                  <c:v>0.74355179387348513</c:v>
                </c:pt>
                <c:pt idx="3718">
                  <c:v>0.7436824208482361</c:v>
                </c:pt>
                <c:pt idx="3719">
                  <c:v>0.74398433320731494</c:v>
                </c:pt>
                <c:pt idx="3720">
                  <c:v>0.74404889969007315</c:v>
                </c:pt>
                <c:pt idx="3721">
                  <c:v>0.74436877318540795</c:v>
                </c:pt>
                <c:pt idx="3722">
                  <c:v>0.74448977921132231</c:v>
                </c:pt>
                <c:pt idx="3723">
                  <c:v>0.74460086148236893</c:v>
                </c:pt>
                <c:pt idx="3724">
                  <c:v>0.74491655760107478</c:v>
                </c:pt>
                <c:pt idx="3725">
                  <c:v>0.74519883539974663</c:v>
                </c:pt>
                <c:pt idx="3726">
                  <c:v>0.74533546188984423</c:v>
                </c:pt>
                <c:pt idx="3727">
                  <c:v>0.74543050001720679</c:v>
                </c:pt>
                <c:pt idx="3728">
                  <c:v>0.74563948541889891</c:v>
                </c:pt>
                <c:pt idx="3729">
                  <c:v>0.74595238817482079</c:v>
                </c:pt>
                <c:pt idx="3730">
                  <c:v>0.74617303833970172</c:v>
                </c:pt>
                <c:pt idx="3731">
                  <c:v>0.74622867843057694</c:v>
                </c:pt>
                <c:pt idx="3732">
                  <c:v>0.74644517596653781</c:v>
                </c:pt>
                <c:pt idx="3733">
                  <c:v>0.74666453018455403</c:v>
                </c:pt>
                <c:pt idx="3734">
                  <c:v>0.74698385954713076</c:v>
                </c:pt>
                <c:pt idx="3735">
                  <c:v>0.74707705865224749</c:v>
                </c:pt>
                <c:pt idx="3736">
                  <c:v>0.74723263540692464</c:v>
                </c:pt>
                <c:pt idx="3737">
                  <c:v>0.74759740221518955</c:v>
                </c:pt>
                <c:pt idx="3738">
                  <c:v>0.74769074172430916</c:v>
                </c:pt>
                <c:pt idx="3739">
                  <c:v>0.74784259639909556</c:v>
                </c:pt>
                <c:pt idx="3740">
                  <c:v>0.74802778221169197</c:v>
                </c:pt>
                <c:pt idx="3741">
                  <c:v>0.74833184028797128</c:v>
                </c:pt>
                <c:pt idx="3742">
                  <c:v>0.74854365823584235</c:v>
                </c:pt>
                <c:pt idx="3743">
                  <c:v>0.74862810860672691</c:v>
                </c:pt>
                <c:pt idx="3744">
                  <c:v>0.74885569596724955</c:v>
                </c:pt>
                <c:pt idx="3745">
                  <c:v>0.74919092136001941</c:v>
                </c:pt>
                <c:pt idx="3746">
                  <c:v>0.74937490585967315</c:v>
                </c:pt>
                <c:pt idx="3747">
                  <c:v>0.74945634672168093</c:v>
                </c:pt>
                <c:pt idx="3748">
                  <c:v>0.74976406914497817</c:v>
                </c:pt>
                <c:pt idx="3749">
                  <c:v>0.74990958418592568</c:v>
                </c:pt>
                <c:pt idx="3750">
                  <c:v>0.75005899196808667</c:v>
                </c:pt>
                <c:pt idx="3751">
                  <c:v>0.75030347180243195</c:v>
                </c:pt>
                <c:pt idx="3752">
                  <c:v>0.75054585514584227</c:v>
                </c:pt>
                <c:pt idx="3753">
                  <c:v>0.75073211985959953</c:v>
                </c:pt>
                <c:pt idx="3754">
                  <c:v>0.75095078824226524</c:v>
                </c:pt>
                <c:pt idx="3755">
                  <c:v>0.75106119548647232</c:v>
                </c:pt>
                <c:pt idx="3756">
                  <c:v>0.75139096150924245</c:v>
                </c:pt>
                <c:pt idx="3757">
                  <c:v>0.75153313071600469</c:v>
                </c:pt>
                <c:pt idx="3758">
                  <c:v>0.75160938760237983</c:v>
                </c:pt>
                <c:pt idx="3759">
                  <c:v>0.75183172117686636</c:v>
                </c:pt>
                <c:pt idx="3760">
                  <c:v>0.75207936770368355</c:v>
                </c:pt>
                <c:pt idx="3761">
                  <c:v>0.75230970643370176</c:v>
                </c:pt>
                <c:pt idx="3762">
                  <c:v>0.75243453142993022</c:v>
                </c:pt>
                <c:pt idx="3763">
                  <c:v>0.75275849767563829</c:v>
                </c:pt>
                <c:pt idx="3764">
                  <c:v>0.75288408396297224</c:v>
                </c:pt>
                <c:pt idx="3765">
                  <c:v>0.75306333030519623</c:v>
                </c:pt>
                <c:pt idx="3766">
                  <c:v>0.75332978859304678</c:v>
                </c:pt>
                <c:pt idx="3767">
                  <c:v>0.75342563129184437</c:v>
                </c:pt>
                <c:pt idx="3768">
                  <c:v>0.75367298006933947</c:v>
                </c:pt>
                <c:pt idx="3769">
                  <c:v>0.75397767085320733</c:v>
                </c:pt>
                <c:pt idx="3770">
                  <c:v>0.75416232961871721</c:v>
                </c:pt>
                <c:pt idx="3771">
                  <c:v>0.75433045264005905</c:v>
                </c:pt>
                <c:pt idx="3772">
                  <c:v>0.75455291788199752</c:v>
                </c:pt>
                <c:pt idx="3773">
                  <c:v>0.75477666049780712</c:v>
                </c:pt>
                <c:pt idx="3774">
                  <c:v>0.75499614014481098</c:v>
                </c:pt>
                <c:pt idx="3775">
                  <c:v>0.75504919805336956</c:v>
                </c:pt>
                <c:pt idx="3776">
                  <c:v>0.75521515810857887</c:v>
                </c:pt>
                <c:pt idx="3777">
                  <c:v>0.755543601076059</c:v>
                </c:pt>
                <c:pt idx="3778">
                  <c:v>0.7556857134875109</c:v>
                </c:pt>
                <c:pt idx="3779">
                  <c:v>0.75596315473051823</c:v>
                </c:pt>
                <c:pt idx="3780">
                  <c:v>0.75607760487200637</c:v>
                </c:pt>
                <c:pt idx="3781">
                  <c:v>0.75632271740271773</c:v>
                </c:pt>
                <c:pt idx="3782">
                  <c:v>0.7565214857206497</c:v>
                </c:pt>
                <c:pt idx="3783">
                  <c:v>0.75679501849464026</c:v>
                </c:pt>
                <c:pt idx="3784">
                  <c:v>0.75680020687640659</c:v>
                </c:pt>
                <c:pt idx="3785">
                  <c:v>0.7571812776572493</c:v>
                </c:pt>
                <c:pt idx="3786">
                  <c:v>0.75738399774217602</c:v>
                </c:pt>
                <c:pt idx="3787">
                  <c:v>0.75752117545039421</c:v>
                </c:pt>
                <c:pt idx="3788">
                  <c:v>0.757644019176961</c:v>
                </c:pt>
                <c:pt idx="3789">
                  <c:v>0.75789503183511431</c:v>
                </c:pt>
                <c:pt idx="3790">
                  <c:v>0.7581438251385334</c:v>
                </c:pt>
                <c:pt idx="3791">
                  <c:v>0.75827937892379227</c:v>
                </c:pt>
                <c:pt idx="3792">
                  <c:v>0.75849865667528915</c:v>
                </c:pt>
                <c:pt idx="3793">
                  <c:v>0.75870346295887225</c:v>
                </c:pt>
                <c:pt idx="3794">
                  <c:v>0.75897878543589703</c:v>
                </c:pt>
                <c:pt idx="3795">
                  <c:v>0.75911070421117133</c:v>
                </c:pt>
                <c:pt idx="3796">
                  <c:v>0.75933813573684039</c:v>
                </c:pt>
                <c:pt idx="3797">
                  <c:v>0.75949602867488197</c:v>
                </c:pt>
                <c:pt idx="3798">
                  <c:v>0.75972055422103046</c:v>
                </c:pt>
                <c:pt idx="3799">
                  <c:v>0.75990149944869367</c:v>
                </c:pt>
                <c:pt idx="3800">
                  <c:v>0.76010084467378924</c:v>
                </c:pt>
                <c:pt idx="3801">
                  <c:v>0.76033527199368345</c:v>
                </c:pt>
                <c:pt idx="3802">
                  <c:v>0.76057190028838162</c:v>
                </c:pt>
                <c:pt idx="3803">
                  <c:v>0.76064659321956485</c:v>
                </c:pt>
                <c:pt idx="3804">
                  <c:v>0.76088174928111996</c:v>
                </c:pt>
                <c:pt idx="3805">
                  <c:v>0.7610218199641029</c:v>
                </c:pt>
                <c:pt idx="3806">
                  <c:v>0.76134512629614803</c:v>
                </c:pt>
                <c:pt idx="3807">
                  <c:v>0.76142846775120787</c:v>
                </c:pt>
                <c:pt idx="3808">
                  <c:v>0.76160116361170105</c:v>
                </c:pt>
                <c:pt idx="3809">
                  <c:v>0.76182231887486351</c:v>
                </c:pt>
                <c:pt idx="3810">
                  <c:v>0.76201438074224037</c:v>
                </c:pt>
                <c:pt idx="3811">
                  <c:v>0.76237002942193532</c:v>
                </c:pt>
                <c:pt idx="3812">
                  <c:v>0.76248306822708878</c:v>
                </c:pt>
                <c:pt idx="3813">
                  <c:v>0.76262181032654408</c:v>
                </c:pt>
                <c:pt idx="3814">
                  <c:v>0.76296725189559333</c:v>
                </c:pt>
                <c:pt idx="3815">
                  <c:v>0.76309851474647838</c:v>
                </c:pt>
                <c:pt idx="3816">
                  <c:v>0.76321035993313657</c:v>
                </c:pt>
                <c:pt idx="3817">
                  <c:v>0.76346437195564254</c:v>
                </c:pt>
                <c:pt idx="3818">
                  <c:v>0.76371653704976583</c:v>
                </c:pt>
                <c:pt idx="3819">
                  <c:v>0.76387773081568944</c:v>
                </c:pt>
                <c:pt idx="3820">
                  <c:v>0.76409630656854632</c:v>
                </c:pt>
                <c:pt idx="3821">
                  <c:v>0.76439729043650373</c:v>
                </c:pt>
                <c:pt idx="3822">
                  <c:v>0.76446018555040007</c:v>
                </c:pt>
                <c:pt idx="3823">
                  <c:v>0.76465923443256401</c:v>
                </c:pt>
                <c:pt idx="3824">
                  <c:v>0.76499611460151995</c:v>
                </c:pt>
                <c:pt idx="3825">
                  <c:v>0.76507406523299271</c:v>
                </c:pt>
                <c:pt idx="3826">
                  <c:v>0.76526860990055579</c:v>
                </c:pt>
                <c:pt idx="3827">
                  <c:v>0.76547102625548635</c:v>
                </c:pt>
                <c:pt idx="3828">
                  <c:v>0.76570607360208087</c:v>
                </c:pt>
                <c:pt idx="3829">
                  <c:v>0.76584808181832731</c:v>
                </c:pt>
                <c:pt idx="3830">
                  <c:v>0.7660315275351125</c:v>
                </c:pt>
                <c:pt idx="3831">
                  <c:v>0.76627593801274796</c:v>
                </c:pt>
                <c:pt idx="3832">
                  <c:v>0.76643054137361011</c:v>
                </c:pt>
                <c:pt idx="3833">
                  <c:v>0.76665602962441182</c:v>
                </c:pt>
                <c:pt idx="3834">
                  <c:v>0.7669553691350286</c:v>
                </c:pt>
                <c:pt idx="3835">
                  <c:v>0.76701360209873259</c:v>
                </c:pt>
                <c:pt idx="3836">
                  <c:v>0.76727555340870179</c:v>
                </c:pt>
                <c:pt idx="3837">
                  <c:v>0.76744812010816488</c:v>
                </c:pt>
                <c:pt idx="3838">
                  <c:v>0.76775762348136811</c:v>
                </c:pt>
                <c:pt idx="3839">
                  <c:v>0.76798183093196282</c:v>
                </c:pt>
                <c:pt idx="3840">
                  <c:v>0.76806243193770352</c:v>
                </c:pt>
                <c:pt idx="3841">
                  <c:v>0.76820687231314533</c:v>
                </c:pt>
                <c:pt idx="3842">
                  <c:v>0.76844764814661992</c:v>
                </c:pt>
                <c:pt idx="3843">
                  <c:v>0.76862074586600548</c:v>
                </c:pt>
                <c:pt idx="3844">
                  <c:v>0.76891476910810796</c:v>
                </c:pt>
                <c:pt idx="3845">
                  <c:v>0.76911464359143622</c:v>
                </c:pt>
                <c:pt idx="3846">
                  <c:v>0.76924673624598583</c:v>
                </c:pt>
                <c:pt idx="3847">
                  <c:v>0.76945782653616224</c:v>
                </c:pt>
                <c:pt idx="3848">
                  <c:v>0.76972999496788952</c:v>
                </c:pt>
                <c:pt idx="3849">
                  <c:v>0.76992564826131005</c:v>
                </c:pt>
                <c:pt idx="3850">
                  <c:v>0.77014160047176794</c:v>
                </c:pt>
                <c:pt idx="3851">
                  <c:v>0.77030817360000414</c:v>
                </c:pt>
                <c:pt idx="3852">
                  <c:v>0.77046613144801601</c:v>
                </c:pt>
                <c:pt idx="3853">
                  <c:v>0.77068443722680313</c:v>
                </c:pt>
                <c:pt idx="3854">
                  <c:v>0.77096132050635324</c:v>
                </c:pt>
                <c:pt idx="3855">
                  <c:v>0.77112492036561597</c:v>
                </c:pt>
                <c:pt idx="3856">
                  <c:v>0.77120799910566018</c:v>
                </c:pt>
                <c:pt idx="3857">
                  <c:v>0.77152632353611439</c:v>
                </c:pt>
                <c:pt idx="3858">
                  <c:v>0.77171097066554029</c:v>
                </c:pt>
                <c:pt idx="3859">
                  <c:v>0.77192755888358866</c:v>
                </c:pt>
                <c:pt idx="3860">
                  <c:v>0.77213936637633929</c:v>
                </c:pt>
                <c:pt idx="3861">
                  <c:v>0.77232436628847478</c:v>
                </c:pt>
                <c:pt idx="3862">
                  <c:v>0.77253101648006839</c:v>
                </c:pt>
                <c:pt idx="3863">
                  <c:v>0.77279941085297599</c:v>
                </c:pt>
                <c:pt idx="3864">
                  <c:v>0.7728220551387458</c:v>
                </c:pt>
                <c:pt idx="3865">
                  <c:v>0.77302793703312711</c:v>
                </c:pt>
                <c:pt idx="3866">
                  <c:v>0.77328046036615983</c:v>
                </c:pt>
                <c:pt idx="3867">
                  <c:v>0.77345908325497503</c:v>
                </c:pt>
                <c:pt idx="3868">
                  <c:v>0.77368021951128729</c:v>
                </c:pt>
                <c:pt idx="3869">
                  <c:v>0.77383235337232059</c:v>
                </c:pt>
                <c:pt idx="3870">
                  <c:v>0.77404360043686904</c:v>
                </c:pt>
                <c:pt idx="3871">
                  <c:v>0.77430104935236765</c:v>
                </c:pt>
                <c:pt idx="3872">
                  <c:v>0.77446910914184275</c:v>
                </c:pt>
                <c:pt idx="3873">
                  <c:v>0.77477410445431583</c:v>
                </c:pt>
                <c:pt idx="3874">
                  <c:v>0.77491245071518056</c:v>
                </c:pt>
                <c:pt idx="3875">
                  <c:v>0.77506411338794601</c:v>
                </c:pt>
                <c:pt idx="3876">
                  <c:v>0.77533983446395482</c:v>
                </c:pt>
                <c:pt idx="3877">
                  <c:v>0.77542956923163253</c:v>
                </c:pt>
                <c:pt idx="3878">
                  <c:v>0.77576299709313612</c:v>
                </c:pt>
                <c:pt idx="3879">
                  <c:v>0.77596530317756474</c:v>
                </c:pt>
                <c:pt idx="3880">
                  <c:v>0.77610574084792894</c:v>
                </c:pt>
                <c:pt idx="3881">
                  <c:v>0.77633045800163658</c:v>
                </c:pt>
                <c:pt idx="3882">
                  <c:v>0.77642114860131894</c:v>
                </c:pt>
                <c:pt idx="3883">
                  <c:v>0.77676515352012709</c:v>
                </c:pt>
                <c:pt idx="3884">
                  <c:v>0.77697642295052682</c:v>
                </c:pt>
                <c:pt idx="3885">
                  <c:v>0.77715538020812802</c:v>
                </c:pt>
                <c:pt idx="3886">
                  <c:v>0.77725793263950804</c:v>
                </c:pt>
                <c:pt idx="3887">
                  <c:v>0.77746579254890458</c:v>
                </c:pt>
                <c:pt idx="3888">
                  <c:v>0.77767502169396607</c:v>
                </c:pt>
                <c:pt idx="3889">
                  <c:v>0.77783367565642891</c:v>
                </c:pt>
                <c:pt idx="3890">
                  <c:v>0.77808450814077734</c:v>
                </c:pt>
                <c:pt idx="3891">
                  <c:v>0.77839213804639695</c:v>
                </c:pt>
                <c:pt idx="3892">
                  <c:v>0.77848985623994138</c:v>
                </c:pt>
                <c:pt idx="3893">
                  <c:v>0.77871425394320726</c:v>
                </c:pt>
                <c:pt idx="3894">
                  <c:v>0.77894596624736345</c:v>
                </c:pt>
                <c:pt idx="3895">
                  <c:v>0.77915282693159593</c:v>
                </c:pt>
                <c:pt idx="3896">
                  <c:v>0.77939660580414261</c:v>
                </c:pt>
                <c:pt idx="3897">
                  <c:v>0.77951998741224404</c:v>
                </c:pt>
                <c:pt idx="3898">
                  <c:v>0.77963945304165583</c:v>
                </c:pt>
                <c:pt idx="3899">
                  <c:v>0.77995462646902414</c:v>
                </c:pt>
                <c:pt idx="3900">
                  <c:v>0.78004747163980448</c:v>
                </c:pt>
                <c:pt idx="3901">
                  <c:v>0.78025160550234174</c:v>
                </c:pt>
                <c:pt idx="3902">
                  <c:v>0.78043753759973622</c:v>
                </c:pt>
                <c:pt idx="3903">
                  <c:v>0.78078993033412603</c:v>
                </c:pt>
                <c:pt idx="3904">
                  <c:v>0.78089386575820241</c:v>
                </c:pt>
                <c:pt idx="3905">
                  <c:v>0.78114442204813117</c:v>
                </c:pt>
                <c:pt idx="3906">
                  <c:v>0.78138807706120139</c:v>
                </c:pt>
                <c:pt idx="3907">
                  <c:v>0.78149859973711389</c:v>
                </c:pt>
                <c:pt idx="3908">
                  <c:v>0.78160716279014175</c:v>
                </c:pt>
                <c:pt idx="3909">
                  <c:v>0.78197824699081897</c:v>
                </c:pt>
                <c:pt idx="3910">
                  <c:v>0.78202077041059281</c:v>
                </c:pt>
                <c:pt idx="3911">
                  <c:v>0.7823586621638291</c:v>
                </c:pt>
                <c:pt idx="3912">
                  <c:v>0.78251034693636701</c:v>
                </c:pt>
                <c:pt idx="3913">
                  <c:v>0.78269836929251868</c:v>
                </c:pt>
                <c:pt idx="3914">
                  <c:v>0.782856304898778</c:v>
                </c:pt>
                <c:pt idx="3915">
                  <c:v>0.78315291379605245</c:v>
                </c:pt>
                <c:pt idx="3916">
                  <c:v>0.78327528940347846</c:v>
                </c:pt>
                <c:pt idx="3917">
                  <c:v>0.78343417037516694</c:v>
                </c:pt>
                <c:pt idx="3918">
                  <c:v>0.78364471292454851</c:v>
                </c:pt>
                <c:pt idx="3919">
                  <c:v>0.78389459002578965</c:v>
                </c:pt>
                <c:pt idx="3920">
                  <c:v>0.78407032982289571</c:v>
                </c:pt>
                <c:pt idx="3921">
                  <c:v>0.78426158352742481</c:v>
                </c:pt>
                <c:pt idx="3922">
                  <c:v>0.78455844060391156</c:v>
                </c:pt>
                <c:pt idx="3923">
                  <c:v>0.78478172074574548</c:v>
                </c:pt>
                <c:pt idx="3924">
                  <c:v>0.78488545279942579</c:v>
                </c:pt>
                <c:pt idx="3925">
                  <c:v>0.78517242770259554</c:v>
                </c:pt>
                <c:pt idx="3926">
                  <c:v>0.78526942463053151</c:v>
                </c:pt>
                <c:pt idx="3927">
                  <c:v>0.78556328149166965</c:v>
                </c:pt>
                <c:pt idx="3928">
                  <c:v>0.78579220781777803</c:v>
                </c:pt>
                <c:pt idx="3929">
                  <c:v>0.7858709102824496</c:v>
                </c:pt>
                <c:pt idx="3930">
                  <c:v>0.78609182382968534</c:v>
                </c:pt>
                <c:pt idx="3931">
                  <c:v>0.78621527405442093</c:v>
                </c:pt>
                <c:pt idx="3932">
                  <c:v>0.78641704516509014</c:v>
                </c:pt>
                <c:pt idx="3933">
                  <c:v>0.78660252988850754</c:v>
                </c:pt>
                <c:pt idx="3934">
                  <c:v>0.78681777241528439</c:v>
                </c:pt>
                <c:pt idx="3935">
                  <c:v>0.78715395132101929</c:v>
                </c:pt>
                <c:pt idx="3936">
                  <c:v>0.78723331232537352</c:v>
                </c:pt>
                <c:pt idx="3937">
                  <c:v>0.78752024383491848</c:v>
                </c:pt>
                <c:pt idx="3938">
                  <c:v>0.78772937337293503</c:v>
                </c:pt>
                <c:pt idx="3939">
                  <c:v>0.78796611291127416</c:v>
                </c:pt>
                <c:pt idx="3940">
                  <c:v>0.78801807063366702</c:v>
                </c:pt>
                <c:pt idx="3941">
                  <c:v>0.78820736762238841</c:v>
                </c:pt>
                <c:pt idx="3942">
                  <c:v>0.78856766282649893</c:v>
                </c:pt>
                <c:pt idx="3943">
                  <c:v>0.78861435121684675</c:v>
                </c:pt>
                <c:pt idx="3944">
                  <c:v>0.78893846886156549</c:v>
                </c:pt>
                <c:pt idx="3945">
                  <c:v>0.78919212876949274</c:v>
                </c:pt>
                <c:pt idx="3946">
                  <c:v>0.78936257005714872</c:v>
                </c:pt>
                <c:pt idx="3947">
                  <c:v>0.78958257143944088</c:v>
                </c:pt>
                <c:pt idx="3948">
                  <c:v>0.7897918890505079</c:v>
                </c:pt>
                <c:pt idx="3949">
                  <c:v>0.78998546191583985</c:v>
                </c:pt>
                <c:pt idx="3950">
                  <c:v>0.79015137715222117</c:v>
                </c:pt>
                <c:pt idx="3951">
                  <c:v>0.79023900536783953</c:v>
                </c:pt>
                <c:pt idx="3952">
                  <c:v>0.79053717084404485</c:v>
                </c:pt>
                <c:pt idx="3953">
                  <c:v>0.79072436313892813</c:v>
                </c:pt>
                <c:pt idx="3954">
                  <c:v>0.79081567530082908</c:v>
                </c:pt>
                <c:pt idx="3955">
                  <c:v>0.79100273277559385</c:v>
                </c:pt>
                <c:pt idx="3956">
                  <c:v>0.79133572876847713</c:v>
                </c:pt>
                <c:pt idx="3957">
                  <c:v>0.79154794814632001</c:v>
                </c:pt>
                <c:pt idx="3958">
                  <c:v>0.79160163635085379</c:v>
                </c:pt>
                <c:pt idx="3959">
                  <c:v>0.79181692792931968</c:v>
                </c:pt>
                <c:pt idx="3960">
                  <c:v>0.79212240611112728</c:v>
                </c:pt>
                <c:pt idx="3961">
                  <c:v>0.79220640614633597</c:v>
                </c:pt>
                <c:pt idx="3962">
                  <c:v>0.7924308792901763</c:v>
                </c:pt>
                <c:pt idx="3963">
                  <c:v>0.79272364243025051</c:v>
                </c:pt>
                <c:pt idx="3964">
                  <c:v>0.79283873796072757</c:v>
                </c:pt>
                <c:pt idx="3965">
                  <c:v>0.79310387939827143</c:v>
                </c:pt>
                <c:pt idx="3966">
                  <c:v>0.79329523547950553</c:v>
                </c:pt>
                <c:pt idx="3967">
                  <c:v>0.793481624531439</c:v>
                </c:pt>
                <c:pt idx="3968">
                  <c:v>0.79377776496046637</c:v>
                </c:pt>
                <c:pt idx="3969">
                  <c:v>0.79394748857695319</c:v>
                </c:pt>
                <c:pt idx="3970">
                  <c:v>0.79410766958289492</c:v>
                </c:pt>
                <c:pt idx="3971">
                  <c:v>0.79432741347046742</c:v>
                </c:pt>
                <c:pt idx="3972">
                  <c:v>0.7944653600958328</c:v>
                </c:pt>
                <c:pt idx="3973">
                  <c:v>0.79461111509525473</c:v>
                </c:pt>
                <c:pt idx="3974">
                  <c:v>0.79488099986670557</c:v>
                </c:pt>
                <c:pt idx="3975">
                  <c:v>0.79510345995992038</c:v>
                </c:pt>
                <c:pt idx="3976">
                  <c:v>0.79520080199344101</c:v>
                </c:pt>
                <c:pt idx="3977">
                  <c:v>0.79541433776081871</c:v>
                </c:pt>
                <c:pt idx="3978">
                  <c:v>0.79576585112110854</c:v>
                </c:pt>
                <c:pt idx="3979">
                  <c:v>0.79593172106862342</c:v>
                </c:pt>
                <c:pt idx="3980">
                  <c:v>0.79602245070646105</c:v>
                </c:pt>
                <c:pt idx="3981">
                  <c:v>0.79631398130001363</c:v>
                </c:pt>
                <c:pt idx="3982">
                  <c:v>0.79649439605634997</c:v>
                </c:pt>
                <c:pt idx="3983">
                  <c:v>0.79672182848153683</c:v>
                </c:pt>
                <c:pt idx="3984">
                  <c:v>0.79682829408762701</c:v>
                </c:pt>
                <c:pt idx="3985">
                  <c:v>0.79713065327655763</c:v>
                </c:pt>
                <c:pt idx="3986">
                  <c:v>0.79732117882238729</c:v>
                </c:pt>
                <c:pt idx="3987">
                  <c:v>0.79745809056029149</c:v>
                </c:pt>
                <c:pt idx="3988">
                  <c:v>0.79763556248327616</c:v>
                </c:pt>
                <c:pt idx="3989">
                  <c:v>0.7978856697893435</c:v>
                </c:pt>
                <c:pt idx="3990">
                  <c:v>0.79818564196289177</c:v>
                </c:pt>
                <c:pt idx="3991">
                  <c:v>0.79838557643671182</c:v>
                </c:pt>
                <c:pt idx="3992">
                  <c:v>0.7985132628163587</c:v>
                </c:pt>
                <c:pt idx="3993">
                  <c:v>0.79864715418313803</c:v>
                </c:pt>
                <c:pt idx="3994">
                  <c:v>0.7988231526006998</c:v>
                </c:pt>
                <c:pt idx="3995">
                  <c:v>0.79907889122922882</c:v>
                </c:pt>
                <c:pt idx="3996">
                  <c:v>0.79939944298928589</c:v>
                </c:pt>
                <c:pt idx="3997">
                  <c:v>0.79940870625805305</c:v>
                </c:pt>
                <c:pt idx="3998">
                  <c:v>0.79972098929251567</c:v>
                </c:pt>
                <c:pt idx="3999">
                  <c:v>0.7999134530286568</c:v>
                </c:pt>
                <c:pt idx="4000">
                  <c:v>0.80007478653413122</c:v>
                </c:pt>
                <c:pt idx="4001">
                  <c:v>0.80036087758121099</c:v>
                </c:pt>
                <c:pt idx="4002">
                  <c:v>0.80058022806630003</c:v>
                </c:pt>
                <c:pt idx="4003">
                  <c:v>0.80075795490722124</c:v>
                </c:pt>
                <c:pt idx="4004">
                  <c:v>0.80099737892663048</c:v>
                </c:pt>
                <c:pt idx="4005">
                  <c:v>0.80100454645035901</c:v>
                </c:pt>
                <c:pt idx="4006">
                  <c:v>0.80133819873773915</c:v>
                </c:pt>
                <c:pt idx="4007">
                  <c:v>0.80145314298603987</c:v>
                </c:pt>
                <c:pt idx="4008">
                  <c:v>0.80171159917346946</c:v>
                </c:pt>
                <c:pt idx="4009">
                  <c:v>0.80196924241980749</c:v>
                </c:pt>
                <c:pt idx="4010">
                  <c:v>0.80216524835204828</c:v>
                </c:pt>
                <c:pt idx="4011">
                  <c:v>0.80232357556892642</c:v>
                </c:pt>
                <c:pt idx="4012">
                  <c:v>0.80240843560360575</c:v>
                </c:pt>
                <c:pt idx="4013">
                  <c:v>0.80262944985517048</c:v>
                </c:pt>
                <c:pt idx="4014">
                  <c:v>0.80286576201847415</c:v>
                </c:pt>
                <c:pt idx="4015">
                  <c:v>0.80306787724948203</c:v>
                </c:pt>
                <c:pt idx="4016">
                  <c:v>0.8033982252986166</c:v>
                </c:pt>
                <c:pt idx="4017">
                  <c:v>0.80348532535594075</c:v>
                </c:pt>
                <c:pt idx="4018">
                  <c:v>0.80374626348147782</c:v>
                </c:pt>
                <c:pt idx="4019">
                  <c:v>0.80385926159165322</c:v>
                </c:pt>
                <c:pt idx="4020">
                  <c:v>0.80409877061743729</c:v>
                </c:pt>
                <c:pt idx="4021">
                  <c:v>0.80427642442590475</c:v>
                </c:pt>
                <c:pt idx="4022">
                  <c:v>0.80458200585776518</c:v>
                </c:pt>
                <c:pt idx="4023">
                  <c:v>0.80464471967929152</c:v>
                </c:pt>
                <c:pt idx="4024">
                  <c:v>0.80481005102349679</c:v>
                </c:pt>
                <c:pt idx="4025">
                  <c:v>0.80512070978221495</c:v>
                </c:pt>
                <c:pt idx="4026">
                  <c:v>0.80520869914670679</c:v>
                </c:pt>
                <c:pt idx="4027">
                  <c:v>0.80541100358064543</c:v>
                </c:pt>
                <c:pt idx="4028">
                  <c:v>0.80577800256697885</c:v>
                </c:pt>
                <c:pt idx="4029">
                  <c:v>0.80583500648379214</c:v>
                </c:pt>
                <c:pt idx="4030">
                  <c:v>0.80602474975353677</c:v>
                </c:pt>
                <c:pt idx="4031">
                  <c:v>0.80638296504779317</c:v>
                </c:pt>
                <c:pt idx="4032">
                  <c:v>0.80641516499920174</c:v>
                </c:pt>
                <c:pt idx="4033">
                  <c:v>0.80662537788013589</c:v>
                </c:pt>
                <c:pt idx="4034">
                  <c:v>0.8068441753415494</c:v>
                </c:pt>
                <c:pt idx="4035">
                  <c:v>0.8071417953185136</c:v>
                </c:pt>
                <c:pt idx="4036">
                  <c:v>0.80738584632258537</c:v>
                </c:pt>
                <c:pt idx="4037">
                  <c:v>0.80759609537394628</c:v>
                </c:pt>
                <c:pt idx="4038">
                  <c:v>0.80761299560973721</c:v>
                </c:pt>
                <c:pt idx="4039">
                  <c:v>0.80797867094827314</c:v>
                </c:pt>
                <c:pt idx="4040">
                  <c:v>0.80808458372421677</c:v>
                </c:pt>
                <c:pt idx="4041">
                  <c:v>0.80837739504794059</c:v>
                </c:pt>
                <c:pt idx="4042">
                  <c:v>0.80856209711296534</c:v>
                </c:pt>
                <c:pt idx="4043">
                  <c:v>0.80879098198669752</c:v>
                </c:pt>
                <c:pt idx="4044">
                  <c:v>0.8088926407021686</c:v>
                </c:pt>
                <c:pt idx="4045">
                  <c:v>0.80909820655470199</c:v>
                </c:pt>
                <c:pt idx="4046">
                  <c:v>0.80927098205747805</c:v>
                </c:pt>
                <c:pt idx="4047">
                  <c:v>0.80946270455742786</c:v>
                </c:pt>
                <c:pt idx="4048">
                  <c:v>0.80972410081939872</c:v>
                </c:pt>
                <c:pt idx="4049">
                  <c:v>0.80987945684322138</c:v>
                </c:pt>
                <c:pt idx="4050">
                  <c:v>0.81004194630636872</c:v>
                </c:pt>
                <c:pt idx="4051">
                  <c:v>0.81025045464254231</c:v>
                </c:pt>
                <c:pt idx="4052">
                  <c:v>0.810576718906168</c:v>
                </c:pt>
                <c:pt idx="4053">
                  <c:v>0.81067486967711588</c:v>
                </c:pt>
                <c:pt idx="4054">
                  <c:v>0.81095527687700364</c:v>
                </c:pt>
                <c:pt idx="4055">
                  <c:v>0.81113641155514316</c:v>
                </c:pt>
                <c:pt idx="4056">
                  <c:v>0.81124253798435497</c:v>
                </c:pt>
                <c:pt idx="4057">
                  <c:v>0.81140970521886124</c:v>
                </c:pt>
                <c:pt idx="4058">
                  <c:v>0.81172265287738354</c:v>
                </c:pt>
                <c:pt idx="4059">
                  <c:v>0.8118634432529247</c:v>
                </c:pt>
                <c:pt idx="4060">
                  <c:v>0.81212254397108286</c:v>
                </c:pt>
                <c:pt idx="4061">
                  <c:v>0.81234794334898419</c:v>
                </c:pt>
                <c:pt idx="4062">
                  <c:v>0.81246733184169684</c:v>
                </c:pt>
                <c:pt idx="4063">
                  <c:v>0.81268694517297835</c:v>
                </c:pt>
                <c:pt idx="4064">
                  <c:v>0.81287291373193105</c:v>
                </c:pt>
                <c:pt idx="4065">
                  <c:v>0.81316801860676335</c:v>
                </c:pt>
                <c:pt idx="4066">
                  <c:v>0.81336178224407174</c:v>
                </c:pt>
                <c:pt idx="4067">
                  <c:v>0.81347499798952483</c:v>
                </c:pt>
                <c:pt idx="4068">
                  <c:v>0.81367602548512541</c:v>
                </c:pt>
                <c:pt idx="4069">
                  <c:v>0.81391925050535219</c:v>
                </c:pt>
                <c:pt idx="4070">
                  <c:v>0.81411401390021532</c:v>
                </c:pt>
                <c:pt idx="4071">
                  <c:v>0.81426674802719312</c:v>
                </c:pt>
                <c:pt idx="4072">
                  <c:v>0.81451801339395302</c:v>
                </c:pt>
                <c:pt idx="4073">
                  <c:v>0.81463186787130126</c:v>
                </c:pt>
                <c:pt idx="4074">
                  <c:v>0.81488675343182093</c:v>
                </c:pt>
                <c:pt idx="4075">
                  <c:v>0.81512041150110781</c:v>
                </c:pt>
                <c:pt idx="4076">
                  <c:v>0.81535371605203344</c:v>
                </c:pt>
                <c:pt idx="4077">
                  <c:v>0.81554368501690766</c:v>
                </c:pt>
                <c:pt idx="4078">
                  <c:v>0.81573860064585202</c:v>
                </c:pt>
                <c:pt idx="4079">
                  <c:v>0.81596741718192767</c:v>
                </c:pt>
                <c:pt idx="4080">
                  <c:v>0.81601544152195926</c:v>
                </c:pt>
                <c:pt idx="4081">
                  <c:v>0.8163260980217546</c:v>
                </c:pt>
                <c:pt idx="4082">
                  <c:v>0.81650139744652006</c:v>
                </c:pt>
                <c:pt idx="4083">
                  <c:v>0.81661313629378873</c:v>
                </c:pt>
                <c:pt idx="4084">
                  <c:v>0.81699984458698893</c:v>
                </c:pt>
                <c:pt idx="4085">
                  <c:v>0.81719501500381042</c:v>
                </c:pt>
                <c:pt idx="4086">
                  <c:v>0.81720842195544596</c:v>
                </c:pt>
                <c:pt idx="4087">
                  <c:v>0.81752179098784039</c:v>
                </c:pt>
                <c:pt idx="4088">
                  <c:v>0.81773829946181231</c:v>
                </c:pt>
                <c:pt idx="4089">
                  <c:v>0.81789845185030685</c:v>
                </c:pt>
                <c:pt idx="4090">
                  <c:v>0.81804394187518481</c:v>
                </c:pt>
                <c:pt idx="4091">
                  <c:v>0.81821881283522091</c:v>
                </c:pt>
                <c:pt idx="4092">
                  <c:v>0.81859684062334637</c:v>
                </c:pt>
                <c:pt idx="4093">
                  <c:v>0.81860819733869472</c:v>
                </c:pt>
                <c:pt idx="4094">
                  <c:v>0.81889185663086639</c:v>
                </c:pt>
                <c:pt idx="4095">
                  <c:v>0.81912000831088994</c:v>
                </c:pt>
                <c:pt idx="4096">
                  <c:v>0.81936364323984912</c:v>
                </c:pt>
                <c:pt idx="4097">
                  <c:v>0.81957351746456075</c:v>
                </c:pt>
                <c:pt idx="4098">
                  <c:v>0.81965594201755154</c:v>
                </c:pt>
                <c:pt idx="4099">
                  <c:v>0.81993883063251594</c:v>
                </c:pt>
                <c:pt idx="4100">
                  <c:v>0.82004967353116953</c:v>
                </c:pt>
                <c:pt idx="4101">
                  <c:v>0.82020117219719146</c:v>
                </c:pt>
                <c:pt idx="4102">
                  <c:v>0.82049291625346354</c:v>
                </c:pt>
                <c:pt idx="4103">
                  <c:v>0.82077813287935641</c:v>
                </c:pt>
                <c:pt idx="4104">
                  <c:v>0.82088248588970925</c:v>
                </c:pt>
                <c:pt idx="4105">
                  <c:v>0.82109274383338471</c:v>
                </c:pt>
                <c:pt idx="4106">
                  <c:v>0.82131413235890538</c:v>
                </c:pt>
                <c:pt idx="4107">
                  <c:v>0.82146702070796562</c:v>
                </c:pt>
                <c:pt idx="4108">
                  <c:v>0.8216497420686879</c:v>
                </c:pt>
                <c:pt idx="4109">
                  <c:v>0.82193428049691353</c:v>
                </c:pt>
                <c:pt idx="4110">
                  <c:v>0.82208265377587708</c:v>
                </c:pt>
                <c:pt idx="4111">
                  <c:v>0.82226175236591648</c:v>
                </c:pt>
                <c:pt idx="4112">
                  <c:v>0.8224428083391494</c:v>
                </c:pt>
                <c:pt idx="4113">
                  <c:v>0.82279698467589846</c:v>
                </c:pt>
                <c:pt idx="4114">
                  <c:v>0.82290373039513454</c:v>
                </c:pt>
                <c:pt idx="4115">
                  <c:v>0.82316075832926694</c:v>
                </c:pt>
                <c:pt idx="4116">
                  <c:v>0.82323175525782444</c:v>
                </c:pt>
                <c:pt idx="4117">
                  <c:v>0.82343612604761407</c:v>
                </c:pt>
                <c:pt idx="4118">
                  <c:v>0.82365182824718108</c:v>
                </c:pt>
                <c:pt idx="4119">
                  <c:v>0.82394384385993324</c:v>
                </c:pt>
                <c:pt idx="4120">
                  <c:v>0.82406052917946604</c:v>
                </c:pt>
                <c:pt idx="4121">
                  <c:v>0.82425752940435382</c:v>
                </c:pt>
                <c:pt idx="4122">
                  <c:v>0.82449934764376354</c:v>
                </c:pt>
                <c:pt idx="4123">
                  <c:v>0.82460970716732773</c:v>
                </c:pt>
                <c:pt idx="4124">
                  <c:v>0.82481998994569772</c:v>
                </c:pt>
                <c:pt idx="4125">
                  <c:v>0.82502449223944552</c:v>
                </c:pt>
                <c:pt idx="4126">
                  <c:v>0.8252155860856677</c:v>
                </c:pt>
                <c:pt idx="4127">
                  <c:v>0.82546294915188645</c:v>
                </c:pt>
                <c:pt idx="4128">
                  <c:v>0.82572219449074979</c:v>
                </c:pt>
                <c:pt idx="4129">
                  <c:v>0.82581273237415875</c:v>
                </c:pt>
                <c:pt idx="4130">
                  <c:v>0.82614868590965596</c:v>
                </c:pt>
                <c:pt idx="4131">
                  <c:v>0.82623734605085042</c:v>
                </c:pt>
                <c:pt idx="4132">
                  <c:v>0.82648518474425314</c:v>
                </c:pt>
                <c:pt idx="4133">
                  <c:v>0.82666185651041146</c:v>
                </c:pt>
                <c:pt idx="4134">
                  <c:v>0.82695912247783487</c:v>
                </c:pt>
                <c:pt idx="4135">
                  <c:v>0.82710885149331492</c:v>
                </c:pt>
                <c:pt idx="4136">
                  <c:v>0.82720909378943253</c:v>
                </c:pt>
                <c:pt idx="4137">
                  <c:v>0.8275674846859572</c:v>
                </c:pt>
                <c:pt idx="4138">
                  <c:v>0.82776276125050208</c:v>
                </c:pt>
                <c:pt idx="4139">
                  <c:v>0.82781302047628291</c:v>
                </c:pt>
                <c:pt idx="4140">
                  <c:v>0.82817520133735967</c:v>
                </c:pt>
                <c:pt idx="4141">
                  <c:v>0.82826673062519784</c:v>
                </c:pt>
                <c:pt idx="4142">
                  <c:v>0.82848382059267811</c:v>
                </c:pt>
                <c:pt idx="4143">
                  <c:v>0.82873227125884319</c:v>
                </c:pt>
                <c:pt idx="4144">
                  <c:v>0.82881562737450365</c:v>
                </c:pt>
                <c:pt idx="4145">
                  <c:v>0.82914460624641384</c:v>
                </c:pt>
                <c:pt idx="4146">
                  <c:v>0.82921949194656208</c:v>
                </c:pt>
                <c:pt idx="4147">
                  <c:v>0.8295665124408822</c:v>
                </c:pt>
                <c:pt idx="4148">
                  <c:v>0.82964456835869804</c:v>
                </c:pt>
                <c:pt idx="4149">
                  <c:v>0.82984357432500544</c:v>
                </c:pt>
                <c:pt idx="4150">
                  <c:v>0.83019468039339284</c:v>
                </c:pt>
                <c:pt idx="4151">
                  <c:v>0.83028051504718148</c:v>
                </c:pt>
                <c:pt idx="4152">
                  <c:v>0.83053007673386714</c:v>
                </c:pt>
                <c:pt idx="4153">
                  <c:v>0.83063921721941769</c:v>
                </c:pt>
                <c:pt idx="4154">
                  <c:v>0.83091957925286131</c:v>
                </c:pt>
                <c:pt idx="4155">
                  <c:v>0.8310149784707499</c:v>
                </c:pt>
                <c:pt idx="4156">
                  <c:v>0.83136390383126313</c:v>
                </c:pt>
                <c:pt idx="4157">
                  <c:v>0.83152292325005928</c:v>
                </c:pt>
                <c:pt idx="4158">
                  <c:v>0.8317430859058963</c:v>
                </c:pt>
                <c:pt idx="4159">
                  <c:v>0.83183843675089031</c:v>
                </c:pt>
                <c:pt idx="4160">
                  <c:v>0.83218381890686777</c:v>
                </c:pt>
                <c:pt idx="4161">
                  <c:v>0.8322807379125805</c:v>
                </c:pt>
                <c:pt idx="4162">
                  <c:v>0.8325132449437197</c:v>
                </c:pt>
                <c:pt idx="4163">
                  <c:v>0.83265174328872271</c:v>
                </c:pt>
                <c:pt idx="4164">
                  <c:v>0.8328857139615542</c:v>
                </c:pt>
                <c:pt idx="4165">
                  <c:v>0.83316527178282052</c:v>
                </c:pt>
                <c:pt idx="4166">
                  <c:v>0.83333696582851391</c:v>
                </c:pt>
                <c:pt idx="4167">
                  <c:v>0.83343438993716479</c:v>
                </c:pt>
                <c:pt idx="4168">
                  <c:v>0.83379844145281201</c:v>
                </c:pt>
                <c:pt idx="4169">
                  <c:v>0.83394299720505782</c:v>
                </c:pt>
                <c:pt idx="4170">
                  <c:v>0.83402100439267723</c:v>
                </c:pt>
                <c:pt idx="4171">
                  <c:v>0.83423746434125057</c:v>
                </c:pt>
                <c:pt idx="4172">
                  <c:v>0.8345008318655428</c:v>
                </c:pt>
                <c:pt idx="4173">
                  <c:v>0.83469684525618726</c:v>
                </c:pt>
                <c:pt idx="4174">
                  <c:v>0.83482308945553918</c:v>
                </c:pt>
                <c:pt idx="4175">
                  <c:v>0.83516766243105944</c:v>
                </c:pt>
                <c:pt idx="4176">
                  <c:v>0.83532876072817686</c:v>
                </c:pt>
                <c:pt idx="4177">
                  <c:v>0.83546471903018305</c:v>
                </c:pt>
                <c:pt idx="4178">
                  <c:v>0.83579014585711753</c:v>
                </c:pt>
                <c:pt idx="4179">
                  <c:v>0.83585669270382656</c:v>
                </c:pt>
                <c:pt idx="4180">
                  <c:v>0.83611273824170063</c:v>
                </c:pt>
                <c:pt idx="4181">
                  <c:v>0.83625500176485035</c:v>
                </c:pt>
                <c:pt idx="4182">
                  <c:v>0.83649229480696197</c:v>
                </c:pt>
                <c:pt idx="4183">
                  <c:v>0.83661402708129351</c:v>
                </c:pt>
                <c:pt idx="4184">
                  <c:v>0.83699552297321966</c:v>
                </c:pt>
                <c:pt idx="4185">
                  <c:v>0.83715165000696468</c:v>
                </c:pt>
                <c:pt idx="4186">
                  <c:v>0.83725825809544385</c:v>
                </c:pt>
                <c:pt idx="4187">
                  <c:v>0.83740978078358108</c:v>
                </c:pt>
                <c:pt idx="4188">
                  <c:v>0.83771579431316712</c:v>
                </c:pt>
                <c:pt idx="4189">
                  <c:v>0.8378765459342572</c:v>
                </c:pt>
                <c:pt idx="4190">
                  <c:v>0.83806196575748304</c:v>
                </c:pt>
                <c:pt idx="4191">
                  <c:v>0.83823398322738563</c:v>
                </c:pt>
                <c:pt idx="4192">
                  <c:v>0.83849274869302592</c:v>
                </c:pt>
                <c:pt idx="4193">
                  <c:v>0.83860074353376424</c:v>
                </c:pt>
                <c:pt idx="4194">
                  <c:v>0.83893864793384876</c:v>
                </c:pt>
                <c:pt idx="4195">
                  <c:v>0.83917278323061129</c:v>
                </c:pt>
                <c:pt idx="4196">
                  <c:v>0.83930912406647329</c:v>
                </c:pt>
                <c:pt idx="4197">
                  <c:v>0.83956169524652924</c:v>
                </c:pt>
                <c:pt idx="4198">
                  <c:v>0.83976844682697416</c:v>
                </c:pt>
                <c:pt idx="4199">
                  <c:v>0.83991480273267138</c:v>
                </c:pt>
                <c:pt idx="4200">
                  <c:v>0.84013243578293662</c:v>
                </c:pt>
                <c:pt idx="4201">
                  <c:v>0.84023827920580241</c:v>
                </c:pt>
                <c:pt idx="4202">
                  <c:v>0.84045138110622097</c:v>
                </c:pt>
                <c:pt idx="4203">
                  <c:v>0.84074705033580466</c:v>
                </c:pt>
                <c:pt idx="4204">
                  <c:v>0.84087204209223199</c:v>
                </c:pt>
                <c:pt idx="4205">
                  <c:v>0.84109733191749492</c:v>
                </c:pt>
                <c:pt idx="4206">
                  <c:v>0.841314405166524</c:v>
                </c:pt>
                <c:pt idx="4207">
                  <c:v>0.84159106135633577</c:v>
                </c:pt>
                <c:pt idx="4208">
                  <c:v>0.84176795443048891</c:v>
                </c:pt>
                <c:pt idx="4209">
                  <c:v>0.84186663499033698</c:v>
                </c:pt>
                <c:pt idx="4210">
                  <c:v>0.84210478063256122</c:v>
                </c:pt>
                <c:pt idx="4211">
                  <c:v>0.84223578901897089</c:v>
                </c:pt>
                <c:pt idx="4212">
                  <c:v>0.84240837270794633</c:v>
                </c:pt>
                <c:pt idx="4213">
                  <c:v>0.84264006768028243</c:v>
                </c:pt>
                <c:pt idx="4214">
                  <c:v>0.84282378164525684</c:v>
                </c:pt>
                <c:pt idx="4215">
                  <c:v>0.84300671540321948</c:v>
                </c:pt>
                <c:pt idx="4216">
                  <c:v>0.84335398683588814</c:v>
                </c:pt>
                <c:pt idx="4217">
                  <c:v>0.84348115325814144</c:v>
                </c:pt>
                <c:pt idx="4218">
                  <c:v>0.84372763770514336</c:v>
                </c:pt>
                <c:pt idx="4219">
                  <c:v>0.84398346711173267</c:v>
                </c:pt>
                <c:pt idx="4220">
                  <c:v>0.84419316025352875</c:v>
                </c:pt>
                <c:pt idx="4221">
                  <c:v>0.84435404746307852</c:v>
                </c:pt>
                <c:pt idx="4222">
                  <c:v>0.84444424954355801</c:v>
                </c:pt>
                <c:pt idx="4223">
                  <c:v>0.84479023464726999</c:v>
                </c:pt>
                <c:pt idx="4224">
                  <c:v>0.84491800566793374</c:v>
                </c:pt>
                <c:pt idx="4225">
                  <c:v>0.84504780204092333</c:v>
                </c:pt>
                <c:pt idx="4226">
                  <c:v>0.8452241497266163</c:v>
                </c:pt>
                <c:pt idx="4227">
                  <c:v>0.84541083146087148</c:v>
                </c:pt>
                <c:pt idx="4228">
                  <c:v>0.84561531704911397</c:v>
                </c:pt>
                <c:pt idx="4229">
                  <c:v>0.8459192142924572</c:v>
                </c:pt>
                <c:pt idx="4230">
                  <c:v>0.84612670326324335</c:v>
                </c:pt>
                <c:pt idx="4231">
                  <c:v>0.84637227190392383</c:v>
                </c:pt>
                <c:pt idx="4232">
                  <c:v>0.84642971143360013</c:v>
                </c:pt>
                <c:pt idx="4233">
                  <c:v>0.84673275722361463</c:v>
                </c:pt>
                <c:pt idx="4234">
                  <c:v>0.8468756216107578</c:v>
                </c:pt>
                <c:pt idx="4235">
                  <c:v>0.84707522419324954</c:v>
                </c:pt>
                <c:pt idx="4236">
                  <c:v>0.84735157770760161</c:v>
                </c:pt>
                <c:pt idx="4237">
                  <c:v>0.84751275124468661</c:v>
                </c:pt>
                <c:pt idx="4238">
                  <c:v>0.84777316321902285</c:v>
                </c:pt>
                <c:pt idx="4239">
                  <c:v>0.84796234899683909</c:v>
                </c:pt>
                <c:pt idx="4240">
                  <c:v>0.84807402186879755</c:v>
                </c:pt>
                <c:pt idx="4241">
                  <c:v>0.84832084467185687</c:v>
                </c:pt>
                <c:pt idx="4242">
                  <c:v>0.84851232036624857</c:v>
                </c:pt>
                <c:pt idx="4243">
                  <c:v>0.84868953374272438</c:v>
                </c:pt>
                <c:pt idx="4244">
                  <c:v>0.84882405591668197</c:v>
                </c:pt>
                <c:pt idx="4245">
                  <c:v>0.84905901071574985</c:v>
                </c:pt>
                <c:pt idx="4246">
                  <c:v>0.84929588947899082</c:v>
                </c:pt>
                <c:pt idx="4247">
                  <c:v>0.8495449831536378</c:v>
                </c:pt>
                <c:pt idx="4248">
                  <c:v>0.84975864186570016</c:v>
                </c:pt>
                <c:pt idx="4249">
                  <c:v>0.84987783938075367</c:v>
                </c:pt>
                <c:pt idx="4250">
                  <c:v>0.85008069213486293</c:v>
                </c:pt>
                <c:pt idx="4251">
                  <c:v>0.85036864880071228</c:v>
                </c:pt>
                <c:pt idx="4252">
                  <c:v>0.850583192570876</c:v>
                </c:pt>
                <c:pt idx="4253">
                  <c:v>0.85077648126882888</c:v>
                </c:pt>
                <c:pt idx="4254">
                  <c:v>0.85098535417662591</c:v>
                </c:pt>
                <c:pt idx="4255">
                  <c:v>0.85100800720025038</c:v>
                </c:pt>
                <c:pt idx="4256">
                  <c:v>0.8513140630155136</c:v>
                </c:pt>
                <c:pt idx="4257">
                  <c:v>0.85148444218576991</c:v>
                </c:pt>
                <c:pt idx="4258">
                  <c:v>0.85160279479478562</c:v>
                </c:pt>
                <c:pt idx="4259">
                  <c:v>0.85180989805935192</c:v>
                </c:pt>
                <c:pt idx="4260">
                  <c:v>0.85200783306807459</c:v>
                </c:pt>
                <c:pt idx="4261">
                  <c:v>0.8522634549314303</c:v>
                </c:pt>
                <c:pt idx="4262">
                  <c:v>0.85250256595013252</c:v>
                </c:pt>
                <c:pt idx="4263">
                  <c:v>0.85269518997708693</c:v>
                </c:pt>
                <c:pt idx="4264">
                  <c:v>0.85286541943742555</c:v>
                </c:pt>
                <c:pt idx="4265">
                  <c:v>0.85319434836851304</c:v>
                </c:pt>
                <c:pt idx="4266">
                  <c:v>0.8533645599920221</c:v>
                </c:pt>
                <c:pt idx="4267">
                  <c:v>0.8534400094656367</c:v>
                </c:pt>
                <c:pt idx="4268">
                  <c:v>0.85364277614388684</c:v>
                </c:pt>
                <c:pt idx="4269">
                  <c:v>0.85392737449526956</c:v>
                </c:pt>
                <c:pt idx="4270">
                  <c:v>0.85418546776012172</c:v>
                </c:pt>
                <c:pt idx="4271">
                  <c:v>0.85430826195900067</c:v>
                </c:pt>
                <c:pt idx="4272">
                  <c:v>0.85451895405149991</c:v>
                </c:pt>
                <c:pt idx="4273">
                  <c:v>0.8547006268138766</c:v>
                </c:pt>
                <c:pt idx="4274">
                  <c:v>0.85484591516560082</c:v>
                </c:pt>
                <c:pt idx="4275">
                  <c:v>0.85501517615397804</c:v>
                </c:pt>
                <c:pt idx="4276">
                  <c:v>0.85534231901460844</c:v>
                </c:pt>
                <c:pt idx="4277">
                  <c:v>0.85549056983224359</c:v>
                </c:pt>
                <c:pt idx="4278">
                  <c:v>0.85578154362700443</c:v>
                </c:pt>
                <c:pt idx="4279">
                  <c:v>0.85594549659042274</c:v>
                </c:pt>
                <c:pt idx="4280">
                  <c:v>0.8560725200021343</c:v>
                </c:pt>
                <c:pt idx="4281">
                  <c:v>0.85620873072459558</c:v>
                </c:pt>
                <c:pt idx="4282">
                  <c:v>0.85657563759148492</c:v>
                </c:pt>
                <c:pt idx="4283">
                  <c:v>0.85675745029350692</c:v>
                </c:pt>
                <c:pt idx="4284">
                  <c:v>0.85680042942655288</c:v>
                </c:pt>
                <c:pt idx="4285">
                  <c:v>0.85713871601832547</c:v>
                </c:pt>
                <c:pt idx="4286">
                  <c:v>0.85720681728976944</c:v>
                </c:pt>
                <c:pt idx="4287">
                  <c:v>0.85753779503976402</c:v>
                </c:pt>
                <c:pt idx="4288">
                  <c:v>0.85769926261662022</c:v>
                </c:pt>
                <c:pt idx="4289">
                  <c:v>0.85781782920016392</c:v>
                </c:pt>
                <c:pt idx="4290">
                  <c:v>0.85801507344041361</c:v>
                </c:pt>
                <c:pt idx="4291">
                  <c:v>0.85839890795201046</c:v>
                </c:pt>
                <c:pt idx="4292">
                  <c:v>0.85841995917275093</c:v>
                </c:pt>
                <c:pt idx="4293">
                  <c:v>0.85878680732892521</c:v>
                </c:pt>
                <c:pt idx="4294">
                  <c:v>0.8589167004958066</c:v>
                </c:pt>
                <c:pt idx="4295">
                  <c:v>0.85919624161184671</c:v>
                </c:pt>
                <c:pt idx="4296">
                  <c:v>0.85927684256487447</c:v>
                </c:pt>
                <c:pt idx="4297">
                  <c:v>0.85959192115440786</c:v>
                </c:pt>
                <c:pt idx="4298">
                  <c:v>0.85963432830647435</c:v>
                </c:pt>
                <c:pt idx="4299">
                  <c:v>0.85989829755432401</c:v>
                </c:pt>
                <c:pt idx="4300">
                  <c:v>0.86015267057836808</c:v>
                </c:pt>
                <c:pt idx="4301">
                  <c:v>0.8603505451311243</c:v>
                </c:pt>
                <c:pt idx="4302">
                  <c:v>0.86054963082385949</c:v>
                </c:pt>
                <c:pt idx="4303">
                  <c:v>0.86069696749525537</c:v>
                </c:pt>
                <c:pt idx="4304">
                  <c:v>0.86090094461070854</c:v>
                </c:pt>
                <c:pt idx="4305">
                  <c:v>0.86112687725818871</c:v>
                </c:pt>
                <c:pt idx="4306">
                  <c:v>0.86132669866469846</c:v>
                </c:pt>
                <c:pt idx="4307">
                  <c:v>0.86154213732926688</c:v>
                </c:pt>
                <c:pt idx="4308">
                  <c:v>0.86174219490353532</c:v>
                </c:pt>
                <c:pt idx="4309">
                  <c:v>0.86197412121681827</c:v>
                </c:pt>
                <c:pt idx="4310">
                  <c:v>0.86209072335783643</c:v>
                </c:pt>
                <c:pt idx="4311">
                  <c:v>0.8623795126278837</c:v>
                </c:pt>
                <c:pt idx="4312">
                  <c:v>0.86246194903810081</c:v>
                </c:pt>
                <c:pt idx="4313">
                  <c:v>0.8626100407645596</c:v>
                </c:pt>
                <c:pt idx="4314">
                  <c:v>0.86288680212807067</c:v>
                </c:pt>
                <c:pt idx="4315">
                  <c:v>0.86315395786570248</c:v>
                </c:pt>
                <c:pt idx="4316">
                  <c:v>0.86327330160892413</c:v>
                </c:pt>
                <c:pt idx="4317">
                  <c:v>0.86347920103182063</c:v>
                </c:pt>
                <c:pt idx="4318">
                  <c:v>0.86378442779504327</c:v>
                </c:pt>
                <c:pt idx="4319">
                  <c:v>0.86380159312575155</c:v>
                </c:pt>
                <c:pt idx="4320">
                  <c:v>0.86405492731315425</c:v>
                </c:pt>
                <c:pt idx="4321">
                  <c:v>0.86437887372392674</c:v>
                </c:pt>
                <c:pt idx="4322">
                  <c:v>0.86452444829268482</c:v>
                </c:pt>
                <c:pt idx="4323">
                  <c:v>0.86477448028413906</c:v>
                </c:pt>
                <c:pt idx="4324">
                  <c:v>0.86484866713584596</c:v>
                </c:pt>
                <c:pt idx="4325">
                  <c:v>0.86506049850211952</c:v>
                </c:pt>
                <c:pt idx="4326">
                  <c:v>0.86539645164622836</c:v>
                </c:pt>
                <c:pt idx="4327">
                  <c:v>0.86553019494575689</c:v>
                </c:pt>
                <c:pt idx="4328">
                  <c:v>0.86578936635618775</c:v>
                </c:pt>
                <c:pt idx="4329">
                  <c:v>0.86591677936611611</c:v>
                </c:pt>
                <c:pt idx="4330">
                  <c:v>0.86611179570092622</c:v>
                </c:pt>
                <c:pt idx="4331">
                  <c:v>0.86637381004611347</c:v>
                </c:pt>
                <c:pt idx="4332">
                  <c:v>0.8665029967685004</c:v>
                </c:pt>
                <c:pt idx="4333">
                  <c:v>0.86678854513647696</c:v>
                </c:pt>
                <c:pt idx="4334">
                  <c:v>0.86688275725969177</c:v>
                </c:pt>
                <c:pt idx="4335">
                  <c:v>0.86714505610231896</c:v>
                </c:pt>
                <c:pt idx="4336">
                  <c:v>0.86729693636821981</c:v>
                </c:pt>
                <c:pt idx="4337">
                  <c:v>0.8674835142462709</c:v>
                </c:pt>
                <c:pt idx="4338">
                  <c:v>0.86774085252348809</c:v>
                </c:pt>
                <c:pt idx="4339">
                  <c:v>0.8679821059935684</c:v>
                </c:pt>
                <c:pt idx="4340">
                  <c:v>0.86808009986972445</c:v>
                </c:pt>
                <c:pt idx="4341">
                  <c:v>0.8682103893362475</c:v>
                </c:pt>
                <c:pt idx="4342">
                  <c:v>0.86857695970730331</c:v>
                </c:pt>
                <c:pt idx="4343">
                  <c:v>0.86879699796647691</c:v>
                </c:pt>
                <c:pt idx="4344">
                  <c:v>0.86887127025906719</c:v>
                </c:pt>
                <c:pt idx="4345">
                  <c:v>0.86906090431210137</c:v>
                </c:pt>
                <c:pt idx="4346">
                  <c:v>0.8692786249578649</c:v>
                </c:pt>
                <c:pt idx="4347">
                  <c:v>0.86950086123577808</c:v>
                </c:pt>
                <c:pt idx="4348">
                  <c:v>0.86976532822646335</c:v>
                </c:pt>
                <c:pt idx="4349">
                  <c:v>0.86984584784201491</c:v>
                </c:pt>
                <c:pt idx="4350">
                  <c:v>0.87017343529308533</c:v>
                </c:pt>
                <c:pt idx="4351">
                  <c:v>0.87022479358106497</c:v>
                </c:pt>
                <c:pt idx="4352">
                  <c:v>0.87057567170750716</c:v>
                </c:pt>
                <c:pt idx="4353">
                  <c:v>0.87073834103595893</c:v>
                </c:pt>
                <c:pt idx="4354">
                  <c:v>0.8708447029741585</c:v>
                </c:pt>
                <c:pt idx="4355">
                  <c:v>0.87100953055685604</c:v>
                </c:pt>
                <c:pt idx="4356">
                  <c:v>0.87128601638974756</c:v>
                </c:pt>
                <c:pt idx="4357">
                  <c:v>0.87142938101129364</c:v>
                </c:pt>
                <c:pt idx="4358">
                  <c:v>0.87166826041035073</c:v>
                </c:pt>
                <c:pt idx="4359">
                  <c:v>0.87185608528369485</c:v>
                </c:pt>
                <c:pt idx="4360">
                  <c:v>0.87218195911389362</c:v>
                </c:pt>
                <c:pt idx="4361">
                  <c:v>0.87227256155486044</c:v>
                </c:pt>
                <c:pt idx="4362">
                  <c:v>0.87255388599921813</c:v>
                </c:pt>
                <c:pt idx="4363">
                  <c:v>0.87272367965707631</c:v>
                </c:pt>
                <c:pt idx="4364">
                  <c:v>0.87291690587632298</c:v>
                </c:pt>
                <c:pt idx="4365">
                  <c:v>0.87317846701242452</c:v>
                </c:pt>
                <c:pt idx="4366">
                  <c:v>0.87337870125020367</c:v>
                </c:pt>
                <c:pt idx="4367">
                  <c:v>0.87347118130672519</c:v>
                </c:pt>
                <c:pt idx="4368">
                  <c:v>0.87371963535782871</c:v>
                </c:pt>
                <c:pt idx="4369">
                  <c:v>0.87393364717753919</c:v>
                </c:pt>
                <c:pt idx="4370">
                  <c:v>0.87403387855809034</c:v>
                </c:pt>
                <c:pt idx="4371">
                  <c:v>0.87426956483243723</c:v>
                </c:pt>
                <c:pt idx="4372">
                  <c:v>0.87443036134825802</c:v>
                </c:pt>
                <c:pt idx="4373">
                  <c:v>0.87470997794720118</c:v>
                </c:pt>
                <c:pt idx="4374">
                  <c:v>0.87481178134433268</c:v>
                </c:pt>
                <c:pt idx="4375">
                  <c:v>0.87500851394264223</c:v>
                </c:pt>
                <c:pt idx="4376">
                  <c:v>0.87536783867561441</c:v>
                </c:pt>
                <c:pt idx="4377">
                  <c:v>0.8755927182216181</c:v>
                </c:pt>
                <c:pt idx="4378">
                  <c:v>0.87568355892195449</c:v>
                </c:pt>
                <c:pt idx="4379">
                  <c:v>0.87591588582971958</c:v>
                </c:pt>
                <c:pt idx="4380">
                  <c:v>0.87614130886442532</c:v>
                </c:pt>
                <c:pt idx="4381">
                  <c:v>0.87635746187380459</c:v>
                </c:pt>
                <c:pt idx="4382">
                  <c:v>0.87655987363112164</c:v>
                </c:pt>
                <c:pt idx="4383">
                  <c:v>0.87674213385403676</c:v>
                </c:pt>
                <c:pt idx="4384">
                  <c:v>0.87685925629699124</c:v>
                </c:pt>
                <c:pt idx="4385">
                  <c:v>0.87702412911160477</c:v>
                </c:pt>
                <c:pt idx="4386">
                  <c:v>0.87721747124763605</c:v>
                </c:pt>
                <c:pt idx="4387">
                  <c:v>0.87747981988165524</c:v>
                </c:pt>
                <c:pt idx="4388">
                  <c:v>0.87772654823156226</c:v>
                </c:pt>
                <c:pt idx="4389">
                  <c:v>0.8778340812037313</c:v>
                </c:pt>
                <c:pt idx="4390">
                  <c:v>0.87800071429372784</c:v>
                </c:pt>
                <c:pt idx="4391">
                  <c:v>0.87837775207301094</c:v>
                </c:pt>
                <c:pt idx="4392">
                  <c:v>0.87858013051640715</c:v>
                </c:pt>
                <c:pt idx="4393">
                  <c:v>0.87871168169325953</c:v>
                </c:pt>
                <c:pt idx="4394">
                  <c:v>0.87888544771943367</c:v>
                </c:pt>
                <c:pt idx="4395">
                  <c:v>0.87903943732023215</c:v>
                </c:pt>
                <c:pt idx="4396">
                  <c:v>0.87933328946804012</c:v>
                </c:pt>
                <c:pt idx="4397">
                  <c:v>0.8794118931563133</c:v>
                </c:pt>
                <c:pt idx="4398">
                  <c:v>0.87967432591209049</c:v>
                </c:pt>
                <c:pt idx="4399">
                  <c:v>0.87997707840203709</c:v>
                </c:pt>
                <c:pt idx="4400">
                  <c:v>0.88009762304129491</c:v>
                </c:pt>
                <c:pt idx="4401">
                  <c:v>0.88026265878329579</c:v>
                </c:pt>
                <c:pt idx="4402">
                  <c:v>0.88057379148043069</c:v>
                </c:pt>
                <c:pt idx="4403">
                  <c:v>0.88067563792003223</c:v>
                </c:pt>
                <c:pt idx="4404">
                  <c:v>0.88082999837795029</c:v>
                </c:pt>
                <c:pt idx="4405">
                  <c:v>0.88107195735389177</c:v>
                </c:pt>
                <c:pt idx="4406">
                  <c:v>0.88135918303433791</c:v>
                </c:pt>
                <c:pt idx="4407">
                  <c:v>0.88151423300842613</c:v>
                </c:pt>
                <c:pt idx="4408">
                  <c:v>0.88163566172202956</c:v>
                </c:pt>
                <c:pt idx="4409">
                  <c:v>0.88196534248380121</c:v>
                </c:pt>
                <c:pt idx="4410">
                  <c:v>0.88201105812043201</c:v>
                </c:pt>
                <c:pt idx="4411">
                  <c:v>0.88227359926688331</c:v>
                </c:pt>
                <c:pt idx="4412">
                  <c:v>0.88259854719312825</c:v>
                </c:pt>
                <c:pt idx="4413">
                  <c:v>0.88260983078894439</c:v>
                </c:pt>
                <c:pt idx="4414">
                  <c:v>0.88293322944737351</c:v>
                </c:pt>
                <c:pt idx="4415">
                  <c:v>0.88311981980822041</c:v>
                </c:pt>
                <c:pt idx="4416">
                  <c:v>0.88326407430853326</c:v>
                </c:pt>
                <c:pt idx="4417">
                  <c:v>0.88351902980378805</c:v>
                </c:pt>
                <c:pt idx="4418">
                  <c:v>0.88374992079375081</c:v>
                </c:pt>
                <c:pt idx="4419">
                  <c:v>0.88399719220395123</c:v>
                </c:pt>
                <c:pt idx="4420">
                  <c:v>0.88414612058981934</c:v>
                </c:pt>
                <c:pt idx="4421">
                  <c:v>0.88428183392679371</c:v>
                </c:pt>
                <c:pt idx="4422">
                  <c:v>0.88449441997145639</c:v>
                </c:pt>
                <c:pt idx="4423">
                  <c:v>0.88469775612319301</c:v>
                </c:pt>
                <c:pt idx="4424">
                  <c:v>0.88486739062598607</c:v>
                </c:pt>
                <c:pt idx="4425">
                  <c:v>0.88512896341451652</c:v>
                </c:pt>
                <c:pt idx="4426">
                  <c:v>0.88527344184803625</c:v>
                </c:pt>
                <c:pt idx="4427">
                  <c:v>0.88559722397206275</c:v>
                </c:pt>
                <c:pt idx="4428">
                  <c:v>0.88572223991898869</c:v>
                </c:pt>
                <c:pt idx="4429">
                  <c:v>0.885808362334503</c:v>
                </c:pt>
                <c:pt idx="4430">
                  <c:v>0.88609726931501587</c:v>
                </c:pt>
                <c:pt idx="4431">
                  <c:v>0.8863680739206653</c:v>
                </c:pt>
                <c:pt idx="4432">
                  <c:v>0.88658507103626272</c:v>
                </c:pt>
                <c:pt idx="4433">
                  <c:v>0.88677325658127049</c:v>
                </c:pt>
                <c:pt idx="4434">
                  <c:v>0.8868373146362224</c:v>
                </c:pt>
                <c:pt idx="4435">
                  <c:v>0.88708454414263471</c:v>
                </c:pt>
                <c:pt idx="4436">
                  <c:v>0.88734857036116266</c:v>
                </c:pt>
                <c:pt idx="4437">
                  <c:v>0.88759758832841129</c:v>
                </c:pt>
                <c:pt idx="4438">
                  <c:v>0.88760449617202508</c:v>
                </c:pt>
                <c:pt idx="4439">
                  <c:v>0.887942722699126</c:v>
                </c:pt>
                <c:pt idx="4440">
                  <c:v>0.88802474756953886</c:v>
                </c:pt>
                <c:pt idx="4441">
                  <c:v>0.88834451228346312</c:v>
                </c:pt>
                <c:pt idx="4442">
                  <c:v>0.88843663577172827</c:v>
                </c:pt>
                <c:pt idx="4443">
                  <c:v>0.88874667730977452</c:v>
                </c:pt>
                <c:pt idx="4444">
                  <c:v>0.88898986517349021</c:v>
                </c:pt>
                <c:pt idx="4445">
                  <c:v>0.8890529133903452</c:v>
                </c:pt>
                <c:pt idx="4446">
                  <c:v>0.88939517354699671</c:v>
                </c:pt>
                <c:pt idx="4447">
                  <c:v>0.88944731881335559</c:v>
                </c:pt>
                <c:pt idx="4448">
                  <c:v>0.88979835839997945</c:v>
                </c:pt>
                <c:pt idx="4449">
                  <c:v>0.88982686936930444</c:v>
                </c:pt>
                <c:pt idx="4450">
                  <c:v>0.89001868328946143</c:v>
                </c:pt>
                <c:pt idx="4451">
                  <c:v>0.8902627222502284</c:v>
                </c:pt>
                <c:pt idx="4452">
                  <c:v>0.89055539731563893</c:v>
                </c:pt>
                <c:pt idx="4453">
                  <c:v>0.89066739256229888</c:v>
                </c:pt>
                <c:pt idx="4454">
                  <c:v>0.89090672596993559</c:v>
                </c:pt>
                <c:pt idx="4455">
                  <c:v>0.89111478930784271</c:v>
                </c:pt>
                <c:pt idx="4456">
                  <c:v>0.89124428386838284</c:v>
                </c:pt>
                <c:pt idx="4457">
                  <c:v>0.89157026816033069</c:v>
                </c:pt>
                <c:pt idx="4458">
                  <c:v>0.8916241097069868</c:v>
                </c:pt>
                <c:pt idx="4459">
                  <c:v>0.891948426277551</c:v>
                </c:pt>
                <c:pt idx="4460">
                  <c:v>0.89211354772684004</c:v>
                </c:pt>
                <c:pt idx="4461">
                  <c:v>0.89239336053351725</c:v>
                </c:pt>
                <c:pt idx="4462">
                  <c:v>0.89243503718567896</c:v>
                </c:pt>
                <c:pt idx="4463">
                  <c:v>0.89265075120512649</c:v>
                </c:pt>
                <c:pt idx="4464">
                  <c:v>0.89285870278427815</c:v>
                </c:pt>
                <c:pt idx="4465">
                  <c:v>0.89317381018315756</c:v>
                </c:pt>
                <c:pt idx="4466">
                  <c:v>0.89324669897436326</c:v>
                </c:pt>
                <c:pt idx="4467">
                  <c:v>0.89359152089669169</c:v>
                </c:pt>
                <c:pt idx="4468">
                  <c:v>0.89365430384377365</c:v>
                </c:pt>
                <c:pt idx="4469">
                  <c:v>0.89398034304142471</c:v>
                </c:pt>
                <c:pt idx="4470">
                  <c:v>0.89412084501835543</c:v>
                </c:pt>
                <c:pt idx="4471">
                  <c:v>0.8943246641265985</c:v>
                </c:pt>
                <c:pt idx="4472">
                  <c:v>0.89459468778879259</c:v>
                </c:pt>
                <c:pt idx="4473">
                  <c:v>0.89476198354190251</c:v>
                </c:pt>
                <c:pt idx="4474">
                  <c:v>0.89494086614436019</c:v>
                </c:pt>
                <c:pt idx="4475">
                  <c:v>0.89516726100052879</c:v>
                </c:pt>
                <c:pt idx="4476">
                  <c:v>0.89527926940812708</c:v>
                </c:pt>
                <c:pt idx="4477">
                  <c:v>0.89553434664079323</c:v>
                </c:pt>
                <c:pt idx="4478">
                  <c:v>0.89569247626673709</c:v>
                </c:pt>
                <c:pt idx="4479">
                  <c:v>0.8959351052434964</c:v>
                </c:pt>
                <c:pt idx="4480">
                  <c:v>0.89616532850143626</c:v>
                </c:pt>
                <c:pt idx="4481">
                  <c:v>0.89628055827703335</c:v>
                </c:pt>
                <c:pt idx="4482">
                  <c:v>0.8965372675485298</c:v>
                </c:pt>
                <c:pt idx="4483">
                  <c:v>0.89667340077675728</c:v>
                </c:pt>
                <c:pt idx="4484">
                  <c:v>0.89686870979482047</c:v>
                </c:pt>
                <c:pt idx="4485">
                  <c:v>0.89715757705414612</c:v>
                </c:pt>
                <c:pt idx="4486">
                  <c:v>0.89720748162400155</c:v>
                </c:pt>
                <c:pt idx="4487">
                  <c:v>0.89751118690686094</c:v>
                </c:pt>
                <c:pt idx="4488">
                  <c:v>0.8976015095324259</c:v>
                </c:pt>
                <c:pt idx="4489">
                  <c:v>0.89799316585273314</c:v>
                </c:pt>
                <c:pt idx="4490">
                  <c:v>0.89817875537531888</c:v>
                </c:pt>
                <c:pt idx="4491">
                  <c:v>0.89824172405042724</c:v>
                </c:pt>
                <c:pt idx="4492">
                  <c:v>0.89853625383529256</c:v>
                </c:pt>
                <c:pt idx="4493">
                  <c:v>0.89879343150467461</c:v>
                </c:pt>
                <c:pt idx="4494">
                  <c:v>0.89880946379997984</c:v>
                </c:pt>
                <c:pt idx="4495">
                  <c:v>0.89904496720634519</c:v>
                </c:pt>
                <c:pt idx="4496">
                  <c:v>0.89923921319046962</c:v>
                </c:pt>
                <c:pt idx="4497">
                  <c:v>0.89941800374291325</c:v>
                </c:pt>
                <c:pt idx="4498">
                  <c:v>0.89978503151526334</c:v>
                </c:pt>
                <c:pt idx="4499">
                  <c:v>0.89998741616522604</c:v>
                </c:pt>
                <c:pt idx="4500">
                  <c:v>0.90002878964185451</c:v>
                </c:pt>
                <c:pt idx="4501">
                  <c:v>0.9003858358164285</c:v>
                </c:pt>
                <c:pt idx="4502">
                  <c:v>0.90047012298569784</c:v>
                </c:pt>
                <c:pt idx="4503">
                  <c:v>0.90077624389598532</c:v>
                </c:pt>
                <c:pt idx="4504">
                  <c:v>0.90098242378769977</c:v>
                </c:pt>
                <c:pt idx="4505">
                  <c:v>0.90107180522551567</c:v>
                </c:pt>
                <c:pt idx="4506">
                  <c:v>0.90136147052467841</c:v>
                </c:pt>
                <c:pt idx="4507">
                  <c:v>0.90156118446778533</c:v>
                </c:pt>
                <c:pt idx="4508">
                  <c:v>0.90178065316271516</c:v>
                </c:pt>
                <c:pt idx="4509">
                  <c:v>0.90199305040542799</c:v>
                </c:pt>
                <c:pt idx="4510">
                  <c:v>0.90208840383069777</c:v>
                </c:pt>
                <c:pt idx="4511">
                  <c:v>0.90232192107581577</c:v>
                </c:pt>
                <c:pt idx="4512">
                  <c:v>0.90244652786172153</c:v>
                </c:pt>
                <c:pt idx="4513">
                  <c:v>0.9027476790923038</c:v>
                </c:pt>
                <c:pt idx="4514">
                  <c:v>0.90297111388537354</c:v>
                </c:pt>
                <c:pt idx="4515">
                  <c:v>0.90302174599520435</c:v>
                </c:pt>
                <c:pt idx="4516">
                  <c:v>0.90322597243828373</c:v>
                </c:pt>
                <c:pt idx="4517">
                  <c:v>0.90352145902172687</c:v>
                </c:pt>
                <c:pt idx="4518">
                  <c:v>0.90377527351169262</c:v>
                </c:pt>
                <c:pt idx="4519">
                  <c:v>0.90392798064405289</c:v>
                </c:pt>
                <c:pt idx="4520">
                  <c:v>0.90408840710229432</c:v>
                </c:pt>
                <c:pt idx="4521">
                  <c:v>0.90436414767004647</c:v>
                </c:pt>
                <c:pt idx="4522">
                  <c:v>0.90447940888117995</c:v>
                </c:pt>
                <c:pt idx="4523">
                  <c:v>0.90460068606152222</c:v>
                </c:pt>
                <c:pt idx="4524">
                  <c:v>0.90489561506241911</c:v>
                </c:pt>
                <c:pt idx="4525">
                  <c:v>0.90516521243843362</c:v>
                </c:pt>
                <c:pt idx="4526">
                  <c:v>0.90523907904174161</c:v>
                </c:pt>
                <c:pt idx="4527">
                  <c:v>0.90542848320138369</c:v>
                </c:pt>
                <c:pt idx="4528">
                  <c:v>0.90566782262755274</c:v>
                </c:pt>
                <c:pt idx="4529">
                  <c:v>0.90599122776570529</c:v>
                </c:pt>
                <c:pt idx="4530">
                  <c:v>0.90601629110146698</c:v>
                </c:pt>
                <c:pt idx="4531">
                  <c:v>0.90639892093385555</c:v>
                </c:pt>
                <c:pt idx="4532">
                  <c:v>0.90648681709796342</c:v>
                </c:pt>
                <c:pt idx="4533">
                  <c:v>0.90675461237839294</c:v>
                </c:pt>
                <c:pt idx="4534">
                  <c:v>0.90688703306333318</c:v>
                </c:pt>
                <c:pt idx="4535">
                  <c:v>0.9071453922298609</c:v>
                </c:pt>
                <c:pt idx="4536">
                  <c:v>0.90730955447957606</c:v>
                </c:pt>
                <c:pt idx="4537">
                  <c:v>0.90751183084876086</c:v>
                </c:pt>
                <c:pt idx="4538">
                  <c:v>0.90761347039626294</c:v>
                </c:pt>
                <c:pt idx="4539">
                  <c:v>0.907867626476909</c:v>
                </c:pt>
                <c:pt idx="4540">
                  <c:v>0.90819209614242247</c:v>
                </c:pt>
                <c:pt idx="4541">
                  <c:v>0.90821235485622021</c:v>
                </c:pt>
                <c:pt idx="4542">
                  <c:v>0.90855813669873353</c:v>
                </c:pt>
                <c:pt idx="4543">
                  <c:v>0.90870062127995788</c:v>
                </c:pt>
                <c:pt idx="4544">
                  <c:v>0.90891816014454652</c:v>
                </c:pt>
                <c:pt idx="4545">
                  <c:v>0.90915547994746726</c:v>
                </c:pt>
                <c:pt idx="4546">
                  <c:v>0.90936253362814023</c:v>
                </c:pt>
                <c:pt idx="4547">
                  <c:v>0.90950422218584082</c:v>
                </c:pt>
                <c:pt idx="4548">
                  <c:v>0.9097774580628093</c:v>
                </c:pt>
                <c:pt idx="4549">
                  <c:v>0.90981603816906376</c:v>
                </c:pt>
                <c:pt idx="4550">
                  <c:v>0.91006987370053993</c:v>
                </c:pt>
                <c:pt idx="4551">
                  <c:v>0.91031061545100789</c:v>
                </c:pt>
                <c:pt idx="4552">
                  <c:v>0.91055754151040635</c:v>
                </c:pt>
                <c:pt idx="4553">
                  <c:v>0.91075838340971582</c:v>
                </c:pt>
                <c:pt idx="4554">
                  <c:v>0.9108842385446384</c:v>
                </c:pt>
                <c:pt idx="4555">
                  <c:v>0.9110621249241434</c:v>
                </c:pt>
                <c:pt idx="4556">
                  <c:v>0.91139760411246629</c:v>
                </c:pt>
                <c:pt idx="4557">
                  <c:v>0.9114496122080018</c:v>
                </c:pt>
                <c:pt idx="4558">
                  <c:v>0.9117465972008526</c:v>
                </c:pt>
                <c:pt idx="4559">
                  <c:v>0.91190029738422018</c:v>
                </c:pt>
                <c:pt idx="4560">
                  <c:v>0.91200499943574065</c:v>
                </c:pt>
                <c:pt idx="4561">
                  <c:v>0.91224508672623084</c:v>
                </c:pt>
                <c:pt idx="4562">
                  <c:v>0.91247950500512487</c:v>
                </c:pt>
                <c:pt idx="4563">
                  <c:v>0.91273773219649157</c:v>
                </c:pt>
                <c:pt idx="4564">
                  <c:v>0.91294189919315794</c:v>
                </c:pt>
                <c:pt idx="4565">
                  <c:v>0.91303300898806961</c:v>
                </c:pt>
                <c:pt idx="4566">
                  <c:v>0.91329866777129898</c:v>
                </c:pt>
                <c:pt idx="4567">
                  <c:v>0.91359795033871138</c:v>
                </c:pt>
                <c:pt idx="4568">
                  <c:v>0.91367142258832956</c:v>
                </c:pt>
                <c:pt idx="4569">
                  <c:v>0.91391854796263361</c:v>
                </c:pt>
                <c:pt idx="4570">
                  <c:v>0.91401083076047029</c:v>
                </c:pt>
                <c:pt idx="4571">
                  <c:v>0.91426771217181069</c:v>
                </c:pt>
                <c:pt idx="4572">
                  <c:v>0.91443635120551026</c:v>
                </c:pt>
                <c:pt idx="4573">
                  <c:v>0.91469018112302058</c:v>
                </c:pt>
                <c:pt idx="4574">
                  <c:v>0.91492105845923566</c:v>
                </c:pt>
                <c:pt idx="4575">
                  <c:v>0.91501313426816211</c:v>
                </c:pt>
                <c:pt idx="4576">
                  <c:v>0.91524417323745888</c:v>
                </c:pt>
                <c:pt idx="4577">
                  <c:v>0.91558148574493392</c:v>
                </c:pt>
                <c:pt idx="4578">
                  <c:v>0.91570129245927123</c:v>
                </c:pt>
                <c:pt idx="4579">
                  <c:v>0.91587869487113294</c:v>
                </c:pt>
                <c:pt idx="4580">
                  <c:v>0.91611569443897245</c:v>
                </c:pt>
                <c:pt idx="4581">
                  <c:v>0.9163196568183879</c:v>
                </c:pt>
                <c:pt idx="4582">
                  <c:v>0.91651457627283284</c:v>
                </c:pt>
                <c:pt idx="4583">
                  <c:v>0.91675394264868315</c:v>
                </c:pt>
                <c:pt idx="4584">
                  <c:v>0.91695553494732718</c:v>
                </c:pt>
                <c:pt idx="4585">
                  <c:v>0.91717896123206688</c:v>
                </c:pt>
                <c:pt idx="4586">
                  <c:v>0.91723105467479471</c:v>
                </c:pt>
                <c:pt idx="4587">
                  <c:v>0.91748033475868418</c:v>
                </c:pt>
                <c:pt idx="4588">
                  <c:v>0.91771214223497377</c:v>
                </c:pt>
                <c:pt idx="4589">
                  <c:v>0.9178815803193211</c:v>
                </c:pt>
                <c:pt idx="4590">
                  <c:v>0.91814237175209967</c:v>
                </c:pt>
                <c:pt idx="4591">
                  <c:v>0.9183387303485393</c:v>
                </c:pt>
                <c:pt idx="4592">
                  <c:v>0.91856210539726579</c:v>
                </c:pt>
                <c:pt idx="4593">
                  <c:v>0.9186448020649246</c:v>
                </c:pt>
                <c:pt idx="4594">
                  <c:v>0.91880968442321975</c:v>
                </c:pt>
                <c:pt idx="4595">
                  <c:v>0.91912700894091448</c:v>
                </c:pt>
                <c:pt idx="4596">
                  <c:v>0.91933319343699438</c:v>
                </c:pt>
                <c:pt idx="4597">
                  <c:v>0.91945654618597039</c:v>
                </c:pt>
                <c:pt idx="4598">
                  <c:v>0.91960931750876118</c:v>
                </c:pt>
                <c:pt idx="4599">
                  <c:v>0.91996300289820954</c:v>
                </c:pt>
                <c:pt idx="4600">
                  <c:v>0.920020090876571</c:v>
                </c:pt>
                <c:pt idx="4601">
                  <c:v>0.92030366360934079</c:v>
                </c:pt>
                <c:pt idx="4602">
                  <c:v>0.92049566593950038</c:v>
                </c:pt>
                <c:pt idx="4603">
                  <c:v>0.92063285143338913</c:v>
                </c:pt>
                <c:pt idx="4604">
                  <c:v>0.92080042286873809</c:v>
                </c:pt>
                <c:pt idx="4605">
                  <c:v>0.92107227067893205</c:v>
                </c:pt>
                <c:pt idx="4606">
                  <c:v>0.92129592720351561</c:v>
                </c:pt>
                <c:pt idx="4607">
                  <c:v>0.92146228462198343</c:v>
                </c:pt>
                <c:pt idx="4608">
                  <c:v>0.92170251581736429</c:v>
                </c:pt>
                <c:pt idx="4609">
                  <c:v>0.92192122815682576</c:v>
                </c:pt>
                <c:pt idx="4610">
                  <c:v>0.92211143413519292</c:v>
                </c:pt>
                <c:pt idx="4611">
                  <c:v>0.92229863513137644</c:v>
                </c:pt>
                <c:pt idx="4612">
                  <c:v>0.92250615642958</c:v>
                </c:pt>
                <c:pt idx="4613">
                  <c:v>0.92263088392653303</c:v>
                </c:pt>
                <c:pt idx="4614">
                  <c:v>0.92286554545291366</c:v>
                </c:pt>
                <c:pt idx="4615">
                  <c:v>0.92302687284714224</c:v>
                </c:pt>
                <c:pt idx="4616">
                  <c:v>0.92327420420355033</c:v>
                </c:pt>
                <c:pt idx="4617">
                  <c:v>0.92346642313899152</c:v>
                </c:pt>
                <c:pt idx="4618">
                  <c:v>0.92376492678955313</c:v>
                </c:pt>
                <c:pt idx="4619">
                  <c:v>0.92382244036864081</c:v>
                </c:pt>
                <c:pt idx="4620">
                  <c:v>0.92405128366003086</c:v>
                </c:pt>
                <c:pt idx="4621">
                  <c:v>0.92422864800184712</c:v>
                </c:pt>
                <c:pt idx="4622">
                  <c:v>0.92459723384780734</c:v>
                </c:pt>
                <c:pt idx="4623">
                  <c:v>0.92474575465306319</c:v>
                </c:pt>
                <c:pt idx="4624">
                  <c:v>0.92489247112867701</c:v>
                </c:pt>
                <c:pt idx="4625">
                  <c:v>0.92511442631816354</c:v>
                </c:pt>
                <c:pt idx="4626">
                  <c:v>0.92531517826591503</c:v>
                </c:pt>
                <c:pt idx="4627">
                  <c:v>0.92554568105934776</c:v>
                </c:pt>
                <c:pt idx="4628">
                  <c:v>0.9257392952876955</c:v>
                </c:pt>
                <c:pt idx="4629">
                  <c:v>0.92598963586850791</c:v>
                </c:pt>
                <c:pt idx="4630">
                  <c:v>0.92619413312719989</c:v>
                </c:pt>
                <c:pt idx="4631">
                  <c:v>0.92631415363832237</c:v>
                </c:pt>
                <c:pt idx="4632">
                  <c:v>0.92642126586912688</c:v>
                </c:pt>
                <c:pt idx="4633">
                  <c:v>0.92667423741213839</c:v>
                </c:pt>
                <c:pt idx="4634">
                  <c:v>0.92685756130806585</c:v>
                </c:pt>
                <c:pt idx="4635">
                  <c:v>0.92700152919967693</c:v>
                </c:pt>
                <c:pt idx="4636">
                  <c:v>0.92732973145421815</c:v>
                </c:pt>
                <c:pt idx="4637">
                  <c:v>0.9275652379150422</c:v>
                </c:pt>
                <c:pt idx="4638">
                  <c:v>0.927638680960573</c:v>
                </c:pt>
                <c:pt idx="4639">
                  <c:v>0.92780416366155349</c:v>
                </c:pt>
                <c:pt idx="4640">
                  <c:v>0.92813827281895522</c:v>
                </c:pt>
                <c:pt idx="4641">
                  <c:v>0.92833829328006556</c:v>
                </c:pt>
                <c:pt idx="4642">
                  <c:v>0.92845023627002954</c:v>
                </c:pt>
                <c:pt idx="4643">
                  <c:v>0.92870179276617748</c:v>
                </c:pt>
                <c:pt idx="4644">
                  <c:v>0.92899138531884906</c:v>
                </c:pt>
                <c:pt idx="4645">
                  <c:v>0.92919586904616935</c:v>
                </c:pt>
                <c:pt idx="4646">
                  <c:v>0.92924515371672933</c:v>
                </c:pt>
                <c:pt idx="4647">
                  <c:v>0.92943324914151648</c:v>
                </c:pt>
                <c:pt idx="4648">
                  <c:v>0.92963909687563751</c:v>
                </c:pt>
                <c:pt idx="4649">
                  <c:v>0.92992133495889628</c:v>
                </c:pt>
                <c:pt idx="4650">
                  <c:v>0.93003147230344618</c:v>
                </c:pt>
                <c:pt idx="4651">
                  <c:v>0.9303914337214062</c:v>
                </c:pt>
                <c:pt idx="4652">
                  <c:v>0.93056256213918387</c:v>
                </c:pt>
                <c:pt idx="4653">
                  <c:v>0.93078566842558463</c:v>
                </c:pt>
                <c:pt idx="4654">
                  <c:v>0.93083196077780617</c:v>
                </c:pt>
                <c:pt idx="4655">
                  <c:v>0.931039275951972</c:v>
                </c:pt>
                <c:pt idx="4656">
                  <c:v>0.931351665276138</c:v>
                </c:pt>
                <c:pt idx="4657">
                  <c:v>0.93151662957340398</c:v>
                </c:pt>
                <c:pt idx="4658">
                  <c:v>0.93168737466495655</c:v>
                </c:pt>
                <c:pt idx="4659">
                  <c:v>0.9319701575509669</c:v>
                </c:pt>
                <c:pt idx="4660">
                  <c:v>0.93212225480464328</c:v>
                </c:pt>
                <c:pt idx="4661">
                  <c:v>0.93227827096564653</c:v>
                </c:pt>
                <c:pt idx="4662">
                  <c:v>0.93243336346220074</c:v>
                </c:pt>
                <c:pt idx="4663">
                  <c:v>0.93265141413259589</c:v>
                </c:pt>
                <c:pt idx="4664">
                  <c:v>0.93294897410239774</c:v>
                </c:pt>
                <c:pt idx="4665">
                  <c:v>0.93301100718146446</c:v>
                </c:pt>
                <c:pt idx="4666">
                  <c:v>0.93328301728448892</c:v>
                </c:pt>
                <c:pt idx="4667">
                  <c:v>0.93357970749726049</c:v>
                </c:pt>
                <c:pt idx="4668">
                  <c:v>0.933798121580388</c:v>
                </c:pt>
                <c:pt idx="4669">
                  <c:v>0.93398284645117424</c:v>
                </c:pt>
                <c:pt idx="4670">
                  <c:v>0.93410310794708862</c:v>
                </c:pt>
                <c:pt idx="4671">
                  <c:v>0.93429213578838211</c:v>
                </c:pt>
                <c:pt idx="4672">
                  <c:v>0.93443027985734639</c:v>
                </c:pt>
                <c:pt idx="4673">
                  <c:v>0.93478662463389028</c:v>
                </c:pt>
                <c:pt idx="4674">
                  <c:v>0.93495683769326587</c:v>
                </c:pt>
                <c:pt idx="4675">
                  <c:v>0.93517474083271224</c:v>
                </c:pt>
                <c:pt idx="4676">
                  <c:v>0.93534834894988417</c:v>
                </c:pt>
                <c:pt idx="4677">
                  <c:v>0.93550004959104116</c:v>
                </c:pt>
                <c:pt idx="4678">
                  <c:v>0.9356068094467761</c:v>
                </c:pt>
                <c:pt idx="4679">
                  <c:v>0.93589206887094589</c:v>
                </c:pt>
                <c:pt idx="4680">
                  <c:v>0.93604118246199597</c:v>
                </c:pt>
                <c:pt idx="4681">
                  <c:v>0.93627562065121617</c:v>
                </c:pt>
                <c:pt idx="4682">
                  <c:v>0.93643510919144268</c:v>
                </c:pt>
                <c:pt idx="4683">
                  <c:v>0.93675585021547869</c:v>
                </c:pt>
                <c:pt idx="4684">
                  <c:v>0.93695116750573526</c:v>
                </c:pt>
                <c:pt idx="4685">
                  <c:v>0.93711270038348449</c:v>
                </c:pt>
                <c:pt idx="4686">
                  <c:v>0.93729056251847431</c:v>
                </c:pt>
                <c:pt idx="4687">
                  <c:v>0.93741728296163895</c:v>
                </c:pt>
                <c:pt idx="4688">
                  <c:v>0.93761265842654107</c:v>
                </c:pt>
                <c:pt idx="4689">
                  <c:v>0.93793240656646248</c:v>
                </c:pt>
                <c:pt idx="4690">
                  <c:v>0.93805613317127723</c:v>
                </c:pt>
                <c:pt idx="4691">
                  <c:v>0.93830253718511725</c:v>
                </c:pt>
                <c:pt idx="4692">
                  <c:v>0.93857765764835699</c:v>
                </c:pt>
                <c:pt idx="4693">
                  <c:v>0.9386832439606273</c:v>
                </c:pt>
                <c:pt idx="4694">
                  <c:v>0.93886821234311624</c:v>
                </c:pt>
                <c:pt idx="4695">
                  <c:v>0.93909981416624511</c:v>
                </c:pt>
                <c:pt idx="4696">
                  <c:v>0.93939966815998777</c:v>
                </c:pt>
                <c:pt idx="4697">
                  <c:v>0.93958284878716403</c:v>
                </c:pt>
                <c:pt idx="4698">
                  <c:v>0.93971219773816705</c:v>
                </c:pt>
                <c:pt idx="4699">
                  <c:v>0.93988547155817159</c:v>
                </c:pt>
                <c:pt idx="4700">
                  <c:v>0.94016457870960346</c:v>
                </c:pt>
                <c:pt idx="4701">
                  <c:v>0.94037489150892362</c:v>
                </c:pt>
                <c:pt idx="4702">
                  <c:v>0.94049332304915712</c:v>
                </c:pt>
                <c:pt idx="4703">
                  <c:v>0.94068108542763662</c:v>
                </c:pt>
                <c:pt idx="4704">
                  <c:v>0.9409593372156283</c:v>
                </c:pt>
                <c:pt idx="4705">
                  <c:v>0.94105476726737214</c:v>
                </c:pt>
                <c:pt idx="4706">
                  <c:v>0.94138361089881128</c:v>
                </c:pt>
                <c:pt idx="4707">
                  <c:v>0.94146667013500496</c:v>
                </c:pt>
                <c:pt idx="4708">
                  <c:v>0.94161658004722937</c:v>
                </c:pt>
                <c:pt idx="4709">
                  <c:v>0.94194457193765424</c:v>
                </c:pt>
                <c:pt idx="4710">
                  <c:v>0.94210237565937038</c:v>
                </c:pt>
                <c:pt idx="4711">
                  <c:v>0.94231323726971472</c:v>
                </c:pt>
                <c:pt idx="4712">
                  <c:v>0.94246140430356884</c:v>
                </c:pt>
                <c:pt idx="4713">
                  <c:v>0.94265464537796906</c:v>
                </c:pt>
                <c:pt idx="4714">
                  <c:v>0.94284867453674048</c:v>
                </c:pt>
                <c:pt idx="4715">
                  <c:v>0.94300215699342138</c:v>
                </c:pt>
                <c:pt idx="4716">
                  <c:v>0.94338632917515619</c:v>
                </c:pt>
                <c:pt idx="4717">
                  <c:v>0.94358204532125545</c:v>
                </c:pt>
                <c:pt idx="4718">
                  <c:v>0.9436302788116574</c:v>
                </c:pt>
                <c:pt idx="4719">
                  <c:v>0.94382759989058307</c:v>
                </c:pt>
                <c:pt idx="4720">
                  <c:v>0.94401501034810553</c:v>
                </c:pt>
                <c:pt idx="4721">
                  <c:v>0.94420451982212361</c:v>
                </c:pt>
                <c:pt idx="4722">
                  <c:v>0.94441383421030223</c:v>
                </c:pt>
                <c:pt idx="4723">
                  <c:v>0.9447011225744385</c:v>
                </c:pt>
                <c:pt idx="4724">
                  <c:v>0.94485464992794554</c:v>
                </c:pt>
                <c:pt idx="4725">
                  <c:v>0.94500850964687033</c:v>
                </c:pt>
                <c:pt idx="4726">
                  <c:v>0.94532881826766046</c:v>
                </c:pt>
                <c:pt idx="4727">
                  <c:v>0.94547026467739381</c:v>
                </c:pt>
                <c:pt idx="4728">
                  <c:v>0.94563619888723738</c:v>
                </c:pt>
                <c:pt idx="4729">
                  <c:v>0.945913118473234</c:v>
                </c:pt>
                <c:pt idx="4730">
                  <c:v>0.94617796878739679</c:v>
                </c:pt>
                <c:pt idx="4731">
                  <c:v>0.94621887848889896</c:v>
                </c:pt>
                <c:pt idx="4732">
                  <c:v>0.9465125784365257</c:v>
                </c:pt>
                <c:pt idx="4733">
                  <c:v>0.94674834801739749</c:v>
                </c:pt>
                <c:pt idx="4734">
                  <c:v>0.94695926224630311</c:v>
                </c:pt>
                <c:pt idx="4735">
                  <c:v>0.94713512465374894</c:v>
                </c:pt>
                <c:pt idx="4736">
                  <c:v>0.94721349265957555</c:v>
                </c:pt>
                <c:pt idx="4737">
                  <c:v>0.94746380248262174</c:v>
                </c:pt>
                <c:pt idx="4738">
                  <c:v>0.94775826266816787</c:v>
                </c:pt>
                <c:pt idx="4739">
                  <c:v>0.94792834297286532</c:v>
                </c:pt>
                <c:pt idx="4740">
                  <c:v>0.94804416958788518</c:v>
                </c:pt>
                <c:pt idx="4741">
                  <c:v>0.94829486949469299</c:v>
                </c:pt>
                <c:pt idx="4742">
                  <c:v>0.94850284397199358</c:v>
                </c:pt>
                <c:pt idx="4743">
                  <c:v>0.94878267317595488</c:v>
                </c:pt>
                <c:pt idx="4744">
                  <c:v>0.94885589482655197</c:v>
                </c:pt>
                <c:pt idx="4745">
                  <c:v>0.94916438729063701</c:v>
                </c:pt>
                <c:pt idx="4746">
                  <c:v>0.94920966460001877</c:v>
                </c:pt>
                <c:pt idx="4747">
                  <c:v>0.94948620258106053</c:v>
                </c:pt>
                <c:pt idx="4748">
                  <c:v>0.94964027143792262</c:v>
                </c:pt>
                <c:pt idx="4749">
                  <c:v>0.94984453351200659</c:v>
                </c:pt>
                <c:pt idx="4750">
                  <c:v>0.95011767763805532</c:v>
                </c:pt>
                <c:pt idx="4751">
                  <c:v>0.95034299008020739</c:v>
                </c:pt>
                <c:pt idx="4752">
                  <c:v>0.95055800307061478</c:v>
                </c:pt>
                <c:pt idx="4753">
                  <c:v>0.95070970772679653</c:v>
                </c:pt>
                <c:pt idx="4754">
                  <c:v>0.95084552981658965</c:v>
                </c:pt>
                <c:pt idx="4755">
                  <c:v>0.95102855655272234</c:v>
                </c:pt>
                <c:pt idx="4756">
                  <c:v>0.95123831496248912</c:v>
                </c:pt>
                <c:pt idx="4757">
                  <c:v>0.95141586565752878</c:v>
                </c:pt>
                <c:pt idx="4758">
                  <c:v>0.95169214349591458</c:v>
                </c:pt>
                <c:pt idx="4759">
                  <c:v>0.95193363656432683</c:v>
                </c:pt>
                <c:pt idx="4760">
                  <c:v>0.95210082110140959</c:v>
                </c:pt>
                <c:pt idx="4761">
                  <c:v>0.95239068472385191</c:v>
                </c:pt>
                <c:pt idx="4762">
                  <c:v>0.95248560940951243</c:v>
                </c:pt>
                <c:pt idx="4763">
                  <c:v>0.95261727046920386</c:v>
                </c:pt>
                <c:pt idx="4764">
                  <c:v>0.95293617744830805</c:v>
                </c:pt>
                <c:pt idx="4765">
                  <c:v>0.95306766811047405</c:v>
                </c:pt>
                <c:pt idx="4766">
                  <c:v>0.95325611621077555</c:v>
                </c:pt>
                <c:pt idx="4767">
                  <c:v>0.95354577080713265</c:v>
                </c:pt>
                <c:pt idx="4768">
                  <c:v>0.95371778346843039</c:v>
                </c:pt>
                <c:pt idx="4769">
                  <c:v>0.95399992142473344</c:v>
                </c:pt>
                <c:pt idx="4770">
                  <c:v>0.95416867604413269</c:v>
                </c:pt>
                <c:pt idx="4771">
                  <c:v>0.95422510350044465</c:v>
                </c:pt>
                <c:pt idx="4772">
                  <c:v>0.95459578931811173</c:v>
                </c:pt>
                <c:pt idx="4773">
                  <c:v>0.95466374698161705</c:v>
                </c:pt>
                <c:pt idx="4774">
                  <c:v>0.95490005240717435</c:v>
                </c:pt>
                <c:pt idx="4775">
                  <c:v>0.9550433869780609</c:v>
                </c:pt>
                <c:pt idx="4776">
                  <c:v>0.95529217722115389</c:v>
                </c:pt>
                <c:pt idx="4777">
                  <c:v>0.95548670835166394</c:v>
                </c:pt>
                <c:pt idx="4778">
                  <c:v>0.95565569953165375</c:v>
                </c:pt>
                <c:pt idx="4779">
                  <c:v>0.95586738540000915</c:v>
                </c:pt>
                <c:pt idx="4780">
                  <c:v>0.95605430936027658</c:v>
                </c:pt>
                <c:pt idx="4781">
                  <c:v>0.9563956039095286</c:v>
                </c:pt>
                <c:pt idx="4782">
                  <c:v>0.95645192042017624</c:v>
                </c:pt>
                <c:pt idx="4783">
                  <c:v>0.95671467762117157</c:v>
                </c:pt>
                <c:pt idx="4784">
                  <c:v>0.95682672846792882</c:v>
                </c:pt>
                <c:pt idx="4785">
                  <c:v>0.95712804170407539</c:v>
                </c:pt>
                <c:pt idx="4786">
                  <c:v>0.95735242460448111</c:v>
                </c:pt>
                <c:pt idx="4787">
                  <c:v>0.95756964100347119</c:v>
                </c:pt>
                <c:pt idx="4788">
                  <c:v>0.9576668107825953</c:v>
                </c:pt>
                <c:pt idx="4789">
                  <c:v>0.95787111254261603</c:v>
                </c:pt>
                <c:pt idx="4790">
                  <c:v>0.95804403057956222</c:v>
                </c:pt>
                <c:pt idx="4791">
                  <c:v>0.95821823763139968</c:v>
                </c:pt>
                <c:pt idx="4792">
                  <c:v>0.9584245661830586</c:v>
                </c:pt>
                <c:pt idx="4793">
                  <c:v>0.95869978113842658</c:v>
                </c:pt>
                <c:pt idx="4794">
                  <c:v>0.95888094241853827</c:v>
                </c:pt>
                <c:pt idx="4795">
                  <c:v>0.95913784513192657</c:v>
                </c:pt>
                <c:pt idx="4796">
                  <c:v>0.95925530502131573</c:v>
                </c:pt>
                <c:pt idx="4797">
                  <c:v>0.95943109716079922</c:v>
                </c:pt>
                <c:pt idx="4798">
                  <c:v>0.95964043761972351</c:v>
                </c:pt>
                <c:pt idx="4799">
                  <c:v>0.95990089388082289</c:v>
                </c:pt>
                <c:pt idx="4800">
                  <c:v>0.96016078261215265</c:v>
                </c:pt>
                <c:pt idx="4801">
                  <c:v>0.96024381709579465</c:v>
                </c:pt>
                <c:pt idx="4802">
                  <c:v>0.96043733305228818</c:v>
                </c:pt>
                <c:pt idx="4803">
                  <c:v>0.9606522702318272</c:v>
                </c:pt>
                <c:pt idx="4804">
                  <c:v>0.96094404157040259</c:v>
                </c:pt>
                <c:pt idx="4805">
                  <c:v>0.96103830390484968</c:v>
                </c:pt>
                <c:pt idx="4806">
                  <c:v>0.9612123171149316</c:v>
                </c:pt>
                <c:pt idx="4807">
                  <c:v>0.9615370075788201</c:v>
                </c:pt>
                <c:pt idx="4808">
                  <c:v>0.96165338145444479</c:v>
                </c:pt>
                <c:pt idx="4809">
                  <c:v>0.96199318548762081</c:v>
                </c:pt>
                <c:pt idx="4810">
                  <c:v>0.96206222873853109</c:v>
                </c:pt>
                <c:pt idx="4811">
                  <c:v>0.96237583223771672</c:v>
                </c:pt>
                <c:pt idx="4812">
                  <c:v>0.96244386339384214</c:v>
                </c:pt>
                <c:pt idx="4813">
                  <c:v>0.96268329224020321</c:v>
                </c:pt>
                <c:pt idx="4814">
                  <c:v>0.96295626327822825</c:v>
                </c:pt>
                <c:pt idx="4815">
                  <c:v>0.96305269465410437</c:v>
                </c:pt>
                <c:pt idx="4816">
                  <c:v>0.96332486323027988</c:v>
                </c:pt>
                <c:pt idx="4817">
                  <c:v>0.96346889316743911</c:v>
                </c:pt>
                <c:pt idx="4818">
                  <c:v>0.96368907390662684</c:v>
                </c:pt>
                <c:pt idx="4819">
                  <c:v>0.96385353833377685</c:v>
                </c:pt>
                <c:pt idx="4820">
                  <c:v>0.9641552081539192</c:v>
                </c:pt>
                <c:pt idx="4821">
                  <c:v>0.96421906814999381</c:v>
                </c:pt>
                <c:pt idx="4822">
                  <c:v>0.96448130102941798</c:v>
                </c:pt>
                <c:pt idx="4823">
                  <c:v>0.96475792323592069</c:v>
                </c:pt>
                <c:pt idx="4824">
                  <c:v>0.96490902743723928</c:v>
                </c:pt>
                <c:pt idx="4825">
                  <c:v>0.96515034542608769</c:v>
                </c:pt>
                <c:pt idx="4826">
                  <c:v>0.96532428509744916</c:v>
                </c:pt>
                <c:pt idx="4827">
                  <c:v>0.96554485483792252</c:v>
                </c:pt>
                <c:pt idx="4828">
                  <c:v>0.96573348448135277</c:v>
                </c:pt>
                <c:pt idx="4829">
                  <c:v>0.96586384710405582</c:v>
                </c:pt>
                <c:pt idx="4830">
                  <c:v>0.96616624400098028</c:v>
                </c:pt>
                <c:pt idx="4831">
                  <c:v>0.96620635824469059</c:v>
                </c:pt>
                <c:pt idx="4832">
                  <c:v>0.96647697593608806</c:v>
                </c:pt>
                <c:pt idx="4833">
                  <c:v>0.96677266813841944</c:v>
                </c:pt>
                <c:pt idx="4834">
                  <c:v>0.96695966368321318</c:v>
                </c:pt>
                <c:pt idx="4835">
                  <c:v>0.96714168073813001</c:v>
                </c:pt>
                <c:pt idx="4836">
                  <c:v>0.96720303790764961</c:v>
                </c:pt>
                <c:pt idx="4837">
                  <c:v>0.9674258742929962</c:v>
                </c:pt>
                <c:pt idx="4838">
                  <c:v>0.96768142766158127</c:v>
                </c:pt>
                <c:pt idx="4839">
                  <c:v>0.96782519140323275</c:v>
                </c:pt>
                <c:pt idx="4840">
                  <c:v>0.96815010564693949</c:v>
                </c:pt>
                <c:pt idx="4841">
                  <c:v>0.96828088883982999</c:v>
                </c:pt>
                <c:pt idx="4842">
                  <c:v>0.96857284400555599</c:v>
                </c:pt>
                <c:pt idx="4843">
                  <c:v>0.96876914296442862</c:v>
                </c:pt>
                <c:pt idx="4844">
                  <c:v>0.96884901470897</c:v>
                </c:pt>
                <c:pt idx="4845">
                  <c:v>0.96918922001169738</c:v>
                </c:pt>
                <c:pt idx="4846">
                  <c:v>0.96929335124965132</c:v>
                </c:pt>
                <c:pt idx="4847">
                  <c:v>0.96959069780767682</c:v>
                </c:pt>
                <c:pt idx="4848">
                  <c:v>0.9696654288776837</c:v>
                </c:pt>
                <c:pt idx="4849">
                  <c:v>0.96982789340727682</c:v>
                </c:pt>
                <c:pt idx="4850">
                  <c:v>0.97012153214773211</c:v>
                </c:pt>
                <c:pt idx="4851">
                  <c:v>0.97037111559621314</c:v>
                </c:pt>
                <c:pt idx="4852">
                  <c:v>0.97053592852892723</c:v>
                </c:pt>
                <c:pt idx="4853">
                  <c:v>0.97071609409086324</c:v>
                </c:pt>
                <c:pt idx="4854">
                  <c:v>0.97097553850560814</c:v>
                </c:pt>
                <c:pt idx="4855">
                  <c:v>0.97106420768132995</c:v>
                </c:pt>
                <c:pt idx="4856">
                  <c:v>0.97123738022326433</c:v>
                </c:pt>
                <c:pt idx="4857">
                  <c:v>0.97141386120231221</c:v>
                </c:pt>
                <c:pt idx="4858">
                  <c:v>0.97173571241245049</c:v>
                </c:pt>
                <c:pt idx="4859">
                  <c:v>0.97184998587412996</c:v>
                </c:pt>
                <c:pt idx="4860">
                  <c:v>0.9720641250697114</c:v>
                </c:pt>
                <c:pt idx="4861">
                  <c:v>0.97235372807112386</c:v>
                </c:pt>
                <c:pt idx="4862">
                  <c:v>0.97241650725687301</c:v>
                </c:pt>
                <c:pt idx="4863">
                  <c:v>0.97278000694484912</c:v>
                </c:pt>
                <c:pt idx="4864">
                  <c:v>0.97283885688126071</c:v>
                </c:pt>
                <c:pt idx="4865">
                  <c:v>0.97305006821641005</c:v>
                </c:pt>
                <c:pt idx="4866">
                  <c:v>0.97325913786023377</c:v>
                </c:pt>
                <c:pt idx="4867">
                  <c:v>0.97355589204545978</c:v>
                </c:pt>
                <c:pt idx="4868">
                  <c:v>0.97376917950328656</c:v>
                </c:pt>
                <c:pt idx="4869">
                  <c:v>0.97392120175923247</c:v>
                </c:pt>
                <c:pt idx="4870">
                  <c:v>0.97410626085705732</c:v>
                </c:pt>
                <c:pt idx="4871">
                  <c:v>0.97423089637715166</c:v>
                </c:pt>
                <c:pt idx="4872">
                  <c:v>0.97454074352717512</c:v>
                </c:pt>
                <c:pt idx="4873">
                  <c:v>0.97473254121456598</c:v>
                </c:pt>
                <c:pt idx="4874">
                  <c:v>0.97488839413106632</c:v>
                </c:pt>
                <c:pt idx="4875">
                  <c:v>0.97513282499037046</c:v>
                </c:pt>
                <c:pt idx="4876">
                  <c:v>0.97533148365461531</c:v>
                </c:pt>
                <c:pt idx="4877">
                  <c:v>0.97551708940917559</c:v>
                </c:pt>
                <c:pt idx="4878">
                  <c:v>0.97578803541101244</c:v>
                </c:pt>
                <c:pt idx="4879">
                  <c:v>0.97582938861279511</c:v>
                </c:pt>
                <c:pt idx="4880">
                  <c:v>0.97619872888121717</c:v>
                </c:pt>
                <c:pt idx="4881">
                  <c:v>0.97634485948009986</c:v>
                </c:pt>
                <c:pt idx="4882">
                  <c:v>0.97650154431632286</c:v>
                </c:pt>
                <c:pt idx="4883">
                  <c:v>0.97664836080433992</c:v>
                </c:pt>
                <c:pt idx="4884">
                  <c:v>0.9769921867134963</c:v>
                </c:pt>
                <c:pt idx="4885">
                  <c:v>0.97707927494307023</c:v>
                </c:pt>
                <c:pt idx="4886">
                  <c:v>0.97728230924529069</c:v>
                </c:pt>
                <c:pt idx="4887">
                  <c:v>0.97742044800343464</c:v>
                </c:pt>
                <c:pt idx="4888">
                  <c:v>0.97773464173128233</c:v>
                </c:pt>
                <c:pt idx="4889">
                  <c:v>0.97788641183620473</c:v>
                </c:pt>
                <c:pt idx="4890">
                  <c:v>0.97800469939187273</c:v>
                </c:pt>
                <c:pt idx="4891">
                  <c:v>0.97831235838935537</c:v>
                </c:pt>
                <c:pt idx="4892">
                  <c:v>0.97852956796221657</c:v>
                </c:pt>
                <c:pt idx="4893">
                  <c:v>0.97864119262803384</c:v>
                </c:pt>
                <c:pt idx="4894">
                  <c:v>0.97894584853135658</c:v>
                </c:pt>
                <c:pt idx="4895">
                  <c:v>0.97903657733812854</c:v>
                </c:pt>
                <c:pt idx="4896">
                  <c:v>0.97922781046555096</c:v>
                </c:pt>
                <c:pt idx="4897">
                  <c:v>0.97944943064536183</c:v>
                </c:pt>
                <c:pt idx="4898">
                  <c:v>0.9797222053114143</c:v>
                </c:pt>
                <c:pt idx="4899">
                  <c:v>0.97984966169396648</c:v>
                </c:pt>
                <c:pt idx="4900">
                  <c:v>0.98002225228208628</c:v>
                </c:pt>
                <c:pt idx="4901">
                  <c:v>0.98035580277986722</c:v>
                </c:pt>
                <c:pt idx="4902">
                  <c:v>0.98048618388098807</c:v>
                </c:pt>
                <c:pt idx="4903">
                  <c:v>0.98070254512133592</c:v>
                </c:pt>
                <c:pt idx="4904">
                  <c:v>0.9808456588586898</c:v>
                </c:pt>
                <c:pt idx="4905">
                  <c:v>0.98103794768877284</c:v>
                </c:pt>
                <c:pt idx="4906">
                  <c:v>0.98138665128596747</c:v>
                </c:pt>
                <c:pt idx="4907">
                  <c:v>0.98140124872089396</c:v>
                </c:pt>
                <c:pt idx="4908">
                  <c:v>0.98169285963864372</c:v>
                </c:pt>
                <c:pt idx="4909">
                  <c:v>0.9819041574484445</c:v>
                </c:pt>
                <c:pt idx="4910">
                  <c:v>0.98214495795493606</c:v>
                </c:pt>
                <c:pt idx="4911">
                  <c:v>0.98225712321173797</c:v>
                </c:pt>
                <c:pt idx="4912">
                  <c:v>0.9824523644622537</c:v>
                </c:pt>
                <c:pt idx="4913">
                  <c:v>0.98269232226304992</c:v>
                </c:pt>
                <c:pt idx="4914">
                  <c:v>0.98295667844041179</c:v>
                </c:pt>
                <c:pt idx="4915">
                  <c:v>0.9830914097523995</c:v>
                </c:pt>
                <c:pt idx="4916">
                  <c:v>0.98324736070489693</c:v>
                </c:pt>
                <c:pt idx="4917">
                  <c:v>0.98342712053452319</c:v>
                </c:pt>
                <c:pt idx="4918">
                  <c:v>0.98364975274672029</c:v>
                </c:pt>
                <c:pt idx="4919">
                  <c:v>0.98395172689574573</c:v>
                </c:pt>
                <c:pt idx="4920">
                  <c:v>0.9840715505564287</c:v>
                </c:pt>
                <c:pt idx="4921">
                  <c:v>0.98426937674015513</c:v>
                </c:pt>
                <c:pt idx="4922">
                  <c:v>0.98453050126976582</c:v>
                </c:pt>
                <c:pt idx="4923">
                  <c:v>0.98478042787108111</c:v>
                </c:pt>
                <c:pt idx="4924">
                  <c:v>0.98490800372099219</c:v>
                </c:pt>
                <c:pt idx="4925">
                  <c:v>0.98509272971411532</c:v>
                </c:pt>
                <c:pt idx="4926">
                  <c:v>0.98529667829119061</c:v>
                </c:pt>
                <c:pt idx="4927">
                  <c:v>0.98543575251717952</c:v>
                </c:pt>
                <c:pt idx="4928">
                  <c:v>0.98571144064560334</c:v>
                </c:pt>
                <c:pt idx="4929">
                  <c:v>0.98591906096351301</c:v>
                </c:pt>
                <c:pt idx="4930">
                  <c:v>0.98618417502329325</c:v>
                </c:pt>
                <c:pt idx="4931">
                  <c:v>0.98630227017232741</c:v>
                </c:pt>
                <c:pt idx="4932">
                  <c:v>0.98657465634899566</c:v>
                </c:pt>
                <c:pt idx="4933">
                  <c:v>0.98662347470857747</c:v>
                </c:pt>
                <c:pt idx="4934">
                  <c:v>0.98683360516541485</c:v>
                </c:pt>
                <c:pt idx="4935">
                  <c:v>0.98718410709923698</c:v>
                </c:pt>
                <c:pt idx="4936">
                  <c:v>0.98727190066731341</c:v>
                </c:pt>
                <c:pt idx="4937">
                  <c:v>0.987424169552099</c:v>
                </c:pt>
                <c:pt idx="4938">
                  <c:v>0.98778755733105061</c:v>
                </c:pt>
                <c:pt idx="4939">
                  <c:v>0.9878307071362693</c:v>
                </c:pt>
                <c:pt idx="4940">
                  <c:v>0.98816280449884075</c:v>
                </c:pt>
                <c:pt idx="4941">
                  <c:v>0.98822034516358292</c:v>
                </c:pt>
                <c:pt idx="4942">
                  <c:v>0.98857955451299895</c:v>
                </c:pt>
                <c:pt idx="4943">
                  <c:v>0.98868964376130375</c:v>
                </c:pt>
                <c:pt idx="4944">
                  <c:v>0.98882280647587562</c:v>
                </c:pt>
                <c:pt idx="4945">
                  <c:v>0.98910589256428794</c:v>
                </c:pt>
                <c:pt idx="4946">
                  <c:v>0.98920034355497921</c:v>
                </c:pt>
                <c:pt idx="4947">
                  <c:v>0.989416166713046</c:v>
                </c:pt>
                <c:pt idx="4948">
                  <c:v>0.98968042411480106</c:v>
                </c:pt>
                <c:pt idx="4949">
                  <c:v>0.98996572159453422</c:v>
                </c:pt>
                <c:pt idx="4950">
                  <c:v>0.99004828721136984</c:v>
                </c:pt>
                <c:pt idx="4951">
                  <c:v>0.99022952043233203</c:v>
                </c:pt>
                <c:pt idx="4952">
                  <c:v>0.99040222383118293</c:v>
                </c:pt>
                <c:pt idx="4953">
                  <c:v>0.99069427832683887</c:v>
                </c:pt>
                <c:pt idx="4954">
                  <c:v>0.99085758329039852</c:v>
                </c:pt>
                <c:pt idx="4955">
                  <c:v>0.99108919463960665</c:v>
                </c:pt>
                <c:pt idx="4956">
                  <c:v>0.99127806855483869</c:v>
                </c:pt>
                <c:pt idx="4957">
                  <c:v>0.9915246914850373</c:v>
                </c:pt>
                <c:pt idx="4958">
                  <c:v>0.99161694634999553</c:v>
                </c:pt>
                <c:pt idx="4959">
                  <c:v>0.99194566135875539</c:v>
                </c:pt>
                <c:pt idx="4960">
                  <c:v>0.99215285130034969</c:v>
                </c:pt>
                <c:pt idx="4961">
                  <c:v>0.99233777646574595</c:v>
                </c:pt>
                <c:pt idx="4962">
                  <c:v>0.99258654881752717</c:v>
                </c:pt>
                <c:pt idx="4963">
                  <c:v>0.99276219449251946</c:v>
                </c:pt>
                <c:pt idx="4964">
                  <c:v>0.99284234450283515</c:v>
                </c:pt>
                <c:pt idx="4965">
                  <c:v>0.99304355597385296</c:v>
                </c:pt>
                <c:pt idx="4966">
                  <c:v>0.99332354755865493</c:v>
                </c:pt>
                <c:pt idx="4967">
                  <c:v>0.99359461679439864</c:v>
                </c:pt>
                <c:pt idx="4968">
                  <c:v>0.99377660885638941</c:v>
                </c:pt>
                <c:pt idx="4969">
                  <c:v>0.99380861582737612</c:v>
                </c:pt>
                <c:pt idx="4970">
                  <c:v>0.99404699588414447</c:v>
                </c:pt>
                <c:pt idx="4971">
                  <c:v>0.99428745573258204</c:v>
                </c:pt>
                <c:pt idx="4972">
                  <c:v>0.99452161421624985</c:v>
                </c:pt>
                <c:pt idx="4973">
                  <c:v>0.99478847897764955</c:v>
                </c:pt>
                <c:pt idx="4974">
                  <c:v>0.99495259350769971</c:v>
                </c:pt>
                <c:pt idx="4975">
                  <c:v>0.99509542766038683</c:v>
                </c:pt>
                <c:pt idx="4976">
                  <c:v>0.99525846767296511</c:v>
                </c:pt>
                <c:pt idx="4977">
                  <c:v>0.99546508255411514</c:v>
                </c:pt>
                <c:pt idx="4978">
                  <c:v>0.99574801945890012</c:v>
                </c:pt>
                <c:pt idx="4979">
                  <c:v>0.99589482495651915</c:v>
                </c:pt>
                <c:pt idx="4980">
                  <c:v>0.9961419988719612</c:v>
                </c:pt>
                <c:pt idx="4981">
                  <c:v>0.99628648588496416</c:v>
                </c:pt>
                <c:pt idx="4982">
                  <c:v>0.99646809933415337</c:v>
                </c:pt>
                <c:pt idx="4983">
                  <c:v>0.9967671531529555</c:v>
                </c:pt>
                <c:pt idx="4984">
                  <c:v>0.99691855479509539</c:v>
                </c:pt>
                <c:pt idx="4985">
                  <c:v>0.99714871234822744</c:v>
                </c:pt>
                <c:pt idx="4986">
                  <c:v>0.99720397446602671</c:v>
                </c:pt>
                <c:pt idx="4987">
                  <c:v>0.99754741484377241</c:v>
                </c:pt>
                <c:pt idx="4988">
                  <c:v>0.99769420739041981</c:v>
                </c:pt>
                <c:pt idx="4989">
                  <c:v>0.99787325605984623</c:v>
                </c:pt>
                <c:pt idx="4990">
                  <c:v>0.99805083355364643</c:v>
                </c:pt>
                <c:pt idx="4991">
                  <c:v>0.99837087968461469</c:v>
                </c:pt>
                <c:pt idx="4992">
                  <c:v>0.99843180470127424</c:v>
                </c:pt>
                <c:pt idx="4993">
                  <c:v>0.99867768504644683</c:v>
                </c:pt>
                <c:pt idx="4994">
                  <c:v>0.99883887859728171</c:v>
                </c:pt>
                <c:pt idx="4995">
                  <c:v>0.99915828955559027</c:v>
                </c:pt>
                <c:pt idx="4996">
                  <c:v>0.9993497651514015</c:v>
                </c:pt>
                <c:pt idx="4997">
                  <c:v>0.99957717811311064</c:v>
                </c:pt>
                <c:pt idx="4998">
                  <c:v>0.99971750882373123</c:v>
                </c:pt>
                <c:pt idx="4999">
                  <c:v>0.99984674193962642</c:v>
                </c:pt>
              </c:numCache>
            </c:numRef>
          </c:xVal>
          <c:yVal>
            <c:numRef>
              <c:f>SimData5000!$I$5009:$I$10008</c:f>
              <c:numCache>
                <c:formatCode>General</c:formatCode>
                <c:ptCount val="5000"/>
                <c:pt idx="0">
                  <c:v>0</c:v>
                </c:pt>
                <c:pt idx="1">
                  <c:v>2.0004000800160032E-4</c:v>
                </c:pt>
                <c:pt idx="2">
                  <c:v>4.0008001600320064E-4</c:v>
                </c:pt>
                <c:pt idx="3">
                  <c:v>6.0012002400480096E-4</c:v>
                </c:pt>
                <c:pt idx="4">
                  <c:v>8.0016003200640128E-4</c:v>
                </c:pt>
                <c:pt idx="5">
                  <c:v>1.0002000400080016E-3</c:v>
                </c:pt>
                <c:pt idx="6">
                  <c:v>1.2002400480096019E-3</c:v>
                </c:pt>
                <c:pt idx="7">
                  <c:v>1.4002800560112022E-3</c:v>
                </c:pt>
                <c:pt idx="8">
                  <c:v>1.6003200640128026E-3</c:v>
                </c:pt>
                <c:pt idx="9">
                  <c:v>1.8003600720144029E-3</c:v>
                </c:pt>
                <c:pt idx="10">
                  <c:v>2.0004000800160032E-3</c:v>
                </c:pt>
                <c:pt idx="11">
                  <c:v>2.2004400880176033E-3</c:v>
                </c:pt>
                <c:pt idx="12">
                  <c:v>2.4004800960192038E-3</c:v>
                </c:pt>
                <c:pt idx="13">
                  <c:v>2.6005201040208044E-3</c:v>
                </c:pt>
                <c:pt idx="14">
                  <c:v>2.8005601120224049E-3</c:v>
                </c:pt>
                <c:pt idx="15">
                  <c:v>3.0006001200240055E-3</c:v>
                </c:pt>
                <c:pt idx="16">
                  <c:v>3.200640128025606E-3</c:v>
                </c:pt>
                <c:pt idx="17">
                  <c:v>3.4006801360272065E-3</c:v>
                </c:pt>
                <c:pt idx="18">
                  <c:v>3.6007201440288071E-3</c:v>
                </c:pt>
                <c:pt idx="19">
                  <c:v>3.8007601520304076E-3</c:v>
                </c:pt>
                <c:pt idx="20">
                  <c:v>4.0008001600320081E-3</c:v>
                </c:pt>
                <c:pt idx="21">
                  <c:v>4.2008401680336087E-3</c:v>
                </c:pt>
                <c:pt idx="22">
                  <c:v>4.4008801760352092E-3</c:v>
                </c:pt>
                <c:pt idx="23">
                  <c:v>4.6009201840368098E-3</c:v>
                </c:pt>
                <c:pt idx="24">
                  <c:v>4.8009601920384103E-3</c:v>
                </c:pt>
                <c:pt idx="25">
                  <c:v>5.0010002000400108E-3</c:v>
                </c:pt>
                <c:pt idx="26">
                  <c:v>5.2010402080416114E-3</c:v>
                </c:pt>
                <c:pt idx="27">
                  <c:v>5.4010802160432119E-3</c:v>
                </c:pt>
                <c:pt idx="28">
                  <c:v>5.6011202240448124E-3</c:v>
                </c:pt>
                <c:pt idx="29">
                  <c:v>5.801160232046413E-3</c:v>
                </c:pt>
                <c:pt idx="30">
                  <c:v>6.0012002400480135E-3</c:v>
                </c:pt>
                <c:pt idx="31">
                  <c:v>6.2012402480496141E-3</c:v>
                </c:pt>
                <c:pt idx="32">
                  <c:v>6.4012802560512146E-3</c:v>
                </c:pt>
                <c:pt idx="33">
                  <c:v>6.6013202640528151E-3</c:v>
                </c:pt>
                <c:pt idx="34">
                  <c:v>6.8013602720544157E-3</c:v>
                </c:pt>
                <c:pt idx="35">
                  <c:v>7.0014002800560162E-3</c:v>
                </c:pt>
                <c:pt idx="36">
                  <c:v>7.2014402880576167E-3</c:v>
                </c:pt>
                <c:pt idx="37">
                  <c:v>7.4014802960592173E-3</c:v>
                </c:pt>
                <c:pt idx="38">
                  <c:v>7.6015203040608178E-3</c:v>
                </c:pt>
                <c:pt idx="39">
                  <c:v>7.8015603120624184E-3</c:v>
                </c:pt>
                <c:pt idx="40">
                  <c:v>8.001600320064018E-3</c:v>
                </c:pt>
                <c:pt idx="41">
                  <c:v>8.2016403280656177E-3</c:v>
                </c:pt>
                <c:pt idx="42">
                  <c:v>8.4016803360672174E-3</c:v>
                </c:pt>
                <c:pt idx="43">
                  <c:v>8.601720344068817E-3</c:v>
                </c:pt>
                <c:pt idx="44">
                  <c:v>8.8017603520704167E-3</c:v>
                </c:pt>
                <c:pt idx="45">
                  <c:v>9.0018003600720164E-3</c:v>
                </c:pt>
                <c:pt idx="46">
                  <c:v>9.201840368073616E-3</c:v>
                </c:pt>
                <c:pt idx="47">
                  <c:v>9.4018803760752157E-3</c:v>
                </c:pt>
                <c:pt idx="48">
                  <c:v>9.6019203840768154E-3</c:v>
                </c:pt>
                <c:pt idx="49">
                  <c:v>9.8019603920784151E-3</c:v>
                </c:pt>
                <c:pt idx="50">
                  <c:v>1.0002000400080015E-2</c:v>
                </c:pt>
                <c:pt idx="51">
                  <c:v>1.0202040408081614E-2</c:v>
                </c:pt>
                <c:pt idx="52">
                  <c:v>1.0402080416083214E-2</c:v>
                </c:pt>
                <c:pt idx="53">
                  <c:v>1.0602120424084814E-2</c:v>
                </c:pt>
                <c:pt idx="54">
                  <c:v>1.0802160432086413E-2</c:v>
                </c:pt>
                <c:pt idx="55">
                  <c:v>1.1002200440088013E-2</c:v>
                </c:pt>
                <c:pt idx="56">
                  <c:v>1.1202240448089613E-2</c:v>
                </c:pt>
                <c:pt idx="57">
                  <c:v>1.1402280456091212E-2</c:v>
                </c:pt>
                <c:pt idx="58">
                  <c:v>1.1602320464092812E-2</c:v>
                </c:pt>
                <c:pt idx="59">
                  <c:v>1.1802360472094412E-2</c:v>
                </c:pt>
                <c:pt idx="60">
                  <c:v>1.2002400480096011E-2</c:v>
                </c:pt>
                <c:pt idx="61">
                  <c:v>1.2202440488097611E-2</c:v>
                </c:pt>
                <c:pt idx="62">
                  <c:v>1.2402480496099211E-2</c:v>
                </c:pt>
                <c:pt idx="63">
                  <c:v>1.260252050410081E-2</c:v>
                </c:pt>
                <c:pt idx="64">
                  <c:v>1.280256051210241E-2</c:v>
                </c:pt>
                <c:pt idx="65">
                  <c:v>1.300260052010401E-2</c:v>
                </c:pt>
                <c:pt idx="66">
                  <c:v>1.3202640528105609E-2</c:v>
                </c:pt>
                <c:pt idx="67">
                  <c:v>1.3402680536107209E-2</c:v>
                </c:pt>
                <c:pt idx="68">
                  <c:v>1.3602720544108809E-2</c:v>
                </c:pt>
                <c:pt idx="69">
                  <c:v>1.3802760552110408E-2</c:v>
                </c:pt>
                <c:pt idx="70">
                  <c:v>1.4002800560112008E-2</c:v>
                </c:pt>
                <c:pt idx="71">
                  <c:v>1.4202840568113608E-2</c:v>
                </c:pt>
                <c:pt idx="72">
                  <c:v>1.4402880576115207E-2</c:v>
                </c:pt>
                <c:pt idx="73">
                  <c:v>1.4602920584116807E-2</c:v>
                </c:pt>
                <c:pt idx="74">
                  <c:v>1.4802960592118407E-2</c:v>
                </c:pt>
                <c:pt idx="75">
                  <c:v>1.5003000600120006E-2</c:v>
                </c:pt>
                <c:pt idx="76">
                  <c:v>1.5203040608121606E-2</c:v>
                </c:pt>
                <c:pt idx="77">
                  <c:v>1.5403080616123206E-2</c:v>
                </c:pt>
                <c:pt idx="78">
                  <c:v>1.5603120624124805E-2</c:v>
                </c:pt>
                <c:pt idx="79">
                  <c:v>1.5803160632126407E-2</c:v>
                </c:pt>
                <c:pt idx="80">
                  <c:v>1.6003200640128008E-2</c:v>
                </c:pt>
                <c:pt idx="81">
                  <c:v>1.620324064812961E-2</c:v>
                </c:pt>
                <c:pt idx="82">
                  <c:v>1.6403280656131211E-2</c:v>
                </c:pt>
                <c:pt idx="83">
                  <c:v>1.6603320664132813E-2</c:v>
                </c:pt>
                <c:pt idx="84">
                  <c:v>1.6803360672134414E-2</c:v>
                </c:pt>
                <c:pt idx="85">
                  <c:v>1.7003400680136015E-2</c:v>
                </c:pt>
                <c:pt idx="86">
                  <c:v>1.7203440688137617E-2</c:v>
                </c:pt>
                <c:pt idx="87">
                  <c:v>1.7403480696139218E-2</c:v>
                </c:pt>
                <c:pt idx="88">
                  <c:v>1.760352070414082E-2</c:v>
                </c:pt>
                <c:pt idx="89">
                  <c:v>1.7803560712142421E-2</c:v>
                </c:pt>
                <c:pt idx="90">
                  <c:v>1.8003600720144022E-2</c:v>
                </c:pt>
                <c:pt idx="91">
                  <c:v>1.8203640728145624E-2</c:v>
                </c:pt>
                <c:pt idx="92">
                  <c:v>1.8403680736147225E-2</c:v>
                </c:pt>
                <c:pt idx="93">
                  <c:v>1.8603720744148827E-2</c:v>
                </c:pt>
                <c:pt idx="94">
                  <c:v>1.8803760752150428E-2</c:v>
                </c:pt>
                <c:pt idx="95">
                  <c:v>1.9003800760152029E-2</c:v>
                </c:pt>
                <c:pt idx="96">
                  <c:v>1.9203840768153631E-2</c:v>
                </c:pt>
                <c:pt idx="97">
                  <c:v>1.9403880776155232E-2</c:v>
                </c:pt>
                <c:pt idx="98">
                  <c:v>1.9603920784156834E-2</c:v>
                </c:pt>
                <c:pt idx="99">
                  <c:v>1.9803960792158435E-2</c:v>
                </c:pt>
                <c:pt idx="100">
                  <c:v>2.0004000800160036E-2</c:v>
                </c:pt>
                <c:pt idx="101">
                  <c:v>2.0204040808161638E-2</c:v>
                </c:pt>
                <c:pt idx="102">
                  <c:v>2.0404080816163239E-2</c:v>
                </c:pt>
                <c:pt idx="103">
                  <c:v>2.0604120824164841E-2</c:v>
                </c:pt>
                <c:pt idx="104">
                  <c:v>2.0804160832166442E-2</c:v>
                </c:pt>
                <c:pt idx="105">
                  <c:v>2.1004200840168043E-2</c:v>
                </c:pt>
                <c:pt idx="106">
                  <c:v>2.1204240848169645E-2</c:v>
                </c:pt>
                <c:pt idx="107">
                  <c:v>2.1404280856171246E-2</c:v>
                </c:pt>
                <c:pt idx="108">
                  <c:v>2.1604320864172848E-2</c:v>
                </c:pt>
                <c:pt idx="109">
                  <c:v>2.1804360872174449E-2</c:v>
                </c:pt>
                <c:pt idx="110">
                  <c:v>2.200440088017605E-2</c:v>
                </c:pt>
                <c:pt idx="111">
                  <c:v>2.2204440888177652E-2</c:v>
                </c:pt>
                <c:pt idx="112">
                  <c:v>2.2404480896179253E-2</c:v>
                </c:pt>
                <c:pt idx="113">
                  <c:v>2.2604520904180855E-2</c:v>
                </c:pt>
                <c:pt idx="114">
                  <c:v>2.2804560912182456E-2</c:v>
                </c:pt>
                <c:pt idx="115">
                  <c:v>2.3004600920184057E-2</c:v>
                </c:pt>
                <c:pt idx="116">
                  <c:v>2.3204640928185659E-2</c:v>
                </c:pt>
                <c:pt idx="117">
                  <c:v>2.340468093618726E-2</c:v>
                </c:pt>
                <c:pt idx="118">
                  <c:v>2.3604720944188862E-2</c:v>
                </c:pt>
                <c:pt idx="119">
                  <c:v>2.3804760952190463E-2</c:v>
                </c:pt>
                <c:pt idx="120">
                  <c:v>2.4004800960192064E-2</c:v>
                </c:pt>
                <c:pt idx="121">
                  <c:v>2.4204840968193666E-2</c:v>
                </c:pt>
                <c:pt idx="122">
                  <c:v>2.4404880976195267E-2</c:v>
                </c:pt>
                <c:pt idx="123">
                  <c:v>2.4604920984196869E-2</c:v>
                </c:pt>
                <c:pt idx="124">
                  <c:v>2.480496099219847E-2</c:v>
                </c:pt>
                <c:pt idx="125">
                  <c:v>2.5005001000200072E-2</c:v>
                </c:pt>
                <c:pt idx="126">
                  <c:v>2.5205041008201673E-2</c:v>
                </c:pt>
                <c:pt idx="127">
                  <c:v>2.5405081016203274E-2</c:v>
                </c:pt>
                <c:pt idx="128">
                  <c:v>2.5605121024204876E-2</c:v>
                </c:pt>
                <c:pt idx="129">
                  <c:v>2.5805161032206477E-2</c:v>
                </c:pt>
                <c:pt idx="130">
                  <c:v>2.6005201040208079E-2</c:v>
                </c:pt>
                <c:pt idx="131">
                  <c:v>2.620524104820968E-2</c:v>
                </c:pt>
                <c:pt idx="132">
                  <c:v>2.6405281056211281E-2</c:v>
                </c:pt>
                <c:pt idx="133">
                  <c:v>2.6605321064212883E-2</c:v>
                </c:pt>
                <c:pt idx="134">
                  <c:v>2.6805361072214484E-2</c:v>
                </c:pt>
                <c:pt idx="135">
                  <c:v>2.7005401080216086E-2</c:v>
                </c:pt>
                <c:pt idx="136">
                  <c:v>2.7205441088217687E-2</c:v>
                </c:pt>
                <c:pt idx="137">
                  <c:v>2.7405481096219288E-2</c:v>
                </c:pt>
                <c:pt idx="138">
                  <c:v>2.760552110422089E-2</c:v>
                </c:pt>
                <c:pt idx="139">
                  <c:v>2.7805561112222491E-2</c:v>
                </c:pt>
                <c:pt idx="140">
                  <c:v>2.8005601120224093E-2</c:v>
                </c:pt>
                <c:pt idx="141">
                  <c:v>2.8205641128225694E-2</c:v>
                </c:pt>
                <c:pt idx="142">
                  <c:v>2.8405681136227295E-2</c:v>
                </c:pt>
                <c:pt idx="143">
                  <c:v>2.8605721144228897E-2</c:v>
                </c:pt>
                <c:pt idx="144">
                  <c:v>2.8805761152230498E-2</c:v>
                </c:pt>
                <c:pt idx="145">
                  <c:v>2.90058011602321E-2</c:v>
                </c:pt>
                <c:pt idx="146">
                  <c:v>2.9205841168233701E-2</c:v>
                </c:pt>
                <c:pt idx="147">
                  <c:v>2.9405881176235302E-2</c:v>
                </c:pt>
                <c:pt idx="148">
                  <c:v>2.9605921184236904E-2</c:v>
                </c:pt>
                <c:pt idx="149">
                  <c:v>2.9805961192238505E-2</c:v>
                </c:pt>
                <c:pt idx="150">
                  <c:v>3.0006001200240107E-2</c:v>
                </c:pt>
                <c:pt idx="151">
                  <c:v>3.0206041208241708E-2</c:v>
                </c:pt>
                <c:pt idx="152">
                  <c:v>3.0406081216243309E-2</c:v>
                </c:pt>
                <c:pt idx="153">
                  <c:v>3.0606121224244911E-2</c:v>
                </c:pt>
                <c:pt idx="154">
                  <c:v>3.0806161232246512E-2</c:v>
                </c:pt>
                <c:pt idx="155">
                  <c:v>3.1006201240248114E-2</c:v>
                </c:pt>
                <c:pt idx="156">
                  <c:v>3.1206241248249715E-2</c:v>
                </c:pt>
                <c:pt idx="157">
                  <c:v>3.1406281256251313E-2</c:v>
                </c:pt>
                <c:pt idx="158">
                  <c:v>3.1606321264252911E-2</c:v>
                </c:pt>
                <c:pt idx="159">
                  <c:v>3.1806361272254509E-2</c:v>
                </c:pt>
                <c:pt idx="160">
                  <c:v>3.2006401280256107E-2</c:v>
                </c:pt>
                <c:pt idx="161">
                  <c:v>3.2206441288257705E-2</c:v>
                </c:pt>
                <c:pt idx="162">
                  <c:v>3.2406481296259303E-2</c:v>
                </c:pt>
                <c:pt idx="163">
                  <c:v>3.2606521304260901E-2</c:v>
                </c:pt>
                <c:pt idx="164">
                  <c:v>3.2806561312262499E-2</c:v>
                </c:pt>
                <c:pt idx="165">
                  <c:v>3.3006601320264096E-2</c:v>
                </c:pt>
                <c:pt idx="166">
                  <c:v>3.3206641328265694E-2</c:v>
                </c:pt>
                <c:pt idx="167">
                  <c:v>3.3406681336267292E-2</c:v>
                </c:pt>
                <c:pt idx="168">
                  <c:v>3.360672134426889E-2</c:v>
                </c:pt>
                <c:pt idx="169">
                  <c:v>3.3806761352270488E-2</c:v>
                </c:pt>
                <c:pt idx="170">
                  <c:v>3.4006801360272086E-2</c:v>
                </c:pt>
                <c:pt idx="171">
                  <c:v>3.4206841368273684E-2</c:v>
                </c:pt>
                <c:pt idx="172">
                  <c:v>3.4406881376275282E-2</c:v>
                </c:pt>
                <c:pt idx="173">
                  <c:v>3.460692138427688E-2</c:v>
                </c:pt>
                <c:pt idx="174">
                  <c:v>3.4806961392278478E-2</c:v>
                </c:pt>
                <c:pt idx="175">
                  <c:v>3.5007001400280076E-2</c:v>
                </c:pt>
                <c:pt idx="176">
                  <c:v>3.5207041408281674E-2</c:v>
                </c:pt>
                <c:pt idx="177">
                  <c:v>3.5407081416283272E-2</c:v>
                </c:pt>
                <c:pt idx="178">
                  <c:v>3.560712142428487E-2</c:v>
                </c:pt>
                <c:pt idx="179">
                  <c:v>3.5807161432286468E-2</c:v>
                </c:pt>
                <c:pt idx="180">
                  <c:v>3.6007201440288066E-2</c:v>
                </c:pt>
                <c:pt idx="181">
                  <c:v>3.6207241448289663E-2</c:v>
                </c:pt>
                <c:pt idx="182">
                  <c:v>3.6407281456291261E-2</c:v>
                </c:pt>
                <c:pt idx="183">
                  <c:v>3.6607321464292859E-2</c:v>
                </c:pt>
                <c:pt idx="184">
                  <c:v>3.6807361472294457E-2</c:v>
                </c:pt>
                <c:pt idx="185">
                  <c:v>3.7007401480296055E-2</c:v>
                </c:pt>
                <c:pt idx="186">
                  <c:v>3.7207441488297653E-2</c:v>
                </c:pt>
                <c:pt idx="187">
                  <c:v>3.7407481496299251E-2</c:v>
                </c:pt>
                <c:pt idx="188">
                  <c:v>3.7607521504300849E-2</c:v>
                </c:pt>
                <c:pt idx="189">
                  <c:v>3.7807561512302447E-2</c:v>
                </c:pt>
                <c:pt idx="190">
                  <c:v>3.8007601520304045E-2</c:v>
                </c:pt>
                <c:pt idx="191">
                  <c:v>3.8207641528305643E-2</c:v>
                </c:pt>
                <c:pt idx="192">
                  <c:v>3.8407681536307241E-2</c:v>
                </c:pt>
                <c:pt idx="193">
                  <c:v>3.8607721544308839E-2</c:v>
                </c:pt>
                <c:pt idx="194">
                  <c:v>3.8807761552310437E-2</c:v>
                </c:pt>
                <c:pt idx="195">
                  <c:v>3.9007801560312035E-2</c:v>
                </c:pt>
                <c:pt idx="196">
                  <c:v>3.9207841568313632E-2</c:v>
                </c:pt>
                <c:pt idx="197">
                  <c:v>3.940788157631523E-2</c:v>
                </c:pt>
                <c:pt idx="198">
                  <c:v>3.9607921584316828E-2</c:v>
                </c:pt>
                <c:pt idx="199">
                  <c:v>3.9807961592318426E-2</c:v>
                </c:pt>
                <c:pt idx="200">
                  <c:v>4.0008001600320024E-2</c:v>
                </c:pt>
                <c:pt idx="201">
                  <c:v>4.0208041608321622E-2</c:v>
                </c:pt>
                <c:pt idx="202">
                  <c:v>4.040808161632322E-2</c:v>
                </c:pt>
                <c:pt idx="203">
                  <c:v>4.0608121624324818E-2</c:v>
                </c:pt>
                <c:pt idx="204">
                  <c:v>4.0808161632326416E-2</c:v>
                </c:pt>
                <c:pt idx="205">
                  <c:v>4.1008201640328014E-2</c:v>
                </c:pt>
                <c:pt idx="206">
                  <c:v>4.1208241648329612E-2</c:v>
                </c:pt>
                <c:pt idx="207">
                  <c:v>4.140828165633121E-2</c:v>
                </c:pt>
                <c:pt idx="208">
                  <c:v>4.1608321664332808E-2</c:v>
                </c:pt>
                <c:pt idx="209">
                  <c:v>4.1808361672334406E-2</c:v>
                </c:pt>
                <c:pt idx="210">
                  <c:v>4.2008401680336004E-2</c:v>
                </c:pt>
                <c:pt idx="211">
                  <c:v>4.2208441688337602E-2</c:v>
                </c:pt>
                <c:pt idx="212">
                  <c:v>4.2408481696339199E-2</c:v>
                </c:pt>
                <c:pt idx="213">
                  <c:v>4.2608521704340797E-2</c:v>
                </c:pt>
                <c:pt idx="214">
                  <c:v>4.2808561712342395E-2</c:v>
                </c:pt>
                <c:pt idx="215">
                  <c:v>4.3008601720343993E-2</c:v>
                </c:pt>
                <c:pt idx="216">
                  <c:v>4.3208641728345591E-2</c:v>
                </c:pt>
                <c:pt idx="217">
                  <c:v>4.3408681736347189E-2</c:v>
                </c:pt>
                <c:pt idx="218">
                  <c:v>4.3608721744348787E-2</c:v>
                </c:pt>
                <c:pt idx="219">
                  <c:v>4.3808761752350385E-2</c:v>
                </c:pt>
                <c:pt idx="220">
                  <c:v>4.4008801760351983E-2</c:v>
                </c:pt>
                <c:pt idx="221">
                  <c:v>4.4208841768353581E-2</c:v>
                </c:pt>
                <c:pt idx="222">
                  <c:v>4.4408881776355179E-2</c:v>
                </c:pt>
                <c:pt idx="223">
                  <c:v>4.4608921784356777E-2</c:v>
                </c:pt>
                <c:pt idx="224">
                  <c:v>4.4808961792358375E-2</c:v>
                </c:pt>
                <c:pt idx="225">
                  <c:v>4.5009001800359973E-2</c:v>
                </c:pt>
                <c:pt idx="226">
                  <c:v>4.5209041808361571E-2</c:v>
                </c:pt>
                <c:pt idx="227">
                  <c:v>4.5409081816363168E-2</c:v>
                </c:pt>
                <c:pt idx="228">
                  <c:v>4.5609121824364766E-2</c:v>
                </c:pt>
                <c:pt idx="229">
                  <c:v>4.5809161832366364E-2</c:v>
                </c:pt>
                <c:pt idx="230">
                  <c:v>4.6009201840367962E-2</c:v>
                </c:pt>
                <c:pt idx="231">
                  <c:v>4.620924184836956E-2</c:v>
                </c:pt>
                <c:pt idx="232">
                  <c:v>4.6409281856371158E-2</c:v>
                </c:pt>
                <c:pt idx="233">
                  <c:v>4.6609321864372756E-2</c:v>
                </c:pt>
                <c:pt idx="234">
                  <c:v>4.6809361872374354E-2</c:v>
                </c:pt>
                <c:pt idx="235">
                  <c:v>4.7009401880375952E-2</c:v>
                </c:pt>
                <c:pt idx="236">
                  <c:v>4.720944188837755E-2</c:v>
                </c:pt>
                <c:pt idx="237">
                  <c:v>4.7409481896379148E-2</c:v>
                </c:pt>
                <c:pt idx="238">
                  <c:v>4.7609521904380746E-2</c:v>
                </c:pt>
                <c:pt idx="239">
                  <c:v>4.7809561912382344E-2</c:v>
                </c:pt>
                <c:pt idx="240">
                  <c:v>4.8009601920383942E-2</c:v>
                </c:pt>
                <c:pt idx="241">
                  <c:v>4.820964192838554E-2</c:v>
                </c:pt>
                <c:pt idx="242">
                  <c:v>4.8409681936387138E-2</c:v>
                </c:pt>
                <c:pt idx="243">
                  <c:v>4.8609721944388735E-2</c:v>
                </c:pt>
                <c:pt idx="244">
                  <c:v>4.8809761952390333E-2</c:v>
                </c:pt>
                <c:pt idx="245">
                  <c:v>4.9009801960391931E-2</c:v>
                </c:pt>
                <c:pt idx="246">
                  <c:v>4.9209841968393529E-2</c:v>
                </c:pt>
                <c:pt idx="247">
                  <c:v>4.9409881976395127E-2</c:v>
                </c:pt>
                <c:pt idx="248">
                  <c:v>4.9609921984396725E-2</c:v>
                </c:pt>
                <c:pt idx="249">
                  <c:v>4.9809961992398323E-2</c:v>
                </c:pt>
                <c:pt idx="250">
                  <c:v>5.0010002000399921E-2</c:v>
                </c:pt>
                <c:pt idx="251">
                  <c:v>5.0210042008401519E-2</c:v>
                </c:pt>
                <c:pt idx="252">
                  <c:v>5.0410082016403117E-2</c:v>
                </c:pt>
                <c:pt idx="253">
                  <c:v>5.0610122024404715E-2</c:v>
                </c:pt>
                <c:pt idx="254">
                  <c:v>5.0810162032406313E-2</c:v>
                </c:pt>
                <c:pt idx="255">
                  <c:v>5.1010202040407911E-2</c:v>
                </c:pt>
                <c:pt idx="256">
                  <c:v>5.1210242048409509E-2</c:v>
                </c:pt>
                <c:pt idx="257">
                  <c:v>5.1410282056411107E-2</c:v>
                </c:pt>
                <c:pt idx="258">
                  <c:v>5.1610322064412704E-2</c:v>
                </c:pt>
                <c:pt idx="259">
                  <c:v>5.1810362072414302E-2</c:v>
                </c:pt>
                <c:pt idx="260">
                  <c:v>5.20104020804159E-2</c:v>
                </c:pt>
                <c:pt idx="261">
                  <c:v>5.2210442088417498E-2</c:v>
                </c:pt>
                <c:pt idx="262">
                  <c:v>5.2410482096419096E-2</c:v>
                </c:pt>
                <c:pt idx="263">
                  <c:v>5.2610522104420694E-2</c:v>
                </c:pt>
                <c:pt idx="264">
                  <c:v>5.2810562112422292E-2</c:v>
                </c:pt>
                <c:pt idx="265">
                  <c:v>5.301060212042389E-2</c:v>
                </c:pt>
                <c:pt idx="266">
                  <c:v>5.3210642128425488E-2</c:v>
                </c:pt>
                <c:pt idx="267">
                  <c:v>5.3410682136427086E-2</c:v>
                </c:pt>
                <c:pt idx="268">
                  <c:v>5.3610722144428684E-2</c:v>
                </c:pt>
                <c:pt idx="269">
                  <c:v>5.3810762152430282E-2</c:v>
                </c:pt>
                <c:pt idx="270">
                  <c:v>5.401080216043188E-2</c:v>
                </c:pt>
                <c:pt idx="271">
                  <c:v>5.4210842168433478E-2</c:v>
                </c:pt>
                <c:pt idx="272">
                  <c:v>5.4410882176435076E-2</c:v>
                </c:pt>
                <c:pt idx="273">
                  <c:v>5.4610922184436674E-2</c:v>
                </c:pt>
                <c:pt idx="274">
                  <c:v>5.4810962192438271E-2</c:v>
                </c:pt>
                <c:pt idx="275">
                  <c:v>5.5011002200439869E-2</c:v>
                </c:pt>
                <c:pt idx="276">
                  <c:v>5.5211042208441467E-2</c:v>
                </c:pt>
                <c:pt idx="277">
                  <c:v>5.5411082216443065E-2</c:v>
                </c:pt>
                <c:pt idx="278">
                  <c:v>5.5611122224444663E-2</c:v>
                </c:pt>
                <c:pt idx="279">
                  <c:v>5.5811162232446261E-2</c:v>
                </c:pt>
                <c:pt idx="280">
                  <c:v>5.6011202240447859E-2</c:v>
                </c:pt>
                <c:pt idx="281">
                  <c:v>5.6211242248449457E-2</c:v>
                </c:pt>
                <c:pt idx="282">
                  <c:v>5.6411282256451055E-2</c:v>
                </c:pt>
                <c:pt idx="283">
                  <c:v>5.6611322264452653E-2</c:v>
                </c:pt>
                <c:pt idx="284">
                  <c:v>5.6811362272454251E-2</c:v>
                </c:pt>
                <c:pt idx="285">
                  <c:v>5.7011402280455849E-2</c:v>
                </c:pt>
                <c:pt idx="286">
                  <c:v>5.7211442288457447E-2</c:v>
                </c:pt>
                <c:pt idx="287">
                  <c:v>5.7411482296459045E-2</c:v>
                </c:pt>
                <c:pt idx="288">
                  <c:v>5.7611522304460643E-2</c:v>
                </c:pt>
                <c:pt idx="289">
                  <c:v>5.781156231246224E-2</c:v>
                </c:pt>
                <c:pt idx="290">
                  <c:v>5.8011602320463838E-2</c:v>
                </c:pt>
                <c:pt idx="291">
                  <c:v>5.8211642328465436E-2</c:v>
                </c:pt>
                <c:pt idx="292">
                  <c:v>5.8411682336467034E-2</c:v>
                </c:pt>
                <c:pt idx="293">
                  <c:v>5.8611722344468632E-2</c:v>
                </c:pt>
                <c:pt idx="294">
                  <c:v>5.881176235247023E-2</c:v>
                </c:pt>
                <c:pt idx="295">
                  <c:v>5.9011802360471828E-2</c:v>
                </c:pt>
                <c:pt idx="296">
                  <c:v>5.9211842368473426E-2</c:v>
                </c:pt>
                <c:pt idx="297">
                  <c:v>5.9411882376475024E-2</c:v>
                </c:pt>
                <c:pt idx="298">
                  <c:v>5.9611922384476622E-2</c:v>
                </c:pt>
                <c:pt idx="299">
                  <c:v>5.981196239247822E-2</c:v>
                </c:pt>
                <c:pt idx="300">
                  <c:v>6.0012002400479818E-2</c:v>
                </c:pt>
                <c:pt idx="301">
                  <c:v>6.0212042408481416E-2</c:v>
                </c:pt>
                <c:pt idx="302">
                  <c:v>6.0412082416483014E-2</c:v>
                </c:pt>
                <c:pt idx="303">
                  <c:v>6.0612122424484612E-2</c:v>
                </c:pt>
                <c:pt idx="304">
                  <c:v>6.081216243248621E-2</c:v>
                </c:pt>
                <c:pt idx="305">
                  <c:v>6.1012202440487807E-2</c:v>
                </c:pt>
                <c:pt idx="306">
                  <c:v>6.1212242448489405E-2</c:v>
                </c:pt>
                <c:pt idx="307">
                  <c:v>6.1412282456491003E-2</c:v>
                </c:pt>
                <c:pt idx="308">
                  <c:v>6.1612322464492601E-2</c:v>
                </c:pt>
                <c:pt idx="309">
                  <c:v>6.1812362472494199E-2</c:v>
                </c:pt>
                <c:pt idx="310">
                  <c:v>6.2012402480495797E-2</c:v>
                </c:pt>
                <c:pt idx="311">
                  <c:v>6.2212442488497395E-2</c:v>
                </c:pt>
                <c:pt idx="312">
                  <c:v>6.2412482496498993E-2</c:v>
                </c:pt>
                <c:pt idx="313">
                  <c:v>6.2612522504500598E-2</c:v>
                </c:pt>
                <c:pt idx="314">
                  <c:v>6.2812562512502196E-2</c:v>
                </c:pt>
                <c:pt idx="315">
                  <c:v>6.3012602520503794E-2</c:v>
                </c:pt>
                <c:pt idx="316">
                  <c:v>6.3212642528505392E-2</c:v>
                </c:pt>
                <c:pt idx="317">
                  <c:v>6.341268253650699E-2</c:v>
                </c:pt>
                <c:pt idx="318">
                  <c:v>6.3612722544508588E-2</c:v>
                </c:pt>
                <c:pt idx="319">
                  <c:v>6.3812762552510185E-2</c:v>
                </c:pt>
                <c:pt idx="320">
                  <c:v>6.4012802560511783E-2</c:v>
                </c:pt>
                <c:pt idx="321">
                  <c:v>6.4212842568513381E-2</c:v>
                </c:pt>
                <c:pt idx="322">
                  <c:v>6.4412882576514979E-2</c:v>
                </c:pt>
                <c:pt idx="323">
                  <c:v>6.4612922584516577E-2</c:v>
                </c:pt>
                <c:pt idx="324">
                  <c:v>6.4812962592518175E-2</c:v>
                </c:pt>
                <c:pt idx="325">
                  <c:v>6.5013002600519773E-2</c:v>
                </c:pt>
                <c:pt idx="326">
                  <c:v>6.5213042608521371E-2</c:v>
                </c:pt>
                <c:pt idx="327">
                  <c:v>6.5413082616522969E-2</c:v>
                </c:pt>
                <c:pt idx="328">
                  <c:v>6.5613122624524567E-2</c:v>
                </c:pt>
                <c:pt idx="329">
                  <c:v>6.5813162632526165E-2</c:v>
                </c:pt>
                <c:pt idx="330">
                  <c:v>6.6013202640527763E-2</c:v>
                </c:pt>
                <c:pt idx="331">
                  <c:v>6.6213242648529361E-2</c:v>
                </c:pt>
                <c:pt idx="332">
                  <c:v>6.6413282656530959E-2</c:v>
                </c:pt>
                <c:pt idx="333">
                  <c:v>6.6613322664532557E-2</c:v>
                </c:pt>
                <c:pt idx="334">
                  <c:v>6.6813362672534155E-2</c:v>
                </c:pt>
                <c:pt idx="335">
                  <c:v>6.7013402680535752E-2</c:v>
                </c:pt>
                <c:pt idx="336">
                  <c:v>6.721344268853735E-2</c:v>
                </c:pt>
                <c:pt idx="337">
                  <c:v>6.7413482696538948E-2</c:v>
                </c:pt>
                <c:pt idx="338">
                  <c:v>6.7613522704540546E-2</c:v>
                </c:pt>
                <c:pt idx="339">
                  <c:v>6.7813562712542144E-2</c:v>
                </c:pt>
                <c:pt idx="340">
                  <c:v>6.8013602720543742E-2</c:v>
                </c:pt>
                <c:pt idx="341">
                  <c:v>6.821364272854534E-2</c:v>
                </c:pt>
                <c:pt idx="342">
                  <c:v>6.8413682736546938E-2</c:v>
                </c:pt>
                <c:pt idx="343">
                  <c:v>6.8613722744548536E-2</c:v>
                </c:pt>
                <c:pt idx="344">
                  <c:v>6.8813762752550134E-2</c:v>
                </c:pt>
                <c:pt idx="345">
                  <c:v>6.9013802760551732E-2</c:v>
                </c:pt>
                <c:pt idx="346">
                  <c:v>6.921384276855333E-2</c:v>
                </c:pt>
                <c:pt idx="347">
                  <c:v>6.9413882776554928E-2</c:v>
                </c:pt>
                <c:pt idx="348">
                  <c:v>6.9613922784556526E-2</c:v>
                </c:pt>
                <c:pt idx="349">
                  <c:v>6.9813962792558124E-2</c:v>
                </c:pt>
                <c:pt idx="350">
                  <c:v>7.0014002800559721E-2</c:v>
                </c:pt>
                <c:pt idx="351">
                  <c:v>7.0214042808561319E-2</c:v>
                </c:pt>
                <c:pt idx="352">
                  <c:v>7.0414082816562917E-2</c:v>
                </c:pt>
                <c:pt idx="353">
                  <c:v>7.0614122824564515E-2</c:v>
                </c:pt>
                <c:pt idx="354">
                  <c:v>7.0814162832566113E-2</c:v>
                </c:pt>
                <c:pt idx="355">
                  <c:v>7.1014202840567711E-2</c:v>
                </c:pt>
                <c:pt idx="356">
                  <c:v>7.1214242848569309E-2</c:v>
                </c:pt>
                <c:pt idx="357">
                  <c:v>7.1414282856570907E-2</c:v>
                </c:pt>
                <c:pt idx="358">
                  <c:v>7.1614322864572505E-2</c:v>
                </c:pt>
                <c:pt idx="359">
                  <c:v>7.1814362872574103E-2</c:v>
                </c:pt>
                <c:pt idx="360">
                  <c:v>7.2014402880575701E-2</c:v>
                </c:pt>
                <c:pt idx="361">
                  <c:v>7.2214442888577299E-2</c:v>
                </c:pt>
                <c:pt idx="362">
                  <c:v>7.2414482896578897E-2</c:v>
                </c:pt>
                <c:pt idx="363">
                  <c:v>7.2614522904580495E-2</c:v>
                </c:pt>
                <c:pt idx="364">
                  <c:v>7.2814562912582093E-2</c:v>
                </c:pt>
                <c:pt idx="365">
                  <c:v>7.3014602920583691E-2</c:v>
                </c:pt>
                <c:pt idx="366">
                  <c:v>7.3214642928585288E-2</c:v>
                </c:pt>
                <c:pt idx="367">
                  <c:v>7.3414682936586886E-2</c:v>
                </c:pt>
                <c:pt idx="368">
                  <c:v>7.3614722944588484E-2</c:v>
                </c:pt>
                <c:pt idx="369">
                  <c:v>7.3814762952590082E-2</c:v>
                </c:pt>
                <c:pt idx="370">
                  <c:v>7.401480296059168E-2</c:v>
                </c:pt>
                <c:pt idx="371">
                  <c:v>7.4214842968593278E-2</c:v>
                </c:pt>
                <c:pt idx="372">
                  <c:v>7.4414882976594876E-2</c:v>
                </c:pt>
                <c:pt idx="373">
                  <c:v>7.4614922984596474E-2</c:v>
                </c:pt>
                <c:pt idx="374">
                  <c:v>7.4814962992598072E-2</c:v>
                </c:pt>
                <c:pt idx="375">
                  <c:v>7.501500300059967E-2</c:v>
                </c:pt>
                <c:pt idx="376">
                  <c:v>7.5215043008601268E-2</c:v>
                </c:pt>
                <c:pt idx="377">
                  <c:v>7.5415083016602866E-2</c:v>
                </c:pt>
                <c:pt idx="378">
                  <c:v>7.5615123024604464E-2</c:v>
                </c:pt>
                <c:pt idx="379">
                  <c:v>7.5815163032606062E-2</c:v>
                </c:pt>
                <c:pt idx="380">
                  <c:v>7.601520304060766E-2</c:v>
                </c:pt>
                <c:pt idx="381">
                  <c:v>7.6215243048609257E-2</c:v>
                </c:pt>
                <c:pt idx="382">
                  <c:v>7.6415283056610855E-2</c:v>
                </c:pt>
                <c:pt idx="383">
                  <c:v>7.6615323064612453E-2</c:v>
                </c:pt>
                <c:pt idx="384">
                  <c:v>7.6815363072614051E-2</c:v>
                </c:pt>
                <c:pt idx="385">
                  <c:v>7.7015403080615649E-2</c:v>
                </c:pt>
                <c:pt idx="386">
                  <c:v>7.7215443088617247E-2</c:v>
                </c:pt>
                <c:pt idx="387">
                  <c:v>7.7415483096618845E-2</c:v>
                </c:pt>
                <c:pt idx="388">
                  <c:v>7.7615523104620443E-2</c:v>
                </c:pt>
                <c:pt idx="389">
                  <c:v>7.7815563112622041E-2</c:v>
                </c:pt>
                <c:pt idx="390">
                  <c:v>7.8015603120623639E-2</c:v>
                </c:pt>
                <c:pt idx="391">
                  <c:v>7.8215643128625237E-2</c:v>
                </c:pt>
                <c:pt idx="392">
                  <c:v>7.8415683136626835E-2</c:v>
                </c:pt>
                <c:pt idx="393">
                  <c:v>7.8615723144628433E-2</c:v>
                </c:pt>
                <c:pt idx="394">
                  <c:v>7.8815763152630031E-2</c:v>
                </c:pt>
                <c:pt idx="395">
                  <c:v>7.9015803160631629E-2</c:v>
                </c:pt>
                <c:pt idx="396">
                  <c:v>7.9215843168633227E-2</c:v>
                </c:pt>
                <c:pt idx="397">
                  <c:v>7.9415883176634824E-2</c:v>
                </c:pt>
                <c:pt idx="398">
                  <c:v>7.9615923184636422E-2</c:v>
                </c:pt>
                <c:pt idx="399">
                  <c:v>7.981596319263802E-2</c:v>
                </c:pt>
                <c:pt idx="400">
                  <c:v>8.0016003200639618E-2</c:v>
                </c:pt>
                <c:pt idx="401">
                  <c:v>8.0216043208641216E-2</c:v>
                </c:pt>
                <c:pt idx="402">
                  <c:v>8.0416083216642814E-2</c:v>
                </c:pt>
                <c:pt idx="403">
                  <c:v>8.0616123224644412E-2</c:v>
                </c:pt>
                <c:pt idx="404">
                  <c:v>8.081616323264601E-2</c:v>
                </c:pt>
                <c:pt idx="405">
                  <c:v>8.1016203240647608E-2</c:v>
                </c:pt>
                <c:pt idx="406">
                  <c:v>8.1216243248649206E-2</c:v>
                </c:pt>
                <c:pt idx="407">
                  <c:v>8.1416283256650804E-2</c:v>
                </c:pt>
                <c:pt idx="408">
                  <c:v>8.1616323264652402E-2</c:v>
                </c:pt>
                <c:pt idx="409">
                  <c:v>8.1816363272654E-2</c:v>
                </c:pt>
                <c:pt idx="410">
                  <c:v>8.2016403280655598E-2</c:v>
                </c:pt>
                <c:pt idx="411">
                  <c:v>8.2216443288657196E-2</c:v>
                </c:pt>
                <c:pt idx="412">
                  <c:v>8.2416483296658793E-2</c:v>
                </c:pt>
                <c:pt idx="413">
                  <c:v>8.2616523304660391E-2</c:v>
                </c:pt>
                <c:pt idx="414">
                  <c:v>8.2816563312661989E-2</c:v>
                </c:pt>
                <c:pt idx="415">
                  <c:v>8.3016603320663587E-2</c:v>
                </c:pt>
                <c:pt idx="416">
                  <c:v>8.3216643328665185E-2</c:v>
                </c:pt>
                <c:pt idx="417">
                  <c:v>8.3416683336666783E-2</c:v>
                </c:pt>
                <c:pt idx="418">
                  <c:v>8.3616723344668381E-2</c:v>
                </c:pt>
                <c:pt idx="419">
                  <c:v>8.3816763352669979E-2</c:v>
                </c:pt>
                <c:pt idx="420">
                  <c:v>8.4016803360671577E-2</c:v>
                </c:pt>
                <c:pt idx="421">
                  <c:v>8.4216843368673175E-2</c:v>
                </c:pt>
                <c:pt idx="422">
                  <c:v>8.4416883376674773E-2</c:v>
                </c:pt>
                <c:pt idx="423">
                  <c:v>8.4616923384676371E-2</c:v>
                </c:pt>
                <c:pt idx="424">
                  <c:v>8.4816963392677969E-2</c:v>
                </c:pt>
                <c:pt idx="425">
                  <c:v>8.5017003400679567E-2</c:v>
                </c:pt>
                <c:pt idx="426">
                  <c:v>8.5217043408681165E-2</c:v>
                </c:pt>
                <c:pt idx="427">
                  <c:v>8.5417083416682762E-2</c:v>
                </c:pt>
                <c:pt idx="428">
                  <c:v>8.561712342468436E-2</c:v>
                </c:pt>
                <c:pt idx="429">
                  <c:v>8.5817163432685958E-2</c:v>
                </c:pt>
                <c:pt idx="430">
                  <c:v>8.6017203440687556E-2</c:v>
                </c:pt>
                <c:pt idx="431">
                  <c:v>8.6217243448689154E-2</c:v>
                </c:pt>
                <c:pt idx="432">
                  <c:v>8.6417283456690752E-2</c:v>
                </c:pt>
                <c:pt idx="433">
                  <c:v>8.661732346469235E-2</c:v>
                </c:pt>
                <c:pt idx="434">
                  <c:v>8.6817363472693948E-2</c:v>
                </c:pt>
                <c:pt idx="435">
                  <c:v>8.7017403480695546E-2</c:v>
                </c:pt>
                <c:pt idx="436">
                  <c:v>8.7217443488697144E-2</c:v>
                </c:pt>
                <c:pt idx="437">
                  <c:v>8.7417483496698742E-2</c:v>
                </c:pt>
                <c:pt idx="438">
                  <c:v>8.761752350470034E-2</c:v>
                </c:pt>
                <c:pt idx="439">
                  <c:v>8.7817563512701938E-2</c:v>
                </c:pt>
                <c:pt idx="440">
                  <c:v>8.8017603520703536E-2</c:v>
                </c:pt>
                <c:pt idx="441">
                  <c:v>8.8217643528705134E-2</c:v>
                </c:pt>
                <c:pt idx="442">
                  <c:v>8.8417683536706732E-2</c:v>
                </c:pt>
                <c:pt idx="443">
                  <c:v>8.8617723544708329E-2</c:v>
                </c:pt>
                <c:pt idx="444">
                  <c:v>8.8817763552709927E-2</c:v>
                </c:pt>
                <c:pt idx="445">
                  <c:v>8.9017803560711525E-2</c:v>
                </c:pt>
                <c:pt idx="446">
                  <c:v>8.9217843568713123E-2</c:v>
                </c:pt>
                <c:pt idx="447">
                  <c:v>8.9417883576714721E-2</c:v>
                </c:pt>
                <c:pt idx="448">
                  <c:v>8.9617923584716319E-2</c:v>
                </c:pt>
                <c:pt idx="449">
                  <c:v>8.9817963592717917E-2</c:v>
                </c:pt>
                <c:pt idx="450">
                  <c:v>9.0018003600719515E-2</c:v>
                </c:pt>
                <c:pt idx="451">
                  <c:v>9.0218043608721113E-2</c:v>
                </c:pt>
                <c:pt idx="452">
                  <c:v>9.0418083616722711E-2</c:v>
                </c:pt>
                <c:pt idx="453">
                  <c:v>9.0618123624724309E-2</c:v>
                </c:pt>
                <c:pt idx="454">
                  <c:v>9.0818163632725907E-2</c:v>
                </c:pt>
                <c:pt idx="455">
                  <c:v>9.1018203640727505E-2</c:v>
                </c:pt>
                <c:pt idx="456">
                  <c:v>9.1218243648729103E-2</c:v>
                </c:pt>
                <c:pt idx="457">
                  <c:v>9.1418283656730701E-2</c:v>
                </c:pt>
                <c:pt idx="458">
                  <c:v>9.1618323664732298E-2</c:v>
                </c:pt>
                <c:pt idx="459">
                  <c:v>9.1818363672733896E-2</c:v>
                </c:pt>
                <c:pt idx="460">
                  <c:v>9.2018403680735494E-2</c:v>
                </c:pt>
                <c:pt idx="461">
                  <c:v>9.2218443688737092E-2</c:v>
                </c:pt>
                <c:pt idx="462">
                  <c:v>9.241848369673869E-2</c:v>
                </c:pt>
                <c:pt idx="463">
                  <c:v>9.2618523704740288E-2</c:v>
                </c:pt>
                <c:pt idx="464">
                  <c:v>9.2818563712741886E-2</c:v>
                </c:pt>
                <c:pt idx="465">
                  <c:v>9.3018603720743484E-2</c:v>
                </c:pt>
                <c:pt idx="466">
                  <c:v>9.3218643728745082E-2</c:v>
                </c:pt>
                <c:pt idx="467">
                  <c:v>9.341868373674668E-2</c:v>
                </c:pt>
                <c:pt idx="468">
                  <c:v>9.3618723744748278E-2</c:v>
                </c:pt>
                <c:pt idx="469">
                  <c:v>9.3818763752749876E-2</c:v>
                </c:pt>
                <c:pt idx="470">
                  <c:v>9.4018803760751474E-2</c:v>
                </c:pt>
                <c:pt idx="471">
                  <c:v>9.4218843768753072E-2</c:v>
                </c:pt>
                <c:pt idx="472">
                  <c:v>9.441888377675467E-2</c:v>
                </c:pt>
                <c:pt idx="473">
                  <c:v>9.4618923784756268E-2</c:v>
                </c:pt>
                <c:pt idx="474">
                  <c:v>9.4818963792757865E-2</c:v>
                </c:pt>
                <c:pt idx="475">
                  <c:v>9.5019003800759463E-2</c:v>
                </c:pt>
                <c:pt idx="476">
                  <c:v>9.5219043808761061E-2</c:v>
                </c:pt>
                <c:pt idx="477">
                  <c:v>9.5419083816762659E-2</c:v>
                </c:pt>
                <c:pt idx="478">
                  <c:v>9.5619123824764257E-2</c:v>
                </c:pt>
                <c:pt idx="479">
                  <c:v>9.5819163832765855E-2</c:v>
                </c:pt>
                <c:pt idx="480">
                  <c:v>9.6019203840767453E-2</c:v>
                </c:pt>
                <c:pt idx="481">
                  <c:v>9.6219243848769051E-2</c:v>
                </c:pt>
                <c:pt idx="482">
                  <c:v>9.6419283856770649E-2</c:v>
                </c:pt>
                <c:pt idx="483">
                  <c:v>9.6619323864772247E-2</c:v>
                </c:pt>
                <c:pt idx="484">
                  <c:v>9.6819363872773845E-2</c:v>
                </c:pt>
                <c:pt idx="485">
                  <c:v>9.7019403880775443E-2</c:v>
                </c:pt>
                <c:pt idx="486">
                  <c:v>9.7219443888777041E-2</c:v>
                </c:pt>
                <c:pt idx="487">
                  <c:v>9.7419483896778639E-2</c:v>
                </c:pt>
                <c:pt idx="488">
                  <c:v>9.7619523904780237E-2</c:v>
                </c:pt>
                <c:pt idx="489">
                  <c:v>9.7819563912781834E-2</c:v>
                </c:pt>
                <c:pt idx="490">
                  <c:v>9.8019603920783432E-2</c:v>
                </c:pt>
                <c:pt idx="491">
                  <c:v>9.821964392878503E-2</c:v>
                </c:pt>
                <c:pt idx="492">
                  <c:v>9.8419683936786628E-2</c:v>
                </c:pt>
                <c:pt idx="493">
                  <c:v>9.8619723944788226E-2</c:v>
                </c:pt>
                <c:pt idx="494">
                  <c:v>9.8819763952789824E-2</c:v>
                </c:pt>
                <c:pt idx="495">
                  <c:v>9.9019803960791422E-2</c:v>
                </c:pt>
                <c:pt idx="496">
                  <c:v>9.921984396879302E-2</c:v>
                </c:pt>
                <c:pt idx="497">
                  <c:v>9.9419883976794618E-2</c:v>
                </c:pt>
                <c:pt idx="498">
                  <c:v>9.9619923984796216E-2</c:v>
                </c:pt>
                <c:pt idx="499">
                  <c:v>9.9819963992797814E-2</c:v>
                </c:pt>
                <c:pt idx="500">
                  <c:v>0.10002000400079941</c:v>
                </c:pt>
                <c:pt idx="501">
                  <c:v>0.10022004400880101</c:v>
                </c:pt>
                <c:pt idx="502">
                  <c:v>0.10042008401680261</c:v>
                </c:pt>
                <c:pt idx="503">
                  <c:v>0.10062012402480421</c:v>
                </c:pt>
                <c:pt idx="504">
                  <c:v>0.1008201640328058</c:v>
                </c:pt>
                <c:pt idx="505">
                  <c:v>0.1010202040408074</c:v>
                </c:pt>
                <c:pt idx="506">
                  <c:v>0.101220244048809</c:v>
                </c:pt>
                <c:pt idx="507">
                  <c:v>0.1014202840568106</c:v>
                </c:pt>
                <c:pt idx="508">
                  <c:v>0.1016203240648122</c:v>
                </c:pt>
                <c:pt idx="509">
                  <c:v>0.10182036407281379</c:v>
                </c:pt>
                <c:pt idx="510">
                  <c:v>0.10202040408081539</c:v>
                </c:pt>
                <c:pt idx="511">
                  <c:v>0.10222044408881699</c:v>
                </c:pt>
                <c:pt idx="512">
                  <c:v>0.10242048409681859</c:v>
                </c:pt>
                <c:pt idx="513">
                  <c:v>0.10262052410482018</c:v>
                </c:pt>
                <c:pt idx="514">
                  <c:v>0.10282056411282178</c:v>
                </c:pt>
                <c:pt idx="515">
                  <c:v>0.10302060412082338</c:v>
                </c:pt>
                <c:pt idx="516">
                  <c:v>0.10322064412882498</c:v>
                </c:pt>
                <c:pt idx="517">
                  <c:v>0.10342068413682658</c:v>
                </c:pt>
                <c:pt idx="518">
                  <c:v>0.10362072414482817</c:v>
                </c:pt>
                <c:pt idx="519">
                  <c:v>0.10382076415282977</c:v>
                </c:pt>
                <c:pt idx="520">
                  <c:v>0.10402080416083137</c:v>
                </c:pt>
                <c:pt idx="521">
                  <c:v>0.10422084416883297</c:v>
                </c:pt>
                <c:pt idx="522">
                  <c:v>0.10442088417683457</c:v>
                </c:pt>
                <c:pt idx="523">
                  <c:v>0.10462092418483616</c:v>
                </c:pt>
                <c:pt idx="524">
                  <c:v>0.10482096419283776</c:v>
                </c:pt>
                <c:pt idx="525">
                  <c:v>0.10502100420083936</c:v>
                </c:pt>
                <c:pt idx="526">
                  <c:v>0.10522104420884096</c:v>
                </c:pt>
                <c:pt idx="527">
                  <c:v>0.10542108421684256</c:v>
                </c:pt>
                <c:pt idx="528">
                  <c:v>0.10562112422484415</c:v>
                </c:pt>
                <c:pt idx="529">
                  <c:v>0.10582116423284575</c:v>
                </c:pt>
                <c:pt idx="530">
                  <c:v>0.10602120424084735</c:v>
                </c:pt>
                <c:pt idx="531">
                  <c:v>0.10622124424884895</c:v>
                </c:pt>
                <c:pt idx="532">
                  <c:v>0.10642128425685055</c:v>
                </c:pt>
                <c:pt idx="533">
                  <c:v>0.10662132426485214</c:v>
                </c:pt>
                <c:pt idx="534">
                  <c:v>0.10682136427285374</c:v>
                </c:pt>
                <c:pt idx="535">
                  <c:v>0.10702140428085534</c:v>
                </c:pt>
                <c:pt idx="536">
                  <c:v>0.10722144428885694</c:v>
                </c:pt>
                <c:pt idx="537">
                  <c:v>0.10742148429685854</c:v>
                </c:pt>
                <c:pt idx="538">
                  <c:v>0.10762152430486013</c:v>
                </c:pt>
                <c:pt idx="539">
                  <c:v>0.10782156431286173</c:v>
                </c:pt>
                <c:pt idx="540">
                  <c:v>0.10802160432086333</c:v>
                </c:pt>
                <c:pt idx="541">
                  <c:v>0.10822164432886493</c:v>
                </c:pt>
                <c:pt idx="542">
                  <c:v>0.10842168433686653</c:v>
                </c:pt>
                <c:pt idx="543">
                  <c:v>0.10862172434486812</c:v>
                </c:pt>
                <c:pt idx="544">
                  <c:v>0.10882176435286972</c:v>
                </c:pt>
                <c:pt idx="545">
                  <c:v>0.10902180436087132</c:v>
                </c:pt>
                <c:pt idx="546">
                  <c:v>0.10922184436887292</c:v>
                </c:pt>
                <c:pt idx="547">
                  <c:v>0.10942188437687451</c:v>
                </c:pt>
                <c:pt idx="548">
                  <c:v>0.10962192438487611</c:v>
                </c:pt>
                <c:pt idx="549">
                  <c:v>0.10982196439287771</c:v>
                </c:pt>
                <c:pt idx="550">
                  <c:v>0.11002200440087931</c:v>
                </c:pt>
                <c:pt idx="551">
                  <c:v>0.11022204440888091</c:v>
                </c:pt>
                <c:pt idx="552">
                  <c:v>0.1104220844168825</c:v>
                </c:pt>
                <c:pt idx="553">
                  <c:v>0.1106221244248841</c:v>
                </c:pt>
                <c:pt idx="554">
                  <c:v>0.1108221644328857</c:v>
                </c:pt>
                <c:pt idx="555">
                  <c:v>0.1110222044408873</c:v>
                </c:pt>
                <c:pt idx="556">
                  <c:v>0.1112222444488889</c:v>
                </c:pt>
                <c:pt idx="557">
                  <c:v>0.11142228445689049</c:v>
                </c:pt>
                <c:pt idx="558">
                  <c:v>0.11162232446489209</c:v>
                </c:pt>
                <c:pt idx="559">
                  <c:v>0.11182236447289369</c:v>
                </c:pt>
                <c:pt idx="560">
                  <c:v>0.11202240448089529</c:v>
                </c:pt>
                <c:pt idx="561">
                  <c:v>0.11222244448889689</c:v>
                </c:pt>
                <c:pt idx="562">
                  <c:v>0.11242248449689848</c:v>
                </c:pt>
                <c:pt idx="563">
                  <c:v>0.11262252450490008</c:v>
                </c:pt>
                <c:pt idx="564">
                  <c:v>0.11282256451290168</c:v>
                </c:pt>
                <c:pt idx="565">
                  <c:v>0.11302260452090328</c:v>
                </c:pt>
                <c:pt idx="566">
                  <c:v>0.11322264452890488</c:v>
                </c:pt>
                <c:pt idx="567">
                  <c:v>0.11342268453690647</c:v>
                </c:pt>
                <c:pt idx="568">
                  <c:v>0.11362272454490807</c:v>
                </c:pt>
                <c:pt idx="569">
                  <c:v>0.11382276455290967</c:v>
                </c:pt>
                <c:pt idx="570">
                  <c:v>0.11402280456091127</c:v>
                </c:pt>
                <c:pt idx="571">
                  <c:v>0.11422284456891287</c:v>
                </c:pt>
                <c:pt idx="572">
                  <c:v>0.11442288457691446</c:v>
                </c:pt>
                <c:pt idx="573">
                  <c:v>0.11462292458491606</c:v>
                </c:pt>
                <c:pt idx="574">
                  <c:v>0.11482296459291766</c:v>
                </c:pt>
                <c:pt idx="575">
                  <c:v>0.11502300460091926</c:v>
                </c:pt>
                <c:pt idx="576">
                  <c:v>0.11522304460892085</c:v>
                </c:pt>
                <c:pt idx="577">
                  <c:v>0.11542308461692245</c:v>
                </c:pt>
                <c:pt idx="578">
                  <c:v>0.11562312462492405</c:v>
                </c:pt>
                <c:pt idx="579">
                  <c:v>0.11582316463292565</c:v>
                </c:pt>
                <c:pt idx="580">
                  <c:v>0.11602320464092725</c:v>
                </c:pt>
                <c:pt idx="581">
                  <c:v>0.11622324464892884</c:v>
                </c:pt>
                <c:pt idx="582">
                  <c:v>0.11642328465693044</c:v>
                </c:pt>
                <c:pt idx="583">
                  <c:v>0.11662332466493204</c:v>
                </c:pt>
                <c:pt idx="584">
                  <c:v>0.11682336467293364</c:v>
                </c:pt>
                <c:pt idx="585">
                  <c:v>0.11702340468093524</c:v>
                </c:pt>
                <c:pt idx="586">
                  <c:v>0.11722344468893683</c:v>
                </c:pt>
                <c:pt idx="587">
                  <c:v>0.11742348469693843</c:v>
                </c:pt>
                <c:pt idx="588">
                  <c:v>0.11762352470494003</c:v>
                </c:pt>
                <c:pt idx="589">
                  <c:v>0.11782356471294163</c:v>
                </c:pt>
                <c:pt idx="590">
                  <c:v>0.11802360472094323</c:v>
                </c:pt>
                <c:pt idx="591">
                  <c:v>0.11822364472894482</c:v>
                </c:pt>
                <c:pt idx="592">
                  <c:v>0.11842368473694642</c:v>
                </c:pt>
                <c:pt idx="593">
                  <c:v>0.11862372474494802</c:v>
                </c:pt>
                <c:pt idx="594">
                  <c:v>0.11882376475294962</c:v>
                </c:pt>
                <c:pt idx="595">
                  <c:v>0.11902380476095122</c:v>
                </c:pt>
                <c:pt idx="596">
                  <c:v>0.11922384476895281</c:v>
                </c:pt>
                <c:pt idx="597">
                  <c:v>0.11942388477695441</c:v>
                </c:pt>
                <c:pt idx="598">
                  <c:v>0.11962392478495601</c:v>
                </c:pt>
                <c:pt idx="599">
                  <c:v>0.11982396479295761</c:v>
                </c:pt>
                <c:pt idx="600">
                  <c:v>0.12002400480095921</c:v>
                </c:pt>
                <c:pt idx="601">
                  <c:v>0.1202240448089608</c:v>
                </c:pt>
                <c:pt idx="602">
                  <c:v>0.1204240848169624</c:v>
                </c:pt>
                <c:pt idx="603">
                  <c:v>0.120624124824964</c:v>
                </c:pt>
                <c:pt idx="604">
                  <c:v>0.1208241648329656</c:v>
                </c:pt>
                <c:pt idx="605">
                  <c:v>0.12102420484096719</c:v>
                </c:pt>
                <c:pt idx="606">
                  <c:v>0.12122424484896879</c:v>
                </c:pt>
                <c:pt idx="607">
                  <c:v>0.12142428485697039</c:v>
                </c:pt>
                <c:pt idx="608">
                  <c:v>0.12162432486497199</c:v>
                </c:pt>
                <c:pt idx="609">
                  <c:v>0.12182436487297359</c:v>
                </c:pt>
                <c:pt idx="610">
                  <c:v>0.12202440488097518</c:v>
                </c:pt>
                <c:pt idx="611">
                  <c:v>0.12222444488897678</c:v>
                </c:pt>
                <c:pt idx="612">
                  <c:v>0.12242448489697838</c:v>
                </c:pt>
                <c:pt idx="613">
                  <c:v>0.12262452490497998</c:v>
                </c:pt>
                <c:pt idx="614">
                  <c:v>0.12282456491298158</c:v>
                </c:pt>
                <c:pt idx="615">
                  <c:v>0.12302460492098317</c:v>
                </c:pt>
                <c:pt idx="616">
                  <c:v>0.12322464492898477</c:v>
                </c:pt>
                <c:pt idx="617">
                  <c:v>0.12342468493698637</c:v>
                </c:pt>
                <c:pt idx="618">
                  <c:v>0.12362472494498797</c:v>
                </c:pt>
                <c:pt idx="619">
                  <c:v>0.12382476495298957</c:v>
                </c:pt>
                <c:pt idx="620">
                  <c:v>0.12402480496099116</c:v>
                </c:pt>
                <c:pt idx="621">
                  <c:v>0.12422484496899276</c:v>
                </c:pt>
                <c:pt idx="622">
                  <c:v>0.12442488497699436</c:v>
                </c:pt>
                <c:pt idx="623">
                  <c:v>0.12462492498499596</c:v>
                </c:pt>
                <c:pt idx="624">
                  <c:v>0.12482496499299756</c:v>
                </c:pt>
                <c:pt idx="625">
                  <c:v>0.12502500500099917</c:v>
                </c:pt>
                <c:pt idx="626">
                  <c:v>0.12522504500900078</c:v>
                </c:pt>
                <c:pt idx="627">
                  <c:v>0.12542508501700239</c:v>
                </c:pt>
                <c:pt idx="628">
                  <c:v>0.125625125025004</c:v>
                </c:pt>
                <c:pt idx="629">
                  <c:v>0.12582516503300561</c:v>
                </c:pt>
                <c:pt idx="630">
                  <c:v>0.12602520504100723</c:v>
                </c:pt>
                <c:pt idx="631">
                  <c:v>0.12622524504900884</c:v>
                </c:pt>
                <c:pt idx="632">
                  <c:v>0.12642528505701045</c:v>
                </c:pt>
                <c:pt idx="633">
                  <c:v>0.12662532506501206</c:v>
                </c:pt>
                <c:pt idx="634">
                  <c:v>0.12682536507301367</c:v>
                </c:pt>
                <c:pt idx="635">
                  <c:v>0.12702540508101529</c:v>
                </c:pt>
                <c:pt idx="636">
                  <c:v>0.1272254450890169</c:v>
                </c:pt>
                <c:pt idx="637">
                  <c:v>0.12742548509701851</c:v>
                </c:pt>
                <c:pt idx="638">
                  <c:v>0.12762552510502012</c:v>
                </c:pt>
                <c:pt idx="639">
                  <c:v>0.12782556511302173</c:v>
                </c:pt>
                <c:pt idx="640">
                  <c:v>0.12802560512102334</c:v>
                </c:pt>
                <c:pt idx="641">
                  <c:v>0.12822564512902496</c:v>
                </c:pt>
                <c:pt idx="642">
                  <c:v>0.12842568513702657</c:v>
                </c:pt>
                <c:pt idx="643">
                  <c:v>0.12862572514502818</c:v>
                </c:pt>
                <c:pt idx="644">
                  <c:v>0.12882576515302979</c:v>
                </c:pt>
                <c:pt idx="645">
                  <c:v>0.1290258051610314</c:v>
                </c:pt>
                <c:pt idx="646">
                  <c:v>0.12922584516903302</c:v>
                </c:pt>
                <c:pt idx="647">
                  <c:v>0.12942588517703463</c:v>
                </c:pt>
                <c:pt idx="648">
                  <c:v>0.12962592518503624</c:v>
                </c:pt>
                <c:pt idx="649">
                  <c:v>0.12982596519303785</c:v>
                </c:pt>
                <c:pt idx="650">
                  <c:v>0.13002600520103946</c:v>
                </c:pt>
                <c:pt idx="651">
                  <c:v>0.13022604520904107</c:v>
                </c:pt>
                <c:pt idx="652">
                  <c:v>0.13042608521704269</c:v>
                </c:pt>
                <c:pt idx="653">
                  <c:v>0.1306261252250443</c:v>
                </c:pt>
                <c:pt idx="654">
                  <c:v>0.13082616523304591</c:v>
                </c:pt>
                <c:pt idx="655">
                  <c:v>0.13102620524104752</c:v>
                </c:pt>
                <c:pt idx="656">
                  <c:v>0.13122624524904913</c:v>
                </c:pt>
                <c:pt idx="657">
                  <c:v>0.13142628525705075</c:v>
                </c:pt>
                <c:pt idx="658">
                  <c:v>0.13162632526505236</c:v>
                </c:pt>
                <c:pt idx="659">
                  <c:v>0.13182636527305397</c:v>
                </c:pt>
                <c:pt idx="660">
                  <c:v>0.13202640528105558</c:v>
                </c:pt>
                <c:pt idx="661">
                  <c:v>0.13222644528905719</c:v>
                </c:pt>
                <c:pt idx="662">
                  <c:v>0.1324264852970588</c:v>
                </c:pt>
                <c:pt idx="663">
                  <c:v>0.13262652530506042</c:v>
                </c:pt>
                <c:pt idx="664">
                  <c:v>0.13282656531306203</c:v>
                </c:pt>
                <c:pt idx="665">
                  <c:v>0.13302660532106364</c:v>
                </c:pt>
                <c:pt idx="666">
                  <c:v>0.13322664532906525</c:v>
                </c:pt>
                <c:pt idx="667">
                  <c:v>0.13342668533706686</c:v>
                </c:pt>
                <c:pt idx="668">
                  <c:v>0.13362672534506848</c:v>
                </c:pt>
                <c:pt idx="669">
                  <c:v>0.13382676535307009</c:v>
                </c:pt>
                <c:pt idx="670">
                  <c:v>0.1340268053610717</c:v>
                </c:pt>
                <c:pt idx="671">
                  <c:v>0.13422684536907331</c:v>
                </c:pt>
                <c:pt idx="672">
                  <c:v>0.13442688537707492</c:v>
                </c:pt>
                <c:pt idx="673">
                  <c:v>0.13462692538507653</c:v>
                </c:pt>
                <c:pt idx="674">
                  <c:v>0.13482696539307815</c:v>
                </c:pt>
                <c:pt idx="675">
                  <c:v>0.13502700540107976</c:v>
                </c:pt>
                <c:pt idx="676">
                  <c:v>0.13522704540908137</c:v>
                </c:pt>
                <c:pt idx="677">
                  <c:v>0.13542708541708298</c:v>
                </c:pt>
                <c:pt idx="678">
                  <c:v>0.13562712542508459</c:v>
                </c:pt>
                <c:pt idx="679">
                  <c:v>0.13582716543308621</c:v>
                </c:pt>
                <c:pt idx="680">
                  <c:v>0.13602720544108782</c:v>
                </c:pt>
                <c:pt idx="681">
                  <c:v>0.13622724544908943</c:v>
                </c:pt>
                <c:pt idx="682">
                  <c:v>0.13642728545709104</c:v>
                </c:pt>
                <c:pt idx="683">
                  <c:v>0.13662732546509265</c:v>
                </c:pt>
                <c:pt idx="684">
                  <c:v>0.13682736547309426</c:v>
                </c:pt>
                <c:pt idx="685">
                  <c:v>0.13702740548109588</c:v>
                </c:pt>
                <c:pt idx="686">
                  <c:v>0.13722744548909749</c:v>
                </c:pt>
                <c:pt idx="687">
                  <c:v>0.1374274854970991</c:v>
                </c:pt>
                <c:pt idx="688">
                  <c:v>0.13762752550510071</c:v>
                </c:pt>
                <c:pt idx="689">
                  <c:v>0.13782756551310232</c:v>
                </c:pt>
                <c:pt idx="690">
                  <c:v>0.13802760552110394</c:v>
                </c:pt>
                <c:pt idx="691">
                  <c:v>0.13822764552910555</c:v>
                </c:pt>
                <c:pt idx="692">
                  <c:v>0.13842768553710716</c:v>
                </c:pt>
                <c:pt idx="693">
                  <c:v>0.13862772554510877</c:v>
                </c:pt>
                <c:pt idx="694">
                  <c:v>0.13882776555311038</c:v>
                </c:pt>
                <c:pt idx="695">
                  <c:v>0.13902780556111199</c:v>
                </c:pt>
                <c:pt idx="696">
                  <c:v>0.13922784556911361</c:v>
                </c:pt>
                <c:pt idx="697">
                  <c:v>0.13942788557711522</c:v>
                </c:pt>
                <c:pt idx="698">
                  <c:v>0.13962792558511683</c:v>
                </c:pt>
                <c:pt idx="699">
                  <c:v>0.13982796559311844</c:v>
                </c:pt>
                <c:pt idx="700">
                  <c:v>0.14002800560112005</c:v>
                </c:pt>
                <c:pt idx="701">
                  <c:v>0.14022804560912167</c:v>
                </c:pt>
                <c:pt idx="702">
                  <c:v>0.14042808561712328</c:v>
                </c:pt>
                <c:pt idx="703">
                  <c:v>0.14062812562512489</c:v>
                </c:pt>
                <c:pt idx="704">
                  <c:v>0.1408281656331265</c:v>
                </c:pt>
                <c:pt idx="705">
                  <c:v>0.14102820564112811</c:v>
                </c:pt>
                <c:pt idx="706">
                  <c:v>0.14122824564912972</c:v>
                </c:pt>
                <c:pt idx="707">
                  <c:v>0.14142828565713134</c:v>
                </c:pt>
                <c:pt idx="708">
                  <c:v>0.14162832566513295</c:v>
                </c:pt>
                <c:pt idx="709">
                  <c:v>0.14182836567313456</c:v>
                </c:pt>
                <c:pt idx="710">
                  <c:v>0.14202840568113617</c:v>
                </c:pt>
                <c:pt idx="711">
                  <c:v>0.14222844568913778</c:v>
                </c:pt>
                <c:pt idx="712">
                  <c:v>0.1424284856971394</c:v>
                </c:pt>
                <c:pt idx="713">
                  <c:v>0.14262852570514101</c:v>
                </c:pt>
                <c:pt idx="714">
                  <c:v>0.14282856571314262</c:v>
                </c:pt>
                <c:pt idx="715">
                  <c:v>0.14302860572114423</c:v>
                </c:pt>
                <c:pt idx="716">
                  <c:v>0.14322864572914584</c:v>
                </c:pt>
                <c:pt idx="717">
                  <c:v>0.14342868573714745</c:v>
                </c:pt>
                <c:pt idx="718">
                  <c:v>0.14362872574514907</c:v>
                </c:pt>
                <c:pt idx="719">
                  <c:v>0.14382876575315068</c:v>
                </c:pt>
                <c:pt idx="720">
                  <c:v>0.14402880576115229</c:v>
                </c:pt>
                <c:pt idx="721">
                  <c:v>0.1442288457691539</c:v>
                </c:pt>
                <c:pt idx="722">
                  <c:v>0.14442888577715551</c:v>
                </c:pt>
                <c:pt idx="723">
                  <c:v>0.14462892578515713</c:v>
                </c:pt>
                <c:pt idx="724">
                  <c:v>0.14482896579315874</c:v>
                </c:pt>
                <c:pt idx="725">
                  <c:v>0.14502900580116035</c:v>
                </c:pt>
                <c:pt idx="726">
                  <c:v>0.14522904580916196</c:v>
                </c:pt>
                <c:pt idx="727">
                  <c:v>0.14542908581716357</c:v>
                </c:pt>
                <c:pt idx="728">
                  <c:v>0.14562912582516518</c:v>
                </c:pt>
                <c:pt idx="729">
                  <c:v>0.1458291658331668</c:v>
                </c:pt>
                <c:pt idx="730">
                  <c:v>0.14602920584116841</c:v>
                </c:pt>
                <c:pt idx="731">
                  <c:v>0.14622924584917002</c:v>
                </c:pt>
                <c:pt idx="732">
                  <c:v>0.14642928585717163</c:v>
                </c:pt>
                <c:pt idx="733">
                  <c:v>0.14662932586517324</c:v>
                </c:pt>
                <c:pt idx="734">
                  <c:v>0.14682936587317486</c:v>
                </c:pt>
                <c:pt idx="735">
                  <c:v>0.14702940588117647</c:v>
                </c:pt>
                <c:pt idx="736">
                  <c:v>0.14722944588917808</c:v>
                </c:pt>
                <c:pt idx="737">
                  <c:v>0.14742948589717969</c:v>
                </c:pt>
                <c:pt idx="738">
                  <c:v>0.1476295259051813</c:v>
                </c:pt>
                <c:pt idx="739">
                  <c:v>0.14782956591318291</c:v>
                </c:pt>
                <c:pt idx="740">
                  <c:v>0.14802960592118453</c:v>
                </c:pt>
                <c:pt idx="741">
                  <c:v>0.14822964592918614</c:v>
                </c:pt>
                <c:pt idx="742">
                  <c:v>0.14842968593718775</c:v>
                </c:pt>
                <c:pt idx="743">
                  <c:v>0.14862972594518936</c:v>
                </c:pt>
                <c:pt idx="744">
                  <c:v>0.14882976595319097</c:v>
                </c:pt>
                <c:pt idx="745">
                  <c:v>0.14902980596119259</c:v>
                </c:pt>
                <c:pt idx="746">
                  <c:v>0.1492298459691942</c:v>
                </c:pt>
                <c:pt idx="747">
                  <c:v>0.14942988597719581</c:v>
                </c:pt>
                <c:pt idx="748">
                  <c:v>0.14962992598519742</c:v>
                </c:pt>
                <c:pt idx="749">
                  <c:v>0.14982996599319903</c:v>
                </c:pt>
                <c:pt idx="750">
                  <c:v>0.15003000600120064</c:v>
                </c:pt>
                <c:pt idx="751">
                  <c:v>0.15023004600920226</c:v>
                </c:pt>
                <c:pt idx="752">
                  <c:v>0.15043008601720387</c:v>
                </c:pt>
                <c:pt idx="753">
                  <c:v>0.15063012602520548</c:v>
                </c:pt>
                <c:pt idx="754">
                  <c:v>0.15083016603320709</c:v>
                </c:pt>
                <c:pt idx="755">
                  <c:v>0.1510302060412087</c:v>
                </c:pt>
                <c:pt idx="756">
                  <c:v>0.15123024604921032</c:v>
                </c:pt>
                <c:pt idx="757">
                  <c:v>0.15143028605721193</c:v>
                </c:pt>
                <c:pt idx="758">
                  <c:v>0.15163032606521354</c:v>
                </c:pt>
                <c:pt idx="759">
                  <c:v>0.15183036607321515</c:v>
                </c:pt>
                <c:pt idx="760">
                  <c:v>0.15203040608121676</c:v>
                </c:pt>
                <c:pt idx="761">
                  <c:v>0.15223044608921837</c:v>
                </c:pt>
                <c:pt idx="762">
                  <c:v>0.15243048609721999</c:v>
                </c:pt>
                <c:pt idx="763">
                  <c:v>0.1526305261052216</c:v>
                </c:pt>
                <c:pt idx="764">
                  <c:v>0.15283056611322321</c:v>
                </c:pt>
                <c:pt idx="765">
                  <c:v>0.15303060612122482</c:v>
                </c:pt>
                <c:pt idx="766">
                  <c:v>0.15323064612922643</c:v>
                </c:pt>
                <c:pt idx="767">
                  <c:v>0.15343068613722805</c:v>
                </c:pt>
                <c:pt idx="768">
                  <c:v>0.15363072614522966</c:v>
                </c:pt>
                <c:pt idx="769">
                  <c:v>0.15383076615323127</c:v>
                </c:pt>
                <c:pt idx="770">
                  <c:v>0.15403080616123288</c:v>
                </c:pt>
                <c:pt idx="771">
                  <c:v>0.15423084616923449</c:v>
                </c:pt>
                <c:pt idx="772">
                  <c:v>0.1544308861772361</c:v>
                </c:pt>
                <c:pt idx="773">
                  <c:v>0.15463092618523772</c:v>
                </c:pt>
                <c:pt idx="774">
                  <c:v>0.15483096619323933</c:v>
                </c:pt>
                <c:pt idx="775">
                  <c:v>0.15503100620124094</c:v>
                </c:pt>
                <c:pt idx="776">
                  <c:v>0.15523104620924255</c:v>
                </c:pt>
                <c:pt idx="777">
                  <c:v>0.15543108621724416</c:v>
                </c:pt>
                <c:pt idx="778">
                  <c:v>0.15563112622524577</c:v>
                </c:pt>
                <c:pt idx="779">
                  <c:v>0.15583116623324739</c:v>
                </c:pt>
                <c:pt idx="780">
                  <c:v>0.156031206241249</c:v>
                </c:pt>
                <c:pt idx="781">
                  <c:v>0.15623124624925061</c:v>
                </c:pt>
                <c:pt idx="782">
                  <c:v>0.15643128625725222</c:v>
                </c:pt>
                <c:pt idx="783">
                  <c:v>0.15663132626525383</c:v>
                </c:pt>
                <c:pt idx="784">
                  <c:v>0.15683136627325545</c:v>
                </c:pt>
                <c:pt idx="785">
                  <c:v>0.15703140628125706</c:v>
                </c:pt>
                <c:pt idx="786">
                  <c:v>0.15723144628925867</c:v>
                </c:pt>
                <c:pt idx="787">
                  <c:v>0.15743148629726028</c:v>
                </c:pt>
                <c:pt idx="788">
                  <c:v>0.15763152630526189</c:v>
                </c:pt>
                <c:pt idx="789">
                  <c:v>0.1578315663132635</c:v>
                </c:pt>
                <c:pt idx="790">
                  <c:v>0.15803160632126512</c:v>
                </c:pt>
                <c:pt idx="791">
                  <c:v>0.15823164632926673</c:v>
                </c:pt>
                <c:pt idx="792">
                  <c:v>0.15843168633726834</c:v>
                </c:pt>
                <c:pt idx="793">
                  <c:v>0.15863172634526995</c:v>
                </c:pt>
                <c:pt idx="794">
                  <c:v>0.15883176635327156</c:v>
                </c:pt>
                <c:pt idx="795">
                  <c:v>0.15903180636127318</c:v>
                </c:pt>
                <c:pt idx="796">
                  <c:v>0.15923184636927479</c:v>
                </c:pt>
                <c:pt idx="797">
                  <c:v>0.1594318863772764</c:v>
                </c:pt>
                <c:pt idx="798">
                  <c:v>0.15963192638527801</c:v>
                </c:pt>
                <c:pt idx="799">
                  <c:v>0.15983196639327962</c:v>
                </c:pt>
                <c:pt idx="800">
                  <c:v>0.16003200640128123</c:v>
                </c:pt>
                <c:pt idx="801">
                  <c:v>0.16023204640928285</c:v>
                </c:pt>
                <c:pt idx="802">
                  <c:v>0.16043208641728446</c:v>
                </c:pt>
                <c:pt idx="803">
                  <c:v>0.16063212642528607</c:v>
                </c:pt>
                <c:pt idx="804">
                  <c:v>0.16083216643328768</c:v>
                </c:pt>
                <c:pt idx="805">
                  <c:v>0.16103220644128929</c:v>
                </c:pt>
                <c:pt idx="806">
                  <c:v>0.16123224644929091</c:v>
                </c:pt>
                <c:pt idx="807">
                  <c:v>0.16143228645729252</c:v>
                </c:pt>
                <c:pt idx="808">
                  <c:v>0.16163232646529413</c:v>
                </c:pt>
                <c:pt idx="809">
                  <c:v>0.16183236647329574</c:v>
                </c:pt>
                <c:pt idx="810">
                  <c:v>0.16203240648129735</c:v>
                </c:pt>
                <c:pt idx="811">
                  <c:v>0.16223244648929896</c:v>
                </c:pt>
                <c:pt idx="812">
                  <c:v>0.16243248649730058</c:v>
                </c:pt>
                <c:pt idx="813">
                  <c:v>0.16263252650530219</c:v>
                </c:pt>
                <c:pt idx="814">
                  <c:v>0.1628325665133038</c:v>
                </c:pt>
                <c:pt idx="815">
                  <c:v>0.16303260652130541</c:v>
                </c:pt>
                <c:pt idx="816">
                  <c:v>0.16323264652930702</c:v>
                </c:pt>
                <c:pt idx="817">
                  <c:v>0.16343268653730864</c:v>
                </c:pt>
                <c:pt idx="818">
                  <c:v>0.16363272654531025</c:v>
                </c:pt>
                <c:pt idx="819">
                  <c:v>0.16383276655331186</c:v>
                </c:pt>
                <c:pt idx="820">
                  <c:v>0.16403280656131347</c:v>
                </c:pt>
                <c:pt idx="821">
                  <c:v>0.16423284656931508</c:v>
                </c:pt>
                <c:pt idx="822">
                  <c:v>0.16443288657731669</c:v>
                </c:pt>
                <c:pt idx="823">
                  <c:v>0.16463292658531831</c:v>
                </c:pt>
                <c:pt idx="824">
                  <c:v>0.16483296659331992</c:v>
                </c:pt>
                <c:pt idx="825">
                  <c:v>0.16503300660132153</c:v>
                </c:pt>
                <c:pt idx="826">
                  <c:v>0.16523304660932314</c:v>
                </c:pt>
                <c:pt idx="827">
                  <c:v>0.16543308661732475</c:v>
                </c:pt>
                <c:pt idx="828">
                  <c:v>0.16563312662532637</c:v>
                </c:pt>
                <c:pt idx="829">
                  <c:v>0.16583316663332798</c:v>
                </c:pt>
                <c:pt idx="830">
                  <c:v>0.16603320664132959</c:v>
                </c:pt>
                <c:pt idx="831">
                  <c:v>0.1662332466493312</c:v>
                </c:pt>
                <c:pt idx="832">
                  <c:v>0.16643328665733281</c:v>
                </c:pt>
                <c:pt idx="833">
                  <c:v>0.16663332666533442</c:v>
                </c:pt>
                <c:pt idx="834">
                  <c:v>0.16683336667333604</c:v>
                </c:pt>
                <c:pt idx="835">
                  <c:v>0.16703340668133765</c:v>
                </c:pt>
                <c:pt idx="836">
                  <c:v>0.16723344668933926</c:v>
                </c:pt>
                <c:pt idx="837">
                  <c:v>0.16743348669734087</c:v>
                </c:pt>
                <c:pt idx="838">
                  <c:v>0.16763352670534248</c:v>
                </c:pt>
                <c:pt idx="839">
                  <c:v>0.1678335667133441</c:v>
                </c:pt>
                <c:pt idx="840">
                  <c:v>0.16803360672134571</c:v>
                </c:pt>
                <c:pt idx="841">
                  <c:v>0.16823364672934732</c:v>
                </c:pt>
                <c:pt idx="842">
                  <c:v>0.16843368673734893</c:v>
                </c:pt>
                <c:pt idx="843">
                  <c:v>0.16863372674535054</c:v>
                </c:pt>
                <c:pt idx="844">
                  <c:v>0.16883376675335215</c:v>
                </c:pt>
                <c:pt idx="845">
                  <c:v>0.16903380676135377</c:v>
                </c:pt>
                <c:pt idx="846">
                  <c:v>0.16923384676935538</c:v>
                </c:pt>
                <c:pt idx="847">
                  <c:v>0.16943388677735699</c:v>
                </c:pt>
                <c:pt idx="848">
                  <c:v>0.1696339267853586</c:v>
                </c:pt>
                <c:pt idx="849">
                  <c:v>0.16983396679336021</c:v>
                </c:pt>
                <c:pt idx="850">
                  <c:v>0.17003400680136183</c:v>
                </c:pt>
                <c:pt idx="851">
                  <c:v>0.17023404680936344</c:v>
                </c:pt>
                <c:pt idx="852">
                  <c:v>0.17043408681736505</c:v>
                </c:pt>
                <c:pt idx="853">
                  <c:v>0.17063412682536666</c:v>
                </c:pt>
                <c:pt idx="854">
                  <c:v>0.17083416683336827</c:v>
                </c:pt>
                <c:pt idx="855">
                  <c:v>0.17103420684136988</c:v>
                </c:pt>
                <c:pt idx="856">
                  <c:v>0.1712342468493715</c:v>
                </c:pt>
                <c:pt idx="857">
                  <c:v>0.17143428685737311</c:v>
                </c:pt>
                <c:pt idx="858">
                  <c:v>0.17163432686537472</c:v>
                </c:pt>
                <c:pt idx="859">
                  <c:v>0.17183436687337633</c:v>
                </c:pt>
                <c:pt idx="860">
                  <c:v>0.17203440688137794</c:v>
                </c:pt>
                <c:pt idx="861">
                  <c:v>0.17223444688937956</c:v>
                </c:pt>
                <c:pt idx="862">
                  <c:v>0.17243448689738117</c:v>
                </c:pt>
                <c:pt idx="863">
                  <c:v>0.17263452690538278</c:v>
                </c:pt>
                <c:pt idx="864">
                  <c:v>0.17283456691338439</c:v>
                </c:pt>
                <c:pt idx="865">
                  <c:v>0.173034606921386</c:v>
                </c:pt>
                <c:pt idx="866">
                  <c:v>0.17323464692938761</c:v>
                </c:pt>
                <c:pt idx="867">
                  <c:v>0.17343468693738923</c:v>
                </c:pt>
                <c:pt idx="868">
                  <c:v>0.17363472694539084</c:v>
                </c:pt>
                <c:pt idx="869">
                  <c:v>0.17383476695339245</c:v>
                </c:pt>
                <c:pt idx="870">
                  <c:v>0.17403480696139406</c:v>
                </c:pt>
                <c:pt idx="871">
                  <c:v>0.17423484696939567</c:v>
                </c:pt>
                <c:pt idx="872">
                  <c:v>0.17443488697739729</c:v>
                </c:pt>
                <c:pt idx="873">
                  <c:v>0.1746349269853989</c:v>
                </c:pt>
                <c:pt idx="874">
                  <c:v>0.17483496699340051</c:v>
                </c:pt>
                <c:pt idx="875">
                  <c:v>0.17503500700140212</c:v>
                </c:pt>
                <c:pt idx="876">
                  <c:v>0.17523504700940373</c:v>
                </c:pt>
                <c:pt idx="877">
                  <c:v>0.17543508701740534</c:v>
                </c:pt>
                <c:pt idx="878">
                  <c:v>0.17563512702540696</c:v>
                </c:pt>
                <c:pt idx="879">
                  <c:v>0.17583516703340857</c:v>
                </c:pt>
                <c:pt idx="880">
                  <c:v>0.17603520704141018</c:v>
                </c:pt>
                <c:pt idx="881">
                  <c:v>0.17623524704941179</c:v>
                </c:pt>
                <c:pt idx="882">
                  <c:v>0.1764352870574134</c:v>
                </c:pt>
                <c:pt idx="883">
                  <c:v>0.17663532706541502</c:v>
                </c:pt>
                <c:pt idx="884">
                  <c:v>0.17683536707341663</c:v>
                </c:pt>
                <c:pt idx="885">
                  <c:v>0.17703540708141824</c:v>
                </c:pt>
                <c:pt idx="886">
                  <c:v>0.17723544708941985</c:v>
                </c:pt>
                <c:pt idx="887">
                  <c:v>0.17743548709742146</c:v>
                </c:pt>
                <c:pt idx="888">
                  <c:v>0.17763552710542307</c:v>
                </c:pt>
                <c:pt idx="889">
                  <c:v>0.17783556711342469</c:v>
                </c:pt>
                <c:pt idx="890">
                  <c:v>0.1780356071214263</c:v>
                </c:pt>
                <c:pt idx="891">
                  <c:v>0.17823564712942791</c:v>
                </c:pt>
                <c:pt idx="892">
                  <c:v>0.17843568713742952</c:v>
                </c:pt>
                <c:pt idx="893">
                  <c:v>0.17863572714543113</c:v>
                </c:pt>
                <c:pt idx="894">
                  <c:v>0.17883576715343275</c:v>
                </c:pt>
                <c:pt idx="895">
                  <c:v>0.17903580716143436</c:v>
                </c:pt>
                <c:pt idx="896">
                  <c:v>0.17923584716943597</c:v>
                </c:pt>
                <c:pt idx="897">
                  <c:v>0.17943588717743758</c:v>
                </c:pt>
                <c:pt idx="898">
                  <c:v>0.17963592718543919</c:v>
                </c:pt>
                <c:pt idx="899">
                  <c:v>0.1798359671934408</c:v>
                </c:pt>
                <c:pt idx="900">
                  <c:v>0.18003600720144242</c:v>
                </c:pt>
                <c:pt idx="901">
                  <c:v>0.18023604720944403</c:v>
                </c:pt>
                <c:pt idx="902">
                  <c:v>0.18043608721744564</c:v>
                </c:pt>
                <c:pt idx="903">
                  <c:v>0.18063612722544725</c:v>
                </c:pt>
                <c:pt idx="904">
                  <c:v>0.18083616723344886</c:v>
                </c:pt>
                <c:pt idx="905">
                  <c:v>0.18103620724145048</c:v>
                </c:pt>
                <c:pt idx="906">
                  <c:v>0.18123624724945209</c:v>
                </c:pt>
                <c:pt idx="907">
                  <c:v>0.1814362872574537</c:v>
                </c:pt>
                <c:pt idx="908">
                  <c:v>0.18163632726545531</c:v>
                </c:pt>
                <c:pt idx="909">
                  <c:v>0.18183636727345692</c:v>
                </c:pt>
                <c:pt idx="910">
                  <c:v>0.18203640728145853</c:v>
                </c:pt>
                <c:pt idx="911">
                  <c:v>0.18223644728946015</c:v>
                </c:pt>
                <c:pt idx="912">
                  <c:v>0.18243648729746176</c:v>
                </c:pt>
                <c:pt idx="913">
                  <c:v>0.18263652730546337</c:v>
                </c:pt>
                <c:pt idx="914">
                  <c:v>0.18283656731346498</c:v>
                </c:pt>
                <c:pt idx="915">
                  <c:v>0.18303660732146659</c:v>
                </c:pt>
                <c:pt idx="916">
                  <c:v>0.18323664732946821</c:v>
                </c:pt>
                <c:pt idx="917">
                  <c:v>0.18343668733746982</c:v>
                </c:pt>
                <c:pt idx="918">
                  <c:v>0.18363672734547143</c:v>
                </c:pt>
                <c:pt idx="919">
                  <c:v>0.18383676735347304</c:v>
                </c:pt>
                <c:pt idx="920">
                  <c:v>0.18403680736147465</c:v>
                </c:pt>
                <c:pt idx="921">
                  <c:v>0.18423684736947626</c:v>
                </c:pt>
                <c:pt idx="922">
                  <c:v>0.18443688737747788</c:v>
                </c:pt>
                <c:pt idx="923">
                  <c:v>0.18463692738547949</c:v>
                </c:pt>
                <c:pt idx="924">
                  <c:v>0.1848369673934811</c:v>
                </c:pt>
                <c:pt idx="925">
                  <c:v>0.18503700740148271</c:v>
                </c:pt>
                <c:pt idx="926">
                  <c:v>0.18523704740948432</c:v>
                </c:pt>
                <c:pt idx="927">
                  <c:v>0.18543708741748594</c:v>
                </c:pt>
                <c:pt idx="928">
                  <c:v>0.18563712742548755</c:v>
                </c:pt>
                <c:pt idx="929">
                  <c:v>0.18583716743348916</c:v>
                </c:pt>
                <c:pt idx="930">
                  <c:v>0.18603720744149077</c:v>
                </c:pt>
                <c:pt idx="931">
                  <c:v>0.18623724744949238</c:v>
                </c:pt>
                <c:pt idx="932">
                  <c:v>0.18643728745749399</c:v>
                </c:pt>
                <c:pt idx="933">
                  <c:v>0.18663732746549561</c:v>
                </c:pt>
                <c:pt idx="934">
                  <c:v>0.18683736747349722</c:v>
                </c:pt>
                <c:pt idx="935">
                  <c:v>0.18703740748149883</c:v>
                </c:pt>
                <c:pt idx="936">
                  <c:v>0.18723744748950044</c:v>
                </c:pt>
                <c:pt idx="937">
                  <c:v>0.18743748749750205</c:v>
                </c:pt>
                <c:pt idx="938">
                  <c:v>0.18763752750550367</c:v>
                </c:pt>
                <c:pt idx="939">
                  <c:v>0.18783756751350528</c:v>
                </c:pt>
                <c:pt idx="940">
                  <c:v>0.18803760752150689</c:v>
                </c:pt>
                <c:pt idx="941">
                  <c:v>0.1882376475295085</c:v>
                </c:pt>
                <c:pt idx="942">
                  <c:v>0.18843768753751011</c:v>
                </c:pt>
                <c:pt idx="943">
                  <c:v>0.18863772754551172</c:v>
                </c:pt>
                <c:pt idx="944">
                  <c:v>0.18883776755351334</c:v>
                </c:pt>
                <c:pt idx="945">
                  <c:v>0.18903780756151495</c:v>
                </c:pt>
                <c:pt idx="946">
                  <c:v>0.18923784756951656</c:v>
                </c:pt>
                <c:pt idx="947">
                  <c:v>0.18943788757751817</c:v>
                </c:pt>
                <c:pt idx="948">
                  <c:v>0.18963792758551978</c:v>
                </c:pt>
                <c:pt idx="949">
                  <c:v>0.1898379675935214</c:v>
                </c:pt>
                <c:pt idx="950">
                  <c:v>0.19003800760152301</c:v>
                </c:pt>
                <c:pt idx="951">
                  <c:v>0.19023804760952462</c:v>
                </c:pt>
                <c:pt idx="952">
                  <c:v>0.19043808761752623</c:v>
                </c:pt>
                <c:pt idx="953">
                  <c:v>0.19063812762552784</c:v>
                </c:pt>
                <c:pt idx="954">
                  <c:v>0.19083816763352945</c:v>
                </c:pt>
                <c:pt idx="955">
                  <c:v>0.19103820764153107</c:v>
                </c:pt>
                <c:pt idx="956">
                  <c:v>0.19123824764953268</c:v>
                </c:pt>
                <c:pt idx="957">
                  <c:v>0.19143828765753429</c:v>
                </c:pt>
                <c:pt idx="958">
                  <c:v>0.1916383276655359</c:v>
                </c:pt>
                <c:pt idx="959">
                  <c:v>0.19183836767353751</c:v>
                </c:pt>
                <c:pt idx="960">
                  <c:v>0.19203840768153912</c:v>
                </c:pt>
                <c:pt idx="961">
                  <c:v>0.19223844768954074</c:v>
                </c:pt>
                <c:pt idx="962">
                  <c:v>0.19243848769754235</c:v>
                </c:pt>
                <c:pt idx="963">
                  <c:v>0.19263852770554396</c:v>
                </c:pt>
                <c:pt idx="964">
                  <c:v>0.19283856771354557</c:v>
                </c:pt>
                <c:pt idx="965">
                  <c:v>0.19303860772154718</c:v>
                </c:pt>
                <c:pt idx="966">
                  <c:v>0.1932386477295488</c:v>
                </c:pt>
                <c:pt idx="967">
                  <c:v>0.19343868773755041</c:v>
                </c:pt>
                <c:pt idx="968">
                  <c:v>0.19363872774555202</c:v>
                </c:pt>
                <c:pt idx="969">
                  <c:v>0.19383876775355363</c:v>
                </c:pt>
                <c:pt idx="970">
                  <c:v>0.19403880776155524</c:v>
                </c:pt>
                <c:pt idx="971">
                  <c:v>0.19423884776955685</c:v>
                </c:pt>
                <c:pt idx="972">
                  <c:v>0.19443888777755847</c:v>
                </c:pt>
                <c:pt idx="973">
                  <c:v>0.19463892778556008</c:v>
                </c:pt>
                <c:pt idx="974">
                  <c:v>0.19483896779356169</c:v>
                </c:pt>
                <c:pt idx="975">
                  <c:v>0.1950390078015633</c:v>
                </c:pt>
                <c:pt idx="976">
                  <c:v>0.19523904780956491</c:v>
                </c:pt>
                <c:pt idx="977">
                  <c:v>0.19543908781756653</c:v>
                </c:pt>
                <c:pt idx="978">
                  <c:v>0.19563912782556814</c:v>
                </c:pt>
                <c:pt idx="979">
                  <c:v>0.19583916783356975</c:v>
                </c:pt>
                <c:pt idx="980">
                  <c:v>0.19603920784157136</c:v>
                </c:pt>
                <c:pt idx="981">
                  <c:v>0.19623924784957297</c:v>
                </c:pt>
                <c:pt idx="982">
                  <c:v>0.19643928785757458</c:v>
                </c:pt>
                <c:pt idx="983">
                  <c:v>0.1966393278655762</c:v>
                </c:pt>
                <c:pt idx="984">
                  <c:v>0.19683936787357781</c:v>
                </c:pt>
                <c:pt idx="985">
                  <c:v>0.19703940788157942</c:v>
                </c:pt>
                <c:pt idx="986">
                  <c:v>0.19723944788958103</c:v>
                </c:pt>
                <c:pt idx="987">
                  <c:v>0.19743948789758264</c:v>
                </c:pt>
                <c:pt idx="988">
                  <c:v>0.19763952790558426</c:v>
                </c:pt>
                <c:pt idx="989">
                  <c:v>0.19783956791358587</c:v>
                </c:pt>
                <c:pt idx="990">
                  <c:v>0.19803960792158748</c:v>
                </c:pt>
                <c:pt idx="991">
                  <c:v>0.19823964792958909</c:v>
                </c:pt>
                <c:pt idx="992">
                  <c:v>0.1984396879375907</c:v>
                </c:pt>
                <c:pt idx="993">
                  <c:v>0.19863972794559231</c:v>
                </c:pt>
                <c:pt idx="994">
                  <c:v>0.19883976795359393</c:v>
                </c:pt>
                <c:pt idx="995">
                  <c:v>0.19903980796159554</c:v>
                </c:pt>
                <c:pt idx="996">
                  <c:v>0.19923984796959715</c:v>
                </c:pt>
                <c:pt idx="997">
                  <c:v>0.19943988797759876</c:v>
                </c:pt>
                <c:pt idx="998">
                  <c:v>0.19963992798560037</c:v>
                </c:pt>
                <c:pt idx="999">
                  <c:v>0.19983996799360199</c:v>
                </c:pt>
                <c:pt idx="1000">
                  <c:v>0.2000400080016036</c:v>
                </c:pt>
                <c:pt idx="1001">
                  <c:v>0.20024004800960521</c:v>
                </c:pt>
                <c:pt idx="1002">
                  <c:v>0.20044008801760682</c:v>
                </c:pt>
                <c:pt idx="1003">
                  <c:v>0.20064012802560843</c:v>
                </c:pt>
                <c:pt idx="1004">
                  <c:v>0.20084016803361004</c:v>
                </c:pt>
                <c:pt idx="1005">
                  <c:v>0.20104020804161166</c:v>
                </c:pt>
                <c:pt idx="1006">
                  <c:v>0.20124024804961327</c:v>
                </c:pt>
                <c:pt idx="1007">
                  <c:v>0.20144028805761488</c:v>
                </c:pt>
                <c:pt idx="1008">
                  <c:v>0.20164032806561649</c:v>
                </c:pt>
                <c:pt idx="1009">
                  <c:v>0.2018403680736181</c:v>
                </c:pt>
                <c:pt idx="1010">
                  <c:v>0.20204040808161972</c:v>
                </c:pt>
                <c:pt idx="1011">
                  <c:v>0.20224044808962133</c:v>
                </c:pt>
                <c:pt idx="1012">
                  <c:v>0.20244048809762294</c:v>
                </c:pt>
                <c:pt idx="1013">
                  <c:v>0.20264052810562455</c:v>
                </c:pt>
                <c:pt idx="1014">
                  <c:v>0.20284056811362616</c:v>
                </c:pt>
                <c:pt idx="1015">
                  <c:v>0.20304060812162777</c:v>
                </c:pt>
                <c:pt idx="1016">
                  <c:v>0.20324064812962939</c:v>
                </c:pt>
                <c:pt idx="1017">
                  <c:v>0.203440688137631</c:v>
                </c:pt>
                <c:pt idx="1018">
                  <c:v>0.20364072814563261</c:v>
                </c:pt>
                <c:pt idx="1019">
                  <c:v>0.20384076815363422</c:v>
                </c:pt>
                <c:pt idx="1020">
                  <c:v>0.20404080816163583</c:v>
                </c:pt>
                <c:pt idx="1021">
                  <c:v>0.20424084816963745</c:v>
                </c:pt>
                <c:pt idx="1022">
                  <c:v>0.20444088817763906</c:v>
                </c:pt>
                <c:pt idx="1023">
                  <c:v>0.20464092818564067</c:v>
                </c:pt>
                <c:pt idx="1024">
                  <c:v>0.20484096819364228</c:v>
                </c:pt>
                <c:pt idx="1025">
                  <c:v>0.20504100820164389</c:v>
                </c:pt>
                <c:pt idx="1026">
                  <c:v>0.2052410482096455</c:v>
                </c:pt>
                <c:pt idx="1027">
                  <c:v>0.20544108821764712</c:v>
                </c:pt>
                <c:pt idx="1028">
                  <c:v>0.20564112822564873</c:v>
                </c:pt>
                <c:pt idx="1029">
                  <c:v>0.20584116823365034</c:v>
                </c:pt>
                <c:pt idx="1030">
                  <c:v>0.20604120824165195</c:v>
                </c:pt>
                <c:pt idx="1031">
                  <c:v>0.20624124824965356</c:v>
                </c:pt>
                <c:pt idx="1032">
                  <c:v>0.20644128825765518</c:v>
                </c:pt>
                <c:pt idx="1033">
                  <c:v>0.20664132826565679</c:v>
                </c:pt>
                <c:pt idx="1034">
                  <c:v>0.2068413682736584</c:v>
                </c:pt>
                <c:pt idx="1035">
                  <c:v>0.20704140828166001</c:v>
                </c:pt>
                <c:pt idx="1036">
                  <c:v>0.20724144828966162</c:v>
                </c:pt>
                <c:pt idx="1037">
                  <c:v>0.20744148829766323</c:v>
                </c:pt>
                <c:pt idx="1038">
                  <c:v>0.20764152830566485</c:v>
                </c:pt>
                <c:pt idx="1039">
                  <c:v>0.20784156831366646</c:v>
                </c:pt>
                <c:pt idx="1040">
                  <c:v>0.20804160832166807</c:v>
                </c:pt>
                <c:pt idx="1041">
                  <c:v>0.20824164832966968</c:v>
                </c:pt>
                <c:pt idx="1042">
                  <c:v>0.20844168833767129</c:v>
                </c:pt>
                <c:pt idx="1043">
                  <c:v>0.20864172834567291</c:v>
                </c:pt>
                <c:pt idx="1044">
                  <c:v>0.20884176835367452</c:v>
                </c:pt>
                <c:pt idx="1045">
                  <c:v>0.20904180836167613</c:v>
                </c:pt>
                <c:pt idx="1046">
                  <c:v>0.20924184836967774</c:v>
                </c:pt>
                <c:pt idx="1047">
                  <c:v>0.20944188837767935</c:v>
                </c:pt>
                <c:pt idx="1048">
                  <c:v>0.20964192838568096</c:v>
                </c:pt>
                <c:pt idx="1049">
                  <c:v>0.20984196839368258</c:v>
                </c:pt>
                <c:pt idx="1050">
                  <c:v>0.21004200840168419</c:v>
                </c:pt>
                <c:pt idx="1051">
                  <c:v>0.2102420484096858</c:v>
                </c:pt>
                <c:pt idx="1052">
                  <c:v>0.21044208841768741</c:v>
                </c:pt>
                <c:pt idx="1053">
                  <c:v>0.21064212842568902</c:v>
                </c:pt>
                <c:pt idx="1054">
                  <c:v>0.21084216843369064</c:v>
                </c:pt>
                <c:pt idx="1055">
                  <c:v>0.21104220844169225</c:v>
                </c:pt>
                <c:pt idx="1056">
                  <c:v>0.21124224844969386</c:v>
                </c:pt>
                <c:pt idx="1057">
                  <c:v>0.21144228845769547</c:v>
                </c:pt>
                <c:pt idx="1058">
                  <c:v>0.21164232846569708</c:v>
                </c:pt>
                <c:pt idx="1059">
                  <c:v>0.21184236847369869</c:v>
                </c:pt>
                <c:pt idx="1060">
                  <c:v>0.21204240848170031</c:v>
                </c:pt>
                <c:pt idx="1061">
                  <c:v>0.21224244848970192</c:v>
                </c:pt>
                <c:pt idx="1062">
                  <c:v>0.21244248849770353</c:v>
                </c:pt>
                <c:pt idx="1063">
                  <c:v>0.21264252850570514</c:v>
                </c:pt>
                <c:pt idx="1064">
                  <c:v>0.21284256851370675</c:v>
                </c:pt>
                <c:pt idx="1065">
                  <c:v>0.21304260852170837</c:v>
                </c:pt>
                <c:pt idx="1066">
                  <c:v>0.21324264852970998</c:v>
                </c:pt>
                <c:pt idx="1067">
                  <c:v>0.21344268853771159</c:v>
                </c:pt>
                <c:pt idx="1068">
                  <c:v>0.2136427285457132</c:v>
                </c:pt>
                <c:pt idx="1069">
                  <c:v>0.21384276855371481</c:v>
                </c:pt>
                <c:pt idx="1070">
                  <c:v>0.21404280856171642</c:v>
                </c:pt>
                <c:pt idx="1071">
                  <c:v>0.21424284856971804</c:v>
                </c:pt>
                <c:pt idx="1072">
                  <c:v>0.21444288857771965</c:v>
                </c:pt>
                <c:pt idx="1073">
                  <c:v>0.21464292858572126</c:v>
                </c:pt>
                <c:pt idx="1074">
                  <c:v>0.21484296859372287</c:v>
                </c:pt>
                <c:pt idx="1075">
                  <c:v>0.21504300860172448</c:v>
                </c:pt>
                <c:pt idx="1076">
                  <c:v>0.2152430486097261</c:v>
                </c:pt>
                <c:pt idx="1077">
                  <c:v>0.21544308861772771</c:v>
                </c:pt>
                <c:pt idx="1078">
                  <c:v>0.21564312862572932</c:v>
                </c:pt>
                <c:pt idx="1079">
                  <c:v>0.21584316863373093</c:v>
                </c:pt>
                <c:pt idx="1080">
                  <c:v>0.21604320864173254</c:v>
                </c:pt>
                <c:pt idx="1081">
                  <c:v>0.21624324864973415</c:v>
                </c:pt>
                <c:pt idx="1082">
                  <c:v>0.21644328865773577</c:v>
                </c:pt>
                <c:pt idx="1083">
                  <c:v>0.21664332866573738</c:v>
                </c:pt>
                <c:pt idx="1084">
                  <c:v>0.21684336867373899</c:v>
                </c:pt>
                <c:pt idx="1085">
                  <c:v>0.2170434086817406</c:v>
                </c:pt>
                <c:pt idx="1086">
                  <c:v>0.21724344868974221</c:v>
                </c:pt>
                <c:pt idx="1087">
                  <c:v>0.21744348869774383</c:v>
                </c:pt>
                <c:pt idx="1088">
                  <c:v>0.21764352870574544</c:v>
                </c:pt>
                <c:pt idx="1089">
                  <c:v>0.21784356871374705</c:v>
                </c:pt>
                <c:pt idx="1090">
                  <c:v>0.21804360872174866</c:v>
                </c:pt>
                <c:pt idx="1091">
                  <c:v>0.21824364872975027</c:v>
                </c:pt>
                <c:pt idx="1092">
                  <c:v>0.21844368873775188</c:v>
                </c:pt>
                <c:pt idx="1093">
                  <c:v>0.2186437287457535</c:v>
                </c:pt>
                <c:pt idx="1094">
                  <c:v>0.21884376875375511</c:v>
                </c:pt>
                <c:pt idx="1095">
                  <c:v>0.21904380876175672</c:v>
                </c:pt>
                <c:pt idx="1096">
                  <c:v>0.21924384876975833</c:v>
                </c:pt>
                <c:pt idx="1097">
                  <c:v>0.21944388877775994</c:v>
                </c:pt>
                <c:pt idx="1098">
                  <c:v>0.21964392878576156</c:v>
                </c:pt>
                <c:pt idx="1099">
                  <c:v>0.21984396879376317</c:v>
                </c:pt>
                <c:pt idx="1100">
                  <c:v>0.22004400880176478</c:v>
                </c:pt>
                <c:pt idx="1101">
                  <c:v>0.22024404880976639</c:v>
                </c:pt>
                <c:pt idx="1102">
                  <c:v>0.220444088817768</c:v>
                </c:pt>
                <c:pt idx="1103">
                  <c:v>0.22064412882576961</c:v>
                </c:pt>
                <c:pt idx="1104">
                  <c:v>0.22084416883377123</c:v>
                </c:pt>
                <c:pt idx="1105">
                  <c:v>0.22104420884177284</c:v>
                </c:pt>
                <c:pt idx="1106">
                  <c:v>0.22124424884977445</c:v>
                </c:pt>
                <c:pt idx="1107">
                  <c:v>0.22144428885777606</c:v>
                </c:pt>
                <c:pt idx="1108">
                  <c:v>0.22164432886577767</c:v>
                </c:pt>
                <c:pt idx="1109">
                  <c:v>0.22184436887377929</c:v>
                </c:pt>
                <c:pt idx="1110">
                  <c:v>0.2220444088817809</c:v>
                </c:pt>
                <c:pt idx="1111">
                  <c:v>0.22224444888978251</c:v>
                </c:pt>
                <c:pt idx="1112">
                  <c:v>0.22244448889778412</c:v>
                </c:pt>
                <c:pt idx="1113">
                  <c:v>0.22264452890578573</c:v>
                </c:pt>
                <c:pt idx="1114">
                  <c:v>0.22284456891378734</c:v>
                </c:pt>
                <c:pt idx="1115">
                  <c:v>0.22304460892178896</c:v>
                </c:pt>
                <c:pt idx="1116">
                  <c:v>0.22324464892979057</c:v>
                </c:pt>
                <c:pt idx="1117">
                  <c:v>0.22344468893779218</c:v>
                </c:pt>
                <c:pt idx="1118">
                  <c:v>0.22364472894579379</c:v>
                </c:pt>
                <c:pt idx="1119">
                  <c:v>0.2238447689537954</c:v>
                </c:pt>
                <c:pt idx="1120">
                  <c:v>0.22404480896179702</c:v>
                </c:pt>
                <c:pt idx="1121">
                  <c:v>0.22424484896979863</c:v>
                </c:pt>
                <c:pt idx="1122">
                  <c:v>0.22444488897780024</c:v>
                </c:pt>
                <c:pt idx="1123">
                  <c:v>0.22464492898580185</c:v>
                </c:pt>
                <c:pt idx="1124">
                  <c:v>0.22484496899380346</c:v>
                </c:pt>
                <c:pt idx="1125">
                  <c:v>0.22504500900180507</c:v>
                </c:pt>
                <c:pt idx="1126">
                  <c:v>0.22524504900980669</c:v>
                </c:pt>
                <c:pt idx="1127">
                  <c:v>0.2254450890178083</c:v>
                </c:pt>
                <c:pt idx="1128">
                  <c:v>0.22564512902580991</c:v>
                </c:pt>
                <c:pt idx="1129">
                  <c:v>0.22584516903381152</c:v>
                </c:pt>
                <c:pt idx="1130">
                  <c:v>0.22604520904181313</c:v>
                </c:pt>
                <c:pt idx="1131">
                  <c:v>0.22624524904981475</c:v>
                </c:pt>
                <c:pt idx="1132">
                  <c:v>0.22644528905781636</c:v>
                </c:pt>
                <c:pt idx="1133">
                  <c:v>0.22664532906581797</c:v>
                </c:pt>
                <c:pt idx="1134">
                  <c:v>0.22684536907381958</c:v>
                </c:pt>
                <c:pt idx="1135">
                  <c:v>0.22704540908182119</c:v>
                </c:pt>
                <c:pt idx="1136">
                  <c:v>0.2272454490898228</c:v>
                </c:pt>
                <c:pt idx="1137">
                  <c:v>0.22744548909782442</c:v>
                </c:pt>
                <c:pt idx="1138">
                  <c:v>0.22764552910582603</c:v>
                </c:pt>
                <c:pt idx="1139">
                  <c:v>0.22784556911382764</c:v>
                </c:pt>
                <c:pt idx="1140">
                  <c:v>0.22804560912182925</c:v>
                </c:pt>
                <c:pt idx="1141">
                  <c:v>0.22824564912983086</c:v>
                </c:pt>
                <c:pt idx="1142">
                  <c:v>0.22844568913783247</c:v>
                </c:pt>
                <c:pt idx="1143">
                  <c:v>0.22864572914583409</c:v>
                </c:pt>
                <c:pt idx="1144">
                  <c:v>0.2288457691538357</c:v>
                </c:pt>
                <c:pt idx="1145">
                  <c:v>0.22904580916183731</c:v>
                </c:pt>
                <c:pt idx="1146">
                  <c:v>0.22924584916983892</c:v>
                </c:pt>
                <c:pt idx="1147">
                  <c:v>0.22944588917784053</c:v>
                </c:pt>
                <c:pt idx="1148">
                  <c:v>0.22964592918584215</c:v>
                </c:pt>
                <c:pt idx="1149">
                  <c:v>0.22984596919384376</c:v>
                </c:pt>
                <c:pt idx="1150">
                  <c:v>0.23004600920184537</c:v>
                </c:pt>
                <c:pt idx="1151">
                  <c:v>0.23024604920984698</c:v>
                </c:pt>
                <c:pt idx="1152">
                  <c:v>0.23044608921784859</c:v>
                </c:pt>
                <c:pt idx="1153">
                  <c:v>0.2306461292258502</c:v>
                </c:pt>
                <c:pt idx="1154">
                  <c:v>0.23084616923385182</c:v>
                </c:pt>
                <c:pt idx="1155">
                  <c:v>0.23104620924185343</c:v>
                </c:pt>
                <c:pt idx="1156">
                  <c:v>0.23124624924985504</c:v>
                </c:pt>
                <c:pt idx="1157">
                  <c:v>0.23144628925785665</c:v>
                </c:pt>
                <c:pt idx="1158">
                  <c:v>0.23164632926585826</c:v>
                </c:pt>
                <c:pt idx="1159">
                  <c:v>0.23184636927385988</c:v>
                </c:pt>
                <c:pt idx="1160">
                  <c:v>0.23204640928186149</c:v>
                </c:pt>
                <c:pt idx="1161">
                  <c:v>0.2322464492898631</c:v>
                </c:pt>
                <c:pt idx="1162">
                  <c:v>0.23244648929786471</c:v>
                </c:pt>
                <c:pt idx="1163">
                  <c:v>0.23264652930586632</c:v>
                </c:pt>
                <c:pt idx="1164">
                  <c:v>0.23284656931386793</c:v>
                </c:pt>
                <c:pt idx="1165">
                  <c:v>0.23304660932186955</c:v>
                </c:pt>
                <c:pt idx="1166">
                  <c:v>0.23324664932987116</c:v>
                </c:pt>
                <c:pt idx="1167">
                  <c:v>0.23344668933787277</c:v>
                </c:pt>
                <c:pt idx="1168">
                  <c:v>0.23364672934587438</c:v>
                </c:pt>
                <c:pt idx="1169">
                  <c:v>0.23384676935387599</c:v>
                </c:pt>
                <c:pt idx="1170">
                  <c:v>0.23404680936187761</c:v>
                </c:pt>
                <c:pt idx="1171">
                  <c:v>0.23424684936987922</c:v>
                </c:pt>
                <c:pt idx="1172">
                  <c:v>0.23444688937788083</c:v>
                </c:pt>
                <c:pt idx="1173">
                  <c:v>0.23464692938588244</c:v>
                </c:pt>
                <c:pt idx="1174">
                  <c:v>0.23484696939388405</c:v>
                </c:pt>
                <c:pt idx="1175">
                  <c:v>0.23504700940188566</c:v>
                </c:pt>
                <c:pt idx="1176">
                  <c:v>0.23524704940988728</c:v>
                </c:pt>
                <c:pt idx="1177">
                  <c:v>0.23544708941788889</c:v>
                </c:pt>
                <c:pt idx="1178">
                  <c:v>0.2356471294258905</c:v>
                </c:pt>
                <c:pt idx="1179">
                  <c:v>0.23584716943389211</c:v>
                </c:pt>
                <c:pt idx="1180">
                  <c:v>0.23604720944189372</c:v>
                </c:pt>
                <c:pt idx="1181">
                  <c:v>0.23624724944989534</c:v>
                </c:pt>
                <c:pt idx="1182">
                  <c:v>0.23644728945789695</c:v>
                </c:pt>
                <c:pt idx="1183">
                  <c:v>0.23664732946589856</c:v>
                </c:pt>
                <c:pt idx="1184">
                  <c:v>0.23684736947390017</c:v>
                </c:pt>
                <c:pt idx="1185">
                  <c:v>0.23704740948190178</c:v>
                </c:pt>
                <c:pt idx="1186">
                  <c:v>0.23724744948990339</c:v>
                </c:pt>
                <c:pt idx="1187">
                  <c:v>0.23744748949790501</c:v>
                </c:pt>
                <c:pt idx="1188">
                  <c:v>0.23764752950590662</c:v>
                </c:pt>
                <c:pt idx="1189">
                  <c:v>0.23784756951390823</c:v>
                </c:pt>
                <c:pt idx="1190">
                  <c:v>0.23804760952190984</c:v>
                </c:pt>
                <c:pt idx="1191">
                  <c:v>0.23824764952991145</c:v>
                </c:pt>
                <c:pt idx="1192">
                  <c:v>0.23844768953791307</c:v>
                </c:pt>
                <c:pt idx="1193">
                  <c:v>0.23864772954591468</c:v>
                </c:pt>
                <c:pt idx="1194">
                  <c:v>0.23884776955391629</c:v>
                </c:pt>
                <c:pt idx="1195">
                  <c:v>0.2390478095619179</c:v>
                </c:pt>
                <c:pt idx="1196">
                  <c:v>0.23924784956991951</c:v>
                </c:pt>
                <c:pt idx="1197">
                  <c:v>0.23944788957792112</c:v>
                </c:pt>
                <c:pt idx="1198">
                  <c:v>0.23964792958592274</c:v>
                </c:pt>
                <c:pt idx="1199">
                  <c:v>0.23984796959392435</c:v>
                </c:pt>
                <c:pt idx="1200">
                  <c:v>0.24004800960192596</c:v>
                </c:pt>
                <c:pt idx="1201">
                  <c:v>0.24024804960992757</c:v>
                </c:pt>
                <c:pt idx="1202">
                  <c:v>0.24044808961792918</c:v>
                </c:pt>
                <c:pt idx="1203">
                  <c:v>0.2406481296259308</c:v>
                </c:pt>
                <c:pt idx="1204">
                  <c:v>0.24084816963393241</c:v>
                </c:pt>
                <c:pt idx="1205">
                  <c:v>0.24104820964193402</c:v>
                </c:pt>
                <c:pt idx="1206">
                  <c:v>0.24124824964993563</c:v>
                </c:pt>
                <c:pt idx="1207">
                  <c:v>0.24144828965793724</c:v>
                </c:pt>
                <c:pt idx="1208">
                  <c:v>0.24164832966593885</c:v>
                </c:pt>
                <c:pt idx="1209">
                  <c:v>0.24184836967394047</c:v>
                </c:pt>
                <c:pt idx="1210">
                  <c:v>0.24204840968194208</c:v>
                </c:pt>
                <c:pt idx="1211">
                  <c:v>0.24224844968994369</c:v>
                </c:pt>
                <c:pt idx="1212">
                  <c:v>0.2424484896979453</c:v>
                </c:pt>
                <c:pt idx="1213">
                  <c:v>0.24264852970594691</c:v>
                </c:pt>
                <c:pt idx="1214">
                  <c:v>0.24284856971394853</c:v>
                </c:pt>
                <c:pt idx="1215">
                  <c:v>0.24304860972195014</c:v>
                </c:pt>
                <c:pt idx="1216">
                  <c:v>0.24324864972995175</c:v>
                </c:pt>
                <c:pt idx="1217">
                  <c:v>0.24344868973795336</c:v>
                </c:pt>
                <c:pt idx="1218">
                  <c:v>0.24364872974595497</c:v>
                </c:pt>
                <c:pt idx="1219">
                  <c:v>0.24384876975395658</c:v>
                </c:pt>
                <c:pt idx="1220">
                  <c:v>0.2440488097619582</c:v>
                </c:pt>
                <c:pt idx="1221">
                  <c:v>0.24424884976995981</c:v>
                </c:pt>
                <c:pt idx="1222">
                  <c:v>0.24444888977796142</c:v>
                </c:pt>
                <c:pt idx="1223">
                  <c:v>0.24464892978596303</c:v>
                </c:pt>
                <c:pt idx="1224">
                  <c:v>0.24484896979396464</c:v>
                </c:pt>
                <c:pt idx="1225">
                  <c:v>0.24504900980196626</c:v>
                </c:pt>
                <c:pt idx="1226">
                  <c:v>0.24524904980996787</c:v>
                </c:pt>
                <c:pt idx="1227">
                  <c:v>0.24544908981796948</c:v>
                </c:pt>
                <c:pt idx="1228">
                  <c:v>0.24564912982597109</c:v>
                </c:pt>
                <c:pt idx="1229">
                  <c:v>0.2458491698339727</c:v>
                </c:pt>
                <c:pt idx="1230">
                  <c:v>0.24604920984197431</c:v>
                </c:pt>
                <c:pt idx="1231">
                  <c:v>0.24624924984997593</c:v>
                </c:pt>
                <c:pt idx="1232">
                  <c:v>0.24644928985797754</c:v>
                </c:pt>
                <c:pt idx="1233">
                  <c:v>0.24664932986597915</c:v>
                </c:pt>
                <c:pt idx="1234">
                  <c:v>0.24684936987398076</c:v>
                </c:pt>
                <c:pt idx="1235">
                  <c:v>0.24704940988198237</c:v>
                </c:pt>
                <c:pt idx="1236">
                  <c:v>0.24724944988998399</c:v>
                </c:pt>
                <c:pt idx="1237">
                  <c:v>0.2474494898979856</c:v>
                </c:pt>
                <c:pt idx="1238">
                  <c:v>0.24764952990598721</c:v>
                </c:pt>
                <c:pt idx="1239">
                  <c:v>0.24784956991398882</c:v>
                </c:pt>
                <c:pt idx="1240">
                  <c:v>0.24804960992199043</c:v>
                </c:pt>
                <c:pt idx="1241">
                  <c:v>0.24824964992999204</c:v>
                </c:pt>
                <c:pt idx="1242">
                  <c:v>0.24844968993799366</c:v>
                </c:pt>
                <c:pt idx="1243">
                  <c:v>0.24864972994599527</c:v>
                </c:pt>
                <c:pt idx="1244">
                  <c:v>0.24884976995399688</c:v>
                </c:pt>
                <c:pt idx="1245">
                  <c:v>0.24904980996199849</c:v>
                </c:pt>
                <c:pt idx="1246">
                  <c:v>0.2492498499700001</c:v>
                </c:pt>
                <c:pt idx="1247">
                  <c:v>0.24944988997800172</c:v>
                </c:pt>
                <c:pt idx="1248">
                  <c:v>0.24964992998600333</c:v>
                </c:pt>
                <c:pt idx="1249">
                  <c:v>0.24984996999400494</c:v>
                </c:pt>
                <c:pt idx="1250">
                  <c:v>0.25005001000200655</c:v>
                </c:pt>
                <c:pt idx="1251">
                  <c:v>0.25025005001000816</c:v>
                </c:pt>
                <c:pt idx="1252">
                  <c:v>0.25045009001800977</c:v>
                </c:pt>
                <c:pt idx="1253">
                  <c:v>0.25065013002601139</c:v>
                </c:pt>
                <c:pt idx="1254">
                  <c:v>0.250850170034013</c:v>
                </c:pt>
                <c:pt idx="1255">
                  <c:v>0.25105021004201461</c:v>
                </c:pt>
                <c:pt idx="1256">
                  <c:v>0.25125025005001622</c:v>
                </c:pt>
                <c:pt idx="1257">
                  <c:v>0.25145029005801783</c:v>
                </c:pt>
                <c:pt idx="1258">
                  <c:v>0.25165033006601945</c:v>
                </c:pt>
                <c:pt idx="1259">
                  <c:v>0.25185037007402106</c:v>
                </c:pt>
                <c:pt idx="1260">
                  <c:v>0.25205041008202267</c:v>
                </c:pt>
                <c:pt idx="1261">
                  <c:v>0.25225045009002428</c:v>
                </c:pt>
                <c:pt idx="1262">
                  <c:v>0.25245049009802589</c:v>
                </c:pt>
                <c:pt idx="1263">
                  <c:v>0.2526505301060275</c:v>
                </c:pt>
                <c:pt idx="1264">
                  <c:v>0.25285057011402912</c:v>
                </c:pt>
                <c:pt idx="1265">
                  <c:v>0.25305061012203073</c:v>
                </c:pt>
                <c:pt idx="1266">
                  <c:v>0.25325065013003234</c:v>
                </c:pt>
                <c:pt idx="1267">
                  <c:v>0.25345069013803395</c:v>
                </c:pt>
                <c:pt idx="1268">
                  <c:v>0.25365073014603556</c:v>
                </c:pt>
                <c:pt idx="1269">
                  <c:v>0.25385077015403718</c:v>
                </c:pt>
                <c:pt idx="1270">
                  <c:v>0.25405081016203879</c:v>
                </c:pt>
                <c:pt idx="1271">
                  <c:v>0.2542508501700404</c:v>
                </c:pt>
                <c:pt idx="1272">
                  <c:v>0.25445089017804201</c:v>
                </c:pt>
                <c:pt idx="1273">
                  <c:v>0.25465093018604362</c:v>
                </c:pt>
                <c:pt idx="1274">
                  <c:v>0.25485097019404523</c:v>
                </c:pt>
                <c:pt idx="1275">
                  <c:v>0.25505101020204685</c:v>
                </c:pt>
                <c:pt idx="1276">
                  <c:v>0.25525105021004846</c:v>
                </c:pt>
                <c:pt idx="1277">
                  <c:v>0.25545109021805007</c:v>
                </c:pt>
                <c:pt idx="1278">
                  <c:v>0.25565113022605168</c:v>
                </c:pt>
                <c:pt idx="1279">
                  <c:v>0.25585117023405329</c:v>
                </c:pt>
                <c:pt idx="1280">
                  <c:v>0.25605121024205491</c:v>
                </c:pt>
                <c:pt idx="1281">
                  <c:v>0.25625125025005652</c:v>
                </c:pt>
                <c:pt idx="1282">
                  <c:v>0.25645129025805813</c:v>
                </c:pt>
                <c:pt idx="1283">
                  <c:v>0.25665133026605974</c:v>
                </c:pt>
                <c:pt idx="1284">
                  <c:v>0.25685137027406135</c:v>
                </c:pt>
                <c:pt idx="1285">
                  <c:v>0.25705141028206296</c:v>
                </c:pt>
                <c:pt idx="1286">
                  <c:v>0.25725145029006458</c:v>
                </c:pt>
                <c:pt idx="1287">
                  <c:v>0.25745149029806619</c:v>
                </c:pt>
                <c:pt idx="1288">
                  <c:v>0.2576515303060678</c:v>
                </c:pt>
                <c:pt idx="1289">
                  <c:v>0.25785157031406941</c:v>
                </c:pt>
                <c:pt idx="1290">
                  <c:v>0.25805161032207102</c:v>
                </c:pt>
                <c:pt idx="1291">
                  <c:v>0.25825165033007264</c:v>
                </c:pt>
                <c:pt idx="1292">
                  <c:v>0.25845169033807425</c:v>
                </c:pt>
                <c:pt idx="1293">
                  <c:v>0.25865173034607586</c:v>
                </c:pt>
                <c:pt idx="1294">
                  <c:v>0.25885177035407747</c:v>
                </c:pt>
                <c:pt idx="1295">
                  <c:v>0.25905181036207908</c:v>
                </c:pt>
                <c:pt idx="1296">
                  <c:v>0.25925185037008069</c:v>
                </c:pt>
                <c:pt idx="1297">
                  <c:v>0.25945189037808231</c:v>
                </c:pt>
                <c:pt idx="1298">
                  <c:v>0.25965193038608392</c:v>
                </c:pt>
                <c:pt idx="1299">
                  <c:v>0.25985197039408553</c:v>
                </c:pt>
                <c:pt idx="1300">
                  <c:v>0.26005201040208714</c:v>
                </c:pt>
                <c:pt idx="1301">
                  <c:v>0.26025205041008875</c:v>
                </c:pt>
                <c:pt idx="1302">
                  <c:v>0.26045209041809037</c:v>
                </c:pt>
                <c:pt idx="1303">
                  <c:v>0.26065213042609198</c:v>
                </c:pt>
                <c:pt idx="1304">
                  <c:v>0.26085217043409359</c:v>
                </c:pt>
                <c:pt idx="1305">
                  <c:v>0.2610522104420952</c:v>
                </c:pt>
                <c:pt idx="1306">
                  <c:v>0.26125225045009681</c:v>
                </c:pt>
                <c:pt idx="1307">
                  <c:v>0.26145229045809842</c:v>
                </c:pt>
                <c:pt idx="1308">
                  <c:v>0.26165233046610004</c:v>
                </c:pt>
                <c:pt idx="1309">
                  <c:v>0.26185237047410165</c:v>
                </c:pt>
                <c:pt idx="1310">
                  <c:v>0.26205241048210326</c:v>
                </c:pt>
                <c:pt idx="1311">
                  <c:v>0.26225245049010487</c:v>
                </c:pt>
                <c:pt idx="1312">
                  <c:v>0.26245249049810648</c:v>
                </c:pt>
                <c:pt idx="1313">
                  <c:v>0.2626525305061081</c:v>
                </c:pt>
                <c:pt idx="1314">
                  <c:v>0.26285257051410971</c:v>
                </c:pt>
                <c:pt idx="1315">
                  <c:v>0.26305261052211132</c:v>
                </c:pt>
                <c:pt idx="1316">
                  <c:v>0.26325265053011293</c:v>
                </c:pt>
                <c:pt idx="1317">
                  <c:v>0.26345269053811454</c:v>
                </c:pt>
                <c:pt idx="1318">
                  <c:v>0.26365273054611615</c:v>
                </c:pt>
                <c:pt idx="1319">
                  <c:v>0.26385277055411777</c:v>
                </c:pt>
                <c:pt idx="1320">
                  <c:v>0.26405281056211938</c:v>
                </c:pt>
                <c:pt idx="1321">
                  <c:v>0.26425285057012099</c:v>
                </c:pt>
                <c:pt idx="1322">
                  <c:v>0.2644528905781226</c:v>
                </c:pt>
                <c:pt idx="1323">
                  <c:v>0.26465293058612421</c:v>
                </c:pt>
                <c:pt idx="1324">
                  <c:v>0.26485297059412582</c:v>
                </c:pt>
                <c:pt idx="1325">
                  <c:v>0.26505301060212744</c:v>
                </c:pt>
                <c:pt idx="1326">
                  <c:v>0.26525305061012905</c:v>
                </c:pt>
                <c:pt idx="1327">
                  <c:v>0.26545309061813066</c:v>
                </c:pt>
                <c:pt idx="1328">
                  <c:v>0.26565313062613227</c:v>
                </c:pt>
                <c:pt idx="1329">
                  <c:v>0.26585317063413388</c:v>
                </c:pt>
                <c:pt idx="1330">
                  <c:v>0.2660532106421355</c:v>
                </c:pt>
                <c:pt idx="1331">
                  <c:v>0.26625325065013711</c:v>
                </c:pt>
                <c:pt idx="1332">
                  <c:v>0.26645329065813872</c:v>
                </c:pt>
                <c:pt idx="1333">
                  <c:v>0.26665333066614033</c:v>
                </c:pt>
                <c:pt idx="1334">
                  <c:v>0.26685337067414194</c:v>
                </c:pt>
                <c:pt idx="1335">
                  <c:v>0.26705341068214355</c:v>
                </c:pt>
                <c:pt idx="1336">
                  <c:v>0.26725345069014517</c:v>
                </c:pt>
                <c:pt idx="1337">
                  <c:v>0.26745349069814678</c:v>
                </c:pt>
                <c:pt idx="1338">
                  <c:v>0.26765353070614839</c:v>
                </c:pt>
                <c:pt idx="1339">
                  <c:v>0.26785357071415</c:v>
                </c:pt>
                <c:pt idx="1340">
                  <c:v>0.26805361072215161</c:v>
                </c:pt>
                <c:pt idx="1341">
                  <c:v>0.26825365073015323</c:v>
                </c:pt>
                <c:pt idx="1342">
                  <c:v>0.26845369073815484</c:v>
                </c:pt>
                <c:pt idx="1343">
                  <c:v>0.26865373074615645</c:v>
                </c:pt>
                <c:pt idx="1344">
                  <c:v>0.26885377075415806</c:v>
                </c:pt>
                <c:pt idx="1345">
                  <c:v>0.26905381076215967</c:v>
                </c:pt>
                <c:pt idx="1346">
                  <c:v>0.26925385077016128</c:v>
                </c:pt>
                <c:pt idx="1347">
                  <c:v>0.2694538907781629</c:v>
                </c:pt>
                <c:pt idx="1348">
                  <c:v>0.26965393078616451</c:v>
                </c:pt>
                <c:pt idx="1349">
                  <c:v>0.26985397079416612</c:v>
                </c:pt>
                <c:pt idx="1350">
                  <c:v>0.27005401080216773</c:v>
                </c:pt>
                <c:pt idx="1351">
                  <c:v>0.27025405081016934</c:v>
                </c:pt>
                <c:pt idx="1352">
                  <c:v>0.27045409081817096</c:v>
                </c:pt>
                <c:pt idx="1353">
                  <c:v>0.27065413082617257</c:v>
                </c:pt>
                <c:pt idx="1354">
                  <c:v>0.27085417083417418</c:v>
                </c:pt>
                <c:pt idx="1355">
                  <c:v>0.27105421084217579</c:v>
                </c:pt>
                <c:pt idx="1356">
                  <c:v>0.2712542508501774</c:v>
                </c:pt>
                <c:pt idx="1357">
                  <c:v>0.27145429085817901</c:v>
                </c:pt>
                <c:pt idx="1358">
                  <c:v>0.27165433086618063</c:v>
                </c:pt>
                <c:pt idx="1359">
                  <c:v>0.27185437087418224</c:v>
                </c:pt>
                <c:pt idx="1360">
                  <c:v>0.27205441088218385</c:v>
                </c:pt>
                <c:pt idx="1361">
                  <c:v>0.27225445089018546</c:v>
                </c:pt>
                <c:pt idx="1362">
                  <c:v>0.27245449089818707</c:v>
                </c:pt>
                <c:pt idx="1363">
                  <c:v>0.27265453090618869</c:v>
                </c:pt>
                <c:pt idx="1364">
                  <c:v>0.2728545709141903</c:v>
                </c:pt>
                <c:pt idx="1365">
                  <c:v>0.27305461092219191</c:v>
                </c:pt>
                <c:pt idx="1366">
                  <c:v>0.27325465093019352</c:v>
                </c:pt>
                <c:pt idx="1367">
                  <c:v>0.27345469093819513</c:v>
                </c:pt>
                <c:pt idx="1368">
                  <c:v>0.27365473094619674</c:v>
                </c:pt>
                <c:pt idx="1369">
                  <c:v>0.27385477095419836</c:v>
                </c:pt>
                <c:pt idx="1370">
                  <c:v>0.27405481096219997</c:v>
                </c:pt>
                <c:pt idx="1371">
                  <c:v>0.27425485097020158</c:v>
                </c:pt>
                <c:pt idx="1372">
                  <c:v>0.27445489097820319</c:v>
                </c:pt>
                <c:pt idx="1373">
                  <c:v>0.2746549309862048</c:v>
                </c:pt>
                <c:pt idx="1374">
                  <c:v>0.27485497099420642</c:v>
                </c:pt>
                <c:pt idx="1375">
                  <c:v>0.27505501100220803</c:v>
                </c:pt>
                <c:pt idx="1376">
                  <c:v>0.27525505101020964</c:v>
                </c:pt>
                <c:pt idx="1377">
                  <c:v>0.27545509101821125</c:v>
                </c:pt>
                <c:pt idx="1378">
                  <c:v>0.27565513102621286</c:v>
                </c:pt>
                <c:pt idx="1379">
                  <c:v>0.27585517103421447</c:v>
                </c:pt>
                <c:pt idx="1380">
                  <c:v>0.27605521104221609</c:v>
                </c:pt>
                <c:pt idx="1381">
                  <c:v>0.2762552510502177</c:v>
                </c:pt>
                <c:pt idx="1382">
                  <c:v>0.27645529105821931</c:v>
                </c:pt>
                <c:pt idx="1383">
                  <c:v>0.27665533106622092</c:v>
                </c:pt>
                <c:pt idx="1384">
                  <c:v>0.27685537107422253</c:v>
                </c:pt>
                <c:pt idx="1385">
                  <c:v>0.27705541108222415</c:v>
                </c:pt>
                <c:pt idx="1386">
                  <c:v>0.27725545109022576</c:v>
                </c:pt>
                <c:pt idx="1387">
                  <c:v>0.27745549109822737</c:v>
                </c:pt>
                <c:pt idx="1388">
                  <c:v>0.27765553110622898</c:v>
                </c:pt>
                <c:pt idx="1389">
                  <c:v>0.27785557111423059</c:v>
                </c:pt>
                <c:pt idx="1390">
                  <c:v>0.2780556111222322</c:v>
                </c:pt>
                <c:pt idx="1391">
                  <c:v>0.27825565113023382</c:v>
                </c:pt>
                <c:pt idx="1392">
                  <c:v>0.27845569113823543</c:v>
                </c:pt>
                <c:pt idx="1393">
                  <c:v>0.27865573114623704</c:v>
                </c:pt>
                <c:pt idx="1394">
                  <c:v>0.27885577115423865</c:v>
                </c:pt>
                <c:pt idx="1395">
                  <c:v>0.27905581116224026</c:v>
                </c:pt>
                <c:pt idx="1396">
                  <c:v>0.27925585117024188</c:v>
                </c:pt>
                <c:pt idx="1397">
                  <c:v>0.27945589117824349</c:v>
                </c:pt>
                <c:pt idx="1398">
                  <c:v>0.2796559311862451</c:v>
                </c:pt>
                <c:pt idx="1399">
                  <c:v>0.27985597119424671</c:v>
                </c:pt>
                <c:pt idx="1400">
                  <c:v>0.28005601120224832</c:v>
                </c:pt>
                <c:pt idx="1401">
                  <c:v>0.28025605121024993</c:v>
                </c:pt>
                <c:pt idx="1402">
                  <c:v>0.28045609121825155</c:v>
                </c:pt>
                <c:pt idx="1403">
                  <c:v>0.28065613122625316</c:v>
                </c:pt>
                <c:pt idx="1404">
                  <c:v>0.28085617123425477</c:v>
                </c:pt>
                <c:pt idx="1405">
                  <c:v>0.28105621124225638</c:v>
                </c:pt>
                <c:pt idx="1406">
                  <c:v>0.28125625125025799</c:v>
                </c:pt>
                <c:pt idx="1407">
                  <c:v>0.28145629125825961</c:v>
                </c:pt>
                <c:pt idx="1408">
                  <c:v>0.28165633126626122</c:v>
                </c:pt>
                <c:pt idx="1409">
                  <c:v>0.28185637127426283</c:v>
                </c:pt>
                <c:pt idx="1410">
                  <c:v>0.28205641128226444</c:v>
                </c:pt>
                <c:pt idx="1411">
                  <c:v>0.28225645129026605</c:v>
                </c:pt>
                <c:pt idx="1412">
                  <c:v>0.28245649129826766</c:v>
                </c:pt>
                <c:pt idx="1413">
                  <c:v>0.28265653130626928</c:v>
                </c:pt>
                <c:pt idx="1414">
                  <c:v>0.28285657131427089</c:v>
                </c:pt>
                <c:pt idx="1415">
                  <c:v>0.2830566113222725</c:v>
                </c:pt>
                <c:pt idx="1416">
                  <c:v>0.28325665133027411</c:v>
                </c:pt>
                <c:pt idx="1417">
                  <c:v>0.28345669133827572</c:v>
                </c:pt>
                <c:pt idx="1418">
                  <c:v>0.28365673134627734</c:v>
                </c:pt>
                <c:pt idx="1419">
                  <c:v>0.28385677135427895</c:v>
                </c:pt>
                <c:pt idx="1420">
                  <c:v>0.28405681136228056</c:v>
                </c:pt>
                <c:pt idx="1421">
                  <c:v>0.28425685137028217</c:v>
                </c:pt>
                <c:pt idx="1422">
                  <c:v>0.28445689137828378</c:v>
                </c:pt>
                <c:pt idx="1423">
                  <c:v>0.28465693138628539</c:v>
                </c:pt>
                <c:pt idx="1424">
                  <c:v>0.28485697139428701</c:v>
                </c:pt>
                <c:pt idx="1425">
                  <c:v>0.28505701140228862</c:v>
                </c:pt>
                <c:pt idx="1426">
                  <c:v>0.28525705141029023</c:v>
                </c:pt>
                <c:pt idx="1427">
                  <c:v>0.28545709141829184</c:v>
                </c:pt>
                <c:pt idx="1428">
                  <c:v>0.28565713142629345</c:v>
                </c:pt>
                <c:pt idx="1429">
                  <c:v>0.28585717143429507</c:v>
                </c:pt>
                <c:pt idx="1430">
                  <c:v>0.28605721144229668</c:v>
                </c:pt>
                <c:pt idx="1431">
                  <c:v>0.28625725145029829</c:v>
                </c:pt>
                <c:pt idx="1432">
                  <c:v>0.2864572914582999</c:v>
                </c:pt>
                <c:pt idx="1433">
                  <c:v>0.28665733146630151</c:v>
                </c:pt>
                <c:pt idx="1434">
                  <c:v>0.28685737147430312</c:v>
                </c:pt>
                <c:pt idx="1435">
                  <c:v>0.28705741148230474</c:v>
                </c:pt>
                <c:pt idx="1436">
                  <c:v>0.28725745149030635</c:v>
                </c:pt>
                <c:pt idx="1437">
                  <c:v>0.28745749149830796</c:v>
                </c:pt>
                <c:pt idx="1438">
                  <c:v>0.28765753150630957</c:v>
                </c:pt>
                <c:pt idx="1439">
                  <c:v>0.28785757151431118</c:v>
                </c:pt>
                <c:pt idx="1440">
                  <c:v>0.2880576115223128</c:v>
                </c:pt>
                <c:pt idx="1441">
                  <c:v>0.28825765153031441</c:v>
                </c:pt>
                <c:pt idx="1442">
                  <c:v>0.28845769153831602</c:v>
                </c:pt>
                <c:pt idx="1443">
                  <c:v>0.28865773154631763</c:v>
                </c:pt>
                <c:pt idx="1444">
                  <c:v>0.28885777155431924</c:v>
                </c:pt>
                <c:pt idx="1445">
                  <c:v>0.28905781156232085</c:v>
                </c:pt>
                <c:pt idx="1446">
                  <c:v>0.28925785157032247</c:v>
                </c:pt>
                <c:pt idx="1447">
                  <c:v>0.28945789157832408</c:v>
                </c:pt>
                <c:pt idx="1448">
                  <c:v>0.28965793158632569</c:v>
                </c:pt>
                <c:pt idx="1449">
                  <c:v>0.2898579715943273</c:v>
                </c:pt>
                <c:pt idx="1450">
                  <c:v>0.29005801160232891</c:v>
                </c:pt>
                <c:pt idx="1451">
                  <c:v>0.29025805161033053</c:v>
                </c:pt>
                <c:pt idx="1452">
                  <c:v>0.29045809161833214</c:v>
                </c:pt>
                <c:pt idx="1453">
                  <c:v>0.29065813162633375</c:v>
                </c:pt>
                <c:pt idx="1454">
                  <c:v>0.29085817163433536</c:v>
                </c:pt>
                <c:pt idx="1455">
                  <c:v>0.29105821164233697</c:v>
                </c:pt>
                <c:pt idx="1456">
                  <c:v>0.29125825165033858</c:v>
                </c:pt>
                <c:pt idx="1457">
                  <c:v>0.2914582916583402</c:v>
                </c:pt>
                <c:pt idx="1458">
                  <c:v>0.29165833166634181</c:v>
                </c:pt>
                <c:pt idx="1459">
                  <c:v>0.29185837167434342</c:v>
                </c:pt>
                <c:pt idx="1460">
                  <c:v>0.29205841168234503</c:v>
                </c:pt>
                <c:pt idx="1461">
                  <c:v>0.29225845169034664</c:v>
                </c:pt>
                <c:pt idx="1462">
                  <c:v>0.29245849169834826</c:v>
                </c:pt>
                <c:pt idx="1463">
                  <c:v>0.29265853170634987</c:v>
                </c:pt>
                <c:pt idx="1464">
                  <c:v>0.29285857171435148</c:v>
                </c:pt>
                <c:pt idx="1465">
                  <c:v>0.29305861172235309</c:v>
                </c:pt>
                <c:pt idx="1466">
                  <c:v>0.2932586517303547</c:v>
                </c:pt>
                <c:pt idx="1467">
                  <c:v>0.29345869173835631</c:v>
                </c:pt>
                <c:pt idx="1468">
                  <c:v>0.29365873174635793</c:v>
                </c:pt>
                <c:pt idx="1469">
                  <c:v>0.29385877175435954</c:v>
                </c:pt>
                <c:pt idx="1470">
                  <c:v>0.29405881176236115</c:v>
                </c:pt>
                <c:pt idx="1471">
                  <c:v>0.29425885177036276</c:v>
                </c:pt>
                <c:pt idx="1472">
                  <c:v>0.29445889177836437</c:v>
                </c:pt>
                <c:pt idx="1473">
                  <c:v>0.29465893178636599</c:v>
                </c:pt>
                <c:pt idx="1474">
                  <c:v>0.2948589717943676</c:v>
                </c:pt>
                <c:pt idx="1475">
                  <c:v>0.29505901180236921</c:v>
                </c:pt>
                <c:pt idx="1476">
                  <c:v>0.29525905181037082</c:v>
                </c:pt>
                <c:pt idx="1477">
                  <c:v>0.29545909181837243</c:v>
                </c:pt>
                <c:pt idx="1478">
                  <c:v>0.29565913182637404</c:v>
                </c:pt>
                <c:pt idx="1479">
                  <c:v>0.29585917183437566</c:v>
                </c:pt>
                <c:pt idx="1480">
                  <c:v>0.29605921184237727</c:v>
                </c:pt>
                <c:pt idx="1481">
                  <c:v>0.29625925185037888</c:v>
                </c:pt>
                <c:pt idx="1482">
                  <c:v>0.29645929185838049</c:v>
                </c:pt>
                <c:pt idx="1483">
                  <c:v>0.2966593318663821</c:v>
                </c:pt>
                <c:pt idx="1484">
                  <c:v>0.29685937187438372</c:v>
                </c:pt>
                <c:pt idx="1485">
                  <c:v>0.29705941188238533</c:v>
                </c:pt>
                <c:pt idx="1486">
                  <c:v>0.29725945189038694</c:v>
                </c:pt>
                <c:pt idx="1487">
                  <c:v>0.29745949189838855</c:v>
                </c:pt>
                <c:pt idx="1488">
                  <c:v>0.29765953190639016</c:v>
                </c:pt>
                <c:pt idx="1489">
                  <c:v>0.29785957191439177</c:v>
                </c:pt>
                <c:pt idx="1490">
                  <c:v>0.29805961192239339</c:v>
                </c:pt>
                <c:pt idx="1491">
                  <c:v>0.298259651930395</c:v>
                </c:pt>
                <c:pt idx="1492">
                  <c:v>0.29845969193839661</c:v>
                </c:pt>
                <c:pt idx="1493">
                  <c:v>0.29865973194639822</c:v>
                </c:pt>
                <c:pt idx="1494">
                  <c:v>0.29885977195439983</c:v>
                </c:pt>
                <c:pt idx="1495">
                  <c:v>0.29905981196240145</c:v>
                </c:pt>
                <c:pt idx="1496">
                  <c:v>0.29925985197040306</c:v>
                </c:pt>
                <c:pt idx="1497">
                  <c:v>0.29945989197840467</c:v>
                </c:pt>
                <c:pt idx="1498">
                  <c:v>0.29965993198640628</c:v>
                </c:pt>
                <c:pt idx="1499">
                  <c:v>0.29985997199440789</c:v>
                </c:pt>
                <c:pt idx="1500">
                  <c:v>0.3000600120024095</c:v>
                </c:pt>
                <c:pt idx="1501">
                  <c:v>0.30026005201041112</c:v>
                </c:pt>
                <c:pt idx="1502">
                  <c:v>0.30046009201841273</c:v>
                </c:pt>
                <c:pt idx="1503">
                  <c:v>0.30066013202641434</c:v>
                </c:pt>
                <c:pt idx="1504">
                  <c:v>0.30086017203441595</c:v>
                </c:pt>
                <c:pt idx="1505">
                  <c:v>0.30106021204241756</c:v>
                </c:pt>
                <c:pt idx="1506">
                  <c:v>0.30126025205041917</c:v>
                </c:pt>
                <c:pt idx="1507">
                  <c:v>0.30146029205842079</c:v>
                </c:pt>
                <c:pt idx="1508">
                  <c:v>0.3016603320664224</c:v>
                </c:pt>
                <c:pt idx="1509">
                  <c:v>0.30186037207442401</c:v>
                </c:pt>
                <c:pt idx="1510">
                  <c:v>0.30206041208242562</c:v>
                </c:pt>
                <c:pt idx="1511">
                  <c:v>0.30226045209042723</c:v>
                </c:pt>
                <c:pt idx="1512">
                  <c:v>0.30246049209842885</c:v>
                </c:pt>
                <c:pt idx="1513">
                  <c:v>0.30266053210643046</c:v>
                </c:pt>
                <c:pt idx="1514">
                  <c:v>0.30286057211443207</c:v>
                </c:pt>
                <c:pt idx="1515">
                  <c:v>0.30306061212243368</c:v>
                </c:pt>
                <c:pt idx="1516">
                  <c:v>0.30326065213043529</c:v>
                </c:pt>
                <c:pt idx="1517">
                  <c:v>0.3034606921384369</c:v>
                </c:pt>
                <c:pt idx="1518">
                  <c:v>0.30366073214643852</c:v>
                </c:pt>
                <c:pt idx="1519">
                  <c:v>0.30386077215444013</c:v>
                </c:pt>
                <c:pt idx="1520">
                  <c:v>0.30406081216244174</c:v>
                </c:pt>
                <c:pt idx="1521">
                  <c:v>0.30426085217044335</c:v>
                </c:pt>
                <c:pt idx="1522">
                  <c:v>0.30446089217844496</c:v>
                </c:pt>
                <c:pt idx="1523">
                  <c:v>0.30466093218644658</c:v>
                </c:pt>
                <c:pt idx="1524">
                  <c:v>0.30486097219444819</c:v>
                </c:pt>
                <c:pt idx="1525">
                  <c:v>0.3050610122024498</c:v>
                </c:pt>
                <c:pt idx="1526">
                  <c:v>0.30526105221045141</c:v>
                </c:pt>
                <c:pt idx="1527">
                  <c:v>0.30546109221845302</c:v>
                </c:pt>
                <c:pt idx="1528">
                  <c:v>0.30566113222645463</c:v>
                </c:pt>
                <c:pt idx="1529">
                  <c:v>0.30586117223445625</c:v>
                </c:pt>
                <c:pt idx="1530">
                  <c:v>0.30606121224245786</c:v>
                </c:pt>
                <c:pt idx="1531">
                  <c:v>0.30626125225045947</c:v>
                </c:pt>
                <c:pt idx="1532">
                  <c:v>0.30646129225846108</c:v>
                </c:pt>
                <c:pt idx="1533">
                  <c:v>0.30666133226646269</c:v>
                </c:pt>
                <c:pt idx="1534">
                  <c:v>0.30686137227446431</c:v>
                </c:pt>
                <c:pt idx="1535">
                  <c:v>0.30706141228246592</c:v>
                </c:pt>
                <c:pt idx="1536">
                  <c:v>0.30726145229046753</c:v>
                </c:pt>
                <c:pt idx="1537">
                  <c:v>0.30746149229846914</c:v>
                </c:pt>
                <c:pt idx="1538">
                  <c:v>0.30766153230647075</c:v>
                </c:pt>
                <c:pt idx="1539">
                  <c:v>0.30786157231447236</c:v>
                </c:pt>
                <c:pt idx="1540">
                  <c:v>0.30806161232247398</c:v>
                </c:pt>
                <c:pt idx="1541">
                  <c:v>0.30826165233047559</c:v>
                </c:pt>
                <c:pt idx="1542">
                  <c:v>0.3084616923384772</c:v>
                </c:pt>
                <c:pt idx="1543">
                  <c:v>0.30866173234647881</c:v>
                </c:pt>
                <c:pt idx="1544">
                  <c:v>0.30886177235448042</c:v>
                </c:pt>
                <c:pt idx="1545">
                  <c:v>0.30906181236248204</c:v>
                </c:pt>
                <c:pt idx="1546">
                  <c:v>0.30926185237048365</c:v>
                </c:pt>
                <c:pt idx="1547">
                  <c:v>0.30946189237848526</c:v>
                </c:pt>
                <c:pt idx="1548">
                  <c:v>0.30966193238648687</c:v>
                </c:pt>
                <c:pt idx="1549">
                  <c:v>0.30986197239448848</c:v>
                </c:pt>
                <c:pt idx="1550">
                  <c:v>0.31006201240249009</c:v>
                </c:pt>
                <c:pt idx="1551">
                  <c:v>0.31026205241049171</c:v>
                </c:pt>
                <c:pt idx="1552">
                  <c:v>0.31046209241849332</c:v>
                </c:pt>
                <c:pt idx="1553">
                  <c:v>0.31066213242649493</c:v>
                </c:pt>
                <c:pt idx="1554">
                  <c:v>0.31086217243449654</c:v>
                </c:pt>
                <c:pt idx="1555">
                  <c:v>0.31106221244249815</c:v>
                </c:pt>
                <c:pt idx="1556">
                  <c:v>0.31126225245049977</c:v>
                </c:pt>
                <c:pt idx="1557">
                  <c:v>0.31146229245850138</c:v>
                </c:pt>
                <c:pt idx="1558">
                  <c:v>0.31166233246650299</c:v>
                </c:pt>
                <c:pt idx="1559">
                  <c:v>0.3118623724745046</c:v>
                </c:pt>
                <c:pt idx="1560">
                  <c:v>0.31206241248250621</c:v>
                </c:pt>
                <c:pt idx="1561">
                  <c:v>0.31226245249050782</c:v>
                </c:pt>
                <c:pt idx="1562">
                  <c:v>0.31246249249850944</c:v>
                </c:pt>
                <c:pt idx="1563">
                  <c:v>0.31266253250651105</c:v>
                </c:pt>
                <c:pt idx="1564">
                  <c:v>0.31286257251451266</c:v>
                </c:pt>
                <c:pt idx="1565">
                  <c:v>0.31306261252251427</c:v>
                </c:pt>
                <c:pt idx="1566">
                  <c:v>0.31326265253051588</c:v>
                </c:pt>
                <c:pt idx="1567">
                  <c:v>0.3134626925385175</c:v>
                </c:pt>
                <c:pt idx="1568">
                  <c:v>0.31366273254651911</c:v>
                </c:pt>
                <c:pt idx="1569">
                  <c:v>0.31386277255452072</c:v>
                </c:pt>
                <c:pt idx="1570">
                  <c:v>0.31406281256252233</c:v>
                </c:pt>
                <c:pt idx="1571">
                  <c:v>0.31426285257052394</c:v>
                </c:pt>
                <c:pt idx="1572">
                  <c:v>0.31446289257852555</c:v>
                </c:pt>
                <c:pt idx="1573">
                  <c:v>0.31466293258652717</c:v>
                </c:pt>
                <c:pt idx="1574">
                  <c:v>0.31486297259452878</c:v>
                </c:pt>
                <c:pt idx="1575">
                  <c:v>0.31506301260253039</c:v>
                </c:pt>
                <c:pt idx="1576">
                  <c:v>0.315263052610532</c:v>
                </c:pt>
                <c:pt idx="1577">
                  <c:v>0.31546309261853361</c:v>
                </c:pt>
                <c:pt idx="1578">
                  <c:v>0.31566313262653523</c:v>
                </c:pt>
                <c:pt idx="1579">
                  <c:v>0.31586317263453684</c:v>
                </c:pt>
                <c:pt idx="1580">
                  <c:v>0.31606321264253845</c:v>
                </c:pt>
                <c:pt idx="1581">
                  <c:v>0.31626325265054006</c:v>
                </c:pt>
                <c:pt idx="1582">
                  <c:v>0.31646329265854167</c:v>
                </c:pt>
                <c:pt idx="1583">
                  <c:v>0.31666333266654328</c:v>
                </c:pt>
                <c:pt idx="1584">
                  <c:v>0.3168633726745449</c:v>
                </c:pt>
                <c:pt idx="1585">
                  <c:v>0.31706341268254651</c:v>
                </c:pt>
                <c:pt idx="1586">
                  <c:v>0.31726345269054812</c:v>
                </c:pt>
                <c:pt idx="1587">
                  <c:v>0.31746349269854973</c:v>
                </c:pt>
                <c:pt idx="1588">
                  <c:v>0.31766353270655134</c:v>
                </c:pt>
                <c:pt idx="1589">
                  <c:v>0.31786357271455296</c:v>
                </c:pt>
                <c:pt idx="1590">
                  <c:v>0.31806361272255457</c:v>
                </c:pt>
                <c:pt idx="1591">
                  <c:v>0.31826365273055618</c:v>
                </c:pt>
                <c:pt idx="1592">
                  <c:v>0.31846369273855779</c:v>
                </c:pt>
                <c:pt idx="1593">
                  <c:v>0.3186637327465594</c:v>
                </c:pt>
                <c:pt idx="1594">
                  <c:v>0.31886377275456101</c:v>
                </c:pt>
                <c:pt idx="1595">
                  <c:v>0.31906381276256263</c:v>
                </c:pt>
                <c:pt idx="1596">
                  <c:v>0.31926385277056424</c:v>
                </c:pt>
                <c:pt idx="1597">
                  <c:v>0.31946389277856585</c:v>
                </c:pt>
                <c:pt idx="1598">
                  <c:v>0.31966393278656746</c:v>
                </c:pt>
                <c:pt idx="1599">
                  <c:v>0.31986397279456907</c:v>
                </c:pt>
                <c:pt idx="1600">
                  <c:v>0.32006401280257069</c:v>
                </c:pt>
                <c:pt idx="1601">
                  <c:v>0.3202640528105723</c:v>
                </c:pt>
                <c:pt idx="1602">
                  <c:v>0.32046409281857391</c:v>
                </c:pt>
                <c:pt idx="1603">
                  <c:v>0.32066413282657552</c:v>
                </c:pt>
                <c:pt idx="1604">
                  <c:v>0.32086417283457713</c:v>
                </c:pt>
                <c:pt idx="1605">
                  <c:v>0.32106421284257874</c:v>
                </c:pt>
                <c:pt idx="1606">
                  <c:v>0.32126425285058036</c:v>
                </c:pt>
                <c:pt idx="1607">
                  <c:v>0.32146429285858197</c:v>
                </c:pt>
                <c:pt idx="1608">
                  <c:v>0.32166433286658358</c:v>
                </c:pt>
                <c:pt idx="1609">
                  <c:v>0.32186437287458519</c:v>
                </c:pt>
                <c:pt idx="1610">
                  <c:v>0.3220644128825868</c:v>
                </c:pt>
                <c:pt idx="1611">
                  <c:v>0.32226445289058842</c:v>
                </c:pt>
                <c:pt idx="1612">
                  <c:v>0.32246449289859003</c:v>
                </c:pt>
                <c:pt idx="1613">
                  <c:v>0.32266453290659164</c:v>
                </c:pt>
                <c:pt idx="1614">
                  <c:v>0.32286457291459325</c:v>
                </c:pt>
                <c:pt idx="1615">
                  <c:v>0.32306461292259486</c:v>
                </c:pt>
                <c:pt idx="1616">
                  <c:v>0.32326465293059647</c:v>
                </c:pt>
                <c:pt idx="1617">
                  <c:v>0.32346469293859809</c:v>
                </c:pt>
                <c:pt idx="1618">
                  <c:v>0.3236647329465997</c:v>
                </c:pt>
                <c:pt idx="1619">
                  <c:v>0.32386477295460131</c:v>
                </c:pt>
                <c:pt idx="1620">
                  <c:v>0.32406481296260292</c:v>
                </c:pt>
                <c:pt idx="1621">
                  <c:v>0.32426485297060453</c:v>
                </c:pt>
                <c:pt idx="1622">
                  <c:v>0.32446489297860615</c:v>
                </c:pt>
                <c:pt idx="1623">
                  <c:v>0.32466493298660776</c:v>
                </c:pt>
                <c:pt idx="1624">
                  <c:v>0.32486497299460937</c:v>
                </c:pt>
                <c:pt idx="1625">
                  <c:v>0.32506501300261098</c:v>
                </c:pt>
                <c:pt idx="1626">
                  <c:v>0.32526505301061259</c:v>
                </c:pt>
                <c:pt idx="1627">
                  <c:v>0.3254650930186142</c:v>
                </c:pt>
                <c:pt idx="1628">
                  <c:v>0.32566513302661582</c:v>
                </c:pt>
                <c:pt idx="1629">
                  <c:v>0.32586517303461743</c:v>
                </c:pt>
                <c:pt idx="1630">
                  <c:v>0.32606521304261904</c:v>
                </c:pt>
                <c:pt idx="1631">
                  <c:v>0.32626525305062065</c:v>
                </c:pt>
                <c:pt idx="1632">
                  <c:v>0.32646529305862226</c:v>
                </c:pt>
                <c:pt idx="1633">
                  <c:v>0.32666533306662388</c:v>
                </c:pt>
                <c:pt idx="1634">
                  <c:v>0.32686537307462549</c:v>
                </c:pt>
                <c:pt idx="1635">
                  <c:v>0.3270654130826271</c:v>
                </c:pt>
                <c:pt idx="1636">
                  <c:v>0.32726545309062871</c:v>
                </c:pt>
                <c:pt idx="1637">
                  <c:v>0.32746549309863032</c:v>
                </c:pt>
                <c:pt idx="1638">
                  <c:v>0.32766553310663193</c:v>
                </c:pt>
                <c:pt idx="1639">
                  <c:v>0.32786557311463355</c:v>
                </c:pt>
                <c:pt idx="1640">
                  <c:v>0.32806561312263516</c:v>
                </c:pt>
                <c:pt idx="1641">
                  <c:v>0.32826565313063677</c:v>
                </c:pt>
                <c:pt idx="1642">
                  <c:v>0.32846569313863838</c:v>
                </c:pt>
                <c:pt idx="1643">
                  <c:v>0.32866573314663999</c:v>
                </c:pt>
                <c:pt idx="1644">
                  <c:v>0.32886577315464161</c:v>
                </c:pt>
                <c:pt idx="1645">
                  <c:v>0.32906581316264322</c:v>
                </c:pt>
                <c:pt idx="1646">
                  <c:v>0.32926585317064483</c:v>
                </c:pt>
                <c:pt idx="1647">
                  <c:v>0.32946589317864644</c:v>
                </c:pt>
                <c:pt idx="1648">
                  <c:v>0.32966593318664805</c:v>
                </c:pt>
                <c:pt idx="1649">
                  <c:v>0.32986597319464966</c:v>
                </c:pt>
                <c:pt idx="1650">
                  <c:v>0.33006601320265128</c:v>
                </c:pt>
                <c:pt idx="1651">
                  <c:v>0.33026605321065289</c:v>
                </c:pt>
                <c:pt idx="1652">
                  <c:v>0.3304660932186545</c:v>
                </c:pt>
                <c:pt idx="1653">
                  <c:v>0.33066613322665611</c:v>
                </c:pt>
                <c:pt idx="1654">
                  <c:v>0.33086617323465772</c:v>
                </c:pt>
                <c:pt idx="1655">
                  <c:v>0.33106621324265934</c:v>
                </c:pt>
                <c:pt idx="1656">
                  <c:v>0.33126625325066095</c:v>
                </c:pt>
                <c:pt idx="1657">
                  <c:v>0.33146629325866256</c:v>
                </c:pt>
                <c:pt idx="1658">
                  <c:v>0.33166633326666417</c:v>
                </c:pt>
                <c:pt idx="1659">
                  <c:v>0.33186637327466578</c:v>
                </c:pt>
                <c:pt idx="1660">
                  <c:v>0.33206641328266739</c:v>
                </c:pt>
                <c:pt idx="1661">
                  <c:v>0.33226645329066901</c:v>
                </c:pt>
                <c:pt idx="1662">
                  <c:v>0.33246649329867062</c:v>
                </c:pt>
                <c:pt idx="1663">
                  <c:v>0.33266653330667223</c:v>
                </c:pt>
                <c:pt idx="1664">
                  <c:v>0.33286657331467384</c:v>
                </c:pt>
                <c:pt idx="1665">
                  <c:v>0.33306661332267545</c:v>
                </c:pt>
                <c:pt idx="1666">
                  <c:v>0.33326665333067707</c:v>
                </c:pt>
                <c:pt idx="1667">
                  <c:v>0.33346669333867868</c:v>
                </c:pt>
                <c:pt idx="1668">
                  <c:v>0.33366673334668029</c:v>
                </c:pt>
                <c:pt idx="1669">
                  <c:v>0.3338667733546819</c:v>
                </c:pt>
                <c:pt idx="1670">
                  <c:v>0.33406681336268351</c:v>
                </c:pt>
                <c:pt idx="1671">
                  <c:v>0.33426685337068512</c:v>
                </c:pt>
                <c:pt idx="1672">
                  <c:v>0.33446689337868674</c:v>
                </c:pt>
                <c:pt idx="1673">
                  <c:v>0.33466693338668835</c:v>
                </c:pt>
                <c:pt idx="1674">
                  <c:v>0.33486697339468996</c:v>
                </c:pt>
                <c:pt idx="1675">
                  <c:v>0.33506701340269157</c:v>
                </c:pt>
                <c:pt idx="1676">
                  <c:v>0.33526705341069318</c:v>
                </c:pt>
                <c:pt idx="1677">
                  <c:v>0.3354670934186948</c:v>
                </c:pt>
                <c:pt idx="1678">
                  <c:v>0.33566713342669641</c:v>
                </c:pt>
                <c:pt idx="1679">
                  <c:v>0.33586717343469802</c:v>
                </c:pt>
                <c:pt idx="1680">
                  <c:v>0.33606721344269963</c:v>
                </c:pt>
                <c:pt idx="1681">
                  <c:v>0.33626725345070124</c:v>
                </c:pt>
                <c:pt idx="1682">
                  <c:v>0.33646729345870285</c:v>
                </c:pt>
                <c:pt idx="1683">
                  <c:v>0.33666733346670447</c:v>
                </c:pt>
                <c:pt idx="1684">
                  <c:v>0.33686737347470608</c:v>
                </c:pt>
                <c:pt idx="1685">
                  <c:v>0.33706741348270769</c:v>
                </c:pt>
                <c:pt idx="1686">
                  <c:v>0.3372674534907093</c:v>
                </c:pt>
                <c:pt idx="1687">
                  <c:v>0.33746749349871091</c:v>
                </c:pt>
                <c:pt idx="1688">
                  <c:v>0.33766753350671252</c:v>
                </c:pt>
                <c:pt idx="1689">
                  <c:v>0.33786757351471414</c:v>
                </c:pt>
                <c:pt idx="1690">
                  <c:v>0.33806761352271575</c:v>
                </c:pt>
                <c:pt idx="1691">
                  <c:v>0.33826765353071736</c:v>
                </c:pt>
                <c:pt idx="1692">
                  <c:v>0.33846769353871897</c:v>
                </c:pt>
                <c:pt idx="1693">
                  <c:v>0.33866773354672058</c:v>
                </c:pt>
                <c:pt idx="1694">
                  <c:v>0.3388677735547222</c:v>
                </c:pt>
                <c:pt idx="1695">
                  <c:v>0.33906781356272381</c:v>
                </c:pt>
                <c:pt idx="1696">
                  <c:v>0.33926785357072542</c:v>
                </c:pt>
                <c:pt idx="1697">
                  <c:v>0.33946789357872703</c:v>
                </c:pt>
                <c:pt idx="1698">
                  <c:v>0.33966793358672864</c:v>
                </c:pt>
                <c:pt idx="1699">
                  <c:v>0.33986797359473025</c:v>
                </c:pt>
                <c:pt idx="1700">
                  <c:v>0.34006801360273187</c:v>
                </c:pt>
                <c:pt idx="1701">
                  <c:v>0.34026805361073348</c:v>
                </c:pt>
                <c:pt idx="1702">
                  <c:v>0.34046809361873509</c:v>
                </c:pt>
                <c:pt idx="1703">
                  <c:v>0.3406681336267367</c:v>
                </c:pt>
                <c:pt idx="1704">
                  <c:v>0.34086817363473831</c:v>
                </c:pt>
                <c:pt idx="1705">
                  <c:v>0.34106821364273993</c:v>
                </c:pt>
                <c:pt idx="1706">
                  <c:v>0.34126825365074154</c:v>
                </c:pt>
                <c:pt idx="1707">
                  <c:v>0.34146829365874315</c:v>
                </c:pt>
                <c:pt idx="1708">
                  <c:v>0.34166833366674476</c:v>
                </c:pt>
                <c:pt idx="1709">
                  <c:v>0.34186837367474637</c:v>
                </c:pt>
                <c:pt idx="1710">
                  <c:v>0.34206841368274798</c:v>
                </c:pt>
                <c:pt idx="1711">
                  <c:v>0.3422684536907496</c:v>
                </c:pt>
                <c:pt idx="1712">
                  <c:v>0.34246849369875121</c:v>
                </c:pt>
                <c:pt idx="1713">
                  <c:v>0.34266853370675282</c:v>
                </c:pt>
                <c:pt idx="1714">
                  <c:v>0.34286857371475443</c:v>
                </c:pt>
                <c:pt idx="1715">
                  <c:v>0.34306861372275604</c:v>
                </c:pt>
                <c:pt idx="1716">
                  <c:v>0.34326865373075766</c:v>
                </c:pt>
                <c:pt idx="1717">
                  <c:v>0.34346869373875927</c:v>
                </c:pt>
                <c:pt idx="1718">
                  <c:v>0.34366873374676088</c:v>
                </c:pt>
                <c:pt idx="1719">
                  <c:v>0.34386877375476249</c:v>
                </c:pt>
                <c:pt idx="1720">
                  <c:v>0.3440688137627641</c:v>
                </c:pt>
                <c:pt idx="1721">
                  <c:v>0.34426885377076571</c:v>
                </c:pt>
                <c:pt idx="1722">
                  <c:v>0.34446889377876733</c:v>
                </c:pt>
                <c:pt idx="1723">
                  <c:v>0.34466893378676894</c:v>
                </c:pt>
                <c:pt idx="1724">
                  <c:v>0.34486897379477055</c:v>
                </c:pt>
                <c:pt idx="1725">
                  <c:v>0.34506901380277216</c:v>
                </c:pt>
                <c:pt idx="1726">
                  <c:v>0.34526905381077377</c:v>
                </c:pt>
                <c:pt idx="1727">
                  <c:v>0.34546909381877539</c:v>
                </c:pt>
                <c:pt idx="1728">
                  <c:v>0.345669133826777</c:v>
                </c:pt>
                <c:pt idx="1729">
                  <c:v>0.34586917383477861</c:v>
                </c:pt>
                <c:pt idx="1730">
                  <c:v>0.34606921384278022</c:v>
                </c:pt>
                <c:pt idx="1731">
                  <c:v>0.34626925385078183</c:v>
                </c:pt>
                <c:pt idx="1732">
                  <c:v>0.34646929385878344</c:v>
                </c:pt>
                <c:pt idx="1733">
                  <c:v>0.34666933386678506</c:v>
                </c:pt>
                <c:pt idx="1734">
                  <c:v>0.34686937387478667</c:v>
                </c:pt>
                <c:pt idx="1735">
                  <c:v>0.34706941388278828</c:v>
                </c:pt>
                <c:pt idx="1736">
                  <c:v>0.34726945389078989</c:v>
                </c:pt>
                <c:pt idx="1737">
                  <c:v>0.3474694938987915</c:v>
                </c:pt>
                <c:pt idx="1738">
                  <c:v>0.34766953390679312</c:v>
                </c:pt>
                <c:pt idx="1739">
                  <c:v>0.34786957391479473</c:v>
                </c:pt>
                <c:pt idx="1740">
                  <c:v>0.34806961392279634</c:v>
                </c:pt>
                <c:pt idx="1741">
                  <c:v>0.34826965393079795</c:v>
                </c:pt>
                <c:pt idx="1742">
                  <c:v>0.34846969393879956</c:v>
                </c:pt>
                <c:pt idx="1743">
                  <c:v>0.34866973394680117</c:v>
                </c:pt>
                <c:pt idx="1744">
                  <c:v>0.34886977395480279</c:v>
                </c:pt>
                <c:pt idx="1745">
                  <c:v>0.3490698139628044</c:v>
                </c:pt>
                <c:pt idx="1746">
                  <c:v>0.34926985397080601</c:v>
                </c:pt>
                <c:pt idx="1747">
                  <c:v>0.34946989397880762</c:v>
                </c:pt>
                <c:pt idx="1748">
                  <c:v>0.34966993398680923</c:v>
                </c:pt>
                <c:pt idx="1749">
                  <c:v>0.34986997399481085</c:v>
                </c:pt>
                <c:pt idx="1750">
                  <c:v>0.35007001400281246</c:v>
                </c:pt>
                <c:pt idx="1751">
                  <c:v>0.35027005401081407</c:v>
                </c:pt>
                <c:pt idx="1752">
                  <c:v>0.35047009401881568</c:v>
                </c:pt>
                <c:pt idx="1753">
                  <c:v>0.35067013402681729</c:v>
                </c:pt>
                <c:pt idx="1754">
                  <c:v>0.3508701740348189</c:v>
                </c:pt>
                <c:pt idx="1755">
                  <c:v>0.35107021404282052</c:v>
                </c:pt>
                <c:pt idx="1756">
                  <c:v>0.35127025405082213</c:v>
                </c:pt>
                <c:pt idx="1757">
                  <c:v>0.35147029405882374</c:v>
                </c:pt>
                <c:pt idx="1758">
                  <c:v>0.35167033406682535</c:v>
                </c:pt>
                <c:pt idx="1759">
                  <c:v>0.35187037407482696</c:v>
                </c:pt>
                <c:pt idx="1760">
                  <c:v>0.35207041408282858</c:v>
                </c:pt>
                <c:pt idx="1761">
                  <c:v>0.35227045409083019</c:v>
                </c:pt>
                <c:pt idx="1762">
                  <c:v>0.3524704940988318</c:v>
                </c:pt>
                <c:pt idx="1763">
                  <c:v>0.35267053410683341</c:v>
                </c:pt>
                <c:pt idx="1764">
                  <c:v>0.35287057411483502</c:v>
                </c:pt>
                <c:pt idx="1765">
                  <c:v>0.35307061412283663</c:v>
                </c:pt>
                <c:pt idx="1766">
                  <c:v>0.35327065413083825</c:v>
                </c:pt>
                <c:pt idx="1767">
                  <c:v>0.35347069413883986</c:v>
                </c:pt>
                <c:pt idx="1768">
                  <c:v>0.35367073414684147</c:v>
                </c:pt>
                <c:pt idx="1769">
                  <c:v>0.35387077415484308</c:v>
                </c:pt>
                <c:pt idx="1770">
                  <c:v>0.35407081416284469</c:v>
                </c:pt>
                <c:pt idx="1771">
                  <c:v>0.35427085417084631</c:v>
                </c:pt>
                <c:pt idx="1772">
                  <c:v>0.35447089417884792</c:v>
                </c:pt>
                <c:pt idx="1773">
                  <c:v>0.35467093418684953</c:v>
                </c:pt>
                <c:pt idx="1774">
                  <c:v>0.35487097419485114</c:v>
                </c:pt>
                <c:pt idx="1775">
                  <c:v>0.35507101420285275</c:v>
                </c:pt>
                <c:pt idx="1776">
                  <c:v>0.35527105421085436</c:v>
                </c:pt>
                <c:pt idx="1777">
                  <c:v>0.35547109421885598</c:v>
                </c:pt>
                <c:pt idx="1778">
                  <c:v>0.35567113422685759</c:v>
                </c:pt>
                <c:pt idx="1779">
                  <c:v>0.3558711742348592</c:v>
                </c:pt>
                <c:pt idx="1780">
                  <c:v>0.35607121424286081</c:v>
                </c:pt>
                <c:pt idx="1781">
                  <c:v>0.35627125425086242</c:v>
                </c:pt>
                <c:pt idx="1782">
                  <c:v>0.35647129425886404</c:v>
                </c:pt>
                <c:pt idx="1783">
                  <c:v>0.35667133426686565</c:v>
                </c:pt>
                <c:pt idx="1784">
                  <c:v>0.35687137427486726</c:v>
                </c:pt>
                <c:pt idx="1785">
                  <c:v>0.35707141428286887</c:v>
                </c:pt>
                <c:pt idx="1786">
                  <c:v>0.35727145429087048</c:v>
                </c:pt>
                <c:pt idx="1787">
                  <c:v>0.35747149429887209</c:v>
                </c:pt>
                <c:pt idx="1788">
                  <c:v>0.35767153430687371</c:v>
                </c:pt>
                <c:pt idx="1789">
                  <c:v>0.35787157431487532</c:v>
                </c:pt>
                <c:pt idx="1790">
                  <c:v>0.35807161432287693</c:v>
                </c:pt>
                <c:pt idx="1791">
                  <c:v>0.35827165433087854</c:v>
                </c:pt>
                <c:pt idx="1792">
                  <c:v>0.35847169433888015</c:v>
                </c:pt>
                <c:pt idx="1793">
                  <c:v>0.35867173434688177</c:v>
                </c:pt>
                <c:pt idx="1794">
                  <c:v>0.35887177435488338</c:v>
                </c:pt>
                <c:pt idx="1795">
                  <c:v>0.35907181436288499</c:v>
                </c:pt>
                <c:pt idx="1796">
                  <c:v>0.3592718543708866</c:v>
                </c:pt>
                <c:pt idx="1797">
                  <c:v>0.35947189437888821</c:v>
                </c:pt>
                <c:pt idx="1798">
                  <c:v>0.35967193438688982</c:v>
                </c:pt>
                <c:pt idx="1799">
                  <c:v>0.35987197439489144</c:v>
                </c:pt>
                <c:pt idx="1800">
                  <c:v>0.36007201440289305</c:v>
                </c:pt>
                <c:pt idx="1801">
                  <c:v>0.36027205441089466</c:v>
                </c:pt>
                <c:pt idx="1802">
                  <c:v>0.36047209441889627</c:v>
                </c:pt>
                <c:pt idx="1803">
                  <c:v>0.36067213442689788</c:v>
                </c:pt>
                <c:pt idx="1804">
                  <c:v>0.3608721744348995</c:v>
                </c:pt>
                <c:pt idx="1805">
                  <c:v>0.36107221444290111</c:v>
                </c:pt>
                <c:pt idx="1806">
                  <c:v>0.36127225445090272</c:v>
                </c:pt>
                <c:pt idx="1807">
                  <c:v>0.36147229445890433</c:v>
                </c:pt>
                <c:pt idx="1808">
                  <c:v>0.36167233446690594</c:v>
                </c:pt>
                <c:pt idx="1809">
                  <c:v>0.36187237447490755</c:v>
                </c:pt>
                <c:pt idx="1810">
                  <c:v>0.36207241448290917</c:v>
                </c:pt>
                <c:pt idx="1811">
                  <c:v>0.36227245449091078</c:v>
                </c:pt>
                <c:pt idx="1812">
                  <c:v>0.36247249449891239</c:v>
                </c:pt>
                <c:pt idx="1813">
                  <c:v>0.362672534506914</c:v>
                </c:pt>
                <c:pt idx="1814">
                  <c:v>0.36287257451491561</c:v>
                </c:pt>
                <c:pt idx="1815">
                  <c:v>0.36307261452291723</c:v>
                </c:pt>
                <c:pt idx="1816">
                  <c:v>0.36327265453091884</c:v>
                </c:pt>
                <c:pt idx="1817">
                  <c:v>0.36347269453892045</c:v>
                </c:pt>
                <c:pt idx="1818">
                  <c:v>0.36367273454692206</c:v>
                </c:pt>
                <c:pt idx="1819">
                  <c:v>0.36387277455492367</c:v>
                </c:pt>
                <c:pt idx="1820">
                  <c:v>0.36407281456292528</c:v>
                </c:pt>
                <c:pt idx="1821">
                  <c:v>0.3642728545709269</c:v>
                </c:pt>
                <c:pt idx="1822">
                  <c:v>0.36447289457892851</c:v>
                </c:pt>
                <c:pt idx="1823">
                  <c:v>0.36467293458693012</c:v>
                </c:pt>
                <c:pt idx="1824">
                  <c:v>0.36487297459493173</c:v>
                </c:pt>
                <c:pt idx="1825">
                  <c:v>0.36507301460293334</c:v>
                </c:pt>
                <c:pt idx="1826">
                  <c:v>0.36527305461093496</c:v>
                </c:pt>
                <c:pt idx="1827">
                  <c:v>0.36547309461893657</c:v>
                </c:pt>
                <c:pt idx="1828">
                  <c:v>0.36567313462693818</c:v>
                </c:pt>
                <c:pt idx="1829">
                  <c:v>0.36587317463493979</c:v>
                </c:pt>
                <c:pt idx="1830">
                  <c:v>0.3660732146429414</c:v>
                </c:pt>
                <c:pt idx="1831">
                  <c:v>0.36627325465094301</c:v>
                </c:pt>
                <c:pt idx="1832">
                  <c:v>0.36647329465894463</c:v>
                </c:pt>
                <c:pt idx="1833">
                  <c:v>0.36667333466694624</c:v>
                </c:pt>
                <c:pt idx="1834">
                  <c:v>0.36687337467494785</c:v>
                </c:pt>
                <c:pt idx="1835">
                  <c:v>0.36707341468294946</c:v>
                </c:pt>
                <c:pt idx="1836">
                  <c:v>0.36727345469095107</c:v>
                </c:pt>
                <c:pt idx="1837">
                  <c:v>0.36747349469895269</c:v>
                </c:pt>
                <c:pt idx="1838">
                  <c:v>0.3676735347069543</c:v>
                </c:pt>
                <c:pt idx="1839">
                  <c:v>0.36787357471495591</c:v>
                </c:pt>
                <c:pt idx="1840">
                  <c:v>0.36807361472295752</c:v>
                </c:pt>
                <c:pt idx="1841">
                  <c:v>0.36827365473095913</c:v>
                </c:pt>
                <c:pt idx="1842">
                  <c:v>0.36847369473896074</c:v>
                </c:pt>
                <c:pt idx="1843">
                  <c:v>0.36867373474696236</c:v>
                </c:pt>
                <c:pt idx="1844">
                  <c:v>0.36887377475496397</c:v>
                </c:pt>
                <c:pt idx="1845">
                  <c:v>0.36907381476296558</c:v>
                </c:pt>
                <c:pt idx="1846">
                  <c:v>0.36927385477096719</c:v>
                </c:pt>
                <c:pt idx="1847">
                  <c:v>0.3694738947789688</c:v>
                </c:pt>
                <c:pt idx="1848">
                  <c:v>0.36967393478697042</c:v>
                </c:pt>
                <c:pt idx="1849">
                  <c:v>0.36987397479497203</c:v>
                </c:pt>
                <c:pt idx="1850">
                  <c:v>0.37007401480297364</c:v>
                </c:pt>
                <c:pt idx="1851">
                  <c:v>0.37027405481097525</c:v>
                </c:pt>
                <c:pt idx="1852">
                  <c:v>0.37047409481897686</c:v>
                </c:pt>
                <c:pt idx="1853">
                  <c:v>0.37067413482697847</c:v>
                </c:pt>
                <c:pt idx="1854">
                  <c:v>0.37087417483498009</c:v>
                </c:pt>
                <c:pt idx="1855">
                  <c:v>0.3710742148429817</c:v>
                </c:pt>
                <c:pt idx="1856">
                  <c:v>0.37127425485098331</c:v>
                </c:pt>
                <c:pt idx="1857">
                  <c:v>0.37147429485898492</c:v>
                </c:pt>
                <c:pt idx="1858">
                  <c:v>0.37167433486698653</c:v>
                </c:pt>
                <c:pt idx="1859">
                  <c:v>0.37187437487498815</c:v>
                </c:pt>
                <c:pt idx="1860">
                  <c:v>0.37207441488298976</c:v>
                </c:pt>
                <c:pt idx="1861">
                  <c:v>0.37227445489099137</c:v>
                </c:pt>
                <c:pt idx="1862">
                  <c:v>0.37247449489899298</c:v>
                </c:pt>
                <c:pt idx="1863">
                  <c:v>0.37267453490699459</c:v>
                </c:pt>
                <c:pt idx="1864">
                  <c:v>0.3728745749149962</c:v>
                </c:pt>
                <c:pt idx="1865">
                  <c:v>0.37307461492299782</c:v>
                </c:pt>
                <c:pt idx="1866">
                  <c:v>0.37327465493099943</c:v>
                </c:pt>
                <c:pt idx="1867">
                  <c:v>0.37347469493900104</c:v>
                </c:pt>
                <c:pt idx="1868">
                  <c:v>0.37367473494700265</c:v>
                </c:pt>
                <c:pt idx="1869">
                  <c:v>0.37387477495500426</c:v>
                </c:pt>
                <c:pt idx="1870">
                  <c:v>0.37407481496300587</c:v>
                </c:pt>
                <c:pt idx="1871">
                  <c:v>0.37427485497100749</c:v>
                </c:pt>
                <c:pt idx="1872">
                  <c:v>0.3744748949790091</c:v>
                </c:pt>
                <c:pt idx="1873">
                  <c:v>0.37467493498701071</c:v>
                </c:pt>
                <c:pt idx="1874">
                  <c:v>0.37487497499501232</c:v>
                </c:pt>
                <c:pt idx="1875">
                  <c:v>0.37507501500301393</c:v>
                </c:pt>
                <c:pt idx="1876">
                  <c:v>0.37527505501101555</c:v>
                </c:pt>
                <c:pt idx="1877">
                  <c:v>0.37547509501901716</c:v>
                </c:pt>
                <c:pt idx="1878">
                  <c:v>0.37567513502701877</c:v>
                </c:pt>
                <c:pt idx="1879">
                  <c:v>0.37587517503502038</c:v>
                </c:pt>
                <c:pt idx="1880">
                  <c:v>0.37607521504302199</c:v>
                </c:pt>
                <c:pt idx="1881">
                  <c:v>0.3762752550510236</c:v>
                </c:pt>
                <c:pt idx="1882">
                  <c:v>0.37647529505902522</c:v>
                </c:pt>
                <c:pt idx="1883">
                  <c:v>0.37667533506702683</c:v>
                </c:pt>
                <c:pt idx="1884">
                  <c:v>0.37687537507502844</c:v>
                </c:pt>
                <c:pt idx="1885">
                  <c:v>0.37707541508303005</c:v>
                </c:pt>
                <c:pt idx="1886">
                  <c:v>0.37727545509103166</c:v>
                </c:pt>
                <c:pt idx="1887">
                  <c:v>0.37747549509903328</c:v>
                </c:pt>
                <c:pt idx="1888">
                  <c:v>0.37767553510703489</c:v>
                </c:pt>
                <c:pt idx="1889">
                  <c:v>0.3778755751150365</c:v>
                </c:pt>
                <c:pt idx="1890">
                  <c:v>0.37807561512303811</c:v>
                </c:pt>
                <c:pt idx="1891">
                  <c:v>0.37827565513103972</c:v>
                </c:pt>
                <c:pt idx="1892">
                  <c:v>0.37847569513904133</c:v>
                </c:pt>
                <c:pt idx="1893">
                  <c:v>0.37867573514704295</c:v>
                </c:pt>
                <c:pt idx="1894">
                  <c:v>0.37887577515504456</c:v>
                </c:pt>
                <c:pt idx="1895">
                  <c:v>0.37907581516304617</c:v>
                </c:pt>
                <c:pt idx="1896">
                  <c:v>0.37927585517104778</c:v>
                </c:pt>
                <c:pt idx="1897">
                  <c:v>0.37947589517904939</c:v>
                </c:pt>
                <c:pt idx="1898">
                  <c:v>0.37967593518705101</c:v>
                </c:pt>
                <c:pt idx="1899">
                  <c:v>0.37987597519505262</c:v>
                </c:pt>
                <c:pt idx="1900">
                  <c:v>0.38007601520305423</c:v>
                </c:pt>
                <c:pt idx="1901">
                  <c:v>0.38027605521105584</c:v>
                </c:pt>
                <c:pt idx="1902">
                  <c:v>0.38047609521905745</c:v>
                </c:pt>
                <c:pt idx="1903">
                  <c:v>0.38067613522705906</c:v>
                </c:pt>
                <c:pt idx="1904">
                  <c:v>0.38087617523506068</c:v>
                </c:pt>
                <c:pt idx="1905">
                  <c:v>0.38107621524306229</c:v>
                </c:pt>
                <c:pt idx="1906">
                  <c:v>0.3812762552510639</c:v>
                </c:pt>
                <c:pt idx="1907">
                  <c:v>0.38147629525906551</c:v>
                </c:pt>
                <c:pt idx="1908">
                  <c:v>0.38167633526706712</c:v>
                </c:pt>
                <c:pt idx="1909">
                  <c:v>0.38187637527506874</c:v>
                </c:pt>
                <c:pt idx="1910">
                  <c:v>0.38207641528307035</c:v>
                </c:pt>
                <c:pt idx="1911">
                  <c:v>0.38227645529107196</c:v>
                </c:pt>
                <c:pt idx="1912">
                  <c:v>0.38247649529907357</c:v>
                </c:pt>
                <c:pt idx="1913">
                  <c:v>0.38267653530707518</c:v>
                </c:pt>
                <c:pt idx="1914">
                  <c:v>0.38287657531507679</c:v>
                </c:pt>
                <c:pt idx="1915">
                  <c:v>0.38307661532307841</c:v>
                </c:pt>
                <c:pt idx="1916">
                  <c:v>0.38327665533108002</c:v>
                </c:pt>
                <c:pt idx="1917">
                  <c:v>0.38347669533908163</c:v>
                </c:pt>
                <c:pt idx="1918">
                  <c:v>0.38367673534708324</c:v>
                </c:pt>
                <c:pt idx="1919">
                  <c:v>0.38387677535508485</c:v>
                </c:pt>
                <c:pt idx="1920">
                  <c:v>0.38407681536308647</c:v>
                </c:pt>
                <c:pt idx="1921">
                  <c:v>0.38427685537108808</c:v>
                </c:pt>
                <c:pt idx="1922">
                  <c:v>0.38447689537908969</c:v>
                </c:pt>
                <c:pt idx="1923">
                  <c:v>0.3846769353870913</c:v>
                </c:pt>
                <c:pt idx="1924">
                  <c:v>0.38487697539509291</c:v>
                </c:pt>
                <c:pt idx="1925">
                  <c:v>0.38507701540309452</c:v>
                </c:pt>
                <c:pt idx="1926">
                  <c:v>0.38527705541109614</c:v>
                </c:pt>
                <c:pt idx="1927">
                  <c:v>0.38547709541909775</c:v>
                </c:pt>
                <c:pt idx="1928">
                  <c:v>0.38567713542709936</c:v>
                </c:pt>
                <c:pt idx="1929">
                  <c:v>0.38587717543510097</c:v>
                </c:pt>
                <c:pt idx="1930">
                  <c:v>0.38607721544310258</c:v>
                </c:pt>
                <c:pt idx="1931">
                  <c:v>0.3862772554511042</c:v>
                </c:pt>
                <c:pt idx="1932">
                  <c:v>0.38647729545910581</c:v>
                </c:pt>
                <c:pt idx="1933">
                  <c:v>0.38667733546710742</c:v>
                </c:pt>
                <c:pt idx="1934">
                  <c:v>0.38687737547510903</c:v>
                </c:pt>
                <c:pt idx="1935">
                  <c:v>0.38707741548311064</c:v>
                </c:pt>
                <c:pt idx="1936">
                  <c:v>0.38727745549111225</c:v>
                </c:pt>
                <c:pt idx="1937">
                  <c:v>0.38747749549911387</c:v>
                </c:pt>
                <c:pt idx="1938">
                  <c:v>0.38767753550711548</c:v>
                </c:pt>
                <c:pt idx="1939">
                  <c:v>0.38787757551511709</c:v>
                </c:pt>
                <c:pt idx="1940">
                  <c:v>0.3880776155231187</c:v>
                </c:pt>
                <c:pt idx="1941">
                  <c:v>0.38827765553112031</c:v>
                </c:pt>
                <c:pt idx="1942">
                  <c:v>0.38847769553912193</c:v>
                </c:pt>
                <c:pt idx="1943">
                  <c:v>0.38867773554712354</c:v>
                </c:pt>
                <c:pt idx="1944">
                  <c:v>0.38887777555512515</c:v>
                </c:pt>
                <c:pt idx="1945">
                  <c:v>0.38907781556312676</c:v>
                </c:pt>
                <c:pt idx="1946">
                  <c:v>0.38927785557112837</c:v>
                </c:pt>
                <c:pt idx="1947">
                  <c:v>0.38947789557912998</c:v>
                </c:pt>
                <c:pt idx="1948">
                  <c:v>0.3896779355871316</c:v>
                </c:pt>
                <c:pt idx="1949">
                  <c:v>0.38987797559513321</c:v>
                </c:pt>
                <c:pt idx="1950">
                  <c:v>0.39007801560313482</c:v>
                </c:pt>
                <c:pt idx="1951">
                  <c:v>0.39027805561113643</c:v>
                </c:pt>
                <c:pt idx="1952">
                  <c:v>0.39047809561913804</c:v>
                </c:pt>
                <c:pt idx="1953">
                  <c:v>0.39067813562713966</c:v>
                </c:pt>
                <c:pt idx="1954">
                  <c:v>0.39087817563514127</c:v>
                </c:pt>
                <c:pt idx="1955">
                  <c:v>0.39107821564314288</c:v>
                </c:pt>
                <c:pt idx="1956">
                  <c:v>0.39127825565114449</c:v>
                </c:pt>
                <c:pt idx="1957">
                  <c:v>0.3914782956591461</c:v>
                </c:pt>
                <c:pt idx="1958">
                  <c:v>0.39167833566714771</c:v>
                </c:pt>
                <c:pt idx="1959">
                  <c:v>0.39187837567514933</c:v>
                </c:pt>
                <c:pt idx="1960">
                  <c:v>0.39207841568315094</c:v>
                </c:pt>
                <c:pt idx="1961">
                  <c:v>0.39227845569115255</c:v>
                </c:pt>
                <c:pt idx="1962">
                  <c:v>0.39247849569915416</c:v>
                </c:pt>
                <c:pt idx="1963">
                  <c:v>0.39267853570715577</c:v>
                </c:pt>
                <c:pt idx="1964">
                  <c:v>0.39287857571515739</c:v>
                </c:pt>
                <c:pt idx="1965">
                  <c:v>0.393078615723159</c:v>
                </c:pt>
                <c:pt idx="1966">
                  <c:v>0.39327865573116061</c:v>
                </c:pt>
                <c:pt idx="1967">
                  <c:v>0.39347869573916222</c:v>
                </c:pt>
                <c:pt idx="1968">
                  <c:v>0.39367873574716383</c:v>
                </c:pt>
                <c:pt idx="1969">
                  <c:v>0.39387877575516544</c:v>
                </c:pt>
                <c:pt idx="1970">
                  <c:v>0.39407881576316706</c:v>
                </c:pt>
                <c:pt idx="1971">
                  <c:v>0.39427885577116867</c:v>
                </c:pt>
                <c:pt idx="1972">
                  <c:v>0.39447889577917028</c:v>
                </c:pt>
                <c:pt idx="1973">
                  <c:v>0.39467893578717189</c:v>
                </c:pt>
                <c:pt idx="1974">
                  <c:v>0.3948789757951735</c:v>
                </c:pt>
                <c:pt idx="1975">
                  <c:v>0.39507901580317512</c:v>
                </c:pt>
                <c:pt idx="1976">
                  <c:v>0.39527905581117673</c:v>
                </c:pt>
                <c:pt idx="1977">
                  <c:v>0.39547909581917834</c:v>
                </c:pt>
                <c:pt idx="1978">
                  <c:v>0.39567913582717995</c:v>
                </c:pt>
                <c:pt idx="1979">
                  <c:v>0.39587917583518156</c:v>
                </c:pt>
                <c:pt idx="1980">
                  <c:v>0.39607921584318317</c:v>
                </c:pt>
                <c:pt idx="1981">
                  <c:v>0.39627925585118479</c:v>
                </c:pt>
                <c:pt idx="1982">
                  <c:v>0.3964792958591864</c:v>
                </c:pt>
                <c:pt idx="1983">
                  <c:v>0.39667933586718801</c:v>
                </c:pt>
                <c:pt idx="1984">
                  <c:v>0.39687937587518962</c:v>
                </c:pt>
                <c:pt idx="1985">
                  <c:v>0.39707941588319123</c:v>
                </c:pt>
                <c:pt idx="1986">
                  <c:v>0.39727945589119285</c:v>
                </c:pt>
                <c:pt idx="1987">
                  <c:v>0.39747949589919446</c:v>
                </c:pt>
                <c:pt idx="1988">
                  <c:v>0.39767953590719607</c:v>
                </c:pt>
                <c:pt idx="1989">
                  <c:v>0.39787957591519768</c:v>
                </c:pt>
                <c:pt idx="1990">
                  <c:v>0.39807961592319929</c:v>
                </c:pt>
                <c:pt idx="1991">
                  <c:v>0.3982796559312009</c:v>
                </c:pt>
                <c:pt idx="1992">
                  <c:v>0.39847969593920252</c:v>
                </c:pt>
                <c:pt idx="1993">
                  <c:v>0.39867973594720413</c:v>
                </c:pt>
                <c:pt idx="1994">
                  <c:v>0.39887977595520574</c:v>
                </c:pt>
                <c:pt idx="1995">
                  <c:v>0.39907981596320735</c:v>
                </c:pt>
                <c:pt idx="1996">
                  <c:v>0.39927985597120896</c:v>
                </c:pt>
                <c:pt idx="1997">
                  <c:v>0.39947989597921058</c:v>
                </c:pt>
                <c:pt idx="1998">
                  <c:v>0.39967993598721219</c:v>
                </c:pt>
                <c:pt idx="1999">
                  <c:v>0.3998799759952138</c:v>
                </c:pt>
                <c:pt idx="2000">
                  <c:v>0.40008001600321541</c:v>
                </c:pt>
                <c:pt idx="2001">
                  <c:v>0.40028005601121702</c:v>
                </c:pt>
                <c:pt idx="2002">
                  <c:v>0.40048009601921863</c:v>
                </c:pt>
                <c:pt idx="2003">
                  <c:v>0.40068013602722025</c:v>
                </c:pt>
                <c:pt idx="2004">
                  <c:v>0.40088017603522186</c:v>
                </c:pt>
                <c:pt idx="2005">
                  <c:v>0.40108021604322347</c:v>
                </c:pt>
                <c:pt idx="2006">
                  <c:v>0.40128025605122508</c:v>
                </c:pt>
                <c:pt idx="2007">
                  <c:v>0.40148029605922669</c:v>
                </c:pt>
                <c:pt idx="2008">
                  <c:v>0.40168033606722831</c:v>
                </c:pt>
                <c:pt idx="2009">
                  <c:v>0.40188037607522992</c:v>
                </c:pt>
                <c:pt idx="2010">
                  <c:v>0.40208041608323153</c:v>
                </c:pt>
                <c:pt idx="2011">
                  <c:v>0.40228045609123314</c:v>
                </c:pt>
                <c:pt idx="2012">
                  <c:v>0.40248049609923475</c:v>
                </c:pt>
                <c:pt idx="2013">
                  <c:v>0.40268053610723636</c:v>
                </c:pt>
                <c:pt idx="2014">
                  <c:v>0.40288057611523798</c:v>
                </c:pt>
                <c:pt idx="2015">
                  <c:v>0.40308061612323959</c:v>
                </c:pt>
                <c:pt idx="2016">
                  <c:v>0.4032806561312412</c:v>
                </c:pt>
                <c:pt idx="2017">
                  <c:v>0.40348069613924281</c:v>
                </c:pt>
                <c:pt idx="2018">
                  <c:v>0.40368073614724442</c:v>
                </c:pt>
                <c:pt idx="2019">
                  <c:v>0.40388077615524604</c:v>
                </c:pt>
                <c:pt idx="2020">
                  <c:v>0.40408081616324765</c:v>
                </c:pt>
                <c:pt idx="2021">
                  <c:v>0.40428085617124926</c:v>
                </c:pt>
                <c:pt idx="2022">
                  <c:v>0.40448089617925087</c:v>
                </c:pt>
                <c:pt idx="2023">
                  <c:v>0.40468093618725248</c:v>
                </c:pt>
                <c:pt idx="2024">
                  <c:v>0.40488097619525409</c:v>
                </c:pt>
                <c:pt idx="2025">
                  <c:v>0.40508101620325571</c:v>
                </c:pt>
                <c:pt idx="2026">
                  <c:v>0.40528105621125732</c:v>
                </c:pt>
                <c:pt idx="2027">
                  <c:v>0.40548109621925893</c:v>
                </c:pt>
                <c:pt idx="2028">
                  <c:v>0.40568113622726054</c:v>
                </c:pt>
                <c:pt idx="2029">
                  <c:v>0.40588117623526215</c:v>
                </c:pt>
                <c:pt idx="2030">
                  <c:v>0.40608121624326377</c:v>
                </c:pt>
                <c:pt idx="2031">
                  <c:v>0.40628125625126538</c:v>
                </c:pt>
                <c:pt idx="2032">
                  <c:v>0.40648129625926699</c:v>
                </c:pt>
                <c:pt idx="2033">
                  <c:v>0.4066813362672686</c:v>
                </c:pt>
                <c:pt idx="2034">
                  <c:v>0.40688137627527021</c:v>
                </c:pt>
                <c:pt idx="2035">
                  <c:v>0.40708141628327182</c:v>
                </c:pt>
                <c:pt idx="2036">
                  <c:v>0.40728145629127344</c:v>
                </c:pt>
                <c:pt idx="2037">
                  <c:v>0.40748149629927505</c:v>
                </c:pt>
                <c:pt idx="2038">
                  <c:v>0.40768153630727666</c:v>
                </c:pt>
                <c:pt idx="2039">
                  <c:v>0.40788157631527827</c:v>
                </c:pt>
                <c:pt idx="2040">
                  <c:v>0.40808161632327988</c:v>
                </c:pt>
                <c:pt idx="2041">
                  <c:v>0.4082816563312815</c:v>
                </c:pt>
                <c:pt idx="2042">
                  <c:v>0.40848169633928311</c:v>
                </c:pt>
                <c:pt idx="2043">
                  <c:v>0.40868173634728472</c:v>
                </c:pt>
                <c:pt idx="2044">
                  <c:v>0.40888177635528633</c:v>
                </c:pt>
                <c:pt idx="2045">
                  <c:v>0.40908181636328794</c:v>
                </c:pt>
                <c:pt idx="2046">
                  <c:v>0.40928185637128955</c:v>
                </c:pt>
                <c:pt idx="2047">
                  <c:v>0.40948189637929117</c:v>
                </c:pt>
                <c:pt idx="2048">
                  <c:v>0.40968193638729278</c:v>
                </c:pt>
                <c:pt idx="2049">
                  <c:v>0.40988197639529439</c:v>
                </c:pt>
                <c:pt idx="2050">
                  <c:v>0.410082016403296</c:v>
                </c:pt>
                <c:pt idx="2051">
                  <c:v>0.41028205641129761</c:v>
                </c:pt>
                <c:pt idx="2052">
                  <c:v>0.41048209641929922</c:v>
                </c:pt>
                <c:pt idx="2053">
                  <c:v>0.41068213642730084</c:v>
                </c:pt>
                <c:pt idx="2054">
                  <c:v>0.41088217643530245</c:v>
                </c:pt>
                <c:pt idx="2055">
                  <c:v>0.41108221644330406</c:v>
                </c:pt>
                <c:pt idx="2056">
                  <c:v>0.41128225645130567</c:v>
                </c:pt>
                <c:pt idx="2057">
                  <c:v>0.41148229645930728</c:v>
                </c:pt>
                <c:pt idx="2058">
                  <c:v>0.4116823364673089</c:v>
                </c:pt>
                <c:pt idx="2059">
                  <c:v>0.41188237647531051</c:v>
                </c:pt>
                <c:pt idx="2060">
                  <c:v>0.41208241648331212</c:v>
                </c:pt>
                <c:pt idx="2061">
                  <c:v>0.41228245649131373</c:v>
                </c:pt>
                <c:pt idx="2062">
                  <c:v>0.41248249649931534</c:v>
                </c:pt>
                <c:pt idx="2063">
                  <c:v>0.41268253650731695</c:v>
                </c:pt>
                <c:pt idx="2064">
                  <c:v>0.41288257651531857</c:v>
                </c:pt>
                <c:pt idx="2065">
                  <c:v>0.41308261652332018</c:v>
                </c:pt>
                <c:pt idx="2066">
                  <c:v>0.41328265653132179</c:v>
                </c:pt>
                <c:pt idx="2067">
                  <c:v>0.4134826965393234</c:v>
                </c:pt>
                <c:pt idx="2068">
                  <c:v>0.41368273654732501</c:v>
                </c:pt>
                <c:pt idx="2069">
                  <c:v>0.41388277655532663</c:v>
                </c:pt>
                <c:pt idx="2070">
                  <c:v>0.41408281656332824</c:v>
                </c:pt>
                <c:pt idx="2071">
                  <c:v>0.41428285657132985</c:v>
                </c:pt>
                <c:pt idx="2072">
                  <c:v>0.41448289657933146</c:v>
                </c:pt>
                <c:pt idx="2073">
                  <c:v>0.41468293658733307</c:v>
                </c:pt>
                <c:pt idx="2074">
                  <c:v>0.41488297659533468</c:v>
                </c:pt>
                <c:pt idx="2075">
                  <c:v>0.4150830166033363</c:v>
                </c:pt>
                <c:pt idx="2076">
                  <c:v>0.41528305661133791</c:v>
                </c:pt>
                <c:pt idx="2077">
                  <c:v>0.41548309661933952</c:v>
                </c:pt>
                <c:pt idx="2078">
                  <c:v>0.41568313662734113</c:v>
                </c:pt>
                <c:pt idx="2079">
                  <c:v>0.41588317663534274</c:v>
                </c:pt>
                <c:pt idx="2080">
                  <c:v>0.41608321664334436</c:v>
                </c:pt>
                <c:pt idx="2081">
                  <c:v>0.41628325665134597</c:v>
                </c:pt>
                <c:pt idx="2082">
                  <c:v>0.41648329665934758</c:v>
                </c:pt>
                <c:pt idx="2083">
                  <c:v>0.41668333666734919</c:v>
                </c:pt>
                <c:pt idx="2084">
                  <c:v>0.4168833766753508</c:v>
                </c:pt>
                <c:pt idx="2085">
                  <c:v>0.41708341668335241</c:v>
                </c:pt>
                <c:pt idx="2086">
                  <c:v>0.41728345669135403</c:v>
                </c:pt>
                <c:pt idx="2087">
                  <c:v>0.41748349669935564</c:v>
                </c:pt>
                <c:pt idx="2088">
                  <c:v>0.41768353670735725</c:v>
                </c:pt>
                <c:pt idx="2089">
                  <c:v>0.41788357671535886</c:v>
                </c:pt>
                <c:pt idx="2090">
                  <c:v>0.41808361672336047</c:v>
                </c:pt>
                <c:pt idx="2091">
                  <c:v>0.41828365673136209</c:v>
                </c:pt>
                <c:pt idx="2092">
                  <c:v>0.4184836967393637</c:v>
                </c:pt>
                <c:pt idx="2093">
                  <c:v>0.41868373674736531</c:v>
                </c:pt>
                <c:pt idx="2094">
                  <c:v>0.41888377675536692</c:v>
                </c:pt>
                <c:pt idx="2095">
                  <c:v>0.41908381676336853</c:v>
                </c:pt>
                <c:pt idx="2096">
                  <c:v>0.41928385677137014</c:v>
                </c:pt>
                <c:pt idx="2097">
                  <c:v>0.41948389677937176</c:v>
                </c:pt>
                <c:pt idx="2098">
                  <c:v>0.41968393678737337</c:v>
                </c:pt>
                <c:pt idx="2099">
                  <c:v>0.41988397679537498</c:v>
                </c:pt>
                <c:pt idx="2100">
                  <c:v>0.42008401680337659</c:v>
                </c:pt>
                <c:pt idx="2101">
                  <c:v>0.4202840568113782</c:v>
                </c:pt>
                <c:pt idx="2102">
                  <c:v>0.42048409681937982</c:v>
                </c:pt>
                <c:pt idx="2103">
                  <c:v>0.42068413682738143</c:v>
                </c:pt>
                <c:pt idx="2104">
                  <c:v>0.42088417683538304</c:v>
                </c:pt>
                <c:pt idx="2105">
                  <c:v>0.42108421684338465</c:v>
                </c:pt>
                <c:pt idx="2106">
                  <c:v>0.42128425685138626</c:v>
                </c:pt>
                <c:pt idx="2107">
                  <c:v>0.42148429685938787</c:v>
                </c:pt>
                <c:pt idx="2108">
                  <c:v>0.42168433686738949</c:v>
                </c:pt>
                <c:pt idx="2109">
                  <c:v>0.4218843768753911</c:v>
                </c:pt>
                <c:pt idx="2110">
                  <c:v>0.42208441688339271</c:v>
                </c:pt>
                <c:pt idx="2111">
                  <c:v>0.42228445689139432</c:v>
                </c:pt>
                <c:pt idx="2112">
                  <c:v>0.42248449689939593</c:v>
                </c:pt>
                <c:pt idx="2113">
                  <c:v>0.42268453690739755</c:v>
                </c:pt>
                <c:pt idx="2114">
                  <c:v>0.42288457691539916</c:v>
                </c:pt>
                <c:pt idx="2115">
                  <c:v>0.42308461692340077</c:v>
                </c:pt>
                <c:pt idx="2116">
                  <c:v>0.42328465693140238</c:v>
                </c:pt>
                <c:pt idx="2117">
                  <c:v>0.42348469693940399</c:v>
                </c:pt>
                <c:pt idx="2118">
                  <c:v>0.4236847369474056</c:v>
                </c:pt>
                <c:pt idx="2119">
                  <c:v>0.42388477695540722</c:v>
                </c:pt>
                <c:pt idx="2120">
                  <c:v>0.42408481696340883</c:v>
                </c:pt>
                <c:pt idx="2121">
                  <c:v>0.42428485697141044</c:v>
                </c:pt>
                <c:pt idx="2122">
                  <c:v>0.42448489697941205</c:v>
                </c:pt>
                <c:pt idx="2123">
                  <c:v>0.42468493698741366</c:v>
                </c:pt>
                <c:pt idx="2124">
                  <c:v>0.42488497699541528</c:v>
                </c:pt>
                <c:pt idx="2125">
                  <c:v>0.42508501700341689</c:v>
                </c:pt>
                <c:pt idx="2126">
                  <c:v>0.4252850570114185</c:v>
                </c:pt>
                <c:pt idx="2127">
                  <c:v>0.42548509701942011</c:v>
                </c:pt>
                <c:pt idx="2128">
                  <c:v>0.42568513702742172</c:v>
                </c:pt>
                <c:pt idx="2129">
                  <c:v>0.42588517703542333</c:v>
                </c:pt>
                <c:pt idx="2130">
                  <c:v>0.42608521704342495</c:v>
                </c:pt>
                <c:pt idx="2131">
                  <c:v>0.42628525705142656</c:v>
                </c:pt>
                <c:pt idx="2132">
                  <c:v>0.42648529705942817</c:v>
                </c:pt>
                <c:pt idx="2133">
                  <c:v>0.42668533706742978</c:v>
                </c:pt>
                <c:pt idx="2134">
                  <c:v>0.42688537707543139</c:v>
                </c:pt>
                <c:pt idx="2135">
                  <c:v>0.42708541708343301</c:v>
                </c:pt>
                <c:pt idx="2136">
                  <c:v>0.42728545709143462</c:v>
                </c:pt>
                <c:pt idx="2137">
                  <c:v>0.42748549709943623</c:v>
                </c:pt>
                <c:pt idx="2138">
                  <c:v>0.42768553710743784</c:v>
                </c:pt>
                <c:pt idx="2139">
                  <c:v>0.42788557711543945</c:v>
                </c:pt>
                <c:pt idx="2140">
                  <c:v>0.42808561712344106</c:v>
                </c:pt>
                <c:pt idx="2141">
                  <c:v>0.42828565713144268</c:v>
                </c:pt>
                <c:pt idx="2142">
                  <c:v>0.42848569713944429</c:v>
                </c:pt>
                <c:pt idx="2143">
                  <c:v>0.4286857371474459</c:v>
                </c:pt>
                <c:pt idx="2144">
                  <c:v>0.42888577715544751</c:v>
                </c:pt>
                <c:pt idx="2145">
                  <c:v>0.42908581716344912</c:v>
                </c:pt>
                <c:pt idx="2146">
                  <c:v>0.42928585717145074</c:v>
                </c:pt>
                <c:pt idx="2147">
                  <c:v>0.42948589717945235</c:v>
                </c:pt>
                <c:pt idx="2148">
                  <c:v>0.42968593718745396</c:v>
                </c:pt>
                <c:pt idx="2149">
                  <c:v>0.42988597719545557</c:v>
                </c:pt>
                <c:pt idx="2150">
                  <c:v>0.43008601720345718</c:v>
                </c:pt>
                <c:pt idx="2151">
                  <c:v>0.43028605721145879</c:v>
                </c:pt>
                <c:pt idx="2152">
                  <c:v>0.43048609721946041</c:v>
                </c:pt>
                <c:pt idx="2153">
                  <c:v>0.43068613722746202</c:v>
                </c:pt>
                <c:pt idx="2154">
                  <c:v>0.43088617723546363</c:v>
                </c:pt>
                <c:pt idx="2155">
                  <c:v>0.43108621724346524</c:v>
                </c:pt>
                <c:pt idx="2156">
                  <c:v>0.43128625725146685</c:v>
                </c:pt>
                <c:pt idx="2157">
                  <c:v>0.43148629725946847</c:v>
                </c:pt>
                <c:pt idx="2158">
                  <c:v>0.43168633726747008</c:v>
                </c:pt>
                <c:pt idx="2159">
                  <c:v>0.43188637727547169</c:v>
                </c:pt>
                <c:pt idx="2160">
                  <c:v>0.4320864172834733</c:v>
                </c:pt>
                <c:pt idx="2161">
                  <c:v>0.43228645729147491</c:v>
                </c:pt>
                <c:pt idx="2162">
                  <c:v>0.43248649729947652</c:v>
                </c:pt>
                <c:pt idx="2163">
                  <c:v>0.43268653730747814</c:v>
                </c:pt>
                <c:pt idx="2164">
                  <c:v>0.43288657731547975</c:v>
                </c:pt>
                <c:pt idx="2165">
                  <c:v>0.43308661732348136</c:v>
                </c:pt>
                <c:pt idx="2166">
                  <c:v>0.43328665733148297</c:v>
                </c:pt>
                <c:pt idx="2167">
                  <c:v>0.43348669733948458</c:v>
                </c:pt>
                <c:pt idx="2168">
                  <c:v>0.4336867373474862</c:v>
                </c:pt>
                <c:pt idx="2169">
                  <c:v>0.43388677735548781</c:v>
                </c:pt>
                <c:pt idx="2170">
                  <c:v>0.43408681736348942</c:v>
                </c:pt>
                <c:pt idx="2171">
                  <c:v>0.43428685737149103</c:v>
                </c:pt>
                <c:pt idx="2172">
                  <c:v>0.43448689737949264</c:v>
                </c:pt>
                <c:pt idx="2173">
                  <c:v>0.43468693738749425</c:v>
                </c:pt>
                <c:pt idx="2174">
                  <c:v>0.43488697739549587</c:v>
                </c:pt>
                <c:pt idx="2175">
                  <c:v>0.43508701740349748</c:v>
                </c:pt>
                <c:pt idx="2176">
                  <c:v>0.43528705741149909</c:v>
                </c:pt>
                <c:pt idx="2177">
                  <c:v>0.4354870974195007</c:v>
                </c:pt>
                <c:pt idx="2178">
                  <c:v>0.43568713742750231</c:v>
                </c:pt>
                <c:pt idx="2179">
                  <c:v>0.43588717743550393</c:v>
                </c:pt>
                <c:pt idx="2180">
                  <c:v>0.43608721744350554</c:v>
                </c:pt>
                <c:pt idx="2181">
                  <c:v>0.43628725745150715</c:v>
                </c:pt>
                <c:pt idx="2182">
                  <c:v>0.43648729745950876</c:v>
                </c:pt>
                <c:pt idx="2183">
                  <c:v>0.43668733746751037</c:v>
                </c:pt>
                <c:pt idx="2184">
                  <c:v>0.43688737747551198</c:v>
                </c:pt>
                <c:pt idx="2185">
                  <c:v>0.4370874174835136</c:v>
                </c:pt>
                <c:pt idx="2186">
                  <c:v>0.43728745749151521</c:v>
                </c:pt>
                <c:pt idx="2187">
                  <c:v>0.43748749749951682</c:v>
                </c:pt>
                <c:pt idx="2188">
                  <c:v>0.43768753750751843</c:v>
                </c:pt>
                <c:pt idx="2189">
                  <c:v>0.43788757751552004</c:v>
                </c:pt>
                <c:pt idx="2190">
                  <c:v>0.43808761752352166</c:v>
                </c:pt>
                <c:pt idx="2191">
                  <c:v>0.43828765753152327</c:v>
                </c:pt>
                <c:pt idx="2192">
                  <c:v>0.43848769753952488</c:v>
                </c:pt>
                <c:pt idx="2193">
                  <c:v>0.43868773754752649</c:v>
                </c:pt>
                <c:pt idx="2194">
                  <c:v>0.4388877775555281</c:v>
                </c:pt>
                <c:pt idx="2195">
                  <c:v>0.43908781756352971</c:v>
                </c:pt>
                <c:pt idx="2196">
                  <c:v>0.43928785757153133</c:v>
                </c:pt>
                <c:pt idx="2197">
                  <c:v>0.43948789757953294</c:v>
                </c:pt>
                <c:pt idx="2198">
                  <c:v>0.43968793758753455</c:v>
                </c:pt>
                <c:pt idx="2199">
                  <c:v>0.43988797759553616</c:v>
                </c:pt>
                <c:pt idx="2200">
                  <c:v>0.44008801760353777</c:v>
                </c:pt>
                <c:pt idx="2201">
                  <c:v>0.44028805761153939</c:v>
                </c:pt>
                <c:pt idx="2202">
                  <c:v>0.440488097619541</c:v>
                </c:pt>
                <c:pt idx="2203">
                  <c:v>0.44068813762754261</c:v>
                </c:pt>
                <c:pt idx="2204">
                  <c:v>0.44088817763554422</c:v>
                </c:pt>
                <c:pt idx="2205">
                  <c:v>0.44108821764354583</c:v>
                </c:pt>
                <c:pt idx="2206">
                  <c:v>0.44128825765154744</c:v>
                </c:pt>
                <c:pt idx="2207">
                  <c:v>0.44148829765954906</c:v>
                </c:pt>
                <c:pt idx="2208">
                  <c:v>0.44168833766755067</c:v>
                </c:pt>
                <c:pt idx="2209">
                  <c:v>0.44188837767555228</c:v>
                </c:pt>
                <c:pt idx="2210">
                  <c:v>0.44208841768355389</c:v>
                </c:pt>
                <c:pt idx="2211">
                  <c:v>0.4422884576915555</c:v>
                </c:pt>
                <c:pt idx="2212">
                  <c:v>0.44248849769955712</c:v>
                </c:pt>
                <c:pt idx="2213">
                  <c:v>0.44268853770755873</c:v>
                </c:pt>
                <c:pt idx="2214">
                  <c:v>0.44288857771556034</c:v>
                </c:pt>
                <c:pt idx="2215">
                  <c:v>0.44308861772356195</c:v>
                </c:pt>
                <c:pt idx="2216">
                  <c:v>0.44328865773156356</c:v>
                </c:pt>
                <c:pt idx="2217">
                  <c:v>0.44348869773956517</c:v>
                </c:pt>
                <c:pt idx="2218">
                  <c:v>0.44368873774756679</c:v>
                </c:pt>
                <c:pt idx="2219">
                  <c:v>0.4438887777555684</c:v>
                </c:pt>
                <c:pt idx="2220">
                  <c:v>0.44408881776357001</c:v>
                </c:pt>
                <c:pt idx="2221">
                  <c:v>0.44428885777157162</c:v>
                </c:pt>
                <c:pt idx="2222">
                  <c:v>0.44448889777957323</c:v>
                </c:pt>
                <c:pt idx="2223">
                  <c:v>0.44468893778757485</c:v>
                </c:pt>
                <c:pt idx="2224">
                  <c:v>0.44488897779557646</c:v>
                </c:pt>
                <c:pt idx="2225">
                  <c:v>0.44508901780357807</c:v>
                </c:pt>
                <c:pt idx="2226">
                  <c:v>0.44528905781157968</c:v>
                </c:pt>
                <c:pt idx="2227">
                  <c:v>0.44548909781958129</c:v>
                </c:pt>
                <c:pt idx="2228">
                  <c:v>0.4456891378275829</c:v>
                </c:pt>
                <c:pt idx="2229">
                  <c:v>0.44588917783558452</c:v>
                </c:pt>
                <c:pt idx="2230">
                  <c:v>0.44608921784358613</c:v>
                </c:pt>
                <c:pt idx="2231">
                  <c:v>0.44628925785158774</c:v>
                </c:pt>
                <c:pt idx="2232">
                  <c:v>0.44648929785958935</c:v>
                </c:pt>
                <c:pt idx="2233">
                  <c:v>0.44668933786759096</c:v>
                </c:pt>
                <c:pt idx="2234">
                  <c:v>0.44688937787559257</c:v>
                </c:pt>
                <c:pt idx="2235">
                  <c:v>0.44708941788359419</c:v>
                </c:pt>
                <c:pt idx="2236">
                  <c:v>0.4472894578915958</c:v>
                </c:pt>
                <c:pt idx="2237">
                  <c:v>0.44748949789959741</c:v>
                </c:pt>
                <c:pt idx="2238">
                  <c:v>0.44768953790759902</c:v>
                </c:pt>
                <c:pt idx="2239">
                  <c:v>0.44788957791560063</c:v>
                </c:pt>
                <c:pt idx="2240">
                  <c:v>0.44808961792360225</c:v>
                </c:pt>
                <c:pt idx="2241">
                  <c:v>0.44828965793160386</c:v>
                </c:pt>
                <c:pt idx="2242">
                  <c:v>0.44848969793960547</c:v>
                </c:pt>
                <c:pt idx="2243">
                  <c:v>0.44868973794760708</c:v>
                </c:pt>
                <c:pt idx="2244">
                  <c:v>0.44888977795560869</c:v>
                </c:pt>
                <c:pt idx="2245">
                  <c:v>0.4490898179636103</c:v>
                </c:pt>
                <c:pt idx="2246">
                  <c:v>0.44928985797161192</c:v>
                </c:pt>
                <c:pt idx="2247">
                  <c:v>0.44948989797961353</c:v>
                </c:pt>
                <c:pt idx="2248">
                  <c:v>0.44968993798761514</c:v>
                </c:pt>
                <c:pt idx="2249">
                  <c:v>0.44988997799561675</c:v>
                </c:pt>
                <c:pt idx="2250">
                  <c:v>0.45009001800361836</c:v>
                </c:pt>
                <c:pt idx="2251">
                  <c:v>0.45029005801161998</c:v>
                </c:pt>
                <c:pt idx="2252">
                  <c:v>0.45049009801962159</c:v>
                </c:pt>
                <c:pt idx="2253">
                  <c:v>0.4506901380276232</c:v>
                </c:pt>
                <c:pt idx="2254">
                  <c:v>0.45089017803562481</c:v>
                </c:pt>
                <c:pt idx="2255">
                  <c:v>0.45109021804362642</c:v>
                </c:pt>
                <c:pt idx="2256">
                  <c:v>0.45129025805162803</c:v>
                </c:pt>
                <c:pt idx="2257">
                  <c:v>0.45149029805962965</c:v>
                </c:pt>
                <c:pt idx="2258">
                  <c:v>0.45169033806763126</c:v>
                </c:pt>
                <c:pt idx="2259">
                  <c:v>0.45189037807563287</c:v>
                </c:pt>
                <c:pt idx="2260">
                  <c:v>0.45209041808363448</c:v>
                </c:pt>
                <c:pt idx="2261">
                  <c:v>0.45229045809163609</c:v>
                </c:pt>
                <c:pt idx="2262">
                  <c:v>0.45249049809963771</c:v>
                </c:pt>
                <c:pt idx="2263">
                  <c:v>0.45269053810763932</c:v>
                </c:pt>
                <c:pt idx="2264">
                  <c:v>0.45289057811564093</c:v>
                </c:pt>
                <c:pt idx="2265">
                  <c:v>0.45309061812364254</c:v>
                </c:pt>
                <c:pt idx="2266">
                  <c:v>0.45329065813164415</c:v>
                </c:pt>
                <c:pt idx="2267">
                  <c:v>0.45349069813964576</c:v>
                </c:pt>
                <c:pt idx="2268">
                  <c:v>0.45369073814764738</c:v>
                </c:pt>
                <c:pt idx="2269">
                  <c:v>0.45389077815564899</c:v>
                </c:pt>
                <c:pt idx="2270">
                  <c:v>0.4540908181636506</c:v>
                </c:pt>
                <c:pt idx="2271">
                  <c:v>0.45429085817165221</c:v>
                </c:pt>
                <c:pt idx="2272">
                  <c:v>0.45449089817965382</c:v>
                </c:pt>
                <c:pt idx="2273">
                  <c:v>0.45469093818765544</c:v>
                </c:pt>
                <c:pt idx="2274">
                  <c:v>0.45489097819565705</c:v>
                </c:pt>
                <c:pt idx="2275">
                  <c:v>0.45509101820365866</c:v>
                </c:pt>
                <c:pt idx="2276">
                  <c:v>0.45529105821166027</c:v>
                </c:pt>
                <c:pt idx="2277">
                  <c:v>0.45549109821966188</c:v>
                </c:pt>
                <c:pt idx="2278">
                  <c:v>0.45569113822766349</c:v>
                </c:pt>
                <c:pt idx="2279">
                  <c:v>0.45589117823566511</c:v>
                </c:pt>
                <c:pt idx="2280">
                  <c:v>0.45609121824366672</c:v>
                </c:pt>
                <c:pt idx="2281">
                  <c:v>0.45629125825166833</c:v>
                </c:pt>
                <c:pt idx="2282">
                  <c:v>0.45649129825966994</c:v>
                </c:pt>
                <c:pt idx="2283">
                  <c:v>0.45669133826767155</c:v>
                </c:pt>
                <c:pt idx="2284">
                  <c:v>0.45689137827567317</c:v>
                </c:pt>
                <c:pt idx="2285">
                  <c:v>0.45709141828367478</c:v>
                </c:pt>
                <c:pt idx="2286">
                  <c:v>0.45729145829167639</c:v>
                </c:pt>
                <c:pt idx="2287">
                  <c:v>0.457491498299678</c:v>
                </c:pt>
                <c:pt idx="2288">
                  <c:v>0.45769153830767961</c:v>
                </c:pt>
                <c:pt idx="2289">
                  <c:v>0.45789157831568122</c:v>
                </c:pt>
                <c:pt idx="2290">
                  <c:v>0.45809161832368284</c:v>
                </c:pt>
                <c:pt idx="2291">
                  <c:v>0.45829165833168445</c:v>
                </c:pt>
                <c:pt idx="2292">
                  <c:v>0.45849169833968606</c:v>
                </c:pt>
                <c:pt idx="2293">
                  <c:v>0.45869173834768767</c:v>
                </c:pt>
                <c:pt idx="2294">
                  <c:v>0.45889177835568928</c:v>
                </c:pt>
                <c:pt idx="2295">
                  <c:v>0.4590918183636909</c:v>
                </c:pt>
                <c:pt idx="2296">
                  <c:v>0.45929185837169251</c:v>
                </c:pt>
                <c:pt idx="2297">
                  <c:v>0.45949189837969412</c:v>
                </c:pt>
                <c:pt idx="2298">
                  <c:v>0.45969193838769573</c:v>
                </c:pt>
                <c:pt idx="2299">
                  <c:v>0.45989197839569734</c:v>
                </c:pt>
                <c:pt idx="2300">
                  <c:v>0.46009201840369895</c:v>
                </c:pt>
                <c:pt idx="2301">
                  <c:v>0.46029205841170057</c:v>
                </c:pt>
                <c:pt idx="2302">
                  <c:v>0.46049209841970218</c:v>
                </c:pt>
                <c:pt idx="2303">
                  <c:v>0.46069213842770379</c:v>
                </c:pt>
                <c:pt idx="2304">
                  <c:v>0.4608921784357054</c:v>
                </c:pt>
                <c:pt idx="2305">
                  <c:v>0.46109221844370701</c:v>
                </c:pt>
                <c:pt idx="2306">
                  <c:v>0.46129225845170863</c:v>
                </c:pt>
                <c:pt idx="2307">
                  <c:v>0.46149229845971024</c:v>
                </c:pt>
                <c:pt idx="2308">
                  <c:v>0.46169233846771185</c:v>
                </c:pt>
                <c:pt idx="2309">
                  <c:v>0.46189237847571346</c:v>
                </c:pt>
                <c:pt idx="2310">
                  <c:v>0.46209241848371507</c:v>
                </c:pt>
                <c:pt idx="2311">
                  <c:v>0.46229245849171668</c:v>
                </c:pt>
                <c:pt idx="2312">
                  <c:v>0.4624924984997183</c:v>
                </c:pt>
                <c:pt idx="2313">
                  <c:v>0.46269253850771991</c:v>
                </c:pt>
                <c:pt idx="2314">
                  <c:v>0.46289257851572152</c:v>
                </c:pt>
                <c:pt idx="2315">
                  <c:v>0.46309261852372313</c:v>
                </c:pt>
                <c:pt idx="2316">
                  <c:v>0.46329265853172474</c:v>
                </c:pt>
                <c:pt idx="2317">
                  <c:v>0.46349269853972636</c:v>
                </c:pt>
                <c:pt idx="2318">
                  <c:v>0.46369273854772797</c:v>
                </c:pt>
                <c:pt idx="2319">
                  <c:v>0.46389277855572958</c:v>
                </c:pt>
                <c:pt idx="2320">
                  <c:v>0.46409281856373119</c:v>
                </c:pt>
                <c:pt idx="2321">
                  <c:v>0.4642928585717328</c:v>
                </c:pt>
                <c:pt idx="2322">
                  <c:v>0.46449289857973441</c:v>
                </c:pt>
                <c:pt idx="2323">
                  <c:v>0.46469293858773603</c:v>
                </c:pt>
                <c:pt idx="2324">
                  <c:v>0.46489297859573764</c:v>
                </c:pt>
                <c:pt idx="2325">
                  <c:v>0.46509301860373925</c:v>
                </c:pt>
                <c:pt idx="2326">
                  <c:v>0.46529305861174086</c:v>
                </c:pt>
                <c:pt idx="2327">
                  <c:v>0.46549309861974247</c:v>
                </c:pt>
                <c:pt idx="2328">
                  <c:v>0.46569313862774409</c:v>
                </c:pt>
                <c:pt idx="2329">
                  <c:v>0.4658931786357457</c:v>
                </c:pt>
                <c:pt idx="2330">
                  <c:v>0.46609321864374731</c:v>
                </c:pt>
                <c:pt idx="2331">
                  <c:v>0.46629325865174892</c:v>
                </c:pt>
                <c:pt idx="2332">
                  <c:v>0.46649329865975053</c:v>
                </c:pt>
                <c:pt idx="2333">
                  <c:v>0.46669333866775214</c:v>
                </c:pt>
                <c:pt idx="2334">
                  <c:v>0.46689337867575376</c:v>
                </c:pt>
                <c:pt idx="2335">
                  <c:v>0.46709341868375537</c:v>
                </c:pt>
                <c:pt idx="2336">
                  <c:v>0.46729345869175698</c:v>
                </c:pt>
                <c:pt idx="2337">
                  <c:v>0.46749349869975859</c:v>
                </c:pt>
                <c:pt idx="2338">
                  <c:v>0.4676935387077602</c:v>
                </c:pt>
                <c:pt idx="2339">
                  <c:v>0.46789357871576182</c:v>
                </c:pt>
                <c:pt idx="2340">
                  <c:v>0.46809361872376343</c:v>
                </c:pt>
                <c:pt idx="2341">
                  <c:v>0.46829365873176504</c:v>
                </c:pt>
                <c:pt idx="2342">
                  <c:v>0.46849369873976665</c:v>
                </c:pt>
                <c:pt idx="2343">
                  <c:v>0.46869373874776826</c:v>
                </c:pt>
                <c:pt idx="2344">
                  <c:v>0.46889377875576987</c:v>
                </c:pt>
                <c:pt idx="2345">
                  <c:v>0.46909381876377149</c:v>
                </c:pt>
                <c:pt idx="2346">
                  <c:v>0.4692938587717731</c:v>
                </c:pt>
                <c:pt idx="2347">
                  <c:v>0.46949389877977471</c:v>
                </c:pt>
                <c:pt idx="2348">
                  <c:v>0.46969393878777632</c:v>
                </c:pt>
                <c:pt idx="2349">
                  <c:v>0.46989397879577793</c:v>
                </c:pt>
                <c:pt idx="2350">
                  <c:v>0.47009401880377955</c:v>
                </c:pt>
                <c:pt idx="2351">
                  <c:v>0.47029405881178116</c:v>
                </c:pt>
                <c:pt idx="2352">
                  <c:v>0.47049409881978277</c:v>
                </c:pt>
                <c:pt idx="2353">
                  <c:v>0.47069413882778438</c:v>
                </c:pt>
                <c:pt idx="2354">
                  <c:v>0.47089417883578599</c:v>
                </c:pt>
                <c:pt idx="2355">
                  <c:v>0.4710942188437876</c:v>
                </c:pt>
                <c:pt idx="2356">
                  <c:v>0.47129425885178922</c:v>
                </c:pt>
                <c:pt idx="2357">
                  <c:v>0.47149429885979083</c:v>
                </c:pt>
                <c:pt idx="2358">
                  <c:v>0.47169433886779244</c:v>
                </c:pt>
                <c:pt idx="2359">
                  <c:v>0.47189437887579405</c:v>
                </c:pt>
                <c:pt idx="2360">
                  <c:v>0.47209441888379566</c:v>
                </c:pt>
                <c:pt idx="2361">
                  <c:v>0.47229445889179728</c:v>
                </c:pt>
                <c:pt idx="2362">
                  <c:v>0.47249449889979889</c:v>
                </c:pt>
                <c:pt idx="2363">
                  <c:v>0.4726945389078005</c:v>
                </c:pt>
                <c:pt idx="2364">
                  <c:v>0.47289457891580211</c:v>
                </c:pt>
                <c:pt idx="2365">
                  <c:v>0.47309461892380372</c:v>
                </c:pt>
                <c:pt idx="2366">
                  <c:v>0.47329465893180533</c:v>
                </c:pt>
                <c:pt idx="2367">
                  <c:v>0.47349469893980695</c:v>
                </c:pt>
                <c:pt idx="2368">
                  <c:v>0.47369473894780856</c:v>
                </c:pt>
                <c:pt idx="2369">
                  <c:v>0.47389477895581017</c:v>
                </c:pt>
                <c:pt idx="2370">
                  <c:v>0.47409481896381178</c:v>
                </c:pt>
                <c:pt idx="2371">
                  <c:v>0.47429485897181339</c:v>
                </c:pt>
                <c:pt idx="2372">
                  <c:v>0.47449489897981501</c:v>
                </c:pt>
                <c:pt idx="2373">
                  <c:v>0.47469493898781662</c:v>
                </c:pt>
                <c:pt idx="2374">
                  <c:v>0.47489497899581823</c:v>
                </c:pt>
                <c:pt idx="2375">
                  <c:v>0.47509501900381984</c:v>
                </c:pt>
                <c:pt idx="2376">
                  <c:v>0.47529505901182145</c:v>
                </c:pt>
                <c:pt idx="2377">
                  <c:v>0.47549509901982306</c:v>
                </c:pt>
                <c:pt idx="2378">
                  <c:v>0.47569513902782468</c:v>
                </c:pt>
                <c:pt idx="2379">
                  <c:v>0.47589517903582629</c:v>
                </c:pt>
                <c:pt idx="2380">
                  <c:v>0.4760952190438279</c:v>
                </c:pt>
                <c:pt idx="2381">
                  <c:v>0.47629525905182951</c:v>
                </c:pt>
                <c:pt idx="2382">
                  <c:v>0.47649529905983112</c:v>
                </c:pt>
                <c:pt idx="2383">
                  <c:v>0.47669533906783274</c:v>
                </c:pt>
                <c:pt idx="2384">
                  <c:v>0.47689537907583435</c:v>
                </c:pt>
                <c:pt idx="2385">
                  <c:v>0.47709541908383596</c:v>
                </c:pt>
                <c:pt idx="2386">
                  <c:v>0.47729545909183757</c:v>
                </c:pt>
                <c:pt idx="2387">
                  <c:v>0.47749549909983918</c:v>
                </c:pt>
                <c:pt idx="2388">
                  <c:v>0.47769553910784079</c:v>
                </c:pt>
                <c:pt idx="2389">
                  <c:v>0.47789557911584241</c:v>
                </c:pt>
                <c:pt idx="2390">
                  <c:v>0.47809561912384402</c:v>
                </c:pt>
                <c:pt idx="2391">
                  <c:v>0.47829565913184563</c:v>
                </c:pt>
                <c:pt idx="2392">
                  <c:v>0.47849569913984724</c:v>
                </c:pt>
                <c:pt idx="2393">
                  <c:v>0.47869573914784885</c:v>
                </c:pt>
                <c:pt idx="2394">
                  <c:v>0.47889577915585047</c:v>
                </c:pt>
                <c:pt idx="2395">
                  <c:v>0.47909581916385208</c:v>
                </c:pt>
                <c:pt idx="2396">
                  <c:v>0.47929585917185369</c:v>
                </c:pt>
                <c:pt idx="2397">
                  <c:v>0.4794958991798553</c:v>
                </c:pt>
                <c:pt idx="2398">
                  <c:v>0.47969593918785691</c:v>
                </c:pt>
                <c:pt idx="2399">
                  <c:v>0.47989597919585852</c:v>
                </c:pt>
                <c:pt idx="2400">
                  <c:v>0.48009601920386014</c:v>
                </c:pt>
                <c:pt idx="2401">
                  <c:v>0.48029605921186175</c:v>
                </c:pt>
                <c:pt idx="2402">
                  <c:v>0.48049609921986336</c:v>
                </c:pt>
                <c:pt idx="2403">
                  <c:v>0.48069613922786497</c:v>
                </c:pt>
                <c:pt idx="2404">
                  <c:v>0.48089617923586658</c:v>
                </c:pt>
                <c:pt idx="2405">
                  <c:v>0.4810962192438682</c:v>
                </c:pt>
                <c:pt idx="2406">
                  <c:v>0.48129625925186981</c:v>
                </c:pt>
                <c:pt idx="2407">
                  <c:v>0.48149629925987142</c:v>
                </c:pt>
                <c:pt idx="2408">
                  <c:v>0.48169633926787303</c:v>
                </c:pt>
                <c:pt idx="2409">
                  <c:v>0.48189637927587464</c:v>
                </c:pt>
                <c:pt idx="2410">
                  <c:v>0.48209641928387625</c:v>
                </c:pt>
                <c:pt idx="2411">
                  <c:v>0.48229645929187787</c:v>
                </c:pt>
                <c:pt idx="2412">
                  <c:v>0.48249649929987948</c:v>
                </c:pt>
                <c:pt idx="2413">
                  <c:v>0.48269653930788109</c:v>
                </c:pt>
                <c:pt idx="2414">
                  <c:v>0.4828965793158827</c:v>
                </c:pt>
                <c:pt idx="2415">
                  <c:v>0.48309661932388431</c:v>
                </c:pt>
                <c:pt idx="2416">
                  <c:v>0.48329665933188592</c:v>
                </c:pt>
                <c:pt idx="2417">
                  <c:v>0.48349669933988754</c:v>
                </c:pt>
                <c:pt idx="2418">
                  <c:v>0.48369673934788915</c:v>
                </c:pt>
                <c:pt idx="2419">
                  <c:v>0.48389677935589076</c:v>
                </c:pt>
                <c:pt idx="2420">
                  <c:v>0.48409681936389237</c:v>
                </c:pt>
                <c:pt idx="2421">
                  <c:v>0.48429685937189398</c:v>
                </c:pt>
                <c:pt idx="2422">
                  <c:v>0.4844968993798956</c:v>
                </c:pt>
                <c:pt idx="2423">
                  <c:v>0.48469693938789721</c:v>
                </c:pt>
                <c:pt idx="2424">
                  <c:v>0.48489697939589882</c:v>
                </c:pt>
                <c:pt idx="2425">
                  <c:v>0.48509701940390043</c:v>
                </c:pt>
                <c:pt idx="2426">
                  <c:v>0.48529705941190204</c:v>
                </c:pt>
                <c:pt idx="2427">
                  <c:v>0.48549709941990365</c:v>
                </c:pt>
                <c:pt idx="2428">
                  <c:v>0.48569713942790527</c:v>
                </c:pt>
                <c:pt idx="2429">
                  <c:v>0.48589717943590688</c:v>
                </c:pt>
                <c:pt idx="2430">
                  <c:v>0.48609721944390849</c:v>
                </c:pt>
                <c:pt idx="2431">
                  <c:v>0.4862972594519101</c:v>
                </c:pt>
                <c:pt idx="2432">
                  <c:v>0.48649729945991171</c:v>
                </c:pt>
                <c:pt idx="2433">
                  <c:v>0.48669733946791333</c:v>
                </c:pt>
                <c:pt idx="2434">
                  <c:v>0.48689737947591494</c:v>
                </c:pt>
                <c:pt idx="2435">
                  <c:v>0.48709741948391655</c:v>
                </c:pt>
                <c:pt idx="2436">
                  <c:v>0.48729745949191816</c:v>
                </c:pt>
                <c:pt idx="2437">
                  <c:v>0.48749749949991977</c:v>
                </c:pt>
                <c:pt idx="2438">
                  <c:v>0.48769753950792138</c:v>
                </c:pt>
                <c:pt idx="2439">
                  <c:v>0.487897579515923</c:v>
                </c:pt>
                <c:pt idx="2440">
                  <c:v>0.48809761952392461</c:v>
                </c:pt>
                <c:pt idx="2441">
                  <c:v>0.48829765953192622</c:v>
                </c:pt>
                <c:pt idx="2442">
                  <c:v>0.48849769953992783</c:v>
                </c:pt>
                <c:pt idx="2443">
                  <c:v>0.48869773954792944</c:v>
                </c:pt>
                <c:pt idx="2444">
                  <c:v>0.48889777955593106</c:v>
                </c:pt>
                <c:pt idx="2445">
                  <c:v>0.48909781956393267</c:v>
                </c:pt>
                <c:pt idx="2446">
                  <c:v>0.48929785957193428</c:v>
                </c:pt>
                <c:pt idx="2447">
                  <c:v>0.48949789957993589</c:v>
                </c:pt>
                <c:pt idx="2448">
                  <c:v>0.4896979395879375</c:v>
                </c:pt>
                <c:pt idx="2449">
                  <c:v>0.48989797959593911</c:v>
                </c:pt>
                <c:pt idx="2450">
                  <c:v>0.49009801960394073</c:v>
                </c:pt>
                <c:pt idx="2451">
                  <c:v>0.49029805961194234</c:v>
                </c:pt>
                <c:pt idx="2452">
                  <c:v>0.49049809961994395</c:v>
                </c:pt>
                <c:pt idx="2453">
                  <c:v>0.49069813962794556</c:v>
                </c:pt>
                <c:pt idx="2454">
                  <c:v>0.49089817963594717</c:v>
                </c:pt>
                <c:pt idx="2455">
                  <c:v>0.49109821964394879</c:v>
                </c:pt>
                <c:pt idx="2456">
                  <c:v>0.4912982596519504</c:v>
                </c:pt>
                <c:pt idx="2457">
                  <c:v>0.49149829965995201</c:v>
                </c:pt>
                <c:pt idx="2458">
                  <c:v>0.49169833966795362</c:v>
                </c:pt>
                <c:pt idx="2459">
                  <c:v>0.49189837967595523</c:v>
                </c:pt>
                <c:pt idx="2460">
                  <c:v>0.49209841968395684</c:v>
                </c:pt>
                <c:pt idx="2461">
                  <c:v>0.49229845969195846</c:v>
                </c:pt>
                <c:pt idx="2462">
                  <c:v>0.49249849969996007</c:v>
                </c:pt>
                <c:pt idx="2463">
                  <c:v>0.49269853970796168</c:v>
                </c:pt>
                <c:pt idx="2464">
                  <c:v>0.49289857971596329</c:v>
                </c:pt>
                <c:pt idx="2465">
                  <c:v>0.4930986197239649</c:v>
                </c:pt>
                <c:pt idx="2466">
                  <c:v>0.49329865973196652</c:v>
                </c:pt>
                <c:pt idx="2467">
                  <c:v>0.49349869973996813</c:v>
                </c:pt>
                <c:pt idx="2468">
                  <c:v>0.49369873974796974</c:v>
                </c:pt>
                <c:pt idx="2469">
                  <c:v>0.49389877975597135</c:v>
                </c:pt>
                <c:pt idx="2470">
                  <c:v>0.49409881976397296</c:v>
                </c:pt>
                <c:pt idx="2471">
                  <c:v>0.49429885977197457</c:v>
                </c:pt>
                <c:pt idx="2472">
                  <c:v>0.49449889977997619</c:v>
                </c:pt>
                <c:pt idx="2473">
                  <c:v>0.4946989397879778</c:v>
                </c:pt>
                <c:pt idx="2474">
                  <c:v>0.49489897979597941</c:v>
                </c:pt>
                <c:pt idx="2475">
                  <c:v>0.49509901980398102</c:v>
                </c:pt>
                <c:pt idx="2476">
                  <c:v>0.49529905981198263</c:v>
                </c:pt>
                <c:pt idx="2477">
                  <c:v>0.49549909981998425</c:v>
                </c:pt>
                <c:pt idx="2478">
                  <c:v>0.49569913982798586</c:v>
                </c:pt>
                <c:pt idx="2479">
                  <c:v>0.49589917983598747</c:v>
                </c:pt>
                <c:pt idx="2480">
                  <c:v>0.49609921984398908</c:v>
                </c:pt>
                <c:pt idx="2481">
                  <c:v>0.49629925985199069</c:v>
                </c:pt>
                <c:pt idx="2482">
                  <c:v>0.4964992998599923</c:v>
                </c:pt>
                <c:pt idx="2483">
                  <c:v>0.49669933986799392</c:v>
                </c:pt>
                <c:pt idx="2484">
                  <c:v>0.49689937987599553</c:v>
                </c:pt>
                <c:pt idx="2485">
                  <c:v>0.49709941988399714</c:v>
                </c:pt>
                <c:pt idx="2486">
                  <c:v>0.49729945989199875</c:v>
                </c:pt>
                <c:pt idx="2487">
                  <c:v>0.49749949990000036</c:v>
                </c:pt>
                <c:pt idx="2488">
                  <c:v>0.49769953990800198</c:v>
                </c:pt>
                <c:pt idx="2489">
                  <c:v>0.49789957991600359</c:v>
                </c:pt>
                <c:pt idx="2490">
                  <c:v>0.4980996199240052</c:v>
                </c:pt>
                <c:pt idx="2491">
                  <c:v>0.49829965993200681</c:v>
                </c:pt>
                <c:pt idx="2492">
                  <c:v>0.49849969994000842</c:v>
                </c:pt>
                <c:pt idx="2493">
                  <c:v>0.49869973994801003</c:v>
                </c:pt>
                <c:pt idx="2494">
                  <c:v>0.49889977995601165</c:v>
                </c:pt>
                <c:pt idx="2495">
                  <c:v>0.49909981996401326</c:v>
                </c:pt>
                <c:pt idx="2496">
                  <c:v>0.49929985997201487</c:v>
                </c:pt>
                <c:pt idx="2497">
                  <c:v>0.49949989998001648</c:v>
                </c:pt>
                <c:pt idx="2498">
                  <c:v>0.49969993998801809</c:v>
                </c:pt>
                <c:pt idx="2499">
                  <c:v>0.49989997999601971</c:v>
                </c:pt>
                <c:pt idx="2500">
                  <c:v>0.50010002000402132</c:v>
                </c:pt>
                <c:pt idx="2501">
                  <c:v>0.50030006001202287</c:v>
                </c:pt>
                <c:pt idx="2502">
                  <c:v>0.50050010002002443</c:v>
                </c:pt>
                <c:pt idx="2503">
                  <c:v>0.50070014002802599</c:v>
                </c:pt>
                <c:pt idx="2504">
                  <c:v>0.50090018003602754</c:v>
                </c:pt>
                <c:pt idx="2505">
                  <c:v>0.5011002200440291</c:v>
                </c:pt>
                <c:pt idx="2506">
                  <c:v>0.50130026005203066</c:v>
                </c:pt>
                <c:pt idx="2507">
                  <c:v>0.50150030006003221</c:v>
                </c:pt>
                <c:pt idx="2508">
                  <c:v>0.50170034006803377</c:v>
                </c:pt>
                <c:pt idx="2509">
                  <c:v>0.50190038007603532</c:v>
                </c:pt>
                <c:pt idx="2510">
                  <c:v>0.50210042008403688</c:v>
                </c:pt>
                <c:pt idx="2511">
                  <c:v>0.50230046009203844</c:v>
                </c:pt>
                <c:pt idx="2512">
                  <c:v>0.50250050010003999</c:v>
                </c:pt>
                <c:pt idx="2513">
                  <c:v>0.50270054010804155</c:v>
                </c:pt>
                <c:pt idx="2514">
                  <c:v>0.50290058011604311</c:v>
                </c:pt>
                <c:pt idx="2515">
                  <c:v>0.50310062012404466</c:v>
                </c:pt>
                <c:pt idx="2516">
                  <c:v>0.50330066013204622</c:v>
                </c:pt>
                <c:pt idx="2517">
                  <c:v>0.50350070014004777</c:v>
                </c:pt>
                <c:pt idx="2518">
                  <c:v>0.50370074014804933</c:v>
                </c:pt>
                <c:pt idx="2519">
                  <c:v>0.50390078015605089</c:v>
                </c:pt>
                <c:pt idx="2520">
                  <c:v>0.50410082016405244</c:v>
                </c:pt>
                <c:pt idx="2521">
                  <c:v>0.504300860172054</c:v>
                </c:pt>
                <c:pt idx="2522">
                  <c:v>0.50450090018005556</c:v>
                </c:pt>
                <c:pt idx="2523">
                  <c:v>0.50470094018805711</c:v>
                </c:pt>
                <c:pt idx="2524">
                  <c:v>0.50490098019605867</c:v>
                </c:pt>
                <c:pt idx="2525">
                  <c:v>0.50510102020406022</c:v>
                </c:pt>
                <c:pt idx="2526">
                  <c:v>0.50530106021206178</c:v>
                </c:pt>
                <c:pt idx="2527">
                  <c:v>0.50550110022006334</c:v>
                </c:pt>
                <c:pt idx="2528">
                  <c:v>0.50570114022806489</c:v>
                </c:pt>
                <c:pt idx="2529">
                  <c:v>0.50590118023606645</c:v>
                </c:pt>
                <c:pt idx="2530">
                  <c:v>0.50610122024406801</c:v>
                </c:pt>
                <c:pt idx="2531">
                  <c:v>0.50630126025206956</c:v>
                </c:pt>
                <c:pt idx="2532">
                  <c:v>0.50650130026007112</c:v>
                </c:pt>
                <c:pt idx="2533">
                  <c:v>0.50670134026807268</c:v>
                </c:pt>
                <c:pt idx="2534">
                  <c:v>0.50690138027607423</c:v>
                </c:pt>
                <c:pt idx="2535">
                  <c:v>0.50710142028407579</c:v>
                </c:pt>
                <c:pt idx="2536">
                  <c:v>0.50730146029207734</c:v>
                </c:pt>
                <c:pt idx="2537">
                  <c:v>0.5075015003000789</c:v>
                </c:pt>
                <c:pt idx="2538">
                  <c:v>0.50770154030808046</c:v>
                </c:pt>
                <c:pt idx="2539">
                  <c:v>0.50790158031608201</c:v>
                </c:pt>
                <c:pt idx="2540">
                  <c:v>0.50810162032408357</c:v>
                </c:pt>
                <c:pt idx="2541">
                  <c:v>0.50830166033208513</c:v>
                </c:pt>
                <c:pt idx="2542">
                  <c:v>0.50850170034008668</c:v>
                </c:pt>
                <c:pt idx="2543">
                  <c:v>0.50870174034808824</c:v>
                </c:pt>
                <c:pt idx="2544">
                  <c:v>0.50890178035608979</c:v>
                </c:pt>
                <c:pt idx="2545">
                  <c:v>0.50910182036409135</c:v>
                </c:pt>
                <c:pt idx="2546">
                  <c:v>0.50930186037209291</c:v>
                </c:pt>
                <c:pt idx="2547">
                  <c:v>0.50950190038009446</c:v>
                </c:pt>
                <c:pt idx="2548">
                  <c:v>0.50970194038809602</c:v>
                </c:pt>
                <c:pt idx="2549">
                  <c:v>0.50990198039609758</c:v>
                </c:pt>
                <c:pt idx="2550">
                  <c:v>0.51010202040409913</c:v>
                </c:pt>
                <c:pt idx="2551">
                  <c:v>0.51030206041210069</c:v>
                </c:pt>
                <c:pt idx="2552">
                  <c:v>0.51050210042010224</c:v>
                </c:pt>
                <c:pt idx="2553">
                  <c:v>0.5107021404281038</c:v>
                </c:pt>
                <c:pt idx="2554">
                  <c:v>0.51090218043610536</c:v>
                </c:pt>
                <c:pt idx="2555">
                  <c:v>0.51110222044410691</c:v>
                </c:pt>
                <c:pt idx="2556">
                  <c:v>0.51130226045210847</c:v>
                </c:pt>
                <c:pt idx="2557">
                  <c:v>0.51150230046011003</c:v>
                </c:pt>
                <c:pt idx="2558">
                  <c:v>0.51170234046811158</c:v>
                </c:pt>
                <c:pt idx="2559">
                  <c:v>0.51190238047611314</c:v>
                </c:pt>
                <c:pt idx="2560">
                  <c:v>0.5121024204841147</c:v>
                </c:pt>
                <c:pt idx="2561">
                  <c:v>0.51230246049211625</c:v>
                </c:pt>
                <c:pt idx="2562">
                  <c:v>0.51250250050011781</c:v>
                </c:pt>
                <c:pt idx="2563">
                  <c:v>0.51270254050811936</c:v>
                </c:pt>
                <c:pt idx="2564">
                  <c:v>0.51290258051612092</c:v>
                </c:pt>
                <c:pt idx="2565">
                  <c:v>0.51310262052412248</c:v>
                </c:pt>
                <c:pt idx="2566">
                  <c:v>0.51330266053212403</c:v>
                </c:pt>
                <c:pt idx="2567">
                  <c:v>0.51350270054012559</c:v>
                </c:pt>
                <c:pt idx="2568">
                  <c:v>0.51370274054812715</c:v>
                </c:pt>
                <c:pt idx="2569">
                  <c:v>0.5139027805561287</c:v>
                </c:pt>
                <c:pt idx="2570">
                  <c:v>0.51410282056413026</c:v>
                </c:pt>
                <c:pt idx="2571">
                  <c:v>0.51430286057213181</c:v>
                </c:pt>
                <c:pt idx="2572">
                  <c:v>0.51450290058013337</c:v>
                </c:pt>
                <c:pt idx="2573">
                  <c:v>0.51470294058813493</c:v>
                </c:pt>
                <c:pt idx="2574">
                  <c:v>0.51490298059613648</c:v>
                </c:pt>
                <c:pt idx="2575">
                  <c:v>0.51510302060413804</c:v>
                </c:pt>
                <c:pt idx="2576">
                  <c:v>0.5153030606121396</c:v>
                </c:pt>
                <c:pt idx="2577">
                  <c:v>0.51550310062014115</c:v>
                </c:pt>
                <c:pt idx="2578">
                  <c:v>0.51570314062814271</c:v>
                </c:pt>
                <c:pt idx="2579">
                  <c:v>0.51590318063614427</c:v>
                </c:pt>
                <c:pt idx="2580">
                  <c:v>0.51610322064414582</c:v>
                </c:pt>
                <c:pt idx="2581">
                  <c:v>0.51630326065214738</c:v>
                </c:pt>
                <c:pt idx="2582">
                  <c:v>0.51650330066014893</c:v>
                </c:pt>
                <c:pt idx="2583">
                  <c:v>0.51670334066815049</c:v>
                </c:pt>
                <c:pt idx="2584">
                  <c:v>0.51690338067615205</c:v>
                </c:pt>
                <c:pt idx="2585">
                  <c:v>0.5171034206841536</c:v>
                </c:pt>
                <c:pt idx="2586">
                  <c:v>0.51730346069215516</c:v>
                </c:pt>
                <c:pt idx="2587">
                  <c:v>0.51750350070015672</c:v>
                </c:pt>
                <c:pt idx="2588">
                  <c:v>0.51770354070815827</c:v>
                </c:pt>
                <c:pt idx="2589">
                  <c:v>0.51790358071615983</c:v>
                </c:pt>
                <c:pt idx="2590">
                  <c:v>0.51810362072416138</c:v>
                </c:pt>
                <c:pt idx="2591">
                  <c:v>0.51830366073216294</c:v>
                </c:pt>
                <c:pt idx="2592">
                  <c:v>0.5185037007401645</c:v>
                </c:pt>
                <c:pt idx="2593">
                  <c:v>0.51870374074816605</c:v>
                </c:pt>
                <c:pt idx="2594">
                  <c:v>0.51890378075616761</c:v>
                </c:pt>
                <c:pt idx="2595">
                  <c:v>0.51910382076416917</c:v>
                </c:pt>
                <c:pt idx="2596">
                  <c:v>0.51930386077217072</c:v>
                </c:pt>
                <c:pt idx="2597">
                  <c:v>0.51950390078017228</c:v>
                </c:pt>
                <c:pt idx="2598">
                  <c:v>0.51970394078817383</c:v>
                </c:pt>
                <c:pt idx="2599">
                  <c:v>0.51990398079617539</c:v>
                </c:pt>
                <c:pt idx="2600">
                  <c:v>0.52010402080417695</c:v>
                </c:pt>
                <c:pt idx="2601">
                  <c:v>0.5203040608121785</c:v>
                </c:pt>
                <c:pt idx="2602">
                  <c:v>0.52050410082018006</c:v>
                </c:pt>
                <c:pt idx="2603">
                  <c:v>0.52070414082818162</c:v>
                </c:pt>
                <c:pt idx="2604">
                  <c:v>0.52090418083618317</c:v>
                </c:pt>
                <c:pt idx="2605">
                  <c:v>0.52110422084418473</c:v>
                </c:pt>
                <c:pt idx="2606">
                  <c:v>0.52130426085218629</c:v>
                </c:pt>
                <c:pt idx="2607">
                  <c:v>0.52150430086018784</c:v>
                </c:pt>
                <c:pt idx="2608">
                  <c:v>0.5217043408681894</c:v>
                </c:pt>
                <c:pt idx="2609">
                  <c:v>0.52190438087619095</c:v>
                </c:pt>
                <c:pt idx="2610">
                  <c:v>0.52210442088419251</c:v>
                </c:pt>
                <c:pt idx="2611">
                  <c:v>0.52230446089219407</c:v>
                </c:pt>
                <c:pt idx="2612">
                  <c:v>0.52250450090019562</c:v>
                </c:pt>
                <c:pt idx="2613">
                  <c:v>0.52270454090819718</c:v>
                </c:pt>
                <c:pt idx="2614">
                  <c:v>0.52290458091619874</c:v>
                </c:pt>
                <c:pt idx="2615">
                  <c:v>0.52310462092420029</c:v>
                </c:pt>
                <c:pt idx="2616">
                  <c:v>0.52330466093220185</c:v>
                </c:pt>
                <c:pt idx="2617">
                  <c:v>0.5235047009402034</c:v>
                </c:pt>
                <c:pt idx="2618">
                  <c:v>0.52370474094820496</c:v>
                </c:pt>
                <c:pt idx="2619">
                  <c:v>0.52390478095620652</c:v>
                </c:pt>
                <c:pt idx="2620">
                  <c:v>0.52410482096420807</c:v>
                </c:pt>
                <c:pt idx="2621">
                  <c:v>0.52430486097220963</c:v>
                </c:pt>
                <c:pt idx="2622">
                  <c:v>0.52450490098021119</c:v>
                </c:pt>
                <c:pt idx="2623">
                  <c:v>0.52470494098821274</c:v>
                </c:pt>
                <c:pt idx="2624">
                  <c:v>0.5249049809962143</c:v>
                </c:pt>
                <c:pt idx="2625">
                  <c:v>0.52510502100421586</c:v>
                </c:pt>
                <c:pt idx="2626">
                  <c:v>0.52530506101221741</c:v>
                </c:pt>
                <c:pt idx="2627">
                  <c:v>0.52550510102021897</c:v>
                </c:pt>
                <c:pt idx="2628">
                  <c:v>0.52570514102822052</c:v>
                </c:pt>
                <c:pt idx="2629">
                  <c:v>0.52590518103622208</c:v>
                </c:pt>
                <c:pt idx="2630">
                  <c:v>0.52610522104422364</c:v>
                </c:pt>
                <c:pt idx="2631">
                  <c:v>0.52630526105222519</c:v>
                </c:pt>
                <c:pt idx="2632">
                  <c:v>0.52650530106022675</c:v>
                </c:pt>
                <c:pt idx="2633">
                  <c:v>0.52670534106822831</c:v>
                </c:pt>
                <c:pt idx="2634">
                  <c:v>0.52690538107622986</c:v>
                </c:pt>
                <c:pt idx="2635">
                  <c:v>0.52710542108423142</c:v>
                </c:pt>
                <c:pt idx="2636">
                  <c:v>0.52730546109223297</c:v>
                </c:pt>
                <c:pt idx="2637">
                  <c:v>0.52750550110023453</c:v>
                </c:pt>
                <c:pt idx="2638">
                  <c:v>0.52770554110823609</c:v>
                </c:pt>
                <c:pt idx="2639">
                  <c:v>0.52790558111623764</c:v>
                </c:pt>
                <c:pt idx="2640">
                  <c:v>0.5281056211242392</c:v>
                </c:pt>
                <c:pt idx="2641">
                  <c:v>0.52830566113224076</c:v>
                </c:pt>
                <c:pt idx="2642">
                  <c:v>0.52850570114024231</c:v>
                </c:pt>
                <c:pt idx="2643">
                  <c:v>0.52870574114824387</c:v>
                </c:pt>
                <c:pt idx="2644">
                  <c:v>0.52890578115624542</c:v>
                </c:pt>
                <c:pt idx="2645">
                  <c:v>0.52910582116424698</c:v>
                </c:pt>
                <c:pt idx="2646">
                  <c:v>0.52930586117224854</c:v>
                </c:pt>
                <c:pt idx="2647">
                  <c:v>0.52950590118025009</c:v>
                </c:pt>
                <c:pt idx="2648">
                  <c:v>0.52970594118825165</c:v>
                </c:pt>
                <c:pt idx="2649">
                  <c:v>0.52990598119625321</c:v>
                </c:pt>
                <c:pt idx="2650">
                  <c:v>0.53010602120425476</c:v>
                </c:pt>
                <c:pt idx="2651">
                  <c:v>0.53030606121225632</c:v>
                </c:pt>
                <c:pt idx="2652">
                  <c:v>0.53050610122025788</c:v>
                </c:pt>
                <c:pt idx="2653">
                  <c:v>0.53070614122825943</c:v>
                </c:pt>
                <c:pt idx="2654">
                  <c:v>0.53090618123626099</c:v>
                </c:pt>
                <c:pt idx="2655">
                  <c:v>0.53110622124426254</c:v>
                </c:pt>
                <c:pt idx="2656">
                  <c:v>0.5313062612522641</c:v>
                </c:pt>
                <c:pt idx="2657">
                  <c:v>0.53150630126026566</c:v>
                </c:pt>
                <c:pt idx="2658">
                  <c:v>0.53170634126826721</c:v>
                </c:pt>
                <c:pt idx="2659">
                  <c:v>0.53190638127626877</c:v>
                </c:pt>
                <c:pt idx="2660">
                  <c:v>0.53210642128427033</c:v>
                </c:pt>
                <c:pt idx="2661">
                  <c:v>0.53230646129227188</c:v>
                </c:pt>
                <c:pt idx="2662">
                  <c:v>0.53250650130027344</c:v>
                </c:pt>
                <c:pt idx="2663">
                  <c:v>0.53270654130827499</c:v>
                </c:pt>
                <c:pt idx="2664">
                  <c:v>0.53290658131627655</c:v>
                </c:pt>
                <c:pt idx="2665">
                  <c:v>0.53310662132427811</c:v>
                </c:pt>
                <c:pt idx="2666">
                  <c:v>0.53330666133227966</c:v>
                </c:pt>
                <c:pt idx="2667">
                  <c:v>0.53350670134028122</c:v>
                </c:pt>
                <c:pt idx="2668">
                  <c:v>0.53370674134828278</c:v>
                </c:pt>
                <c:pt idx="2669">
                  <c:v>0.53390678135628433</c:v>
                </c:pt>
                <c:pt idx="2670">
                  <c:v>0.53410682136428589</c:v>
                </c:pt>
                <c:pt idx="2671">
                  <c:v>0.53430686137228744</c:v>
                </c:pt>
                <c:pt idx="2672">
                  <c:v>0.534506901380289</c:v>
                </c:pt>
                <c:pt idx="2673">
                  <c:v>0.53470694138829056</c:v>
                </c:pt>
                <c:pt idx="2674">
                  <c:v>0.53490698139629211</c:v>
                </c:pt>
                <c:pt idx="2675">
                  <c:v>0.53510702140429367</c:v>
                </c:pt>
                <c:pt idx="2676">
                  <c:v>0.53530706141229523</c:v>
                </c:pt>
                <c:pt idx="2677">
                  <c:v>0.53550710142029678</c:v>
                </c:pt>
                <c:pt idx="2678">
                  <c:v>0.53570714142829834</c:v>
                </c:pt>
                <c:pt idx="2679">
                  <c:v>0.5359071814362999</c:v>
                </c:pt>
                <c:pt idx="2680">
                  <c:v>0.53610722144430145</c:v>
                </c:pt>
                <c:pt idx="2681">
                  <c:v>0.53630726145230301</c:v>
                </c:pt>
                <c:pt idx="2682">
                  <c:v>0.53650730146030456</c:v>
                </c:pt>
                <c:pt idx="2683">
                  <c:v>0.53670734146830612</c:v>
                </c:pt>
                <c:pt idx="2684">
                  <c:v>0.53690738147630768</c:v>
                </c:pt>
                <c:pt idx="2685">
                  <c:v>0.53710742148430923</c:v>
                </c:pt>
                <c:pt idx="2686">
                  <c:v>0.53730746149231079</c:v>
                </c:pt>
                <c:pt idx="2687">
                  <c:v>0.53750750150031235</c:v>
                </c:pt>
                <c:pt idx="2688">
                  <c:v>0.5377075415083139</c:v>
                </c:pt>
                <c:pt idx="2689">
                  <c:v>0.53790758151631546</c:v>
                </c:pt>
                <c:pt idx="2690">
                  <c:v>0.53810762152431701</c:v>
                </c:pt>
                <c:pt idx="2691">
                  <c:v>0.53830766153231857</c:v>
                </c:pt>
                <c:pt idx="2692">
                  <c:v>0.53850770154032013</c:v>
                </c:pt>
                <c:pt idx="2693">
                  <c:v>0.53870774154832168</c:v>
                </c:pt>
                <c:pt idx="2694">
                  <c:v>0.53890778155632324</c:v>
                </c:pt>
                <c:pt idx="2695">
                  <c:v>0.5391078215643248</c:v>
                </c:pt>
                <c:pt idx="2696">
                  <c:v>0.53930786157232635</c:v>
                </c:pt>
                <c:pt idx="2697">
                  <c:v>0.53950790158032791</c:v>
                </c:pt>
                <c:pt idx="2698">
                  <c:v>0.53970794158832947</c:v>
                </c:pt>
                <c:pt idx="2699">
                  <c:v>0.53990798159633102</c:v>
                </c:pt>
                <c:pt idx="2700">
                  <c:v>0.54010802160433258</c:v>
                </c:pt>
                <c:pt idx="2701">
                  <c:v>0.54030806161233413</c:v>
                </c:pt>
                <c:pt idx="2702">
                  <c:v>0.54050810162033569</c:v>
                </c:pt>
                <c:pt idx="2703">
                  <c:v>0.54070814162833725</c:v>
                </c:pt>
                <c:pt idx="2704">
                  <c:v>0.5409081816363388</c:v>
                </c:pt>
                <c:pt idx="2705">
                  <c:v>0.54110822164434036</c:v>
                </c:pt>
                <c:pt idx="2706">
                  <c:v>0.54130826165234192</c:v>
                </c:pt>
                <c:pt idx="2707">
                  <c:v>0.54150830166034347</c:v>
                </c:pt>
                <c:pt idx="2708">
                  <c:v>0.54170834166834503</c:v>
                </c:pt>
                <c:pt idx="2709">
                  <c:v>0.54190838167634658</c:v>
                </c:pt>
                <c:pt idx="2710">
                  <c:v>0.54210842168434814</c:v>
                </c:pt>
                <c:pt idx="2711">
                  <c:v>0.5423084616923497</c:v>
                </c:pt>
                <c:pt idx="2712">
                  <c:v>0.54250850170035125</c:v>
                </c:pt>
                <c:pt idx="2713">
                  <c:v>0.54270854170835281</c:v>
                </c:pt>
                <c:pt idx="2714">
                  <c:v>0.54290858171635437</c:v>
                </c:pt>
                <c:pt idx="2715">
                  <c:v>0.54310862172435592</c:v>
                </c:pt>
                <c:pt idx="2716">
                  <c:v>0.54330866173235748</c:v>
                </c:pt>
                <c:pt idx="2717">
                  <c:v>0.54350870174035903</c:v>
                </c:pt>
                <c:pt idx="2718">
                  <c:v>0.54370874174836059</c:v>
                </c:pt>
                <c:pt idx="2719">
                  <c:v>0.54390878175636215</c:v>
                </c:pt>
                <c:pt idx="2720">
                  <c:v>0.5441088217643637</c:v>
                </c:pt>
                <c:pt idx="2721">
                  <c:v>0.54430886177236526</c:v>
                </c:pt>
                <c:pt idx="2722">
                  <c:v>0.54450890178036682</c:v>
                </c:pt>
                <c:pt idx="2723">
                  <c:v>0.54470894178836837</c:v>
                </c:pt>
                <c:pt idx="2724">
                  <c:v>0.54490898179636993</c:v>
                </c:pt>
                <c:pt idx="2725">
                  <c:v>0.54510902180437149</c:v>
                </c:pt>
                <c:pt idx="2726">
                  <c:v>0.54530906181237304</c:v>
                </c:pt>
                <c:pt idx="2727">
                  <c:v>0.5455091018203746</c:v>
                </c:pt>
                <c:pt idx="2728">
                  <c:v>0.54570914182837615</c:v>
                </c:pt>
                <c:pt idx="2729">
                  <c:v>0.54590918183637771</c:v>
                </c:pt>
                <c:pt idx="2730">
                  <c:v>0.54610922184437927</c:v>
                </c:pt>
                <c:pt idx="2731">
                  <c:v>0.54630926185238082</c:v>
                </c:pt>
                <c:pt idx="2732">
                  <c:v>0.54650930186038238</c:v>
                </c:pt>
                <c:pt idx="2733">
                  <c:v>0.54670934186838394</c:v>
                </c:pt>
                <c:pt idx="2734">
                  <c:v>0.54690938187638549</c:v>
                </c:pt>
                <c:pt idx="2735">
                  <c:v>0.54710942188438705</c:v>
                </c:pt>
                <c:pt idx="2736">
                  <c:v>0.5473094618923886</c:v>
                </c:pt>
                <c:pt idx="2737">
                  <c:v>0.54750950190039016</c:v>
                </c:pt>
                <c:pt idx="2738">
                  <c:v>0.54770954190839172</c:v>
                </c:pt>
                <c:pt idx="2739">
                  <c:v>0.54790958191639327</c:v>
                </c:pt>
                <c:pt idx="2740">
                  <c:v>0.54810962192439483</c:v>
                </c:pt>
                <c:pt idx="2741">
                  <c:v>0.54830966193239639</c:v>
                </c:pt>
                <c:pt idx="2742">
                  <c:v>0.54850970194039794</c:v>
                </c:pt>
                <c:pt idx="2743">
                  <c:v>0.5487097419483995</c:v>
                </c:pt>
                <c:pt idx="2744">
                  <c:v>0.54890978195640105</c:v>
                </c:pt>
                <c:pt idx="2745">
                  <c:v>0.54910982196440261</c:v>
                </c:pt>
                <c:pt idx="2746">
                  <c:v>0.54930986197240417</c:v>
                </c:pt>
                <c:pt idx="2747">
                  <c:v>0.54950990198040572</c:v>
                </c:pt>
                <c:pt idx="2748">
                  <c:v>0.54970994198840728</c:v>
                </c:pt>
                <c:pt idx="2749">
                  <c:v>0.54990998199640884</c:v>
                </c:pt>
                <c:pt idx="2750">
                  <c:v>0.55011002200441039</c:v>
                </c:pt>
                <c:pt idx="2751">
                  <c:v>0.55031006201241195</c:v>
                </c:pt>
                <c:pt idx="2752">
                  <c:v>0.55051010202041351</c:v>
                </c:pt>
                <c:pt idx="2753">
                  <c:v>0.55071014202841506</c:v>
                </c:pt>
                <c:pt idx="2754">
                  <c:v>0.55091018203641662</c:v>
                </c:pt>
                <c:pt idx="2755">
                  <c:v>0.55111022204441817</c:v>
                </c:pt>
                <c:pt idx="2756">
                  <c:v>0.55131026205241973</c:v>
                </c:pt>
                <c:pt idx="2757">
                  <c:v>0.55151030206042129</c:v>
                </c:pt>
                <c:pt idx="2758">
                  <c:v>0.55171034206842284</c:v>
                </c:pt>
                <c:pt idx="2759">
                  <c:v>0.5519103820764244</c:v>
                </c:pt>
                <c:pt idx="2760">
                  <c:v>0.55211042208442596</c:v>
                </c:pt>
                <c:pt idx="2761">
                  <c:v>0.55231046209242751</c:v>
                </c:pt>
                <c:pt idx="2762">
                  <c:v>0.55251050210042907</c:v>
                </c:pt>
                <c:pt idx="2763">
                  <c:v>0.55271054210843062</c:v>
                </c:pt>
                <c:pt idx="2764">
                  <c:v>0.55291058211643218</c:v>
                </c:pt>
                <c:pt idx="2765">
                  <c:v>0.55311062212443374</c:v>
                </c:pt>
                <c:pt idx="2766">
                  <c:v>0.55331066213243529</c:v>
                </c:pt>
                <c:pt idx="2767">
                  <c:v>0.55351070214043685</c:v>
                </c:pt>
                <c:pt idx="2768">
                  <c:v>0.55371074214843841</c:v>
                </c:pt>
                <c:pt idx="2769">
                  <c:v>0.55391078215643996</c:v>
                </c:pt>
                <c:pt idx="2770">
                  <c:v>0.55411082216444152</c:v>
                </c:pt>
                <c:pt idx="2771">
                  <c:v>0.55431086217244308</c:v>
                </c:pt>
                <c:pt idx="2772">
                  <c:v>0.55451090218044463</c:v>
                </c:pt>
                <c:pt idx="2773">
                  <c:v>0.55471094218844619</c:v>
                </c:pt>
                <c:pt idx="2774">
                  <c:v>0.55491098219644774</c:v>
                </c:pt>
                <c:pt idx="2775">
                  <c:v>0.5551110222044493</c:v>
                </c:pt>
                <c:pt idx="2776">
                  <c:v>0.55531106221245086</c:v>
                </c:pt>
                <c:pt idx="2777">
                  <c:v>0.55551110222045241</c:v>
                </c:pt>
                <c:pt idx="2778">
                  <c:v>0.55571114222845397</c:v>
                </c:pt>
                <c:pt idx="2779">
                  <c:v>0.55591118223645553</c:v>
                </c:pt>
                <c:pt idx="2780">
                  <c:v>0.55611122224445708</c:v>
                </c:pt>
                <c:pt idx="2781">
                  <c:v>0.55631126225245864</c:v>
                </c:pt>
                <c:pt idx="2782">
                  <c:v>0.55651130226046019</c:v>
                </c:pt>
                <c:pt idx="2783">
                  <c:v>0.55671134226846175</c:v>
                </c:pt>
                <c:pt idx="2784">
                  <c:v>0.55691138227646331</c:v>
                </c:pt>
                <c:pt idx="2785">
                  <c:v>0.55711142228446486</c:v>
                </c:pt>
                <c:pt idx="2786">
                  <c:v>0.55731146229246642</c:v>
                </c:pt>
                <c:pt idx="2787">
                  <c:v>0.55751150230046798</c:v>
                </c:pt>
                <c:pt idx="2788">
                  <c:v>0.55771154230846953</c:v>
                </c:pt>
                <c:pt idx="2789">
                  <c:v>0.55791158231647109</c:v>
                </c:pt>
                <c:pt idx="2790">
                  <c:v>0.55811162232447264</c:v>
                </c:pt>
                <c:pt idx="2791">
                  <c:v>0.5583116623324742</c:v>
                </c:pt>
                <c:pt idx="2792">
                  <c:v>0.55851170234047576</c:v>
                </c:pt>
                <c:pt idx="2793">
                  <c:v>0.55871174234847731</c:v>
                </c:pt>
                <c:pt idx="2794">
                  <c:v>0.55891178235647887</c:v>
                </c:pt>
                <c:pt idx="2795">
                  <c:v>0.55911182236448043</c:v>
                </c:pt>
                <c:pt idx="2796">
                  <c:v>0.55931186237248198</c:v>
                </c:pt>
                <c:pt idx="2797">
                  <c:v>0.55951190238048354</c:v>
                </c:pt>
                <c:pt idx="2798">
                  <c:v>0.5597119423884851</c:v>
                </c:pt>
                <c:pt idx="2799">
                  <c:v>0.55991198239648665</c:v>
                </c:pt>
                <c:pt idx="2800">
                  <c:v>0.56011202240448821</c:v>
                </c:pt>
                <c:pt idx="2801">
                  <c:v>0.56031206241248976</c:v>
                </c:pt>
                <c:pt idx="2802">
                  <c:v>0.56051210242049132</c:v>
                </c:pt>
                <c:pt idx="2803">
                  <c:v>0.56071214242849288</c:v>
                </c:pt>
                <c:pt idx="2804">
                  <c:v>0.56091218243649443</c:v>
                </c:pt>
                <c:pt idx="2805">
                  <c:v>0.56111222244449599</c:v>
                </c:pt>
                <c:pt idx="2806">
                  <c:v>0.56131226245249755</c:v>
                </c:pt>
                <c:pt idx="2807">
                  <c:v>0.5615123024604991</c:v>
                </c:pt>
                <c:pt idx="2808">
                  <c:v>0.56171234246850066</c:v>
                </c:pt>
                <c:pt idx="2809">
                  <c:v>0.56191238247650221</c:v>
                </c:pt>
                <c:pt idx="2810">
                  <c:v>0.56211242248450377</c:v>
                </c:pt>
                <c:pt idx="2811">
                  <c:v>0.56231246249250533</c:v>
                </c:pt>
                <c:pt idx="2812">
                  <c:v>0.56251250250050688</c:v>
                </c:pt>
                <c:pt idx="2813">
                  <c:v>0.56271254250850844</c:v>
                </c:pt>
                <c:pt idx="2814">
                  <c:v>0.56291258251651</c:v>
                </c:pt>
                <c:pt idx="2815">
                  <c:v>0.56311262252451155</c:v>
                </c:pt>
                <c:pt idx="2816">
                  <c:v>0.56331266253251311</c:v>
                </c:pt>
                <c:pt idx="2817">
                  <c:v>0.56351270254051467</c:v>
                </c:pt>
                <c:pt idx="2818">
                  <c:v>0.56371274254851622</c:v>
                </c:pt>
                <c:pt idx="2819">
                  <c:v>0.56391278255651778</c:v>
                </c:pt>
                <c:pt idx="2820">
                  <c:v>0.56411282256451933</c:v>
                </c:pt>
                <c:pt idx="2821">
                  <c:v>0.56431286257252089</c:v>
                </c:pt>
                <c:pt idx="2822">
                  <c:v>0.56451290258052245</c:v>
                </c:pt>
                <c:pt idx="2823">
                  <c:v>0.564712942588524</c:v>
                </c:pt>
                <c:pt idx="2824">
                  <c:v>0.56491298259652556</c:v>
                </c:pt>
                <c:pt idx="2825">
                  <c:v>0.56511302260452712</c:v>
                </c:pt>
                <c:pt idx="2826">
                  <c:v>0.56531306261252867</c:v>
                </c:pt>
                <c:pt idx="2827">
                  <c:v>0.56551310262053023</c:v>
                </c:pt>
                <c:pt idx="2828">
                  <c:v>0.56571314262853178</c:v>
                </c:pt>
                <c:pt idx="2829">
                  <c:v>0.56591318263653334</c:v>
                </c:pt>
                <c:pt idx="2830">
                  <c:v>0.5661132226445349</c:v>
                </c:pt>
                <c:pt idx="2831">
                  <c:v>0.56631326265253645</c:v>
                </c:pt>
                <c:pt idx="2832">
                  <c:v>0.56651330266053801</c:v>
                </c:pt>
                <c:pt idx="2833">
                  <c:v>0.56671334266853957</c:v>
                </c:pt>
                <c:pt idx="2834">
                  <c:v>0.56691338267654112</c:v>
                </c:pt>
                <c:pt idx="2835">
                  <c:v>0.56711342268454268</c:v>
                </c:pt>
                <c:pt idx="2836">
                  <c:v>0.56731346269254423</c:v>
                </c:pt>
                <c:pt idx="2837">
                  <c:v>0.56751350270054579</c:v>
                </c:pt>
                <c:pt idx="2838">
                  <c:v>0.56771354270854735</c:v>
                </c:pt>
                <c:pt idx="2839">
                  <c:v>0.5679135827165489</c:v>
                </c:pt>
                <c:pt idx="2840">
                  <c:v>0.56811362272455046</c:v>
                </c:pt>
                <c:pt idx="2841">
                  <c:v>0.56831366273255202</c:v>
                </c:pt>
                <c:pt idx="2842">
                  <c:v>0.56851370274055357</c:v>
                </c:pt>
                <c:pt idx="2843">
                  <c:v>0.56871374274855513</c:v>
                </c:pt>
                <c:pt idx="2844">
                  <c:v>0.56891378275655669</c:v>
                </c:pt>
                <c:pt idx="2845">
                  <c:v>0.56911382276455824</c:v>
                </c:pt>
                <c:pt idx="2846">
                  <c:v>0.5693138627725598</c:v>
                </c:pt>
                <c:pt idx="2847">
                  <c:v>0.56951390278056135</c:v>
                </c:pt>
                <c:pt idx="2848">
                  <c:v>0.56971394278856291</c:v>
                </c:pt>
                <c:pt idx="2849">
                  <c:v>0.56991398279656447</c:v>
                </c:pt>
                <c:pt idx="2850">
                  <c:v>0.57011402280456602</c:v>
                </c:pt>
                <c:pt idx="2851">
                  <c:v>0.57031406281256758</c:v>
                </c:pt>
                <c:pt idx="2852">
                  <c:v>0.57051410282056914</c:v>
                </c:pt>
                <c:pt idx="2853">
                  <c:v>0.57071414282857069</c:v>
                </c:pt>
                <c:pt idx="2854">
                  <c:v>0.57091418283657225</c:v>
                </c:pt>
                <c:pt idx="2855">
                  <c:v>0.5711142228445738</c:v>
                </c:pt>
                <c:pt idx="2856">
                  <c:v>0.57131426285257536</c:v>
                </c:pt>
                <c:pt idx="2857">
                  <c:v>0.57151430286057692</c:v>
                </c:pt>
                <c:pt idx="2858">
                  <c:v>0.57171434286857847</c:v>
                </c:pt>
                <c:pt idx="2859">
                  <c:v>0.57191438287658003</c:v>
                </c:pt>
                <c:pt idx="2860">
                  <c:v>0.57211442288458159</c:v>
                </c:pt>
                <c:pt idx="2861">
                  <c:v>0.57231446289258314</c:v>
                </c:pt>
                <c:pt idx="2862">
                  <c:v>0.5725145029005847</c:v>
                </c:pt>
                <c:pt idx="2863">
                  <c:v>0.57271454290858625</c:v>
                </c:pt>
                <c:pt idx="2864">
                  <c:v>0.57291458291658781</c:v>
                </c:pt>
                <c:pt idx="2865">
                  <c:v>0.57311462292458937</c:v>
                </c:pt>
                <c:pt idx="2866">
                  <c:v>0.57331466293259092</c:v>
                </c:pt>
                <c:pt idx="2867">
                  <c:v>0.57351470294059248</c:v>
                </c:pt>
                <c:pt idx="2868">
                  <c:v>0.57371474294859404</c:v>
                </c:pt>
                <c:pt idx="2869">
                  <c:v>0.57391478295659559</c:v>
                </c:pt>
                <c:pt idx="2870">
                  <c:v>0.57411482296459715</c:v>
                </c:pt>
                <c:pt idx="2871">
                  <c:v>0.57431486297259871</c:v>
                </c:pt>
                <c:pt idx="2872">
                  <c:v>0.57451490298060026</c:v>
                </c:pt>
                <c:pt idx="2873">
                  <c:v>0.57471494298860182</c:v>
                </c:pt>
                <c:pt idx="2874">
                  <c:v>0.57491498299660337</c:v>
                </c:pt>
                <c:pt idx="2875">
                  <c:v>0.57511502300460493</c:v>
                </c:pt>
                <c:pt idx="2876">
                  <c:v>0.57531506301260649</c:v>
                </c:pt>
                <c:pt idx="2877">
                  <c:v>0.57551510302060804</c:v>
                </c:pt>
                <c:pt idx="2878">
                  <c:v>0.5757151430286096</c:v>
                </c:pt>
                <c:pt idx="2879">
                  <c:v>0.57591518303661116</c:v>
                </c:pt>
                <c:pt idx="2880">
                  <c:v>0.57611522304461271</c:v>
                </c:pt>
                <c:pt idx="2881">
                  <c:v>0.57631526305261427</c:v>
                </c:pt>
                <c:pt idx="2882">
                  <c:v>0.57651530306061582</c:v>
                </c:pt>
                <c:pt idx="2883">
                  <c:v>0.57671534306861738</c:v>
                </c:pt>
                <c:pt idx="2884">
                  <c:v>0.57691538307661894</c:v>
                </c:pt>
                <c:pt idx="2885">
                  <c:v>0.57711542308462049</c:v>
                </c:pt>
                <c:pt idx="2886">
                  <c:v>0.57731546309262205</c:v>
                </c:pt>
                <c:pt idx="2887">
                  <c:v>0.57751550310062361</c:v>
                </c:pt>
                <c:pt idx="2888">
                  <c:v>0.57771554310862516</c:v>
                </c:pt>
                <c:pt idx="2889">
                  <c:v>0.57791558311662672</c:v>
                </c:pt>
                <c:pt idx="2890">
                  <c:v>0.57811562312462828</c:v>
                </c:pt>
                <c:pt idx="2891">
                  <c:v>0.57831566313262983</c:v>
                </c:pt>
                <c:pt idx="2892">
                  <c:v>0.57851570314063139</c:v>
                </c:pt>
                <c:pt idx="2893">
                  <c:v>0.57871574314863294</c:v>
                </c:pt>
                <c:pt idx="2894">
                  <c:v>0.5789157831566345</c:v>
                </c:pt>
                <c:pt idx="2895">
                  <c:v>0.57911582316463606</c:v>
                </c:pt>
                <c:pt idx="2896">
                  <c:v>0.57931586317263761</c:v>
                </c:pt>
                <c:pt idx="2897">
                  <c:v>0.57951590318063917</c:v>
                </c:pt>
                <c:pt idx="2898">
                  <c:v>0.57971594318864073</c:v>
                </c:pt>
                <c:pt idx="2899">
                  <c:v>0.57991598319664228</c:v>
                </c:pt>
                <c:pt idx="2900">
                  <c:v>0.58011602320464384</c:v>
                </c:pt>
                <c:pt idx="2901">
                  <c:v>0.58031606321264539</c:v>
                </c:pt>
                <c:pt idx="2902">
                  <c:v>0.58051610322064695</c:v>
                </c:pt>
                <c:pt idx="2903">
                  <c:v>0.58071614322864851</c:v>
                </c:pt>
                <c:pt idx="2904">
                  <c:v>0.58091618323665006</c:v>
                </c:pt>
                <c:pt idx="2905">
                  <c:v>0.58111622324465162</c:v>
                </c:pt>
                <c:pt idx="2906">
                  <c:v>0.58131626325265318</c:v>
                </c:pt>
                <c:pt idx="2907">
                  <c:v>0.58151630326065473</c:v>
                </c:pt>
                <c:pt idx="2908">
                  <c:v>0.58171634326865629</c:v>
                </c:pt>
                <c:pt idx="2909">
                  <c:v>0.58191638327665784</c:v>
                </c:pt>
                <c:pt idx="2910">
                  <c:v>0.5821164232846594</c:v>
                </c:pt>
                <c:pt idx="2911">
                  <c:v>0.58231646329266096</c:v>
                </c:pt>
                <c:pt idx="2912">
                  <c:v>0.58251650330066251</c:v>
                </c:pt>
                <c:pt idx="2913">
                  <c:v>0.58271654330866407</c:v>
                </c:pt>
                <c:pt idx="2914">
                  <c:v>0.58291658331666563</c:v>
                </c:pt>
                <c:pt idx="2915">
                  <c:v>0.58311662332466718</c:v>
                </c:pt>
                <c:pt idx="2916">
                  <c:v>0.58331666333266874</c:v>
                </c:pt>
                <c:pt idx="2917">
                  <c:v>0.5835167033406703</c:v>
                </c:pt>
                <c:pt idx="2918">
                  <c:v>0.58371674334867185</c:v>
                </c:pt>
                <c:pt idx="2919">
                  <c:v>0.58391678335667341</c:v>
                </c:pt>
                <c:pt idx="2920">
                  <c:v>0.58411682336467496</c:v>
                </c:pt>
                <c:pt idx="2921">
                  <c:v>0.58431686337267652</c:v>
                </c:pt>
                <c:pt idx="2922">
                  <c:v>0.58451690338067808</c:v>
                </c:pt>
                <c:pt idx="2923">
                  <c:v>0.58471694338867963</c:v>
                </c:pt>
                <c:pt idx="2924">
                  <c:v>0.58491698339668119</c:v>
                </c:pt>
                <c:pt idx="2925">
                  <c:v>0.58511702340468275</c:v>
                </c:pt>
                <c:pt idx="2926">
                  <c:v>0.5853170634126843</c:v>
                </c:pt>
                <c:pt idx="2927">
                  <c:v>0.58551710342068586</c:v>
                </c:pt>
                <c:pt idx="2928">
                  <c:v>0.58571714342868741</c:v>
                </c:pt>
                <c:pt idx="2929">
                  <c:v>0.58591718343668897</c:v>
                </c:pt>
                <c:pt idx="2930">
                  <c:v>0.58611722344469053</c:v>
                </c:pt>
                <c:pt idx="2931">
                  <c:v>0.58631726345269208</c:v>
                </c:pt>
                <c:pt idx="2932">
                  <c:v>0.58651730346069364</c:v>
                </c:pt>
                <c:pt idx="2933">
                  <c:v>0.5867173434686952</c:v>
                </c:pt>
                <c:pt idx="2934">
                  <c:v>0.58691738347669675</c:v>
                </c:pt>
                <c:pt idx="2935">
                  <c:v>0.58711742348469831</c:v>
                </c:pt>
                <c:pt idx="2936">
                  <c:v>0.58731746349269986</c:v>
                </c:pt>
                <c:pt idx="2937">
                  <c:v>0.58751750350070142</c:v>
                </c:pt>
                <c:pt idx="2938">
                  <c:v>0.58771754350870298</c:v>
                </c:pt>
                <c:pt idx="2939">
                  <c:v>0.58791758351670453</c:v>
                </c:pt>
                <c:pt idx="2940">
                  <c:v>0.58811762352470609</c:v>
                </c:pt>
                <c:pt idx="2941">
                  <c:v>0.58831766353270765</c:v>
                </c:pt>
                <c:pt idx="2942">
                  <c:v>0.5885177035407092</c:v>
                </c:pt>
                <c:pt idx="2943">
                  <c:v>0.58871774354871076</c:v>
                </c:pt>
                <c:pt idx="2944">
                  <c:v>0.58891778355671232</c:v>
                </c:pt>
                <c:pt idx="2945">
                  <c:v>0.58911782356471387</c:v>
                </c:pt>
                <c:pt idx="2946">
                  <c:v>0.58931786357271543</c:v>
                </c:pt>
                <c:pt idx="2947">
                  <c:v>0.58951790358071698</c:v>
                </c:pt>
                <c:pt idx="2948">
                  <c:v>0.58971794358871854</c:v>
                </c:pt>
                <c:pt idx="2949">
                  <c:v>0.5899179835967201</c:v>
                </c:pt>
                <c:pt idx="2950">
                  <c:v>0.59011802360472165</c:v>
                </c:pt>
                <c:pt idx="2951">
                  <c:v>0.59031806361272321</c:v>
                </c:pt>
                <c:pt idx="2952">
                  <c:v>0.59051810362072477</c:v>
                </c:pt>
                <c:pt idx="2953">
                  <c:v>0.59071814362872632</c:v>
                </c:pt>
                <c:pt idx="2954">
                  <c:v>0.59091818363672788</c:v>
                </c:pt>
                <c:pt idx="2955">
                  <c:v>0.59111822364472943</c:v>
                </c:pt>
                <c:pt idx="2956">
                  <c:v>0.59131826365273099</c:v>
                </c:pt>
                <c:pt idx="2957">
                  <c:v>0.59151830366073255</c:v>
                </c:pt>
                <c:pt idx="2958">
                  <c:v>0.5917183436687341</c:v>
                </c:pt>
                <c:pt idx="2959">
                  <c:v>0.59191838367673566</c:v>
                </c:pt>
                <c:pt idx="2960">
                  <c:v>0.59211842368473722</c:v>
                </c:pt>
                <c:pt idx="2961">
                  <c:v>0.59231846369273877</c:v>
                </c:pt>
                <c:pt idx="2962">
                  <c:v>0.59251850370074033</c:v>
                </c:pt>
                <c:pt idx="2963">
                  <c:v>0.59271854370874189</c:v>
                </c:pt>
                <c:pt idx="2964">
                  <c:v>0.59291858371674344</c:v>
                </c:pt>
                <c:pt idx="2965">
                  <c:v>0.593118623724745</c:v>
                </c:pt>
                <c:pt idx="2966">
                  <c:v>0.59331866373274655</c:v>
                </c:pt>
                <c:pt idx="2967">
                  <c:v>0.59351870374074811</c:v>
                </c:pt>
                <c:pt idx="2968">
                  <c:v>0.59371874374874967</c:v>
                </c:pt>
                <c:pt idx="2969">
                  <c:v>0.59391878375675122</c:v>
                </c:pt>
                <c:pt idx="2970">
                  <c:v>0.59411882376475278</c:v>
                </c:pt>
                <c:pt idx="2971">
                  <c:v>0.59431886377275434</c:v>
                </c:pt>
                <c:pt idx="2972">
                  <c:v>0.59451890378075589</c:v>
                </c:pt>
                <c:pt idx="2973">
                  <c:v>0.59471894378875745</c:v>
                </c:pt>
                <c:pt idx="2974">
                  <c:v>0.594918983796759</c:v>
                </c:pt>
                <c:pt idx="2975">
                  <c:v>0.59511902380476056</c:v>
                </c:pt>
                <c:pt idx="2976">
                  <c:v>0.59531906381276212</c:v>
                </c:pt>
                <c:pt idx="2977">
                  <c:v>0.59551910382076367</c:v>
                </c:pt>
                <c:pt idx="2978">
                  <c:v>0.59571914382876523</c:v>
                </c:pt>
                <c:pt idx="2979">
                  <c:v>0.59591918383676679</c:v>
                </c:pt>
                <c:pt idx="2980">
                  <c:v>0.59611922384476834</c:v>
                </c:pt>
                <c:pt idx="2981">
                  <c:v>0.5963192638527699</c:v>
                </c:pt>
                <c:pt idx="2982">
                  <c:v>0.59651930386077145</c:v>
                </c:pt>
                <c:pt idx="2983">
                  <c:v>0.59671934386877301</c:v>
                </c:pt>
                <c:pt idx="2984">
                  <c:v>0.59691938387677457</c:v>
                </c:pt>
                <c:pt idx="2985">
                  <c:v>0.59711942388477612</c:v>
                </c:pt>
                <c:pt idx="2986">
                  <c:v>0.59731946389277768</c:v>
                </c:pt>
                <c:pt idx="2987">
                  <c:v>0.59751950390077924</c:v>
                </c:pt>
                <c:pt idx="2988">
                  <c:v>0.59771954390878079</c:v>
                </c:pt>
                <c:pt idx="2989">
                  <c:v>0.59791958391678235</c:v>
                </c:pt>
                <c:pt idx="2990">
                  <c:v>0.59811962392478391</c:v>
                </c:pt>
                <c:pt idx="2991">
                  <c:v>0.59831966393278546</c:v>
                </c:pt>
                <c:pt idx="2992">
                  <c:v>0.59851970394078702</c:v>
                </c:pt>
                <c:pt idx="2993">
                  <c:v>0.59871974394878857</c:v>
                </c:pt>
                <c:pt idx="2994">
                  <c:v>0.59891978395679013</c:v>
                </c:pt>
                <c:pt idx="2995">
                  <c:v>0.59911982396479169</c:v>
                </c:pt>
                <c:pt idx="2996">
                  <c:v>0.59931986397279324</c:v>
                </c:pt>
                <c:pt idx="2997">
                  <c:v>0.5995199039807948</c:v>
                </c:pt>
                <c:pt idx="2998">
                  <c:v>0.59971994398879636</c:v>
                </c:pt>
                <c:pt idx="2999">
                  <c:v>0.59991998399679791</c:v>
                </c:pt>
                <c:pt idx="3000">
                  <c:v>0.60012002400479947</c:v>
                </c:pt>
                <c:pt idx="3001">
                  <c:v>0.60032006401280102</c:v>
                </c:pt>
                <c:pt idx="3002">
                  <c:v>0.60052010402080258</c:v>
                </c:pt>
                <c:pt idx="3003">
                  <c:v>0.60072014402880414</c:v>
                </c:pt>
                <c:pt idx="3004">
                  <c:v>0.60092018403680569</c:v>
                </c:pt>
                <c:pt idx="3005">
                  <c:v>0.60112022404480725</c:v>
                </c:pt>
                <c:pt idx="3006">
                  <c:v>0.60132026405280881</c:v>
                </c:pt>
                <c:pt idx="3007">
                  <c:v>0.60152030406081036</c:v>
                </c:pt>
                <c:pt idx="3008">
                  <c:v>0.60172034406881192</c:v>
                </c:pt>
                <c:pt idx="3009">
                  <c:v>0.60192038407681348</c:v>
                </c:pt>
                <c:pt idx="3010">
                  <c:v>0.60212042408481503</c:v>
                </c:pt>
                <c:pt idx="3011">
                  <c:v>0.60232046409281659</c:v>
                </c:pt>
                <c:pt idx="3012">
                  <c:v>0.60252050410081814</c:v>
                </c:pt>
                <c:pt idx="3013">
                  <c:v>0.6027205441088197</c:v>
                </c:pt>
                <c:pt idx="3014">
                  <c:v>0.60292058411682126</c:v>
                </c:pt>
                <c:pt idx="3015">
                  <c:v>0.60312062412482281</c:v>
                </c:pt>
                <c:pt idx="3016">
                  <c:v>0.60332066413282437</c:v>
                </c:pt>
                <c:pt idx="3017">
                  <c:v>0.60352070414082593</c:v>
                </c:pt>
                <c:pt idx="3018">
                  <c:v>0.60372074414882748</c:v>
                </c:pt>
                <c:pt idx="3019">
                  <c:v>0.60392078415682904</c:v>
                </c:pt>
                <c:pt idx="3020">
                  <c:v>0.60412082416483059</c:v>
                </c:pt>
                <c:pt idx="3021">
                  <c:v>0.60432086417283215</c:v>
                </c:pt>
                <c:pt idx="3022">
                  <c:v>0.60452090418083371</c:v>
                </c:pt>
                <c:pt idx="3023">
                  <c:v>0.60472094418883526</c:v>
                </c:pt>
                <c:pt idx="3024">
                  <c:v>0.60492098419683682</c:v>
                </c:pt>
                <c:pt idx="3025">
                  <c:v>0.60512102420483838</c:v>
                </c:pt>
                <c:pt idx="3026">
                  <c:v>0.60532106421283993</c:v>
                </c:pt>
                <c:pt idx="3027">
                  <c:v>0.60552110422084149</c:v>
                </c:pt>
                <c:pt idx="3028">
                  <c:v>0.60572114422884304</c:v>
                </c:pt>
                <c:pt idx="3029">
                  <c:v>0.6059211842368446</c:v>
                </c:pt>
                <c:pt idx="3030">
                  <c:v>0.60612122424484616</c:v>
                </c:pt>
                <c:pt idx="3031">
                  <c:v>0.60632126425284771</c:v>
                </c:pt>
                <c:pt idx="3032">
                  <c:v>0.60652130426084927</c:v>
                </c:pt>
                <c:pt idx="3033">
                  <c:v>0.60672134426885083</c:v>
                </c:pt>
                <c:pt idx="3034">
                  <c:v>0.60692138427685238</c:v>
                </c:pt>
                <c:pt idx="3035">
                  <c:v>0.60712142428485394</c:v>
                </c:pt>
                <c:pt idx="3036">
                  <c:v>0.6073214642928555</c:v>
                </c:pt>
                <c:pt idx="3037">
                  <c:v>0.60752150430085705</c:v>
                </c:pt>
                <c:pt idx="3038">
                  <c:v>0.60772154430885861</c:v>
                </c:pt>
                <c:pt idx="3039">
                  <c:v>0.60792158431686016</c:v>
                </c:pt>
                <c:pt idx="3040">
                  <c:v>0.60812162432486172</c:v>
                </c:pt>
                <c:pt idx="3041">
                  <c:v>0.60832166433286328</c:v>
                </c:pt>
                <c:pt idx="3042">
                  <c:v>0.60852170434086483</c:v>
                </c:pt>
                <c:pt idx="3043">
                  <c:v>0.60872174434886639</c:v>
                </c:pt>
                <c:pt idx="3044">
                  <c:v>0.60892178435686795</c:v>
                </c:pt>
                <c:pt idx="3045">
                  <c:v>0.6091218243648695</c:v>
                </c:pt>
                <c:pt idx="3046">
                  <c:v>0.60932186437287106</c:v>
                </c:pt>
                <c:pt idx="3047">
                  <c:v>0.60952190438087261</c:v>
                </c:pt>
                <c:pt idx="3048">
                  <c:v>0.60972194438887417</c:v>
                </c:pt>
                <c:pt idx="3049">
                  <c:v>0.60992198439687573</c:v>
                </c:pt>
                <c:pt idx="3050">
                  <c:v>0.61012202440487728</c:v>
                </c:pt>
                <c:pt idx="3051">
                  <c:v>0.61032206441287884</c:v>
                </c:pt>
                <c:pt idx="3052">
                  <c:v>0.6105221044208804</c:v>
                </c:pt>
                <c:pt idx="3053">
                  <c:v>0.61072214442888195</c:v>
                </c:pt>
                <c:pt idx="3054">
                  <c:v>0.61092218443688351</c:v>
                </c:pt>
                <c:pt idx="3055">
                  <c:v>0.61112222444488506</c:v>
                </c:pt>
                <c:pt idx="3056">
                  <c:v>0.61132226445288662</c:v>
                </c:pt>
                <c:pt idx="3057">
                  <c:v>0.61152230446088818</c:v>
                </c:pt>
                <c:pt idx="3058">
                  <c:v>0.61172234446888973</c:v>
                </c:pt>
                <c:pt idx="3059">
                  <c:v>0.61192238447689129</c:v>
                </c:pt>
                <c:pt idx="3060">
                  <c:v>0.61212242448489285</c:v>
                </c:pt>
                <c:pt idx="3061">
                  <c:v>0.6123224644928944</c:v>
                </c:pt>
                <c:pt idx="3062">
                  <c:v>0.61252250450089596</c:v>
                </c:pt>
                <c:pt idx="3063">
                  <c:v>0.61272254450889752</c:v>
                </c:pt>
                <c:pt idx="3064">
                  <c:v>0.61292258451689907</c:v>
                </c:pt>
                <c:pt idx="3065">
                  <c:v>0.61312262452490063</c:v>
                </c:pt>
                <c:pt idx="3066">
                  <c:v>0.61332266453290218</c:v>
                </c:pt>
                <c:pt idx="3067">
                  <c:v>0.61352270454090374</c:v>
                </c:pt>
                <c:pt idx="3068">
                  <c:v>0.6137227445489053</c:v>
                </c:pt>
                <c:pt idx="3069">
                  <c:v>0.61392278455690685</c:v>
                </c:pt>
                <c:pt idx="3070">
                  <c:v>0.61412282456490841</c:v>
                </c:pt>
                <c:pt idx="3071">
                  <c:v>0.61432286457290997</c:v>
                </c:pt>
                <c:pt idx="3072">
                  <c:v>0.61452290458091152</c:v>
                </c:pt>
                <c:pt idx="3073">
                  <c:v>0.61472294458891308</c:v>
                </c:pt>
                <c:pt idx="3074">
                  <c:v>0.61492298459691463</c:v>
                </c:pt>
                <c:pt idx="3075">
                  <c:v>0.61512302460491619</c:v>
                </c:pt>
                <c:pt idx="3076">
                  <c:v>0.61532306461291775</c:v>
                </c:pt>
                <c:pt idx="3077">
                  <c:v>0.6155231046209193</c:v>
                </c:pt>
                <c:pt idx="3078">
                  <c:v>0.61572314462892086</c:v>
                </c:pt>
                <c:pt idx="3079">
                  <c:v>0.61592318463692242</c:v>
                </c:pt>
                <c:pt idx="3080">
                  <c:v>0.61612322464492397</c:v>
                </c:pt>
                <c:pt idx="3081">
                  <c:v>0.61632326465292553</c:v>
                </c:pt>
                <c:pt idx="3082">
                  <c:v>0.61652330466092709</c:v>
                </c:pt>
                <c:pt idx="3083">
                  <c:v>0.61672334466892864</c:v>
                </c:pt>
                <c:pt idx="3084">
                  <c:v>0.6169233846769302</c:v>
                </c:pt>
                <c:pt idx="3085">
                  <c:v>0.61712342468493175</c:v>
                </c:pt>
                <c:pt idx="3086">
                  <c:v>0.61732346469293331</c:v>
                </c:pt>
                <c:pt idx="3087">
                  <c:v>0.61752350470093487</c:v>
                </c:pt>
                <c:pt idx="3088">
                  <c:v>0.61772354470893642</c:v>
                </c:pt>
                <c:pt idx="3089">
                  <c:v>0.61792358471693798</c:v>
                </c:pt>
                <c:pt idx="3090">
                  <c:v>0.61812362472493954</c:v>
                </c:pt>
                <c:pt idx="3091">
                  <c:v>0.61832366473294109</c:v>
                </c:pt>
                <c:pt idx="3092">
                  <c:v>0.61852370474094265</c:v>
                </c:pt>
                <c:pt idx="3093">
                  <c:v>0.6187237447489442</c:v>
                </c:pt>
                <c:pt idx="3094">
                  <c:v>0.61892378475694576</c:v>
                </c:pt>
                <c:pt idx="3095">
                  <c:v>0.61912382476494732</c:v>
                </c:pt>
                <c:pt idx="3096">
                  <c:v>0.61932386477294887</c:v>
                </c:pt>
                <c:pt idx="3097">
                  <c:v>0.61952390478095043</c:v>
                </c:pt>
                <c:pt idx="3098">
                  <c:v>0.61972394478895199</c:v>
                </c:pt>
                <c:pt idx="3099">
                  <c:v>0.61992398479695354</c:v>
                </c:pt>
                <c:pt idx="3100">
                  <c:v>0.6201240248049551</c:v>
                </c:pt>
                <c:pt idx="3101">
                  <c:v>0.62032406481295665</c:v>
                </c:pt>
                <c:pt idx="3102">
                  <c:v>0.62052410482095821</c:v>
                </c:pt>
                <c:pt idx="3103">
                  <c:v>0.62072414482895977</c:v>
                </c:pt>
                <c:pt idx="3104">
                  <c:v>0.62092418483696132</c:v>
                </c:pt>
                <c:pt idx="3105">
                  <c:v>0.62112422484496288</c:v>
                </c:pt>
                <c:pt idx="3106">
                  <c:v>0.62132426485296444</c:v>
                </c:pt>
                <c:pt idx="3107">
                  <c:v>0.62152430486096599</c:v>
                </c:pt>
                <c:pt idx="3108">
                  <c:v>0.62172434486896755</c:v>
                </c:pt>
                <c:pt idx="3109">
                  <c:v>0.62192438487696911</c:v>
                </c:pt>
                <c:pt idx="3110">
                  <c:v>0.62212442488497066</c:v>
                </c:pt>
                <c:pt idx="3111">
                  <c:v>0.62232446489297222</c:v>
                </c:pt>
                <c:pt idx="3112">
                  <c:v>0.62252450490097377</c:v>
                </c:pt>
                <c:pt idx="3113">
                  <c:v>0.62272454490897533</c:v>
                </c:pt>
                <c:pt idx="3114">
                  <c:v>0.62292458491697689</c:v>
                </c:pt>
                <c:pt idx="3115">
                  <c:v>0.62312462492497844</c:v>
                </c:pt>
                <c:pt idx="3116">
                  <c:v>0.62332466493298</c:v>
                </c:pt>
                <c:pt idx="3117">
                  <c:v>0.62352470494098156</c:v>
                </c:pt>
                <c:pt idx="3118">
                  <c:v>0.62372474494898311</c:v>
                </c:pt>
                <c:pt idx="3119">
                  <c:v>0.62392478495698467</c:v>
                </c:pt>
                <c:pt idx="3120">
                  <c:v>0.62412482496498622</c:v>
                </c:pt>
                <c:pt idx="3121">
                  <c:v>0.62432486497298778</c:v>
                </c:pt>
                <c:pt idx="3122">
                  <c:v>0.62452490498098934</c:v>
                </c:pt>
                <c:pt idx="3123">
                  <c:v>0.62472494498899089</c:v>
                </c:pt>
                <c:pt idx="3124">
                  <c:v>0.62492498499699245</c:v>
                </c:pt>
                <c:pt idx="3125">
                  <c:v>0.62512502500499401</c:v>
                </c:pt>
                <c:pt idx="3126">
                  <c:v>0.62532506501299556</c:v>
                </c:pt>
                <c:pt idx="3127">
                  <c:v>0.62552510502099712</c:v>
                </c:pt>
                <c:pt idx="3128">
                  <c:v>0.62572514502899867</c:v>
                </c:pt>
                <c:pt idx="3129">
                  <c:v>0.62592518503700023</c:v>
                </c:pt>
                <c:pt idx="3130">
                  <c:v>0.62612522504500179</c:v>
                </c:pt>
                <c:pt idx="3131">
                  <c:v>0.62632526505300334</c:v>
                </c:pt>
                <c:pt idx="3132">
                  <c:v>0.6265253050610049</c:v>
                </c:pt>
                <c:pt idx="3133">
                  <c:v>0.62672534506900646</c:v>
                </c:pt>
                <c:pt idx="3134">
                  <c:v>0.62692538507700801</c:v>
                </c:pt>
                <c:pt idx="3135">
                  <c:v>0.62712542508500957</c:v>
                </c:pt>
                <c:pt idx="3136">
                  <c:v>0.62732546509301113</c:v>
                </c:pt>
                <c:pt idx="3137">
                  <c:v>0.62752550510101268</c:v>
                </c:pt>
                <c:pt idx="3138">
                  <c:v>0.62772554510901424</c:v>
                </c:pt>
                <c:pt idx="3139">
                  <c:v>0.62792558511701579</c:v>
                </c:pt>
                <c:pt idx="3140">
                  <c:v>0.62812562512501735</c:v>
                </c:pt>
                <c:pt idx="3141">
                  <c:v>0.62832566513301891</c:v>
                </c:pt>
                <c:pt idx="3142">
                  <c:v>0.62852570514102046</c:v>
                </c:pt>
                <c:pt idx="3143">
                  <c:v>0.62872574514902202</c:v>
                </c:pt>
                <c:pt idx="3144">
                  <c:v>0.62892578515702358</c:v>
                </c:pt>
                <c:pt idx="3145">
                  <c:v>0.62912582516502513</c:v>
                </c:pt>
                <c:pt idx="3146">
                  <c:v>0.62932586517302669</c:v>
                </c:pt>
                <c:pt idx="3147">
                  <c:v>0.62952590518102824</c:v>
                </c:pt>
                <c:pt idx="3148">
                  <c:v>0.6297259451890298</c:v>
                </c:pt>
                <c:pt idx="3149">
                  <c:v>0.62992598519703136</c:v>
                </c:pt>
                <c:pt idx="3150">
                  <c:v>0.63012602520503291</c:v>
                </c:pt>
                <c:pt idx="3151">
                  <c:v>0.63032606521303447</c:v>
                </c:pt>
                <c:pt idx="3152">
                  <c:v>0.63052610522103603</c:v>
                </c:pt>
                <c:pt idx="3153">
                  <c:v>0.63072614522903758</c:v>
                </c:pt>
                <c:pt idx="3154">
                  <c:v>0.63092618523703914</c:v>
                </c:pt>
                <c:pt idx="3155">
                  <c:v>0.6311262252450407</c:v>
                </c:pt>
                <c:pt idx="3156">
                  <c:v>0.63132626525304225</c:v>
                </c:pt>
                <c:pt idx="3157">
                  <c:v>0.63152630526104381</c:v>
                </c:pt>
                <c:pt idx="3158">
                  <c:v>0.63172634526904536</c:v>
                </c:pt>
                <c:pt idx="3159">
                  <c:v>0.63192638527704692</c:v>
                </c:pt>
                <c:pt idx="3160">
                  <c:v>0.63212642528504848</c:v>
                </c:pt>
                <c:pt idx="3161">
                  <c:v>0.63232646529305003</c:v>
                </c:pt>
                <c:pt idx="3162">
                  <c:v>0.63252650530105159</c:v>
                </c:pt>
                <c:pt idx="3163">
                  <c:v>0.63272654530905315</c:v>
                </c:pt>
                <c:pt idx="3164">
                  <c:v>0.6329265853170547</c:v>
                </c:pt>
                <c:pt idx="3165">
                  <c:v>0.63312662532505626</c:v>
                </c:pt>
                <c:pt idx="3166">
                  <c:v>0.63332666533305781</c:v>
                </c:pt>
                <c:pt idx="3167">
                  <c:v>0.63352670534105937</c:v>
                </c:pt>
                <c:pt idx="3168">
                  <c:v>0.63372674534906093</c:v>
                </c:pt>
                <c:pt idx="3169">
                  <c:v>0.63392678535706248</c:v>
                </c:pt>
                <c:pt idx="3170">
                  <c:v>0.63412682536506404</c:v>
                </c:pt>
                <c:pt idx="3171">
                  <c:v>0.6343268653730656</c:v>
                </c:pt>
                <c:pt idx="3172">
                  <c:v>0.63452690538106715</c:v>
                </c:pt>
                <c:pt idx="3173">
                  <c:v>0.63472694538906871</c:v>
                </c:pt>
                <c:pt idx="3174">
                  <c:v>0.63492698539707026</c:v>
                </c:pt>
                <c:pt idx="3175">
                  <c:v>0.63512702540507182</c:v>
                </c:pt>
                <c:pt idx="3176">
                  <c:v>0.63532706541307338</c:v>
                </c:pt>
                <c:pt idx="3177">
                  <c:v>0.63552710542107493</c:v>
                </c:pt>
                <c:pt idx="3178">
                  <c:v>0.63572714542907649</c:v>
                </c:pt>
                <c:pt idx="3179">
                  <c:v>0.63592718543707805</c:v>
                </c:pt>
                <c:pt idx="3180">
                  <c:v>0.6361272254450796</c:v>
                </c:pt>
                <c:pt idx="3181">
                  <c:v>0.63632726545308116</c:v>
                </c:pt>
                <c:pt idx="3182">
                  <c:v>0.63652730546108272</c:v>
                </c:pt>
                <c:pt idx="3183">
                  <c:v>0.63672734546908427</c:v>
                </c:pt>
                <c:pt idx="3184">
                  <c:v>0.63692738547708583</c:v>
                </c:pt>
                <c:pt idx="3185">
                  <c:v>0.63712742548508738</c:v>
                </c:pt>
                <c:pt idx="3186">
                  <c:v>0.63732746549308894</c:v>
                </c:pt>
                <c:pt idx="3187">
                  <c:v>0.6375275055010905</c:v>
                </c:pt>
                <c:pt idx="3188">
                  <c:v>0.63772754550909205</c:v>
                </c:pt>
                <c:pt idx="3189">
                  <c:v>0.63792758551709361</c:v>
                </c:pt>
                <c:pt idx="3190">
                  <c:v>0.63812762552509517</c:v>
                </c:pt>
                <c:pt idx="3191">
                  <c:v>0.63832766553309672</c:v>
                </c:pt>
                <c:pt idx="3192">
                  <c:v>0.63852770554109828</c:v>
                </c:pt>
                <c:pt idx="3193">
                  <c:v>0.63872774554909983</c:v>
                </c:pt>
                <c:pt idx="3194">
                  <c:v>0.63892778555710139</c:v>
                </c:pt>
                <c:pt idx="3195">
                  <c:v>0.63912782556510295</c:v>
                </c:pt>
                <c:pt idx="3196">
                  <c:v>0.6393278655731045</c:v>
                </c:pt>
                <c:pt idx="3197">
                  <c:v>0.63952790558110606</c:v>
                </c:pt>
                <c:pt idx="3198">
                  <c:v>0.63972794558910762</c:v>
                </c:pt>
                <c:pt idx="3199">
                  <c:v>0.63992798559710917</c:v>
                </c:pt>
                <c:pt idx="3200">
                  <c:v>0.64012802560511073</c:v>
                </c:pt>
                <c:pt idx="3201">
                  <c:v>0.64032806561311228</c:v>
                </c:pt>
                <c:pt idx="3202">
                  <c:v>0.64052810562111384</c:v>
                </c:pt>
                <c:pt idx="3203">
                  <c:v>0.6407281456291154</c:v>
                </c:pt>
                <c:pt idx="3204">
                  <c:v>0.64092818563711695</c:v>
                </c:pt>
                <c:pt idx="3205">
                  <c:v>0.64112822564511851</c:v>
                </c:pt>
                <c:pt idx="3206">
                  <c:v>0.64132826565312007</c:v>
                </c:pt>
                <c:pt idx="3207">
                  <c:v>0.64152830566112162</c:v>
                </c:pt>
                <c:pt idx="3208">
                  <c:v>0.64172834566912318</c:v>
                </c:pt>
                <c:pt idx="3209">
                  <c:v>0.64192838567712474</c:v>
                </c:pt>
                <c:pt idx="3210">
                  <c:v>0.64212842568512629</c:v>
                </c:pt>
                <c:pt idx="3211">
                  <c:v>0.64232846569312785</c:v>
                </c:pt>
                <c:pt idx="3212">
                  <c:v>0.6425285057011294</c:v>
                </c:pt>
                <c:pt idx="3213">
                  <c:v>0.64272854570913096</c:v>
                </c:pt>
                <c:pt idx="3214">
                  <c:v>0.64292858571713252</c:v>
                </c:pt>
                <c:pt idx="3215">
                  <c:v>0.64312862572513407</c:v>
                </c:pt>
                <c:pt idx="3216">
                  <c:v>0.64332866573313563</c:v>
                </c:pt>
                <c:pt idx="3217">
                  <c:v>0.64352870574113719</c:v>
                </c:pt>
                <c:pt idx="3218">
                  <c:v>0.64372874574913874</c:v>
                </c:pt>
                <c:pt idx="3219">
                  <c:v>0.6439287857571403</c:v>
                </c:pt>
                <c:pt idx="3220">
                  <c:v>0.64412882576514185</c:v>
                </c:pt>
                <c:pt idx="3221">
                  <c:v>0.64432886577314341</c:v>
                </c:pt>
                <c:pt idx="3222">
                  <c:v>0.64452890578114497</c:v>
                </c:pt>
                <c:pt idx="3223">
                  <c:v>0.64472894578914652</c:v>
                </c:pt>
                <c:pt idx="3224">
                  <c:v>0.64492898579714808</c:v>
                </c:pt>
                <c:pt idx="3225">
                  <c:v>0.64512902580514964</c:v>
                </c:pt>
                <c:pt idx="3226">
                  <c:v>0.64532906581315119</c:v>
                </c:pt>
                <c:pt idx="3227">
                  <c:v>0.64552910582115275</c:v>
                </c:pt>
                <c:pt idx="3228">
                  <c:v>0.64572914582915431</c:v>
                </c:pt>
                <c:pt idx="3229">
                  <c:v>0.64592918583715586</c:v>
                </c:pt>
                <c:pt idx="3230">
                  <c:v>0.64612922584515742</c:v>
                </c:pt>
                <c:pt idx="3231">
                  <c:v>0.64632926585315897</c:v>
                </c:pt>
                <c:pt idx="3232">
                  <c:v>0.64652930586116053</c:v>
                </c:pt>
                <c:pt idx="3233">
                  <c:v>0.64672934586916209</c:v>
                </c:pt>
                <c:pt idx="3234">
                  <c:v>0.64692938587716364</c:v>
                </c:pt>
                <c:pt idx="3235">
                  <c:v>0.6471294258851652</c:v>
                </c:pt>
                <c:pt idx="3236">
                  <c:v>0.64732946589316676</c:v>
                </c:pt>
                <c:pt idx="3237">
                  <c:v>0.64752950590116831</c:v>
                </c:pt>
                <c:pt idx="3238">
                  <c:v>0.64772954590916987</c:v>
                </c:pt>
                <c:pt idx="3239">
                  <c:v>0.64792958591717142</c:v>
                </c:pt>
                <c:pt idx="3240">
                  <c:v>0.64812962592517298</c:v>
                </c:pt>
                <c:pt idx="3241">
                  <c:v>0.64832966593317454</c:v>
                </c:pt>
                <c:pt idx="3242">
                  <c:v>0.64852970594117609</c:v>
                </c:pt>
                <c:pt idx="3243">
                  <c:v>0.64872974594917765</c:v>
                </c:pt>
                <c:pt idx="3244">
                  <c:v>0.64892978595717921</c:v>
                </c:pt>
                <c:pt idx="3245">
                  <c:v>0.64912982596518076</c:v>
                </c:pt>
                <c:pt idx="3246">
                  <c:v>0.64932986597318232</c:v>
                </c:pt>
                <c:pt idx="3247">
                  <c:v>0.64952990598118387</c:v>
                </c:pt>
                <c:pt idx="3248">
                  <c:v>0.64972994598918543</c:v>
                </c:pt>
                <c:pt idx="3249">
                  <c:v>0.64992998599718699</c:v>
                </c:pt>
                <c:pt idx="3250">
                  <c:v>0.65013002600518854</c:v>
                </c:pt>
                <c:pt idx="3251">
                  <c:v>0.6503300660131901</c:v>
                </c:pt>
                <c:pt idx="3252">
                  <c:v>0.65053010602119166</c:v>
                </c:pt>
                <c:pt idx="3253">
                  <c:v>0.65073014602919321</c:v>
                </c:pt>
                <c:pt idx="3254">
                  <c:v>0.65093018603719477</c:v>
                </c:pt>
                <c:pt idx="3255">
                  <c:v>0.65113022604519633</c:v>
                </c:pt>
                <c:pt idx="3256">
                  <c:v>0.65133026605319788</c:v>
                </c:pt>
                <c:pt idx="3257">
                  <c:v>0.65153030606119944</c:v>
                </c:pt>
                <c:pt idx="3258">
                  <c:v>0.65173034606920099</c:v>
                </c:pt>
                <c:pt idx="3259">
                  <c:v>0.65193038607720255</c:v>
                </c:pt>
                <c:pt idx="3260">
                  <c:v>0.65213042608520411</c:v>
                </c:pt>
                <c:pt idx="3261">
                  <c:v>0.65233046609320566</c:v>
                </c:pt>
                <c:pt idx="3262">
                  <c:v>0.65253050610120722</c:v>
                </c:pt>
                <c:pt idx="3263">
                  <c:v>0.65273054610920878</c:v>
                </c:pt>
                <c:pt idx="3264">
                  <c:v>0.65293058611721033</c:v>
                </c:pt>
                <c:pt idx="3265">
                  <c:v>0.65313062612521189</c:v>
                </c:pt>
                <c:pt idx="3266">
                  <c:v>0.65333066613321344</c:v>
                </c:pt>
                <c:pt idx="3267">
                  <c:v>0.653530706141215</c:v>
                </c:pt>
                <c:pt idx="3268">
                  <c:v>0.65373074614921656</c:v>
                </c:pt>
                <c:pt idx="3269">
                  <c:v>0.65393078615721811</c:v>
                </c:pt>
                <c:pt idx="3270">
                  <c:v>0.65413082616521967</c:v>
                </c:pt>
                <c:pt idx="3271">
                  <c:v>0.65433086617322123</c:v>
                </c:pt>
                <c:pt idx="3272">
                  <c:v>0.65453090618122278</c:v>
                </c:pt>
                <c:pt idx="3273">
                  <c:v>0.65473094618922434</c:v>
                </c:pt>
                <c:pt idx="3274">
                  <c:v>0.6549309861972259</c:v>
                </c:pt>
                <c:pt idx="3275">
                  <c:v>0.65513102620522745</c:v>
                </c:pt>
                <c:pt idx="3276">
                  <c:v>0.65533106621322901</c:v>
                </c:pt>
                <c:pt idx="3277">
                  <c:v>0.65553110622123056</c:v>
                </c:pt>
                <c:pt idx="3278">
                  <c:v>0.65573114622923212</c:v>
                </c:pt>
                <c:pt idx="3279">
                  <c:v>0.65593118623723368</c:v>
                </c:pt>
                <c:pt idx="3280">
                  <c:v>0.65613122624523523</c:v>
                </c:pt>
                <c:pt idx="3281">
                  <c:v>0.65633126625323679</c:v>
                </c:pt>
                <c:pt idx="3282">
                  <c:v>0.65653130626123835</c:v>
                </c:pt>
                <c:pt idx="3283">
                  <c:v>0.6567313462692399</c:v>
                </c:pt>
                <c:pt idx="3284">
                  <c:v>0.65693138627724146</c:v>
                </c:pt>
                <c:pt idx="3285">
                  <c:v>0.65713142628524301</c:v>
                </c:pt>
                <c:pt idx="3286">
                  <c:v>0.65733146629324457</c:v>
                </c:pt>
                <c:pt idx="3287">
                  <c:v>0.65753150630124613</c:v>
                </c:pt>
                <c:pt idx="3288">
                  <c:v>0.65773154630924768</c:v>
                </c:pt>
                <c:pt idx="3289">
                  <c:v>0.65793158631724924</c:v>
                </c:pt>
                <c:pt idx="3290">
                  <c:v>0.6581316263252508</c:v>
                </c:pt>
                <c:pt idx="3291">
                  <c:v>0.65833166633325235</c:v>
                </c:pt>
                <c:pt idx="3292">
                  <c:v>0.65853170634125391</c:v>
                </c:pt>
                <c:pt idx="3293">
                  <c:v>0.65873174634925546</c:v>
                </c:pt>
                <c:pt idx="3294">
                  <c:v>0.65893178635725702</c:v>
                </c:pt>
                <c:pt idx="3295">
                  <c:v>0.65913182636525858</c:v>
                </c:pt>
                <c:pt idx="3296">
                  <c:v>0.65933186637326013</c:v>
                </c:pt>
                <c:pt idx="3297">
                  <c:v>0.65953190638126169</c:v>
                </c:pt>
                <c:pt idx="3298">
                  <c:v>0.65973194638926325</c:v>
                </c:pt>
                <c:pt idx="3299">
                  <c:v>0.6599319863972648</c:v>
                </c:pt>
                <c:pt idx="3300">
                  <c:v>0.66013202640526636</c:v>
                </c:pt>
                <c:pt idx="3301">
                  <c:v>0.66033206641326792</c:v>
                </c:pt>
                <c:pt idx="3302">
                  <c:v>0.66053210642126947</c:v>
                </c:pt>
                <c:pt idx="3303">
                  <c:v>0.66073214642927103</c:v>
                </c:pt>
                <c:pt idx="3304">
                  <c:v>0.66093218643727258</c:v>
                </c:pt>
                <c:pt idx="3305">
                  <c:v>0.66113222644527414</c:v>
                </c:pt>
                <c:pt idx="3306">
                  <c:v>0.6613322664532757</c:v>
                </c:pt>
                <c:pt idx="3307">
                  <c:v>0.66153230646127725</c:v>
                </c:pt>
                <c:pt idx="3308">
                  <c:v>0.66173234646927881</c:v>
                </c:pt>
                <c:pt idx="3309">
                  <c:v>0.66193238647728037</c:v>
                </c:pt>
                <c:pt idx="3310">
                  <c:v>0.66213242648528192</c:v>
                </c:pt>
                <c:pt idx="3311">
                  <c:v>0.66233246649328348</c:v>
                </c:pt>
                <c:pt idx="3312">
                  <c:v>0.66253250650128503</c:v>
                </c:pt>
                <c:pt idx="3313">
                  <c:v>0.66273254650928659</c:v>
                </c:pt>
                <c:pt idx="3314">
                  <c:v>0.66293258651728815</c:v>
                </c:pt>
                <c:pt idx="3315">
                  <c:v>0.6631326265252897</c:v>
                </c:pt>
                <c:pt idx="3316">
                  <c:v>0.66333266653329126</c:v>
                </c:pt>
                <c:pt idx="3317">
                  <c:v>0.66353270654129282</c:v>
                </c:pt>
                <c:pt idx="3318">
                  <c:v>0.66373274654929437</c:v>
                </c:pt>
                <c:pt idx="3319">
                  <c:v>0.66393278655729593</c:v>
                </c:pt>
                <c:pt idx="3320">
                  <c:v>0.66413282656529748</c:v>
                </c:pt>
                <c:pt idx="3321">
                  <c:v>0.66433286657329904</c:v>
                </c:pt>
                <c:pt idx="3322">
                  <c:v>0.6645329065813006</c:v>
                </c:pt>
                <c:pt idx="3323">
                  <c:v>0.66473294658930215</c:v>
                </c:pt>
                <c:pt idx="3324">
                  <c:v>0.66493298659730371</c:v>
                </c:pt>
                <c:pt idx="3325">
                  <c:v>0.66513302660530527</c:v>
                </c:pt>
                <c:pt idx="3326">
                  <c:v>0.66533306661330682</c:v>
                </c:pt>
                <c:pt idx="3327">
                  <c:v>0.66553310662130838</c:v>
                </c:pt>
                <c:pt idx="3328">
                  <c:v>0.66573314662930994</c:v>
                </c:pt>
                <c:pt idx="3329">
                  <c:v>0.66593318663731149</c:v>
                </c:pt>
                <c:pt idx="3330">
                  <c:v>0.66613322664531305</c:v>
                </c:pt>
                <c:pt idx="3331">
                  <c:v>0.6663332666533146</c:v>
                </c:pt>
                <c:pt idx="3332">
                  <c:v>0.66653330666131616</c:v>
                </c:pt>
                <c:pt idx="3333">
                  <c:v>0.66673334666931772</c:v>
                </c:pt>
                <c:pt idx="3334">
                  <c:v>0.66693338667731927</c:v>
                </c:pt>
                <c:pt idx="3335">
                  <c:v>0.66713342668532083</c:v>
                </c:pt>
                <c:pt idx="3336">
                  <c:v>0.66733346669332239</c:v>
                </c:pt>
                <c:pt idx="3337">
                  <c:v>0.66753350670132394</c:v>
                </c:pt>
                <c:pt idx="3338">
                  <c:v>0.6677335467093255</c:v>
                </c:pt>
                <c:pt idx="3339">
                  <c:v>0.66793358671732705</c:v>
                </c:pt>
                <c:pt idx="3340">
                  <c:v>0.66813362672532861</c:v>
                </c:pt>
                <c:pt idx="3341">
                  <c:v>0.66833366673333017</c:v>
                </c:pt>
                <c:pt idx="3342">
                  <c:v>0.66853370674133172</c:v>
                </c:pt>
                <c:pt idx="3343">
                  <c:v>0.66873374674933328</c:v>
                </c:pt>
                <c:pt idx="3344">
                  <c:v>0.66893378675733484</c:v>
                </c:pt>
                <c:pt idx="3345">
                  <c:v>0.66913382676533639</c:v>
                </c:pt>
                <c:pt idx="3346">
                  <c:v>0.66933386677333795</c:v>
                </c:pt>
                <c:pt idx="3347">
                  <c:v>0.66953390678133951</c:v>
                </c:pt>
                <c:pt idx="3348">
                  <c:v>0.66973394678934106</c:v>
                </c:pt>
                <c:pt idx="3349">
                  <c:v>0.66993398679734262</c:v>
                </c:pt>
                <c:pt idx="3350">
                  <c:v>0.67013402680534417</c:v>
                </c:pt>
                <c:pt idx="3351">
                  <c:v>0.67033406681334573</c:v>
                </c:pt>
                <c:pt idx="3352">
                  <c:v>0.67053410682134729</c:v>
                </c:pt>
                <c:pt idx="3353">
                  <c:v>0.67073414682934884</c:v>
                </c:pt>
                <c:pt idx="3354">
                  <c:v>0.6709341868373504</c:v>
                </c:pt>
                <c:pt idx="3355">
                  <c:v>0.67113422684535196</c:v>
                </c:pt>
                <c:pt idx="3356">
                  <c:v>0.67133426685335351</c:v>
                </c:pt>
                <c:pt idx="3357">
                  <c:v>0.67153430686135507</c:v>
                </c:pt>
                <c:pt idx="3358">
                  <c:v>0.67173434686935662</c:v>
                </c:pt>
                <c:pt idx="3359">
                  <c:v>0.67193438687735818</c:v>
                </c:pt>
                <c:pt idx="3360">
                  <c:v>0.67213442688535974</c:v>
                </c:pt>
                <c:pt idx="3361">
                  <c:v>0.67233446689336129</c:v>
                </c:pt>
                <c:pt idx="3362">
                  <c:v>0.67253450690136285</c:v>
                </c:pt>
                <c:pt idx="3363">
                  <c:v>0.67273454690936441</c:v>
                </c:pt>
                <c:pt idx="3364">
                  <c:v>0.67293458691736596</c:v>
                </c:pt>
                <c:pt idx="3365">
                  <c:v>0.67313462692536752</c:v>
                </c:pt>
                <c:pt idx="3366">
                  <c:v>0.67333466693336907</c:v>
                </c:pt>
                <c:pt idx="3367">
                  <c:v>0.67353470694137063</c:v>
                </c:pt>
                <c:pt idx="3368">
                  <c:v>0.67373474694937219</c:v>
                </c:pt>
                <c:pt idx="3369">
                  <c:v>0.67393478695737374</c:v>
                </c:pt>
                <c:pt idx="3370">
                  <c:v>0.6741348269653753</c:v>
                </c:pt>
                <c:pt idx="3371">
                  <c:v>0.67433486697337686</c:v>
                </c:pt>
                <c:pt idx="3372">
                  <c:v>0.67453490698137841</c:v>
                </c:pt>
                <c:pt idx="3373">
                  <c:v>0.67473494698937997</c:v>
                </c:pt>
                <c:pt idx="3374">
                  <c:v>0.67493498699738153</c:v>
                </c:pt>
                <c:pt idx="3375">
                  <c:v>0.67513502700538308</c:v>
                </c:pt>
                <c:pt idx="3376">
                  <c:v>0.67533506701338464</c:v>
                </c:pt>
                <c:pt idx="3377">
                  <c:v>0.67553510702138619</c:v>
                </c:pt>
                <c:pt idx="3378">
                  <c:v>0.67573514702938775</c:v>
                </c:pt>
                <c:pt idx="3379">
                  <c:v>0.67593518703738931</c:v>
                </c:pt>
                <c:pt idx="3380">
                  <c:v>0.67613522704539086</c:v>
                </c:pt>
                <c:pt idx="3381">
                  <c:v>0.67633526705339242</c:v>
                </c:pt>
                <c:pt idx="3382">
                  <c:v>0.67653530706139398</c:v>
                </c:pt>
                <c:pt idx="3383">
                  <c:v>0.67673534706939553</c:v>
                </c:pt>
                <c:pt idx="3384">
                  <c:v>0.67693538707739709</c:v>
                </c:pt>
                <c:pt idx="3385">
                  <c:v>0.67713542708539864</c:v>
                </c:pt>
                <c:pt idx="3386">
                  <c:v>0.6773354670934002</c:v>
                </c:pt>
                <c:pt idx="3387">
                  <c:v>0.67753550710140176</c:v>
                </c:pt>
                <c:pt idx="3388">
                  <c:v>0.67773554710940331</c:v>
                </c:pt>
                <c:pt idx="3389">
                  <c:v>0.67793558711740487</c:v>
                </c:pt>
                <c:pt idx="3390">
                  <c:v>0.67813562712540643</c:v>
                </c:pt>
                <c:pt idx="3391">
                  <c:v>0.67833566713340798</c:v>
                </c:pt>
                <c:pt idx="3392">
                  <c:v>0.67853570714140954</c:v>
                </c:pt>
                <c:pt idx="3393">
                  <c:v>0.67873574714941109</c:v>
                </c:pt>
                <c:pt idx="3394">
                  <c:v>0.67893578715741265</c:v>
                </c:pt>
                <c:pt idx="3395">
                  <c:v>0.67913582716541421</c:v>
                </c:pt>
                <c:pt idx="3396">
                  <c:v>0.67933586717341576</c:v>
                </c:pt>
                <c:pt idx="3397">
                  <c:v>0.67953590718141732</c:v>
                </c:pt>
                <c:pt idx="3398">
                  <c:v>0.67973594718941888</c:v>
                </c:pt>
                <c:pt idx="3399">
                  <c:v>0.67993598719742043</c:v>
                </c:pt>
                <c:pt idx="3400">
                  <c:v>0.68013602720542199</c:v>
                </c:pt>
                <c:pt idx="3401">
                  <c:v>0.68033606721342355</c:v>
                </c:pt>
                <c:pt idx="3402">
                  <c:v>0.6805361072214251</c:v>
                </c:pt>
                <c:pt idx="3403">
                  <c:v>0.68073614722942666</c:v>
                </c:pt>
                <c:pt idx="3404">
                  <c:v>0.68093618723742821</c:v>
                </c:pt>
                <c:pt idx="3405">
                  <c:v>0.68113622724542977</c:v>
                </c:pt>
                <c:pt idx="3406">
                  <c:v>0.68133626725343133</c:v>
                </c:pt>
                <c:pt idx="3407">
                  <c:v>0.68153630726143288</c:v>
                </c:pt>
                <c:pt idx="3408">
                  <c:v>0.68173634726943444</c:v>
                </c:pt>
                <c:pt idx="3409">
                  <c:v>0.681936387277436</c:v>
                </c:pt>
                <c:pt idx="3410">
                  <c:v>0.68213642728543755</c:v>
                </c:pt>
                <c:pt idx="3411">
                  <c:v>0.68233646729343911</c:v>
                </c:pt>
                <c:pt idx="3412">
                  <c:v>0.68253650730144066</c:v>
                </c:pt>
                <c:pt idx="3413">
                  <c:v>0.68273654730944222</c:v>
                </c:pt>
                <c:pt idx="3414">
                  <c:v>0.68293658731744378</c:v>
                </c:pt>
                <c:pt idx="3415">
                  <c:v>0.68313662732544533</c:v>
                </c:pt>
                <c:pt idx="3416">
                  <c:v>0.68333666733344689</c:v>
                </c:pt>
                <c:pt idx="3417">
                  <c:v>0.68353670734144845</c:v>
                </c:pt>
                <c:pt idx="3418">
                  <c:v>0.68373674734945</c:v>
                </c:pt>
                <c:pt idx="3419">
                  <c:v>0.68393678735745156</c:v>
                </c:pt>
                <c:pt idx="3420">
                  <c:v>0.68413682736545312</c:v>
                </c:pt>
                <c:pt idx="3421">
                  <c:v>0.68433686737345467</c:v>
                </c:pt>
                <c:pt idx="3422">
                  <c:v>0.68453690738145623</c:v>
                </c:pt>
                <c:pt idx="3423">
                  <c:v>0.68473694738945778</c:v>
                </c:pt>
                <c:pt idx="3424">
                  <c:v>0.68493698739745934</c:v>
                </c:pt>
                <c:pt idx="3425">
                  <c:v>0.6851370274054609</c:v>
                </c:pt>
                <c:pt idx="3426">
                  <c:v>0.68533706741346245</c:v>
                </c:pt>
                <c:pt idx="3427">
                  <c:v>0.68553710742146401</c:v>
                </c:pt>
                <c:pt idx="3428">
                  <c:v>0.68573714742946557</c:v>
                </c:pt>
                <c:pt idx="3429">
                  <c:v>0.68593718743746712</c:v>
                </c:pt>
                <c:pt idx="3430">
                  <c:v>0.68613722744546868</c:v>
                </c:pt>
                <c:pt idx="3431">
                  <c:v>0.68633726745347023</c:v>
                </c:pt>
                <c:pt idx="3432">
                  <c:v>0.68653730746147179</c:v>
                </c:pt>
                <c:pt idx="3433">
                  <c:v>0.68673734746947335</c:v>
                </c:pt>
                <c:pt idx="3434">
                  <c:v>0.6869373874774749</c:v>
                </c:pt>
                <c:pt idx="3435">
                  <c:v>0.68713742748547646</c:v>
                </c:pt>
                <c:pt idx="3436">
                  <c:v>0.68733746749347802</c:v>
                </c:pt>
                <c:pt idx="3437">
                  <c:v>0.68753750750147957</c:v>
                </c:pt>
                <c:pt idx="3438">
                  <c:v>0.68773754750948113</c:v>
                </c:pt>
                <c:pt idx="3439">
                  <c:v>0.68793758751748268</c:v>
                </c:pt>
                <c:pt idx="3440">
                  <c:v>0.68813762752548424</c:v>
                </c:pt>
                <c:pt idx="3441">
                  <c:v>0.6883376675334858</c:v>
                </c:pt>
                <c:pt idx="3442">
                  <c:v>0.68853770754148735</c:v>
                </c:pt>
                <c:pt idx="3443">
                  <c:v>0.68873774754948891</c:v>
                </c:pt>
                <c:pt idx="3444">
                  <c:v>0.68893778755749047</c:v>
                </c:pt>
                <c:pt idx="3445">
                  <c:v>0.68913782756549202</c:v>
                </c:pt>
                <c:pt idx="3446">
                  <c:v>0.68933786757349358</c:v>
                </c:pt>
                <c:pt idx="3447">
                  <c:v>0.68953790758149514</c:v>
                </c:pt>
                <c:pt idx="3448">
                  <c:v>0.68973794758949669</c:v>
                </c:pt>
                <c:pt idx="3449">
                  <c:v>0.68993798759749825</c:v>
                </c:pt>
                <c:pt idx="3450">
                  <c:v>0.6901380276054998</c:v>
                </c:pt>
                <c:pt idx="3451">
                  <c:v>0.69033806761350136</c:v>
                </c:pt>
                <c:pt idx="3452">
                  <c:v>0.69053810762150292</c:v>
                </c:pt>
                <c:pt idx="3453">
                  <c:v>0.69073814762950447</c:v>
                </c:pt>
                <c:pt idx="3454">
                  <c:v>0.69093818763750603</c:v>
                </c:pt>
                <c:pt idx="3455">
                  <c:v>0.69113822764550759</c:v>
                </c:pt>
                <c:pt idx="3456">
                  <c:v>0.69133826765350914</c:v>
                </c:pt>
                <c:pt idx="3457">
                  <c:v>0.6915383076615107</c:v>
                </c:pt>
                <c:pt idx="3458">
                  <c:v>0.69173834766951225</c:v>
                </c:pt>
                <c:pt idx="3459">
                  <c:v>0.69193838767751381</c:v>
                </c:pt>
                <c:pt idx="3460">
                  <c:v>0.69213842768551537</c:v>
                </c:pt>
                <c:pt idx="3461">
                  <c:v>0.69233846769351692</c:v>
                </c:pt>
                <c:pt idx="3462">
                  <c:v>0.69253850770151848</c:v>
                </c:pt>
                <c:pt idx="3463">
                  <c:v>0.69273854770952004</c:v>
                </c:pt>
                <c:pt idx="3464">
                  <c:v>0.69293858771752159</c:v>
                </c:pt>
                <c:pt idx="3465">
                  <c:v>0.69313862772552315</c:v>
                </c:pt>
                <c:pt idx="3466">
                  <c:v>0.69333866773352471</c:v>
                </c:pt>
                <c:pt idx="3467">
                  <c:v>0.69353870774152626</c:v>
                </c:pt>
                <c:pt idx="3468">
                  <c:v>0.69373874774952782</c:v>
                </c:pt>
                <c:pt idx="3469">
                  <c:v>0.69393878775752937</c:v>
                </c:pt>
                <c:pt idx="3470">
                  <c:v>0.69413882776553093</c:v>
                </c:pt>
                <c:pt idx="3471">
                  <c:v>0.69433886777353249</c:v>
                </c:pt>
                <c:pt idx="3472">
                  <c:v>0.69453890778153404</c:v>
                </c:pt>
                <c:pt idx="3473">
                  <c:v>0.6947389477895356</c:v>
                </c:pt>
                <c:pt idx="3474">
                  <c:v>0.69493898779753716</c:v>
                </c:pt>
                <c:pt idx="3475">
                  <c:v>0.69513902780553871</c:v>
                </c:pt>
                <c:pt idx="3476">
                  <c:v>0.69533906781354027</c:v>
                </c:pt>
                <c:pt idx="3477">
                  <c:v>0.69553910782154182</c:v>
                </c:pt>
                <c:pt idx="3478">
                  <c:v>0.69573914782954338</c:v>
                </c:pt>
                <c:pt idx="3479">
                  <c:v>0.69593918783754494</c:v>
                </c:pt>
                <c:pt idx="3480">
                  <c:v>0.69613922784554649</c:v>
                </c:pt>
                <c:pt idx="3481">
                  <c:v>0.69633926785354805</c:v>
                </c:pt>
                <c:pt idx="3482">
                  <c:v>0.69653930786154961</c:v>
                </c:pt>
                <c:pt idx="3483">
                  <c:v>0.69673934786955116</c:v>
                </c:pt>
                <c:pt idx="3484">
                  <c:v>0.69693938787755272</c:v>
                </c:pt>
                <c:pt idx="3485">
                  <c:v>0.69713942788555427</c:v>
                </c:pt>
                <c:pt idx="3486">
                  <c:v>0.69733946789355583</c:v>
                </c:pt>
                <c:pt idx="3487">
                  <c:v>0.69753950790155739</c:v>
                </c:pt>
                <c:pt idx="3488">
                  <c:v>0.69773954790955894</c:v>
                </c:pt>
                <c:pt idx="3489">
                  <c:v>0.6979395879175605</c:v>
                </c:pt>
                <c:pt idx="3490">
                  <c:v>0.69813962792556206</c:v>
                </c:pt>
                <c:pt idx="3491">
                  <c:v>0.69833966793356361</c:v>
                </c:pt>
                <c:pt idx="3492">
                  <c:v>0.69853970794156517</c:v>
                </c:pt>
                <c:pt idx="3493">
                  <c:v>0.69873974794956673</c:v>
                </c:pt>
                <c:pt idx="3494">
                  <c:v>0.69893978795756828</c:v>
                </c:pt>
                <c:pt idx="3495">
                  <c:v>0.69913982796556984</c:v>
                </c:pt>
                <c:pt idx="3496">
                  <c:v>0.69933986797357139</c:v>
                </c:pt>
                <c:pt idx="3497">
                  <c:v>0.69953990798157295</c:v>
                </c:pt>
                <c:pt idx="3498">
                  <c:v>0.69973994798957451</c:v>
                </c:pt>
                <c:pt idx="3499">
                  <c:v>0.69993998799757606</c:v>
                </c:pt>
                <c:pt idx="3500">
                  <c:v>0.70014002800557762</c:v>
                </c:pt>
                <c:pt idx="3501">
                  <c:v>0.70034006801357918</c:v>
                </c:pt>
                <c:pt idx="3502">
                  <c:v>0.70054010802158073</c:v>
                </c:pt>
                <c:pt idx="3503">
                  <c:v>0.70074014802958229</c:v>
                </c:pt>
                <c:pt idx="3504">
                  <c:v>0.70094018803758384</c:v>
                </c:pt>
                <c:pt idx="3505">
                  <c:v>0.7011402280455854</c:v>
                </c:pt>
                <c:pt idx="3506">
                  <c:v>0.70134026805358696</c:v>
                </c:pt>
                <c:pt idx="3507">
                  <c:v>0.70154030806158851</c:v>
                </c:pt>
                <c:pt idx="3508">
                  <c:v>0.70174034806959007</c:v>
                </c:pt>
                <c:pt idx="3509">
                  <c:v>0.70194038807759163</c:v>
                </c:pt>
                <c:pt idx="3510">
                  <c:v>0.70214042808559318</c:v>
                </c:pt>
                <c:pt idx="3511">
                  <c:v>0.70234046809359474</c:v>
                </c:pt>
                <c:pt idx="3512">
                  <c:v>0.70254050810159629</c:v>
                </c:pt>
                <c:pt idx="3513">
                  <c:v>0.70274054810959785</c:v>
                </c:pt>
                <c:pt idx="3514">
                  <c:v>0.70294058811759941</c:v>
                </c:pt>
                <c:pt idx="3515">
                  <c:v>0.70314062812560096</c:v>
                </c:pt>
                <c:pt idx="3516">
                  <c:v>0.70334066813360252</c:v>
                </c:pt>
                <c:pt idx="3517">
                  <c:v>0.70354070814160408</c:v>
                </c:pt>
                <c:pt idx="3518">
                  <c:v>0.70374074814960563</c:v>
                </c:pt>
                <c:pt idx="3519">
                  <c:v>0.70394078815760719</c:v>
                </c:pt>
                <c:pt idx="3520">
                  <c:v>0.70414082816560875</c:v>
                </c:pt>
                <c:pt idx="3521">
                  <c:v>0.7043408681736103</c:v>
                </c:pt>
                <c:pt idx="3522">
                  <c:v>0.70454090818161186</c:v>
                </c:pt>
                <c:pt idx="3523">
                  <c:v>0.70474094818961341</c:v>
                </c:pt>
                <c:pt idx="3524">
                  <c:v>0.70494098819761497</c:v>
                </c:pt>
                <c:pt idx="3525">
                  <c:v>0.70514102820561653</c:v>
                </c:pt>
                <c:pt idx="3526">
                  <c:v>0.70534106821361808</c:v>
                </c:pt>
                <c:pt idx="3527">
                  <c:v>0.70554110822161964</c:v>
                </c:pt>
                <c:pt idx="3528">
                  <c:v>0.7057411482296212</c:v>
                </c:pt>
                <c:pt idx="3529">
                  <c:v>0.70594118823762275</c:v>
                </c:pt>
                <c:pt idx="3530">
                  <c:v>0.70614122824562431</c:v>
                </c:pt>
                <c:pt idx="3531">
                  <c:v>0.70634126825362586</c:v>
                </c:pt>
                <c:pt idx="3532">
                  <c:v>0.70654130826162742</c:v>
                </c:pt>
                <c:pt idx="3533">
                  <c:v>0.70674134826962898</c:v>
                </c:pt>
                <c:pt idx="3534">
                  <c:v>0.70694138827763053</c:v>
                </c:pt>
                <c:pt idx="3535">
                  <c:v>0.70714142828563209</c:v>
                </c:pt>
                <c:pt idx="3536">
                  <c:v>0.70734146829363365</c:v>
                </c:pt>
                <c:pt idx="3537">
                  <c:v>0.7075415083016352</c:v>
                </c:pt>
                <c:pt idx="3538">
                  <c:v>0.70774154830963676</c:v>
                </c:pt>
                <c:pt idx="3539">
                  <c:v>0.70794158831763832</c:v>
                </c:pt>
                <c:pt idx="3540">
                  <c:v>0.70814162832563987</c:v>
                </c:pt>
                <c:pt idx="3541">
                  <c:v>0.70834166833364143</c:v>
                </c:pt>
                <c:pt idx="3542">
                  <c:v>0.70854170834164298</c:v>
                </c:pt>
                <c:pt idx="3543">
                  <c:v>0.70874174834964454</c:v>
                </c:pt>
                <c:pt idx="3544">
                  <c:v>0.7089417883576461</c:v>
                </c:pt>
                <c:pt idx="3545">
                  <c:v>0.70914182836564765</c:v>
                </c:pt>
                <c:pt idx="3546">
                  <c:v>0.70934186837364921</c:v>
                </c:pt>
                <c:pt idx="3547">
                  <c:v>0.70954190838165077</c:v>
                </c:pt>
                <c:pt idx="3548">
                  <c:v>0.70974194838965232</c:v>
                </c:pt>
                <c:pt idx="3549">
                  <c:v>0.70994198839765388</c:v>
                </c:pt>
                <c:pt idx="3550">
                  <c:v>0.71014202840565543</c:v>
                </c:pt>
                <c:pt idx="3551">
                  <c:v>0.71034206841365699</c:v>
                </c:pt>
                <c:pt idx="3552">
                  <c:v>0.71054210842165855</c:v>
                </c:pt>
                <c:pt idx="3553">
                  <c:v>0.7107421484296601</c:v>
                </c:pt>
                <c:pt idx="3554">
                  <c:v>0.71094218843766166</c:v>
                </c:pt>
                <c:pt idx="3555">
                  <c:v>0.71114222844566322</c:v>
                </c:pt>
                <c:pt idx="3556">
                  <c:v>0.71134226845366477</c:v>
                </c:pt>
                <c:pt idx="3557">
                  <c:v>0.71154230846166633</c:v>
                </c:pt>
                <c:pt idx="3558">
                  <c:v>0.71174234846966788</c:v>
                </c:pt>
                <c:pt idx="3559">
                  <c:v>0.71194238847766944</c:v>
                </c:pt>
                <c:pt idx="3560">
                  <c:v>0.712142428485671</c:v>
                </c:pt>
                <c:pt idx="3561">
                  <c:v>0.71234246849367255</c:v>
                </c:pt>
                <c:pt idx="3562">
                  <c:v>0.71254250850167411</c:v>
                </c:pt>
                <c:pt idx="3563">
                  <c:v>0.71274254850967567</c:v>
                </c:pt>
                <c:pt idx="3564">
                  <c:v>0.71294258851767722</c:v>
                </c:pt>
                <c:pt idx="3565">
                  <c:v>0.71314262852567878</c:v>
                </c:pt>
                <c:pt idx="3566">
                  <c:v>0.71334266853368034</c:v>
                </c:pt>
                <c:pt idx="3567">
                  <c:v>0.71354270854168189</c:v>
                </c:pt>
                <c:pt idx="3568">
                  <c:v>0.71374274854968345</c:v>
                </c:pt>
                <c:pt idx="3569">
                  <c:v>0.713942788557685</c:v>
                </c:pt>
                <c:pt idx="3570">
                  <c:v>0.71414282856568656</c:v>
                </c:pt>
                <c:pt idx="3571">
                  <c:v>0.71434286857368812</c:v>
                </c:pt>
                <c:pt idx="3572">
                  <c:v>0.71454290858168967</c:v>
                </c:pt>
                <c:pt idx="3573">
                  <c:v>0.71474294858969123</c:v>
                </c:pt>
                <c:pt idx="3574">
                  <c:v>0.71494298859769279</c:v>
                </c:pt>
                <c:pt idx="3575">
                  <c:v>0.71514302860569434</c:v>
                </c:pt>
                <c:pt idx="3576">
                  <c:v>0.7153430686136959</c:v>
                </c:pt>
                <c:pt idx="3577">
                  <c:v>0.71554310862169745</c:v>
                </c:pt>
                <c:pt idx="3578">
                  <c:v>0.71574314862969901</c:v>
                </c:pt>
                <c:pt idx="3579">
                  <c:v>0.71594318863770057</c:v>
                </c:pt>
                <c:pt idx="3580">
                  <c:v>0.71614322864570212</c:v>
                </c:pt>
                <c:pt idx="3581">
                  <c:v>0.71634326865370368</c:v>
                </c:pt>
                <c:pt idx="3582">
                  <c:v>0.71654330866170524</c:v>
                </c:pt>
                <c:pt idx="3583">
                  <c:v>0.71674334866970679</c:v>
                </c:pt>
                <c:pt idx="3584">
                  <c:v>0.71694338867770835</c:v>
                </c:pt>
                <c:pt idx="3585">
                  <c:v>0.7171434286857099</c:v>
                </c:pt>
                <c:pt idx="3586">
                  <c:v>0.71734346869371146</c:v>
                </c:pt>
                <c:pt idx="3587">
                  <c:v>0.71754350870171302</c:v>
                </c:pt>
                <c:pt idx="3588">
                  <c:v>0.71774354870971457</c:v>
                </c:pt>
                <c:pt idx="3589">
                  <c:v>0.71794358871771613</c:v>
                </c:pt>
                <c:pt idx="3590">
                  <c:v>0.71814362872571769</c:v>
                </c:pt>
                <c:pt idx="3591">
                  <c:v>0.71834366873371924</c:v>
                </c:pt>
                <c:pt idx="3592">
                  <c:v>0.7185437087417208</c:v>
                </c:pt>
                <c:pt idx="3593">
                  <c:v>0.71874374874972236</c:v>
                </c:pt>
                <c:pt idx="3594">
                  <c:v>0.71894378875772391</c:v>
                </c:pt>
                <c:pt idx="3595">
                  <c:v>0.71914382876572547</c:v>
                </c:pt>
                <c:pt idx="3596">
                  <c:v>0.71934386877372702</c:v>
                </c:pt>
                <c:pt idx="3597">
                  <c:v>0.71954390878172858</c:v>
                </c:pt>
                <c:pt idx="3598">
                  <c:v>0.71974394878973014</c:v>
                </c:pt>
                <c:pt idx="3599">
                  <c:v>0.71994398879773169</c:v>
                </c:pt>
                <c:pt idx="3600">
                  <c:v>0.72014402880573325</c:v>
                </c:pt>
                <c:pt idx="3601">
                  <c:v>0.72034406881373481</c:v>
                </c:pt>
                <c:pt idx="3602">
                  <c:v>0.72054410882173636</c:v>
                </c:pt>
                <c:pt idx="3603">
                  <c:v>0.72074414882973792</c:v>
                </c:pt>
                <c:pt idx="3604">
                  <c:v>0.72094418883773947</c:v>
                </c:pt>
                <c:pt idx="3605">
                  <c:v>0.72114422884574103</c:v>
                </c:pt>
                <c:pt idx="3606">
                  <c:v>0.72134426885374259</c:v>
                </c:pt>
                <c:pt idx="3607">
                  <c:v>0.72154430886174414</c:v>
                </c:pt>
                <c:pt idx="3608">
                  <c:v>0.7217443488697457</c:v>
                </c:pt>
                <c:pt idx="3609">
                  <c:v>0.72194438887774726</c:v>
                </c:pt>
                <c:pt idx="3610">
                  <c:v>0.72214442888574881</c:v>
                </c:pt>
                <c:pt idx="3611">
                  <c:v>0.72234446889375037</c:v>
                </c:pt>
                <c:pt idx="3612">
                  <c:v>0.72254450890175193</c:v>
                </c:pt>
                <c:pt idx="3613">
                  <c:v>0.72274454890975348</c:v>
                </c:pt>
                <c:pt idx="3614">
                  <c:v>0.72294458891775504</c:v>
                </c:pt>
                <c:pt idx="3615">
                  <c:v>0.72314462892575659</c:v>
                </c:pt>
                <c:pt idx="3616">
                  <c:v>0.72334466893375815</c:v>
                </c:pt>
                <c:pt idx="3617">
                  <c:v>0.72354470894175971</c:v>
                </c:pt>
                <c:pt idx="3618">
                  <c:v>0.72374474894976126</c:v>
                </c:pt>
                <c:pt idx="3619">
                  <c:v>0.72394478895776282</c:v>
                </c:pt>
                <c:pt idx="3620">
                  <c:v>0.72414482896576438</c:v>
                </c:pt>
                <c:pt idx="3621">
                  <c:v>0.72434486897376593</c:v>
                </c:pt>
                <c:pt idx="3622">
                  <c:v>0.72454490898176749</c:v>
                </c:pt>
                <c:pt idx="3623">
                  <c:v>0.72474494898976904</c:v>
                </c:pt>
                <c:pt idx="3624">
                  <c:v>0.7249449889977706</c:v>
                </c:pt>
                <c:pt idx="3625">
                  <c:v>0.72514502900577216</c:v>
                </c:pt>
                <c:pt idx="3626">
                  <c:v>0.72534506901377371</c:v>
                </c:pt>
                <c:pt idx="3627">
                  <c:v>0.72554510902177527</c:v>
                </c:pt>
                <c:pt idx="3628">
                  <c:v>0.72574514902977683</c:v>
                </c:pt>
                <c:pt idx="3629">
                  <c:v>0.72594518903777838</c:v>
                </c:pt>
                <c:pt idx="3630">
                  <c:v>0.72614522904577994</c:v>
                </c:pt>
                <c:pt idx="3631">
                  <c:v>0.72634526905378149</c:v>
                </c:pt>
                <c:pt idx="3632">
                  <c:v>0.72654530906178305</c:v>
                </c:pt>
                <c:pt idx="3633">
                  <c:v>0.72674534906978461</c:v>
                </c:pt>
                <c:pt idx="3634">
                  <c:v>0.72694538907778616</c:v>
                </c:pt>
                <c:pt idx="3635">
                  <c:v>0.72714542908578772</c:v>
                </c:pt>
                <c:pt idx="3636">
                  <c:v>0.72734546909378928</c:v>
                </c:pt>
                <c:pt idx="3637">
                  <c:v>0.72754550910179083</c:v>
                </c:pt>
                <c:pt idx="3638">
                  <c:v>0.72774554910979239</c:v>
                </c:pt>
                <c:pt idx="3639">
                  <c:v>0.72794558911779395</c:v>
                </c:pt>
                <c:pt idx="3640">
                  <c:v>0.7281456291257955</c:v>
                </c:pt>
                <c:pt idx="3641">
                  <c:v>0.72834566913379706</c:v>
                </c:pt>
                <c:pt idx="3642">
                  <c:v>0.72854570914179861</c:v>
                </c:pt>
                <c:pt idx="3643">
                  <c:v>0.72874574914980017</c:v>
                </c:pt>
                <c:pt idx="3644">
                  <c:v>0.72894578915780173</c:v>
                </c:pt>
                <c:pt idx="3645">
                  <c:v>0.72914582916580328</c:v>
                </c:pt>
                <c:pt idx="3646">
                  <c:v>0.72934586917380484</c:v>
                </c:pt>
                <c:pt idx="3647">
                  <c:v>0.7295459091818064</c:v>
                </c:pt>
                <c:pt idx="3648">
                  <c:v>0.72974594918980795</c:v>
                </c:pt>
                <c:pt idx="3649">
                  <c:v>0.72994598919780951</c:v>
                </c:pt>
                <c:pt idx="3650">
                  <c:v>0.73014602920581106</c:v>
                </c:pt>
                <c:pt idx="3651">
                  <c:v>0.73034606921381262</c:v>
                </c:pt>
                <c:pt idx="3652">
                  <c:v>0.73054610922181418</c:v>
                </c:pt>
                <c:pt idx="3653">
                  <c:v>0.73074614922981573</c:v>
                </c:pt>
                <c:pt idx="3654">
                  <c:v>0.73094618923781729</c:v>
                </c:pt>
                <c:pt idx="3655">
                  <c:v>0.73114622924581885</c:v>
                </c:pt>
                <c:pt idx="3656">
                  <c:v>0.7313462692538204</c:v>
                </c:pt>
                <c:pt idx="3657">
                  <c:v>0.73154630926182196</c:v>
                </c:pt>
                <c:pt idx="3658">
                  <c:v>0.73174634926982352</c:v>
                </c:pt>
                <c:pt idx="3659">
                  <c:v>0.73194638927782507</c:v>
                </c:pt>
                <c:pt idx="3660">
                  <c:v>0.73214642928582663</c:v>
                </c:pt>
                <c:pt idx="3661">
                  <c:v>0.73234646929382818</c:v>
                </c:pt>
                <c:pt idx="3662">
                  <c:v>0.73254650930182974</c:v>
                </c:pt>
                <c:pt idx="3663">
                  <c:v>0.7327465493098313</c:v>
                </c:pt>
                <c:pt idx="3664">
                  <c:v>0.73294658931783285</c:v>
                </c:pt>
                <c:pt idx="3665">
                  <c:v>0.73314662932583441</c:v>
                </c:pt>
                <c:pt idx="3666">
                  <c:v>0.73334666933383597</c:v>
                </c:pt>
                <c:pt idx="3667">
                  <c:v>0.73354670934183752</c:v>
                </c:pt>
                <c:pt idx="3668">
                  <c:v>0.73374674934983908</c:v>
                </c:pt>
                <c:pt idx="3669">
                  <c:v>0.73394678935784063</c:v>
                </c:pt>
                <c:pt idx="3670">
                  <c:v>0.73414682936584219</c:v>
                </c:pt>
                <c:pt idx="3671">
                  <c:v>0.73434686937384375</c:v>
                </c:pt>
                <c:pt idx="3672">
                  <c:v>0.7345469093818453</c:v>
                </c:pt>
                <c:pt idx="3673">
                  <c:v>0.73474694938984686</c:v>
                </c:pt>
                <c:pt idx="3674">
                  <c:v>0.73494698939784842</c:v>
                </c:pt>
                <c:pt idx="3675">
                  <c:v>0.73514702940584997</c:v>
                </c:pt>
                <c:pt idx="3676">
                  <c:v>0.73534706941385153</c:v>
                </c:pt>
                <c:pt idx="3677">
                  <c:v>0.73554710942185308</c:v>
                </c:pt>
                <c:pt idx="3678">
                  <c:v>0.73574714942985464</c:v>
                </c:pt>
                <c:pt idx="3679">
                  <c:v>0.7359471894378562</c:v>
                </c:pt>
                <c:pt idx="3680">
                  <c:v>0.73614722944585775</c:v>
                </c:pt>
                <c:pt idx="3681">
                  <c:v>0.73634726945385931</c:v>
                </c:pt>
                <c:pt idx="3682">
                  <c:v>0.73654730946186087</c:v>
                </c:pt>
                <c:pt idx="3683">
                  <c:v>0.73674734946986242</c:v>
                </c:pt>
                <c:pt idx="3684">
                  <c:v>0.73694738947786398</c:v>
                </c:pt>
                <c:pt idx="3685">
                  <c:v>0.73714742948586554</c:v>
                </c:pt>
                <c:pt idx="3686">
                  <c:v>0.73734746949386709</c:v>
                </c:pt>
                <c:pt idx="3687">
                  <c:v>0.73754750950186865</c:v>
                </c:pt>
                <c:pt idx="3688">
                  <c:v>0.7377475495098702</c:v>
                </c:pt>
                <c:pt idx="3689">
                  <c:v>0.73794758951787176</c:v>
                </c:pt>
                <c:pt idx="3690">
                  <c:v>0.73814762952587332</c:v>
                </c:pt>
                <c:pt idx="3691">
                  <c:v>0.73834766953387487</c:v>
                </c:pt>
                <c:pt idx="3692">
                  <c:v>0.73854770954187643</c:v>
                </c:pt>
                <c:pt idx="3693">
                  <c:v>0.73874774954987799</c:v>
                </c:pt>
                <c:pt idx="3694">
                  <c:v>0.73894778955787954</c:v>
                </c:pt>
                <c:pt idx="3695">
                  <c:v>0.7391478295658811</c:v>
                </c:pt>
                <c:pt idx="3696">
                  <c:v>0.73934786957388265</c:v>
                </c:pt>
                <c:pt idx="3697">
                  <c:v>0.73954790958188421</c:v>
                </c:pt>
                <c:pt idx="3698">
                  <c:v>0.73974794958988577</c:v>
                </c:pt>
                <c:pt idx="3699">
                  <c:v>0.73994798959788732</c:v>
                </c:pt>
                <c:pt idx="3700">
                  <c:v>0.74014802960588888</c:v>
                </c:pt>
                <c:pt idx="3701">
                  <c:v>0.74034806961389044</c:v>
                </c:pt>
                <c:pt idx="3702">
                  <c:v>0.74054810962189199</c:v>
                </c:pt>
                <c:pt idx="3703">
                  <c:v>0.74074814962989355</c:v>
                </c:pt>
                <c:pt idx="3704">
                  <c:v>0.7409481896378951</c:v>
                </c:pt>
                <c:pt idx="3705">
                  <c:v>0.74114822964589666</c:v>
                </c:pt>
                <c:pt idx="3706">
                  <c:v>0.74134826965389822</c:v>
                </c:pt>
                <c:pt idx="3707">
                  <c:v>0.74154830966189977</c:v>
                </c:pt>
                <c:pt idx="3708">
                  <c:v>0.74174834966990133</c:v>
                </c:pt>
                <c:pt idx="3709">
                  <c:v>0.74194838967790289</c:v>
                </c:pt>
                <c:pt idx="3710">
                  <c:v>0.74214842968590444</c:v>
                </c:pt>
                <c:pt idx="3711">
                  <c:v>0.742348469693906</c:v>
                </c:pt>
                <c:pt idx="3712">
                  <c:v>0.74254850970190756</c:v>
                </c:pt>
                <c:pt idx="3713">
                  <c:v>0.74274854970990911</c:v>
                </c:pt>
                <c:pt idx="3714">
                  <c:v>0.74294858971791067</c:v>
                </c:pt>
                <c:pt idx="3715">
                  <c:v>0.74314862972591222</c:v>
                </c:pt>
                <c:pt idx="3716">
                  <c:v>0.74334866973391378</c:v>
                </c:pt>
                <c:pt idx="3717">
                  <c:v>0.74354870974191534</c:v>
                </c:pt>
                <c:pt idx="3718">
                  <c:v>0.74374874974991689</c:v>
                </c:pt>
                <c:pt idx="3719">
                  <c:v>0.74394878975791845</c:v>
                </c:pt>
                <c:pt idx="3720">
                  <c:v>0.74414882976592001</c:v>
                </c:pt>
                <c:pt idx="3721">
                  <c:v>0.74434886977392156</c:v>
                </c:pt>
                <c:pt idx="3722">
                  <c:v>0.74454890978192312</c:v>
                </c:pt>
                <c:pt idx="3723">
                  <c:v>0.74474894978992467</c:v>
                </c:pt>
                <c:pt idx="3724">
                  <c:v>0.74494898979792623</c:v>
                </c:pt>
                <c:pt idx="3725">
                  <c:v>0.74514902980592779</c:v>
                </c:pt>
                <c:pt idx="3726">
                  <c:v>0.74534906981392934</c:v>
                </c:pt>
                <c:pt idx="3727">
                  <c:v>0.7455491098219309</c:v>
                </c:pt>
                <c:pt idx="3728">
                  <c:v>0.74574914982993246</c:v>
                </c:pt>
                <c:pt idx="3729">
                  <c:v>0.74594918983793401</c:v>
                </c:pt>
                <c:pt idx="3730">
                  <c:v>0.74614922984593557</c:v>
                </c:pt>
                <c:pt idx="3731">
                  <c:v>0.74634926985393713</c:v>
                </c:pt>
                <c:pt idx="3732">
                  <c:v>0.74654930986193868</c:v>
                </c:pt>
                <c:pt idx="3733">
                  <c:v>0.74674934986994024</c:v>
                </c:pt>
                <c:pt idx="3734">
                  <c:v>0.74694938987794179</c:v>
                </c:pt>
                <c:pt idx="3735">
                  <c:v>0.74714942988594335</c:v>
                </c:pt>
                <c:pt idx="3736">
                  <c:v>0.74734946989394491</c:v>
                </c:pt>
                <c:pt idx="3737">
                  <c:v>0.74754950990194646</c:v>
                </c:pt>
                <c:pt idx="3738">
                  <c:v>0.74774954990994802</c:v>
                </c:pt>
                <c:pt idx="3739">
                  <c:v>0.74794958991794958</c:v>
                </c:pt>
                <c:pt idx="3740">
                  <c:v>0.74814962992595113</c:v>
                </c:pt>
                <c:pt idx="3741">
                  <c:v>0.74834966993395269</c:v>
                </c:pt>
                <c:pt idx="3742">
                  <c:v>0.74854970994195424</c:v>
                </c:pt>
                <c:pt idx="3743">
                  <c:v>0.7487497499499558</c:v>
                </c:pt>
                <c:pt idx="3744">
                  <c:v>0.74894978995795736</c:v>
                </c:pt>
                <c:pt idx="3745">
                  <c:v>0.74914982996595891</c:v>
                </c:pt>
                <c:pt idx="3746">
                  <c:v>0.74934986997396047</c:v>
                </c:pt>
                <c:pt idx="3747">
                  <c:v>0.74954990998196203</c:v>
                </c:pt>
                <c:pt idx="3748">
                  <c:v>0.74974994998996358</c:v>
                </c:pt>
                <c:pt idx="3749">
                  <c:v>0.74994998999796514</c:v>
                </c:pt>
                <c:pt idx="3750">
                  <c:v>0.75015003000596669</c:v>
                </c:pt>
                <c:pt idx="3751">
                  <c:v>0.75035007001396825</c:v>
                </c:pt>
                <c:pt idx="3752">
                  <c:v>0.75055011002196981</c:v>
                </c:pt>
                <c:pt idx="3753">
                  <c:v>0.75075015002997136</c:v>
                </c:pt>
                <c:pt idx="3754">
                  <c:v>0.75095019003797292</c:v>
                </c:pt>
                <c:pt idx="3755">
                  <c:v>0.75115023004597448</c:v>
                </c:pt>
                <c:pt idx="3756">
                  <c:v>0.75135027005397603</c:v>
                </c:pt>
                <c:pt idx="3757">
                  <c:v>0.75155031006197759</c:v>
                </c:pt>
                <c:pt idx="3758">
                  <c:v>0.75175035006997915</c:v>
                </c:pt>
                <c:pt idx="3759">
                  <c:v>0.7519503900779807</c:v>
                </c:pt>
                <c:pt idx="3760">
                  <c:v>0.75215043008598226</c:v>
                </c:pt>
                <c:pt idx="3761">
                  <c:v>0.75235047009398381</c:v>
                </c:pt>
                <c:pt idx="3762">
                  <c:v>0.75255051010198537</c:v>
                </c:pt>
                <c:pt idx="3763">
                  <c:v>0.75275055010998693</c:v>
                </c:pt>
                <c:pt idx="3764">
                  <c:v>0.75295059011798848</c:v>
                </c:pt>
                <c:pt idx="3765">
                  <c:v>0.75315063012599004</c:v>
                </c:pt>
                <c:pt idx="3766">
                  <c:v>0.7533506701339916</c:v>
                </c:pt>
                <c:pt idx="3767">
                  <c:v>0.75355071014199315</c:v>
                </c:pt>
                <c:pt idx="3768">
                  <c:v>0.75375075014999471</c:v>
                </c:pt>
                <c:pt idx="3769">
                  <c:v>0.75395079015799626</c:v>
                </c:pt>
                <c:pt idx="3770">
                  <c:v>0.75415083016599782</c:v>
                </c:pt>
                <c:pt idx="3771">
                  <c:v>0.75435087017399938</c:v>
                </c:pt>
                <c:pt idx="3772">
                  <c:v>0.75455091018200093</c:v>
                </c:pt>
                <c:pt idx="3773">
                  <c:v>0.75475095019000249</c:v>
                </c:pt>
                <c:pt idx="3774">
                  <c:v>0.75495099019800405</c:v>
                </c:pt>
                <c:pt idx="3775">
                  <c:v>0.7551510302060056</c:v>
                </c:pt>
                <c:pt idx="3776">
                  <c:v>0.75535107021400716</c:v>
                </c:pt>
                <c:pt idx="3777">
                  <c:v>0.75555111022200871</c:v>
                </c:pt>
                <c:pt idx="3778">
                  <c:v>0.75575115023001027</c:v>
                </c:pt>
                <c:pt idx="3779">
                  <c:v>0.75595119023801183</c:v>
                </c:pt>
                <c:pt idx="3780">
                  <c:v>0.75615123024601338</c:v>
                </c:pt>
                <c:pt idx="3781">
                  <c:v>0.75635127025401494</c:v>
                </c:pt>
                <c:pt idx="3782">
                  <c:v>0.7565513102620165</c:v>
                </c:pt>
                <c:pt idx="3783">
                  <c:v>0.75675135027001805</c:v>
                </c:pt>
                <c:pt idx="3784">
                  <c:v>0.75695139027801961</c:v>
                </c:pt>
                <c:pt idx="3785">
                  <c:v>0.75715143028602117</c:v>
                </c:pt>
                <c:pt idx="3786">
                  <c:v>0.75735147029402272</c:v>
                </c:pt>
                <c:pt idx="3787">
                  <c:v>0.75755151030202428</c:v>
                </c:pt>
                <c:pt idx="3788">
                  <c:v>0.75775155031002583</c:v>
                </c:pt>
                <c:pt idx="3789">
                  <c:v>0.75795159031802739</c:v>
                </c:pt>
                <c:pt idx="3790">
                  <c:v>0.75815163032602895</c:v>
                </c:pt>
                <c:pt idx="3791">
                  <c:v>0.7583516703340305</c:v>
                </c:pt>
                <c:pt idx="3792">
                  <c:v>0.75855171034203206</c:v>
                </c:pt>
                <c:pt idx="3793">
                  <c:v>0.75875175035003362</c:v>
                </c:pt>
                <c:pt idx="3794">
                  <c:v>0.75895179035803517</c:v>
                </c:pt>
                <c:pt idx="3795">
                  <c:v>0.75915183036603673</c:v>
                </c:pt>
                <c:pt idx="3796">
                  <c:v>0.75935187037403828</c:v>
                </c:pt>
                <c:pt idx="3797">
                  <c:v>0.75955191038203984</c:v>
                </c:pt>
                <c:pt idx="3798">
                  <c:v>0.7597519503900414</c:v>
                </c:pt>
                <c:pt idx="3799">
                  <c:v>0.75995199039804295</c:v>
                </c:pt>
                <c:pt idx="3800">
                  <c:v>0.76015203040604451</c:v>
                </c:pt>
                <c:pt idx="3801">
                  <c:v>0.76035207041404607</c:v>
                </c:pt>
                <c:pt idx="3802">
                  <c:v>0.76055211042204762</c:v>
                </c:pt>
                <c:pt idx="3803">
                  <c:v>0.76075215043004918</c:v>
                </c:pt>
                <c:pt idx="3804">
                  <c:v>0.76095219043805074</c:v>
                </c:pt>
                <c:pt idx="3805">
                  <c:v>0.76115223044605229</c:v>
                </c:pt>
                <c:pt idx="3806">
                  <c:v>0.76135227045405385</c:v>
                </c:pt>
                <c:pt idx="3807">
                  <c:v>0.7615523104620554</c:v>
                </c:pt>
                <c:pt idx="3808">
                  <c:v>0.76175235047005696</c:v>
                </c:pt>
                <c:pt idx="3809">
                  <c:v>0.76195239047805852</c:v>
                </c:pt>
                <c:pt idx="3810">
                  <c:v>0.76215243048606007</c:v>
                </c:pt>
                <c:pt idx="3811">
                  <c:v>0.76235247049406163</c:v>
                </c:pt>
                <c:pt idx="3812">
                  <c:v>0.76255251050206319</c:v>
                </c:pt>
                <c:pt idx="3813">
                  <c:v>0.76275255051006474</c:v>
                </c:pt>
                <c:pt idx="3814">
                  <c:v>0.7629525905180663</c:v>
                </c:pt>
                <c:pt idx="3815">
                  <c:v>0.76315263052606785</c:v>
                </c:pt>
                <c:pt idx="3816">
                  <c:v>0.76335267053406941</c:v>
                </c:pt>
                <c:pt idx="3817">
                  <c:v>0.76355271054207097</c:v>
                </c:pt>
                <c:pt idx="3818">
                  <c:v>0.76375275055007252</c:v>
                </c:pt>
                <c:pt idx="3819">
                  <c:v>0.76395279055807408</c:v>
                </c:pt>
                <c:pt idx="3820">
                  <c:v>0.76415283056607564</c:v>
                </c:pt>
                <c:pt idx="3821">
                  <c:v>0.76435287057407719</c:v>
                </c:pt>
                <c:pt idx="3822">
                  <c:v>0.76455291058207875</c:v>
                </c:pt>
                <c:pt idx="3823">
                  <c:v>0.7647529505900803</c:v>
                </c:pt>
                <c:pt idx="3824">
                  <c:v>0.76495299059808186</c:v>
                </c:pt>
                <c:pt idx="3825">
                  <c:v>0.76515303060608342</c:v>
                </c:pt>
                <c:pt idx="3826">
                  <c:v>0.76535307061408497</c:v>
                </c:pt>
                <c:pt idx="3827">
                  <c:v>0.76555311062208653</c:v>
                </c:pt>
                <c:pt idx="3828">
                  <c:v>0.76575315063008809</c:v>
                </c:pt>
                <c:pt idx="3829">
                  <c:v>0.76595319063808964</c:v>
                </c:pt>
                <c:pt idx="3830">
                  <c:v>0.7661532306460912</c:v>
                </c:pt>
                <c:pt idx="3831">
                  <c:v>0.76635327065409276</c:v>
                </c:pt>
                <c:pt idx="3832">
                  <c:v>0.76655331066209431</c:v>
                </c:pt>
                <c:pt idx="3833">
                  <c:v>0.76675335067009587</c:v>
                </c:pt>
                <c:pt idx="3834">
                  <c:v>0.76695339067809742</c:v>
                </c:pt>
                <c:pt idx="3835">
                  <c:v>0.76715343068609898</c:v>
                </c:pt>
                <c:pt idx="3836">
                  <c:v>0.76735347069410054</c:v>
                </c:pt>
                <c:pt idx="3837">
                  <c:v>0.76755351070210209</c:v>
                </c:pt>
                <c:pt idx="3838">
                  <c:v>0.76775355071010365</c:v>
                </c:pt>
                <c:pt idx="3839">
                  <c:v>0.76795359071810521</c:v>
                </c:pt>
                <c:pt idx="3840">
                  <c:v>0.76815363072610676</c:v>
                </c:pt>
                <c:pt idx="3841">
                  <c:v>0.76835367073410832</c:v>
                </c:pt>
                <c:pt idx="3842">
                  <c:v>0.76855371074210987</c:v>
                </c:pt>
                <c:pt idx="3843">
                  <c:v>0.76875375075011143</c:v>
                </c:pt>
                <c:pt idx="3844">
                  <c:v>0.76895379075811299</c:v>
                </c:pt>
                <c:pt idx="3845">
                  <c:v>0.76915383076611454</c:v>
                </c:pt>
                <c:pt idx="3846">
                  <c:v>0.7693538707741161</c:v>
                </c:pt>
                <c:pt idx="3847">
                  <c:v>0.76955391078211766</c:v>
                </c:pt>
                <c:pt idx="3848">
                  <c:v>0.76975395079011921</c:v>
                </c:pt>
                <c:pt idx="3849">
                  <c:v>0.76995399079812077</c:v>
                </c:pt>
                <c:pt idx="3850">
                  <c:v>0.77015403080612233</c:v>
                </c:pt>
                <c:pt idx="3851">
                  <c:v>0.77035407081412388</c:v>
                </c:pt>
                <c:pt idx="3852">
                  <c:v>0.77055411082212544</c:v>
                </c:pt>
                <c:pt idx="3853">
                  <c:v>0.77075415083012699</c:v>
                </c:pt>
                <c:pt idx="3854">
                  <c:v>0.77095419083812855</c:v>
                </c:pt>
                <c:pt idx="3855">
                  <c:v>0.77115423084613011</c:v>
                </c:pt>
                <c:pt idx="3856">
                  <c:v>0.77135427085413166</c:v>
                </c:pt>
                <c:pt idx="3857">
                  <c:v>0.77155431086213322</c:v>
                </c:pt>
                <c:pt idx="3858">
                  <c:v>0.77175435087013478</c:v>
                </c:pt>
                <c:pt idx="3859">
                  <c:v>0.77195439087813633</c:v>
                </c:pt>
                <c:pt idx="3860">
                  <c:v>0.77215443088613789</c:v>
                </c:pt>
                <c:pt idx="3861">
                  <c:v>0.77235447089413944</c:v>
                </c:pt>
                <c:pt idx="3862">
                  <c:v>0.772554510902141</c:v>
                </c:pt>
                <c:pt idx="3863">
                  <c:v>0.77275455091014256</c:v>
                </c:pt>
                <c:pt idx="3864">
                  <c:v>0.77295459091814411</c:v>
                </c:pt>
                <c:pt idx="3865">
                  <c:v>0.77315463092614567</c:v>
                </c:pt>
                <c:pt idx="3866">
                  <c:v>0.77335467093414723</c:v>
                </c:pt>
                <c:pt idx="3867">
                  <c:v>0.77355471094214878</c:v>
                </c:pt>
                <c:pt idx="3868">
                  <c:v>0.77375475095015034</c:v>
                </c:pt>
                <c:pt idx="3869">
                  <c:v>0.77395479095815189</c:v>
                </c:pt>
                <c:pt idx="3870">
                  <c:v>0.77415483096615345</c:v>
                </c:pt>
                <c:pt idx="3871">
                  <c:v>0.77435487097415501</c:v>
                </c:pt>
                <c:pt idx="3872">
                  <c:v>0.77455491098215656</c:v>
                </c:pt>
                <c:pt idx="3873">
                  <c:v>0.77475495099015812</c:v>
                </c:pt>
                <c:pt idx="3874">
                  <c:v>0.77495499099815968</c:v>
                </c:pt>
                <c:pt idx="3875">
                  <c:v>0.77515503100616123</c:v>
                </c:pt>
                <c:pt idx="3876">
                  <c:v>0.77535507101416279</c:v>
                </c:pt>
                <c:pt idx="3877">
                  <c:v>0.77555511102216435</c:v>
                </c:pt>
                <c:pt idx="3878">
                  <c:v>0.7757551510301659</c:v>
                </c:pt>
                <c:pt idx="3879">
                  <c:v>0.77595519103816746</c:v>
                </c:pt>
                <c:pt idx="3880">
                  <c:v>0.77615523104616901</c:v>
                </c:pt>
                <c:pt idx="3881">
                  <c:v>0.77635527105417057</c:v>
                </c:pt>
                <c:pt idx="3882">
                  <c:v>0.77655531106217213</c:v>
                </c:pt>
                <c:pt idx="3883">
                  <c:v>0.77675535107017368</c:v>
                </c:pt>
                <c:pt idx="3884">
                  <c:v>0.77695539107817524</c:v>
                </c:pt>
                <c:pt idx="3885">
                  <c:v>0.7771554310861768</c:v>
                </c:pt>
                <c:pt idx="3886">
                  <c:v>0.77735547109417835</c:v>
                </c:pt>
                <c:pt idx="3887">
                  <c:v>0.77755551110217991</c:v>
                </c:pt>
                <c:pt idx="3888">
                  <c:v>0.77775555111018146</c:v>
                </c:pt>
                <c:pt idx="3889">
                  <c:v>0.77795559111818302</c:v>
                </c:pt>
                <c:pt idx="3890">
                  <c:v>0.77815563112618458</c:v>
                </c:pt>
                <c:pt idx="3891">
                  <c:v>0.77835567113418613</c:v>
                </c:pt>
                <c:pt idx="3892">
                  <c:v>0.77855571114218769</c:v>
                </c:pt>
                <c:pt idx="3893">
                  <c:v>0.77875575115018925</c:v>
                </c:pt>
                <c:pt idx="3894">
                  <c:v>0.7789557911581908</c:v>
                </c:pt>
                <c:pt idx="3895">
                  <c:v>0.77915583116619236</c:v>
                </c:pt>
                <c:pt idx="3896">
                  <c:v>0.77935587117419391</c:v>
                </c:pt>
                <c:pt idx="3897">
                  <c:v>0.77955591118219547</c:v>
                </c:pt>
                <c:pt idx="3898">
                  <c:v>0.77975595119019703</c:v>
                </c:pt>
                <c:pt idx="3899">
                  <c:v>0.77995599119819858</c:v>
                </c:pt>
                <c:pt idx="3900">
                  <c:v>0.78015603120620014</c:v>
                </c:pt>
                <c:pt idx="3901">
                  <c:v>0.7803560712142017</c:v>
                </c:pt>
                <c:pt idx="3902">
                  <c:v>0.78055611122220325</c:v>
                </c:pt>
                <c:pt idx="3903">
                  <c:v>0.78075615123020481</c:v>
                </c:pt>
                <c:pt idx="3904">
                  <c:v>0.78095619123820637</c:v>
                </c:pt>
                <c:pt idx="3905">
                  <c:v>0.78115623124620792</c:v>
                </c:pt>
                <c:pt idx="3906">
                  <c:v>0.78135627125420948</c:v>
                </c:pt>
                <c:pt idx="3907">
                  <c:v>0.78155631126221103</c:v>
                </c:pt>
                <c:pt idx="3908">
                  <c:v>0.78175635127021259</c:v>
                </c:pt>
                <c:pt idx="3909">
                  <c:v>0.78195639127821415</c:v>
                </c:pt>
                <c:pt idx="3910">
                  <c:v>0.7821564312862157</c:v>
                </c:pt>
                <c:pt idx="3911">
                  <c:v>0.78235647129421726</c:v>
                </c:pt>
                <c:pt idx="3912">
                  <c:v>0.78255651130221882</c:v>
                </c:pt>
                <c:pt idx="3913">
                  <c:v>0.78275655131022037</c:v>
                </c:pt>
                <c:pt idx="3914">
                  <c:v>0.78295659131822193</c:v>
                </c:pt>
                <c:pt idx="3915">
                  <c:v>0.78315663132622348</c:v>
                </c:pt>
                <c:pt idx="3916">
                  <c:v>0.78335667133422504</c:v>
                </c:pt>
                <c:pt idx="3917">
                  <c:v>0.7835567113422266</c:v>
                </c:pt>
                <c:pt idx="3918">
                  <c:v>0.78375675135022815</c:v>
                </c:pt>
                <c:pt idx="3919">
                  <c:v>0.78395679135822971</c:v>
                </c:pt>
                <c:pt idx="3920">
                  <c:v>0.78415683136623127</c:v>
                </c:pt>
                <c:pt idx="3921">
                  <c:v>0.78435687137423282</c:v>
                </c:pt>
                <c:pt idx="3922">
                  <c:v>0.78455691138223438</c:v>
                </c:pt>
                <c:pt idx="3923">
                  <c:v>0.78475695139023594</c:v>
                </c:pt>
                <c:pt idx="3924">
                  <c:v>0.78495699139823749</c:v>
                </c:pt>
                <c:pt idx="3925">
                  <c:v>0.78515703140623905</c:v>
                </c:pt>
                <c:pt idx="3926">
                  <c:v>0.7853570714142406</c:v>
                </c:pt>
                <c:pt idx="3927">
                  <c:v>0.78555711142224216</c:v>
                </c:pt>
                <c:pt idx="3928">
                  <c:v>0.78575715143024372</c:v>
                </c:pt>
                <c:pt idx="3929">
                  <c:v>0.78595719143824527</c:v>
                </c:pt>
                <c:pt idx="3930">
                  <c:v>0.78615723144624683</c:v>
                </c:pt>
                <c:pt idx="3931">
                  <c:v>0.78635727145424839</c:v>
                </c:pt>
                <c:pt idx="3932">
                  <c:v>0.78655731146224994</c:v>
                </c:pt>
                <c:pt idx="3933">
                  <c:v>0.7867573514702515</c:v>
                </c:pt>
                <c:pt idx="3934">
                  <c:v>0.78695739147825305</c:v>
                </c:pt>
                <c:pt idx="3935">
                  <c:v>0.78715743148625461</c:v>
                </c:pt>
                <c:pt idx="3936">
                  <c:v>0.78735747149425617</c:v>
                </c:pt>
                <c:pt idx="3937">
                  <c:v>0.78755751150225772</c:v>
                </c:pt>
                <c:pt idx="3938">
                  <c:v>0.78775755151025928</c:v>
                </c:pt>
                <c:pt idx="3939">
                  <c:v>0.78795759151826084</c:v>
                </c:pt>
                <c:pt idx="3940">
                  <c:v>0.78815763152626239</c:v>
                </c:pt>
                <c:pt idx="3941">
                  <c:v>0.78835767153426395</c:v>
                </c:pt>
                <c:pt idx="3942">
                  <c:v>0.7885577115422655</c:v>
                </c:pt>
                <c:pt idx="3943">
                  <c:v>0.78875775155026706</c:v>
                </c:pt>
                <c:pt idx="3944">
                  <c:v>0.78895779155826862</c:v>
                </c:pt>
                <c:pt idx="3945">
                  <c:v>0.78915783156627017</c:v>
                </c:pt>
                <c:pt idx="3946">
                  <c:v>0.78935787157427173</c:v>
                </c:pt>
                <c:pt idx="3947">
                  <c:v>0.78955791158227329</c:v>
                </c:pt>
                <c:pt idx="3948">
                  <c:v>0.78975795159027484</c:v>
                </c:pt>
                <c:pt idx="3949">
                  <c:v>0.7899579915982764</c:v>
                </c:pt>
                <c:pt idx="3950">
                  <c:v>0.79015803160627796</c:v>
                </c:pt>
                <c:pt idx="3951">
                  <c:v>0.79035807161427951</c:v>
                </c:pt>
                <c:pt idx="3952">
                  <c:v>0.79055811162228107</c:v>
                </c:pt>
                <c:pt idx="3953">
                  <c:v>0.79075815163028262</c:v>
                </c:pt>
                <c:pt idx="3954">
                  <c:v>0.79095819163828418</c:v>
                </c:pt>
                <c:pt idx="3955">
                  <c:v>0.79115823164628574</c:v>
                </c:pt>
                <c:pt idx="3956">
                  <c:v>0.79135827165428729</c:v>
                </c:pt>
                <c:pt idx="3957">
                  <c:v>0.79155831166228885</c:v>
                </c:pt>
                <c:pt idx="3958">
                  <c:v>0.79175835167029041</c:v>
                </c:pt>
                <c:pt idx="3959">
                  <c:v>0.79195839167829196</c:v>
                </c:pt>
                <c:pt idx="3960">
                  <c:v>0.79215843168629352</c:v>
                </c:pt>
                <c:pt idx="3961">
                  <c:v>0.79235847169429507</c:v>
                </c:pt>
                <c:pt idx="3962">
                  <c:v>0.79255851170229663</c:v>
                </c:pt>
                <c:pt idx="3963">
                  <c:v>0.79275855171029819</c:v>
                </c:pt>
                <c:pt idx="3964">
                  <c:v>0.79295859171829974</c:v>
                </c:pt>
                <c:pt idx="3965">
                  <c:v>0.7931586317263013</c:v>
                </c:pt>
                <c:pt idx="3966">
                  <c:v>0.79335867173430286</c:v>
                </c:pt>
                <c:pt idx="3967">
                  <c:v>0.79355871174230441</c:v>
                </c:pt>
                <c:pt idx="3968">
                  <c:v>0.79375875175030597</c:v>
                </c:pt>
                <c:pt idx="3969">
                  <c:v>0.79395879175830752</c:v>
                </c:pt>
                <c:pt idx="3970">
                  <c:v>0.79415883176630908</c:v>
                </c:pt>
                <c:pt idx="3971">
                  <c:v>0.79435887177431064</c:v>
                </c:pt>
                <c:pt idx="3972">
                  <c:v>0.79455891178231219</c:v>
                </c:pt>
                <c:pt idx="3973">
                  <c:v>0.79475895179031375</c:v>
                </c:pt>
                <c:pt idx="3974">
                  <c:v>0.79495899179831531</c:v>
                </c:pt>
                <c:pt idx="3975">
                  <c:v>0.79515903180631686</c:v>
                </c:pt>
                <c:pt idx="3976">
                  <c:v>0.79535907181431842</c:v>
                </c:pt>
                <c:pt idx="3977">
                  <c:v>0.79555911182231998</c:v>
                </c:pt>
                <c:pt idx="3978">
                  <c:v>0.79575915183032153</c:v>
                </c:pt>
                <c:pt idx="3979">
                  <c:v>0.79595919183832309</c:v>
                </c:pt>
                <c:pt idx="3980">
                  <c:v>0.79615923184632464</c:v>
                </c:pt>
                <c:pt idx="3981">
                  <c:v>0.7963592718543262</c:v>
                </c:pt>
                <c:pt idx="3982">
                  <c:v>0.79655931186232776</c:v>
                </c:pt>
                <c:pt idx="3983">
                  <c:v>0.79675935187032931</c:v>
                </c:pt>
                <c:pt idx="3984">
                  <c:v>0.79695939187833087</c:v>
                </c:pt>
                <c:pt idx="3985">
                  <c:v>0.79715943188633243</c:v>
                </c:pt>
                <c:pt idx="3986">
                  <c:v>0.79735947189433398</c:v>
                </c:pt>
                <c:pt idx="3987">
                  <c:v>0.79755951190233554</c:v>
                </c:pt>
                <c:pt idx="3988">
                  <c:v>0.79775955191033709</c:v>
                </c:pt>
                <c:pt idx="3989">
                  <c:v>0.79795959191833865</c:v>
                </c:pt>
                <c:pt idx="3990">
                  <c:v>0.79815963192634021</c:v>
                </c:pt>
                <c:pt idx="3991">
                  <c:v>0.79835967193434176</c:v>
                </c:pt>
                <c:pt idx="3992">
                  <c:v>0.79855971194234332</c:v>
                </c:pt>
                <c:pt idx="3993">
                  <c:v>0.79875975195034488</c:v>
                </c:pt>
                <c:pt idx="3994">
                  <c:v>0.79895979195834643</c:v>
                </c:pt>
                <c:pt idx="3995">
                  <c:v>0.79915983196634799</c:v>
                </c:pt>
                <c:pt idx="3996">
                  <c:v>0.79935987197434955</c:v>
                </c:pt>
                <c:pt idx="3997">
                  <c:v>0.7995599119823511</c:v>
                </c:pt>
                <c:pt idx="3998">
                  <c:v>0.79975995199035266</c:v>
                </c:pt>
                <c:pt idx="3999">
                  <c:v>0.79995999199835421</c:v>
                </c:pt>
                <c:pt idx="4000">
                  <c:v>0.80016003200635577</c:v>
                </c:pt>
                <c:pt idx="4001">
                  <c:v>0.80036007201435733</c:v>
                </c:pt>
                <c:pt idx="4002">
                  <c:v>0.80056011202235888</c:v>
                </c:pt>
                <c:pt idx="4003">
                  <c:v>0.80076015203036044</c:v>
                </c:pt>
                <c:pt idx="4004">
                  <c:v>0.800960192038362</c:v>
                </c:pt>
                <c:pt idx="4005">
                  <c:v>0.80116023204636355</c:v>
                </c:pt>
                <c:pt idx="4006">
                  <c:v>0.80136027205436511</c:v>
                </c:pt>
                <c:pt idx="4007">
                  <c:v>0.80156031206236666</c:v>
                </c:pt>
                <c:pt idx="4008">
                  <c:v>0.80176035207036822</c:v>
                </c:pt>
                <c:pt idx="4009">
                  <c:v>0.80196039207836978</c:v>
                </c:pt>
                <c:pt idx="4010">
                  <c:v>0.80216043208637133</c:v>
                </c:pt>
                <c:pt idx="4011">
                  <c:v>0.80236047209437289</c:v>
                </c:pt>
                <c:pt idx="4012">
                  <c:v>0.80256051210237445</c:v>
                </c:pt>
                <c:pt idx="4013">
                  <c:v>0.802760552110376</c:v>
                </c:pt>
                <c:pt idx="4014">
                  <c:v>0.80296059211837756</c:v>
                </c:pt>
                <c:pt idx="4015">
                  <c:v>0.80316063212637911</c:v>
                </c:pt>
                <c:pt idx="4016">
                  <c:v>0.80336067213438067</c:v>
                </c:pt>
                <c:pt idx="4017">
                  <c:v>0.80356071214238223</c:v>
                </c:pt>
                <c:pt idx="4018">
                  <c:v>0.80376075215038378</c:v>
                </c:pt>
                <c:pt idx="4019">
                  <c:v>0.80396079215838534</c:v>
                </c:pt>
                <c:pt idx="4020">
                  <c:v>0.8041608321663869</c:v>
                </c:pt>
                <c:pt idx="4021">
                  <c:v>0.80436087217438845</c:v>
                </c:pt>
                <c:pt idx="4022">
                  <c:v>0.80456091218239001</c:v>
                </c:pt>
                <c:pt idx="4023">
                  <c:v>0.80476095219039157</c:v>
                </c:pt>
                <c:pt idx="4024">
                  <c:v>0.80496099219839312</c:v>
                </c:pt>
                <c:pt idx="4025">
                  <c:v>0.80516103220639468</c:v>
                </c:pt>
                <c:pt idx="4026">
                  <c:v>0.80536107221439623</c:v>
                </c:pt>
                <c:pt idx="4027">
                  <c:v>0.80556111222239779</c:v>
                </c:pt>
                <c:pt idx="4028">
                  <c:v>0.80576115223039935</c:v>
                </c:pt>
                <c:pt idx="4029">
                  <c:v>0.8059611922384009</c:v>
                </c:pt>
                <c:pt idx="4030">
                  <c:v>0.80616123224640246</c:v>
                </c:pt>
                <c:pt idx="4031">
                  <c:v>0.80636127225440402</c:v>
                </c:pt>
                <c:pt idx="4032">
                  <c:v>0.80656131226240557</c:v>
                </c:pt>
                <c:pt idx="4033">
                  <c:v>0.80676135227040713</c:v>
                </c:pt>
                <c:pt idx="4034">
                  <c:v>0.80696139227840868</c:v>
                </c:pt>
                <c:pt idx="4035">
                  <c:v>0.80716143228641024</c:v>
                </c:pt>
                <c:pt idx="4036">
                  <c:v>0.8073614722944118</c:v>
                </c:pt>
                <c:pt idx="4037">
                  <c:v>0.80756151230241335</c:v>
                </c:pt>
                <c:pt idx="4038">
                  <c:v>0.80776155231041491</c:v>
                </c:pt>
                <c:pt idx="4039">
                  <c:v>0.80796159231841647</c:v>
                </c:pt>
                <c:pt idx="4040">
                  <c:v>0.80816163232641802</c:v>
                </c:pt>
                <c:pt idx="4041">
                  <c:v>0.80836167233441958</c:v>
                </c:pt>
                <c:pt idx="4042">
                  <c:v>0.80856171234242113</c:v>
                </c:pt>
                <c:pt idx="4043">
                  <c:v>0.80876175235042269</c:v>
                </c:pt>
                <c:pt idx="4044">
                  <c:v>0.80896179235842425</c:v>
                </c:pt>
                <c:pt idx="4045">
                  <c:v>0.8091618323664258</c:v>
                </c:pt>
                <c:pt idx="4046">
                  <c:v>0.80936187237442736</c:v>
                </c:pt>
                <c:pt idx="4047">
                  <c:v>0.80956191238242892</c:v>
                </c:pt>
                <c:pt idx="4048">
                  <c:v>0.80976195239043047</c:v>
                </c:pt>
                <c:pt idx="4049">
                  <c:v>0.80996199239843203</c:v>
                </c:pt>
                <c:pt idx="4050">
                  <c:v>0.81016203240643359</c:v>
                </c:pt>
                <c:pt idx="4051">
                  <c:v>0.81036207241443514</c:v>
                </c:pt>
                <c:pt idx="4052">
                  <c:v>0.8105621124224367</c:v>
                </c:pt>
                <c:pt idx="4053">
                  <c:v>0.81076215243043825</c:v>
                </c:pt>
                <c:pt idx="4054">
                  <c:v>0.81096219243843981</c:v>
                </c:pt>
                <c:pt idx="4055">
                  <c:v>0.81116223244644137</c:v>
                </c:pt>
                <c:pt idx="4056">
                  <c:v>0.81136227245444292</c:v>
                </c:pt>
                <c:pt idx="4057">
                  <c:v>0.81156231246244448</c:v>
                </c:pt>
                <c:pt idx="4058">
                  <c:v>0.81176235247044604</c:v>
                </c:pt>
                <c:pt idx="4059">
                  <c:v>0.81196239247844759</c:v>
                </c:pt>
                <c:pt idx="4060">
                  <c:v>0.81216243248644915</c:v>
                </c:pt>
                <c:pt idx="4061">
                  <c:v>0.8123624724944507</c:v>
                </c:pt>
                <c:pt idx="4062">
                  <c:v>0.81256251250245226</c:v>
                </c:pt>
                <c:pt idx="4063">
                  <c:v>0.81276255251045382</c:v>
                </c:pt>
                <c:pt idx="4064">
                  <c:v>0.81296259251845537</c:v>
                </c:pt>
                <c:pt idx="4065">
                  <c:v>0.81316263252645693</c:v>
                </c:pt>
                <c:pt idx="4066">
                  <c:v>0.81336267253445849</c:v>
                </c:pt>
                <c:pt idx="4067">
                  <c:v>0.81356271254246004</c:v>
                </c:pt>
                <c:pt idx="4068">
                  <c:v>0.8137627525504616</c:v>
                </c:pt>
                <c:pt idx="4069">
                  <c:v>0.81396279255846316</c:v>
                </c:pt>
                <c:pt idx="4070">
                  <c:v>0.81416283256646471</c:v>
                </c:pt>
                <c:pt idx="4071">
                  <c:v>0.81436287257446627</c:v>
                </c:pt>
                <c:pt idx="4072">
                  <c:v>0.81456291258246782</c:v>
                </c:pt>
                <c:pt idx="4073">
                  <c:v>0.81476295259046938</c:v>
                </c:pt>
                <c:pt idx="4074">
                  <c:v>0.81496299259847094</c:v>
                </c:pt>
                <c:pt idx="4075">
                  <c:v>0.81516303260647249</c:v>
                </c:pt>
                <c:pt idx="4076">
                  <c:v>0.81536307261447405</c:v>
                </c:pt>
                <c:pt idx="4077">
                  <c:v>0.81556311262247561</c:v>
                </c:pt>
                <c:pt idx="4078">
                  <c:v>0.81576315263047716</c:v>
                </c:pt>
                <c:pt idx="4079">
                  <c:v>0.81596319263847872</c:v>
                </c:pt>
                <c:pt idx="4080">
                  <c:v>0.81616323264648027</c:v>
                </c:pt>
                <c:pt idx="4081">
                  <c:v>0.81636327265448183</c:v>
                </c:pt>
                <c:pt idx="4082">
                  <c:v>0.81656331266248339</c:v>
                </c:pt>
                <c:pt idx="4083">
                  <c:v>0.81676335267048494</c:v>
                </c:pt>
                <c:pt idx="4084">
                  <c:v>0.8169633926784865</c:v>
                </c:pt>
                <c:pt idx="4085">
                  <c:v>0.81716343268648806</c:v>
                </c:pt>
                <c:pt idx="4086">
                  <c:v>0.81736347269448961</c:v>
                </c:pt>
                <c:pt idx="4087">
                  <c:v>0.81756351270249117</c:v>
                </c:pt>
                <c:pt idx="4088">
                  <c:v>0.81776355271049272</c:v>
                </c:pt>
                <c:pt idx="4089">
                  <c:v>0.81796359271849428</c:v>
                </c:pt>
                <c:pt idx="4090">
                  <c:v>0.81816363272649584</c:v>
                </c:pt>
                <c:pt idx="4091">
                  <c:v>0.81836367273449739</c:v>
                </c:pt>
                <c:pt idx="4092">
                  <c:v>0.81856371274249895</c:v>
                </c:pt>
                <c:pt idx="4093">
                  <c:v>0.81876375275050051</c:v>
                </c:pt>
                <c:pt idx="4094">
                  <c:v>0.81896379275850206</c:v>
                </c:pt>
                <c:pt idx="4095">
                  <c:v>0.81916383276650362</c:v>
                </c:pt>
                <c:pt idx="4096">
                  <c:v>0.81936387277450518</c:v>
                </c:pt>
                <c:pt idx="4097">
                  <c:v>0.81956391278250673</c:v>
                </c:pt>
                <c:pt idx="4098">
                  <c:v>0.81976395279050829</c:v>
                </c:pt>
                <c:pt idx="4099">
                  <c:v>0.81996399279850984</c:v>
                </c:pt>
                <c:pt idx="4100">
                  <c:v>0.8201640328065114</c:v>
                </c:pt>
                <c:pt idx="4101">
                  <c:v>0.82036407281451296</c:v>
                </c:pt>
                <c:pt idx="4102">
                  <c:v>0.82056411282251451</c:v>
                </c:pt>
                <c:pt idx="4103">
                  <c:v>0.82076415283051607</c:v>
                </c:pt>
                <c:pt idx="4104">
                  <c:v>0.82096419283851763</c:v>
                </c:pt>
                <c:pt idx="4105">
                  <c:v>0.82116423284651918</c:v>
                </c:pt>
                <c:pt idx="4106">
                  <c:v>0.82136427285452074</c:v>
                </c:pt>
                <c:pt idx="4107">
                  <c:v>0.82156431286252229</c:v>
                </c:pt>
                <c:pt idx="4108">
                  <c:v>0.82176435287052385</c:v>
                </c:pt>
                <c:pt idx="4109">
                  <c:v>0.82196439287852541</c:v>
                </c:pt>
                <c:pt idx="4110">
                  <c:v>0.82216443288652696</c:v>
                </c:pt>
                <c:pt idx="4111">
                  <c:v>0.82236447289452852</c:v>
                </c:pt>
                <c:pt idx="4112">
                  <c:v>0.82256451290253008</c:v>
                </c:pt>
                <c:pt idx="4113">
                  <c:v>0.82276455291053163</c:v>
                </c:pt>
                <c:pt idx="4114">
                  <c:v>0.82296459291853319</c:v>
                </c:pt>
                <c:pt idx="4115">
                  <c:v>0.82316463292653475</c:v>
                </c:pt>
                <c:pt idx="4116">
                  <c:v>0.8233646729345363</c:v>
                </c:pt>
                <c:pt idx="4117">
                  <c:v>0.82356471294253786</c:v>
                </c:pt>
                <c:pt idx="4118">
                  <c:v>0.82376475295053941</c:v>
                </c:pt>
                <c:pt idx="4119">
                  <c:v>0.82396479295854097</c:v>
                </c:pt>
                <c:pt idx="4120">
                  <c:v>0.82416483296654253</c:v>
                </c:pt>
                <c:pt idx="4121">
                  <c:v>0.82436487297454408</c:v>
                </c:pt>
                <c:pt idx="4122">
                  <c:v>0.82456491298254564</c:v>
                </c:pt>
                <c:pt idx="4123">
                  <c:v>0.8247649529905472</c:v>
                </c:pt>
                <c:pt idx="4124">
                  <c:v>0.82496499299854875</c:v>
                </c:pt>
                <c:pt idx="4125">
                  <c:v>0.82516503300655031</c:v>
                </c:pt>
                <c:pt idx="4126">
                  <c:v>0.82536507301455186</c:v>
                </c:pt>
                <c:pt idx="4127">
                  <c:v>0.82556511302255342</c:v>
                </c:pt>
                <c:pt idx="4128">
                  <c:v>0.82576515303055498</c:v>
                </c:pt>
                <c:pt idx="4129">
                  <c:v>0.82596519303855653</c:v>
                </c:pt>
                <c:pt idx="4130">
                  <c:v>0.82616523304655809</c:v>
                </c:pt>
                <c:pt idx="4131">
                  <c:v>0.82636527305455965</c:v>
                </c:pt>
                <c:pt idx="4132">
                  <c:v>0.8265653130625612</c:v>
                </c:pt>
                <c:pt idx="4133">
                  <c:v>0.82676535307056276</c:v>
                </c:pt>
                <c:pt idx="4134">
                  <c:v>0.82696539307856431</c:v>
                </c:pt>
                <c:pt idx="4135">
                  <c:v>0.82716543308656587</c:v>
                </c:pt>
                <c:pt idx="4136">
                  <c:v>0.82736547309456743</c:v>
                </c:pt>
                <c:pt idx="4137">
                  <c:v>0.82756551310256898</c:v>
                </c:pt>
                <c:pt idx="4138">
                  <c:v>0.82776555311057054</c:v>
                </c:pt>
                <c:pt idx="4139">
                  <c:v>0.8279655931185721</c:v>
                </c:pt>
                <c:pt idx="4140">
                  <c:v>0.82816563312657365</c:v>
                </c:pt>
                <c:pt idx="4141">
                  <c:v>0.82836567313457521</c:v>
                </c:pt>
                <c:pt idx="4142">
                  <c:v>0.82856571314257677</c:v>
                </c:pt>
                <c:pt idx="4143">
                  <c:v>0.82876575315057832</c:v>
                </c:pt>
                <c:pt idx="4144">
                  <c:v>0.82896579315857988</c:v>
                </c:pt>
                <c:pt idx="4145">
                  <c:v>0.82916583316658143</c:v>
                </c:pt>
                <c:pt idx="4146">
                  <c:v>0.82936587317458299</c:v>
                </c:pt>
                <c:pt idx="4147">
                  <c:v>0.82956591318258455</c:v>
                </c:pt>
                <c:pt idx="4148">
                  <c:v>0.8297659531905861</c:v>
                </c:pt>
                <c:pt idx="4149">
                  <c:v>0.82996599319858766</c:v>
                </c:pt>
                <c:pt idx="4150">
                  <c:v>0.83016603320658922</c:v>
                </c:pt>
                <c:pt idx="4151">
                  <c:v>0.83036607321459077</c:v>
                </c:pt>
                <c:pt idx="4152">
                  <c:v>0.83056611322259233</c:v>
                </c:pt>
                <c:pt idx="4153">
                  <c:v>0.83076615323059388</c:v>
                </c:pt>
                <c:pt idx="4154">
                  <c:v>0.83096619323859544</c:v>
                </c:pt>
                <c:pt idx="4155">
                  <c:v>0.831166233246597</c:v>
                </c:pt>
                <c:pt idx="4156">
                  <c:v>0.83136627325459855</c:v>
                </c:pt>
                <c:pt idx="4157">
                  <c:v>0.83156631326260011</c:v>
                </c:pt>
                <c:pt idx="4158">
                  <c:v>0.83176635327060167</c:v>
                </c:pt>
                <c:pt idx="4159">
                  <c:v>0.83196639327860322</c:v>
                </c:pt>
                <c:pt idx="4160">
                  <c:v>0.83216643328660478</c:v>
                </c:pt>
                <c:pt idx="4161">
                  <c:v>0.83236647329460633</c:v>
                </c:pt>
                <c:pt idx="4162">
                  <c:v>0.83256651330260789</c:v>
                </c:pt>
                <c:pt idx="4163">
                  <c:v>0.83276655331060945</c:v>
                </c:pt>
                <c:pt idx="4164">
                  <c:v>0.832966593318611</c:v>
                </c:pt>
                <c:pt idx="4165">
                  <c:v>0.83316663332661256</c:v>
                </c:pt>
                <c:pt idx="4166">
                  <c:v>0.83336667333461412</c:v>
                </c:pt>
                <c:pt idx="4167">
                  <c:v>0.83356671334261567</c:v>
                </c:pt>
                <c:pt idx="4168">
                  <c:v>0.83376675335061723</c:v>
                </c:pt>
                <c:pt idx="4169">
                  <c:v>0.83396679335861879</c:v>
                </c:pt>
                <c:pt idx="4170">
                  <c:v>0.83416683336662034</c:v>
                </c:pt>
                <c:pt idx="4171">
                  <c:v>0.8343668733746219</c:v>
                </c:pt>
                <c:pt idx="4172">
                  <c:v>0.83456691338262345</c:v>
                </c:pt>
                <c:pt idx="4173">
                  <c:v>0.83476695339062501</c:v>
                </c:pt>
                <c:pt idx="4174">
                  <c:v>0.83496699339862657</c:v>
                </c:pt>
                <c:pt idx="4175">
                  <c:v>0.83516703340662812</c:v>
                </c:pt>
                <c:pt idx="4176">
                  <c:v>0.83536707341462968</c:v>
                </c:pt>
                <c:pt idx="4177">
                  <c:v>0.83556711342263124</c:v>
                </c:pt>
                <c:pt idx="4178">
                  <c:v>0.83576715343063279</c:v>
                </c:pt>
                <c:pt idx="4179">
                  <c:v>0.83596719343863435</c:v>
                </c:pt>
                <c:pt idx="4180">
                  <c:v>0.8361672334466359</c:v>
                </c:pt>
                <c:pt idx="4181">
                  <c:v>0.83636727345463746</c:v>
                </c:pt>
                <c:pt idx="4182">
                  <c:v>0.83656731346263902</c:v>
                </c:pt>
                <c:pt idx="4183">
                  <c:v>0.83676735347064057</c:v>
                </c:pt>
                <c:pt idx="4184">
                  <c:v>0.83696739347864213</c:v>
                </c:pt>
                <c:pt idx="4185">
                  <c:v>0.83716743348664369</c:v>
                </c:pt>
                <c:pt idx="4186">
                  <c:v>0.83736747349464524</c:v>
                </c:pt>
                <c:pt idx="4187">
                  <c:v>0.8375675135026468</c:v>
                </c:pt>
                <c:pt idx="4188">
                  <c:v>0.83776755351064836</c:v>
                </c:pt>
                <c:pt idx="4189">
                  <c:v>0.83796759351864991</c:v>
                </c:pt>
                <c:pt idx="4190">
                  <c:v>0.83816763352665147</c:v>
                </c:pt>
                <c:pt idx="4191">
                  <c:v>0.83836767353465302</c:v>
                </c:pt>
                <c:pt idx="4192">
                  <c:v>0.83856771354265458</c:v>
                </c:pt>
                <c:pt idx="4193">
                  <c:v>0.83876775355065614</c:v>
                </c:pt>
                <c:pt idx="4194">
                  <c:v>0.83896779355865769</c:v>
                </c:pt>
                <c:pt idx="4195">
                  <c:v>0.83916783356665925</c:v>
                </c:pt>
                <c:pt idx="4196">
                  <c:v>0.83936787357466081</c:v>
                </c:pt>
                <c:pt idx="4197">
                  <c:v>0.83956791358266236</c:v>
                </c:pt>
                <c:pt idx="4198">
                  <c:v>0.83976795359066392</c:v>
                </c:pt>
                <c:pt idx="4199">
                  <c:v>0.83996799359866547</c:v>
                </c:pt>
                <c:pt idx="4200">
                  <c:v>0.84016803360666703</c:v>
                </c:pt>
                <c:pt idx="4201">
                  <c:v>0.84036807361466859</c:v>
                </c:pt>
                <c:pt idx="4202">
                  <c:v>0.84056811362267014</c:v>
                </c:pt>
                <c:pt idx="4203">
                  <c:v>0.8407681536306717</c:v>
                </c:pt>
                <c:pt idx="4204">
                  <c:v>0.84096819363867326</c:v>
                </c:pt>
                <c:pt idx="4205">
                  <c:v>0.84116823364667481</c:v>
                </c:pt>
                <c:pt idx="4206">
                  <c:v>0.84136827365467637</c:v>
                </c:pt>
                <c:pt idx="4207">
                  <c:v>0.84156831366267792</c:v>
                </c:pt>
                <c:pt idx="4208">
                  <c:v>0.84176835367067948</c:v>
                </c:pt>
                <c:pt idx="4209">
                  <c:v>0.84196839367868104</c:v>
                </c:pt>
                <c:pt idx="4210">
                  <c:v>0.84216843368668259</c:v>
                </c:pt>
                <c:pt idx="4211">
                  <c:v>0.84236847369468415</c:v>
                </c:pt>
                <c:pt idx="4212">
                  <c:v>0.84256851370268571</c:v>
                </c:pt>
                <c:pt idx="4213">
                  <c:v>0.84276855371068726</c:v>
                </c:pt>
                <c:pt idx="4214">
                  <c:v>0.84296859371868882</c:v>
                </c:pt>
                <c:pt idx="4215">
                  <c:v>0.84316863372669038</c:v>
                </c:pt>
                <c:pt idx="4216">
                  <c:v>0.84336867373469193</c:v>
                </c:pt>
                <c:pt idx="4217">
                  <c:v>0.84356871374269349</c:v>
                </c:pt>
                <c:pt idx="4218">
                  <c:v>0.84376875375069504</c:v>
                </c:pt>
                <c:pt idx="4219">
                  <c:v>0.8439687937586966</c:v>
                </c:pt>
                <c:pt idx="4220">
                  <c:v>0.84416883376669816</c:v>
                </c:pt>
                <c:pt idx="4221">
                  <c:v>0.84436887377469971</c:v>
                </c:pt>
                <c:pt idx="4222">
                  <c:v>0.84456891378270127</c:v>
                </c:pt>
                <c:pt idx="4223">
                  <c:v>0.84476895379070283</c:v>
                </c:pt>
                <c:pt idx="4224">
                  <c:v>0.84496899379870438</c:v>
                </c:pt>
                <c:pt idx="4225">
                  <c:v>0.84516903380670594</c:v>
                </c:pt>
                <c:pt idx="4226">
                  <c:v>0.84536907381470749</c:v>
                </c:pt>
                <c:pt idx="4227">
                  <c:v>0.84556911382270905</c:v>
                </c:pt>
                <c:pt idx="4228">
                  <c:v>0.84576915383071061</c:v>
                </c:pt>
                <c:pt idx="4229">
                  <c:v>0.84596919383871216</c:v>
                </c:pt>
                <c:pt idx="4230">
                  <c:v>0.84616923384671372</c:v>
                </c:pt>
                <c:pt idx="4231">
                  <c:v>0.84636927385471528</c:v>
                </c:pt>
                <c:pt idx="4232">
                  <c:v>0.84656931386271683</c:v>
                </c:pt>
                <c:pt idx="4233">
                  <c:v>0.84676935387071839</c:v>
                </c:pt>
                <c:pt idx="4234">
                  <c:v>0.84696939387871994</c:v>
                </c:pt>
                <c:pt idx="4235">
                  <c:v>0.8471694338867215</c:v>
                </c:pt>
                <c:pt idx="4236">
                  <c:v>0.84736947389472306</c:v>
                </c:pt>
                <c:pt idx="4237">
                  <c:v>0.84756951390272461</c:v>
                </c:pt>
                <c:pt idx="4238">
                  <c:v>0.84776955391072617</c:v>
                </c:pt>
                <c:pt idx="4239">
                  <c:v>0.84796959391872773</c:v>
                </c:pt>
                <c:pt idx="4240">
                  <c:v>0.84816963392672928</c:v>
                </c:pt>
                <c:pt idx="4241">
                  <c:v>0.84836967393473084</c:v>
                </c:pt>
                <c:pt idx="4242">
                  <c:v>0.8485697139427324</c:v>
                </c:pt>
                <c:pt idx="4243">
                  <c:v>0.84876975395073395</c:v>
                </c:pt>
                <c:pt idx="4244">
                  <c:v>0.84896979395873551</c:v>
                </c:pt>
                <c:pt idx="4245">
                  <c:v>0.84916983396673706</c:v>
                </c:pt>
                <c:pt idx="4246">
                  <c:v>0.84936987397473862</c:v>
                </c:pt>
                <c:pt idx="4247">
                  <c:v>0.84956991398274018</c:v>
                </c:pt>
                <c:pt idx="4248">
                  <c:v>0.84976995399074173</c:v>
                </c:pt>
                <c:pt idx="4249">
                  <c:v>0.84996999399874329</c:v>
                </c:pt>
                <c:pt idx="4250">
                  <c:v>0.85017003400674485</c:v>
                </c:pt>
                <c:pt idx="4251">
                  <c:v>0.8503700740147464</c:v>
                </c:pt>
                <c:pt idx="4252">
                  <c:v>0.85057011402274796</c:v>
                </c:pt>
                <c:pt idx="4253">
                  <c:v>0.85077015403074951</c:v>
                </c:pt>
                <c:pt idx="4254">
                  <c:v>0.85097019403875107</c:v>
                </c:pt>
                <c:pt idx="4255">
                  <c:v>0.85117023404675263</c:v>
                </c:pt>
                <c:pt idx="4256">
                  <c:v>0.85137027405475418</c:v>
                </c:pt>
                <c:pt idx="4257">
                  <c:v>0.85157031406275574</c:v>
                </c:pt>
                <c:pt idx="4258">
                  <c:v>0.8517703540707573</c:v>
                </c:pt>
                <c:pt idx="4259">
                  <c:v>0.85197039407875885</c:v>
                </c:pt>
                <c:pt idx="4260">
                  <c:v>0.85217043408676041</c:v>
                </c:pt>
                <c:pt idx="4261">
                  <c:v>0.85237047409476197</c:v>
                </c:pt>
                <c:pt idx="4262">
                  <c:v>0.85257051410276352</c:v>
                </c:pt>
                <c:pt idx="4263">
                  <c:v>0.85277055411076508</c:v>
                </c:pt>
                <c:pt idx="4264">
                  <c:v>0.85297059411876663</c:v>
                </c:pt>
                <c:pt idx="4265">
                  <c:v>0.85317063412676819</c:v>
                </c:pt>
                <c:pt idx="4266">
                  <c:v>0.85337067413476975</c:v>
                </c:pt>
                <c:pt idx="4267">
                  <c:v>0.8535707141427713</c:v>
                </c:pt>
                <c:pt idx="4268">
                  <c:v>0.85377075415077286</c:v>
                </c:pt>
                <c:pt idx="4269">
                  <c:v>0.85397079415877442</c:v>
                </c:pt>
                <c:pt idx="4270">
                  <c:v>0.85417083416677597</c:v>
                </c:pt>
                <c:pt idx="4271">
                  <c:v>0.85437087417477753</c:v>
                </c:pt>
                <c:pt idx="4272">
                  <c:v>0.85457091418277908</c:v>
                </c:pt>
                <c:pt idx="4273">
                  <c:v>0.85477095419078064</c:v>
                </c:pt>
                <c:pt idx="4274">
                  <c:v>0.8549709941987822</c:v>
                </c:pt>
                <c:pt idx="4275">
                  <c:v>0.85517103420678375</c:v>
                </c:pt>
                <c:pt idx="4276">
                  <c:v>0.85537107421478531</c:v>
                </c:pt>
                <c:pt idx="4277">
                  <c:v>0.85557111422278687</c:v>
                </c:pt>
                <c:pt idx="4278">
                  <c:v>0.85577115423078842</c:v>
                </c:pt>
                <c:pt idx="4279">
                  <c:v>0.85597119423878998</c:v>
                </c:pt>
                <c:pt idx="4280">
                  <c:v>0.85617123424679153</c:v>
                </c:pt>
                <c:pt idx="4281">
                  <c:v>0.85637127425479309</c:v>
                </c:pt>
                <c:pt idx="4282">
                  <c:v>0.85657131426279465</c:v>
                </c:pt>
                <c:pt idx="4283">
                  <c:v>0.8567713542707962</c:v>
                </c:pt>
                <c:pt idx="4284">
                  <c:v>0.85697139427879776</c:v>
                </c:pt>
                <c:pt idx="4285">
                  <c:v>0.85717143428679932</c:v>
                </c:pt>
                <c:pt idx="4286">
                  <c:v>0.85737147429480087</c:v>
                </c:pt>
                <c:pt idx="4287">
                  <c:v>0.85757151430280243</c:v>
                </c:pt>
                <c:pt idx="4288">
                  <c:v>0.85777155431080399</c:v>
                </c:pt>
                <c:pt idx="4289">
                  <c:v>0.85797159431880554</c:v>
                </c:pt>
                <c:pt idx="4290">
                  <c:v>0.8581716343268071</c:v>
                </c:pt>
                <c:pt idx="4291">
                  <c:v>0.85837167433480865</c:v>
                </c:pt>
                <c:pt idx="4292">
                  <c:v>0.85857171434281021</c:v>
                </c:pt>
                <c:pt idx="4293">
                  <c:v>0.85877175435081177</c:v>
                </c:pt>
                <c:pt idx="4294">
                  <c:v>0.85897179435881332</c:v>
                </c:pt>
                <c:pt idx="4295">
                  <c:v>0.85917183436681488</c:v>
                </c:pt>
                <c:pt idx="4296">
                  <c:v>0.85937187437481644</c:v>
                </c:pt>
                <c:pt idx="4297">
                  <c:v>0.85957191438281799</c:v>
                </c:pt>
                <c:pt idx="4298">
                  <c:v>0.85977195439081955</c:v>
                </c:pt>
                <c:pt idx="4299">
                  <c:v>0.8599719943988211</c:v>
                </c:pt>
                <c:pt idx="4300">
                  <c:v>0.86017203440682266</c:v>
                </c:pt>
                <c:pt idx="4301">
                  <c:v>0.86037207441482422</c:v>
                </c:pt>
                <c:pt idx="4302">
                  <c:v>0.86057211442282577</c:v>
                </c:pt>
                <c:pt idx="4303">
                  <c:v>0.86077215443082733</c:v>
                </c:pt>
                <c:pt idx="4304">
                  <c:v>0.86097219443882889</c:v>
                </c:pt>
                <c:pt idx="4305">
                  <c:v>0.86117223444683044</c:v>
                </c:pt>
                <c:pt idx="4306">
                  <c:v>0.861372274454832</c:v>
                </c:pt>
                <c:pt idx="4307">
                  <c:v>0.86157231446283356</c:v>
                </c:pt>
                <c:pt idx="4308">
                  <c:v>0.86177235447083511</c:v>
                </c:pt>
                <c:pt idx="4309">
                  <c:v>0.86197239447883667</c:v>
                </c:pt>
                <c:pt idx="4310">
                  <c:v>0.86217243448683822</c:v>
                </c:pt>
                <c:pt idx="4311">
                  <c:v>0.86237247449483978</c:v>
                </c:pt>
                <c:pt idx="4312">
                  <c:v>0.86257251450284134</c:v>
                </c:pt>
                <c:pt idx="4313">
                  <c:v>0.86277255451084289</c:v>
                </c:pt>
                <c:pt idx="4314">
                  <c:v>0.86297259451884445</c:v>
                </c:pt>
                <c:pt idx="4315">
                  <c:v>0.86317263452684601</c:v>
                </c:pt>
                <c:pt idx="4316">
                  <c:v>0.86337267453484756</c:v>
                </c:pt>
                <c:pt idx="4317">
                  <c:v>0.86357271454284912</c:v>
                </c:pt>
                <c:pt idx="4318">
                  <c:v>0.86377275455085067</c:v>
                </c:pt>
                <c:pt idx="4319">
                  <c:v>0.86397279455885223</c:v>
                </c:pt>
                <c:pt idx="4320">
                  <c:v>0.86417283456685379</c:v>
                </c:pt>
                <c:pt idx="4321">
                  <c:v>0.86437287457485534</c:v>
                </c:pt>
                <c:pt idx="4322">
                  <c:v>0.8645729145828569</c:v>
                </c:pt>
                <c:pt idx="4323">
                  <c:v>0.86477295459085846</c:v>
                </c:pt>
                <c:pt idx="4324">
                  <c:v>0.86497299459886001</c:v>
                </c:pt>
                <c:pt idx="4325">
                  <c:v>0.86517303460686157</c:v>
                </c:pt>
                <c:pt idx="4326">
                  <c:v>0.86537307461486312</c:v>
                </c:pt>
                <c:pt idx="4327">
                  <c:v>0.86557311462286468</c:v>
                </c:pt>
                <c:pt idx="4328">
                  <c:v>0.86577315463086624</c:v>
                </c:pt>
                <c:pt idx="4329">
                  <c:v>0.86597319463886779</c:v>
                </c:pt>
                <c:pt idx="4330">
                  <c:v>0.86617323464686935</c:v>
                </c:pt>
                <c:pt idx="4331">
                  <c:v>0.86637327465487091</c:v>
                </c:pt>
                <c:pt idx="4332">
                  <c:v>0.86657331466287246</c:v>
                </c:pt>
                <c:pt idx="4333">
                  <c:v>0.86677335467087402</c:v>
                </c:pt>
                <c:pt idx="4334">
                  <c:v>0.86697339467887558</c:v>
                </c:pt>
                <c:pt idx="4335">
                  <c:v>0.86717343468687713</c:v>
                </c:pt>
                <c:pt idx="4336">
                  <c:v>0.86737347469487869</c:v>
                </c:pt>
                <c:pt idx="4337">
                  <c:v>0.86757351470288024</c:v>
                </c:pt>
                <c:pt idx="4338">
                  <c:v>0.8677735547108818</c:v>
                </c:pt>
                <c:pt idx="4339">
                  <c:v>0.86797359471888336</c:v>
                </c:pt>
                <c:pt idx="4340">
                  <c:v>0.86817363472688491</c:v>
                </c:pt>
                <c:pt idx="4341">
                  <c:v>0.86837367473488647</c:v>
                </c:pt>
                <c:pt idx="4342">
                  <c:v>0.86857371474288803</c:v>
                </c:pt>
                <c:pt idx="4343">
                  <c:v>0.86877375475088958</c:v>
                </c:pt>
                <c:pt idx="4344">
                  <c:v>0.86897379475889114</c:v>
                </c:pt>
                <c:pt idx="4345">
                  <c:v>0.86917383476689269</c:v>
                </c:pt>
                <c:pt idx="4346">
                  <c:v>0.86937387477489425</c:v>
                </c:pt>
                <c:pt idx="4347">
                  <c:v>0.86957391478289581</c:v>
                </c:pt>
                <c:pt idx="4348">
                  <c:v>0.86977395479089736</c:v>
                </c:pt>
                <c:pt idx="4349">
                  <c:v>0.86997399479889892</c:v>
                </c:pt>
                <c:pt idx="4350">
                  <c:v>0.87017403480690048</c:v>
                </c:pt>
                <c:pt idx="4351">
                  <c:v>0.87037407481490203</c:v>
                </c:pt>
                <c:pt idx="4352">
                  <c:v>0.87057411482290359</c:v>
                </c:pt>
                <c:pt idx="4353">
                  <c:v>0.87077415483090514</c:v>
                </c:pt>
                <c:pt idx="4354">
                  <c:v>0.8709741948389067</c:v>
                </c:pt>
                <c:pt idx="4355">
                  <c:v>0.87117423484690826</c:v>
                </c:pt>
                <c:pt idx="4356">
                  <c:v>0.87137427485490981</c:v>
                </c:pt>
                <c:pt idx="4357">
                  <c:v>0.87157431486291137</c:v>
                </c:pt>
                <c:pt idx="4358">
                  <c:v>0.87177435487091293</c:v>
                </c:pt>
                <c:pt idx="4359">
                  <c:v>0.87197439487891448</c:v>
                </c:pt>
                <c:pt idx="4360">
                  <c:v>0.87217443488691604</c:v>
                </c:pt>
                <c:pt idx="4361">
                  <c:v>0.8723744748949176</c:v>
                </c:pt>
                <c:pt idx="4362">
                  <c:v>0.87257451490291915</c:v>
                </c:pt>
                <c:pt idx="4363">
                  <c:v>0.87277455491092071</c:v>
                </c:pt>
                <c:pt idx="4364">
                  <c:v>0.87297459491892226</c:v>
                </c:pt>
                <c:pt idx="4365">
                  <c:v>0.87317463492692382</c:v>
                </c:pt>
                <c:pt idx="4366">
                  <c:v>0.87337467493492538</c:v>
                </c:pt>
                <c:pt idx="4367">
                  <c:v>0.87357471494292693</c:v>
                </c:pt>
                <c:pt idx="4368">
                  <c:v>0.87377475495092849</c:v>
                </c:pt>
                <c:pt idx="4369">
                  <c:v>0.87397479495893005</c:v>
                </c:pt>
                <c:pt idx="4370">
                  <c:v>0.8741748349669316</c:v>
                </c:pt>
                <c:pt idx="4371">
                  <c:v>0.87437487497493316</c:v>
                </c:pt>
                <c:pt idx="4372">
                  <c:v>0.87457491498293471</c:v>
                </c:pt>
                <c:pt idx="4373">
                  <c:v>0.87477495499093627</c:v>
                </c:pt>
                <c:pt idx="4374">
                  <c:v>0.87497499499893783</c:v>
                </c:pt>
                <c:pt idx="4375">
                  <c:v>0.87517503500693938</c:v>
                </c:pt>
                <c:pt idx="4376">
                  <c:v>0.87537507501494094</c:v>
                </c:pt>
                <c:pt idx="4377">
                  <c:v>0.8755751150229425</c:v>
                </c:pt>
                <c:pt idx="4378">
                  <c:v>0.87577515503094405</c:v>
                </c:pt>
                <c:pt idx="4379">
                  <c:v>0.87597519503894561</c:v>
                </c:pt>
                <c:pt idx="4380">
                  <c:v>0.87617523504694717</c:v>
                </c:pt>
                <c:pt idx="4381">
                  <c:v>0.87637527505494872</c:v>
                </c:pt>
                <c:pt idx="4382">
                  <c:v>0.87657531506295028</c:v>
                </c:pt>
                <c:pt idx="4383">
                  <c:v>0.87677535507095183</c:v>
                </c:pt>
                <c:pt idx="4384">
                  <c:v>0.87697539507895339</c:v>
                </c:pt>
                <c:pt idx="4385">
                  <c:v>0.87717543508695495</c:v>
                </c:pt>
                <c:pt idx="4386">
                  <c:v>0.8773754750949565</c:v>
                </c:pt>
                <c:pt idx="4387">
                  <c:v>0.87757551510295806</c:v>
                </c:pt>
                <c:pt idx="4388">
                  <c:v>0.87777555511095962</c:v>
                </c:pt>
                <c:pt idx="4389">
                  <c:v>0.87797559511896117</c:v>
                </c:pt>
                <c:pt idx="4390">
                  <c:v>0.87817563512696273</c:v>
                </c:pt>
                <c:pt idx="4391">
                  <c:v>0.87837567513496428</c:v>
                </c:pt>
                <c:pt idx="4392">
                  <c:v>0.87857571514296584</c:v>
                </c:pt>
                <c:pt idx="4393">
                  <c:v>0.8787757551509674</c:v>
                </c:pt>
                <c:pt idx="4394">
                  <c:v>0.87897579515896895</c:v>
                </c:pt>
                <c:pt idx="4395">
                  <c:v>0.87917583516697051</c:v>
                </c:pt>
                <c:pt idx="4396">
                  <c:v>0.87937587517497207</c:v>
                </c:pt>
                <c:pt idx="4397">
                  <c:v>0.87957591518297362</c:v>
                </c:pt>
                <c:pt idx="4398">
                  <c:v>0.87977595519097518</c:v>
                </c:pt>
                <c:pt idx="4399">
                  <c:v>0.87997599519897673</c:v>
                </c:pt>
                <c:pt idx="4400">
                  <c:v>0.88017603520697829</c:v>
                </c:pt>
                <c:pt idx="4401">
                  <c:v>0.88037607521497985</c:v>
                </c:pt>
                <c:pt idx="4402">
                  <c:v>0.8805761152229814</c:v>
                </c:pt>
                <c:pt idx="4403">
                  <c:v>0.88077615523098296</c:v>
                </c:pt>
                <c:pt idx="4404">
                  <c:v>0.88097619523898452</c:v>
                </c:pt>
                <c:pt idx="4405">
                  <c:v>0.88117623524698607</c:v>
                </c:pt>
                <c:pt idx="4406">
                  <c:v>0.88137627525498763</c:v>
                </c:pt>
                <c:pt idx="4407">
                  <c:v>0.88157631526298919</c:v>
                </c:pt>
                <c:pt idx="4408">
                  <c:v>0.88177635527099074</c:v>
                </c:pt>
                <c:pt idx="4409">
                  <c:v>0.8819763952789923</c:v>
                </c:pt>
                <c:pt idx="4410">
                  <c:v>0.88217643528699385</c:v>
                </c:pt>
                <c:pt idx="4411">
                  <c:v>0.88237647529499541</c:v>
                </c:pt>
                <c:pt idx="4412">
                  <c:v>0.88257651530299697</c:v>
                </c:pt>
                <c:pt idx="4413">
                  <c:v>0.88277655531099852</c:v>
                </c:pt>
                <c:pt idx="4414">
                  <c:v>0.88297659531900008</c:v>
                </c:pt>
                <c:pt idx="4415">
                  <c:v>0.88317663532700164</c:v>
                </c:pt>
                <c:pt idx="4416">
                  <c:v>0.88337667533500319</c:v>
                </c:pt>
                <c:pt idx="4417">
                  <c:v>0.88357671534300475</c:v>
                </c:pt>
                <c:pt idx="4418">
                  <c:v>0.8837767553510063</c:v>
                </c:pt>
                <c:pt idx="4419">
                  <c:v>0.88397679535900786</c:v>
                </c:pt>
                <c:pt idx="4420">
                  <c:v>0.88417683536700942</c:v>
                </c:pt>
                <c:pt idx="4421">
                  <c:v>0.88437687537501097</c:v>
                </c:pt>
                <c:pt idx="4422">
                  <c:v>0.88457691538301253</c:v>
                </c:pt>
                <c:pt idx="4423">
                  <c:v>0.88477695539101409</c:v>
                </c:pt>
                <c:pt idx="4424">
                  <c:v>0.88497699539901564</c:v>
                </c:pt>
                <c:pt idx="4425">
                  <c:v>0.8851770354070172</c:v>
                </c:pt>
                <c:pt idx="4426">
                  <c:v>0.88537707541501875</c:v>
                </c:pt>
                <c:pt idx="4427">
                  <c:v>0.88557711542302031</c:v>
                </c:pt>
                <c:pt idx="4428">
                  <c:v>0.88577715543102187</c:v>
                </c:pt>
                <c:pt idx="4429">
                  <c:v>0.88597719543902342</c:v>
                </c:pt>
                <c:pt idx="4430">
                  <c:v>0.88617723544702498</c:v>
                </c:pt>
                <c:pt idx="4431">
                  <c:v>0.88637727545502654</c:v>
                </c:pt>
                <c:pt idx="4432">
                  <c:v>0.88657731546302809</c:v>
                </c:pt>
                <c:pt idx="4433">
                  <c:v>0.88677735547102965</c:v>
                </c:pt>
                <c:pt idx="4434">
                  <c:v>0.88697739547903121</c:v>
                </c:pt>
                <c:pt idx="4435">
                  <c:v>0.88717743548703276</c:v>
                </c:pt>
                <c:pt idx="4436">
                  <c:v>0.88737747549503432</c:v>
                </c:pt>
                <c:pt idx="4437">
                  <c:v>0.88757751550303587</c:v>
                </c:pt>
                <c:pt idx="4438">
                  <c:v>0.88777755551103743</c:v>
                </c:pt>
                <c:pt idx="4439">
                  <c:v>0.88797759551903899</c:v>
                </c:pt>
                <c:pt idx="4440">
                  <c:v>0.88817763552704054</c:v>
                </c:pt>
                <c:pt idx="4441">
                  <c:v>0.8883776755350421</c:v>
                </c:pt>
                <c:pt idx="4442">
                  <c:v>0.88857771554304366</c:v>
                </c:pt>
                <c:pt idx="4443">
                  <c:v>0.88877775555104521</c:v>
                </c:pt>
                <c:pt idx="4444">
                  <c:v>0.88897779555904677</c:v>
                </c:pt>
                <c:pt idx="4445">
                  <c:v>0.88917783556704832</c:v>
                </c:pt>
                <c:pt idx="4446">
                  <c:v>0.88937787557504988</c:v>
                </c:pt>
                <c:pt idx="4447">
                  <c:v>0.88957791558305144</c:v>
                </c:pt>
                <c:pt idx="4448">
                  <c:v>0.88977795559105299</c:v>
                </c:pt>
                <c:pt idx="4449">
                  <c:v>0.88997799559905455</c:v>
                </c:pt>
                <c:pt idx="4450">
                  <c:v>0.89017803560705611</c:v>
                </c:pt>
                <c:pt idx="4451">
                  <c:v>0.89037807561505766</c:v>
                </c:pt>
                <c:pt idx="4452">
                  <c:v>0.89057811562305922</c:v>
                </c:pt>
                <c:pt idx="4453">
                  <c:v>0.89077815563106078</c:v>
                </c:pt>
                <c:pt idx="4454">
                  <c:v>0.89097819563906233</c:v>
                </c:pt>
                <c:pt idx="4455">
                  <c:v>0.89117823564706389</c:v>
                </c:pt>
                <c:pt idx="4456">
                  <c:v>0.89137827565506544</c:v>
                </c:pt>
                <c:pt idx="4457">
                  <c:v>0.891578315663067</c:v>
                </c:pt>
                <c:pt idx="4458">
                  <c:v>0.89177835567106856</c:v>
                </c:pt>
                <c:pt idx="4459">
                  <c:v>0.89197839567907011</c:v>
                </c:pt>
                <c:pt idx="4460">
                  <c:v>0.89217843568707167</c:v>
                </c:pt>
                <c:pt idx="4461">
                  <c:v>0.89237847569507323</c:v>
                </c:pt>
                <c:pt idx="4462">
                  <c:v>0.89257851570307478</c:v>
                </c:pt>
                <c:pt idx="4463">
                  <c:v>0.89277855571107634</c:v>
                </c:pt>
                <c:pt idx="4464">
                  <c:v>0.89297859571907789</c:v>
                </c:pt>
                <c:pt idx="4465">
                  <c:v>0.89317863572707945</c:v>
                </c:pt>
                <c:pt idx="4466">
                  <c:v>0.89337867573508101</c:v>
                </c:pt>
                <c:pt idx="4467">
                  <c:v>0.89357871574308256</c:v>
                </c:pt>
                <c:pt idx="4468">
                  <c:v>0.89377875575108412</c:v>
                </c:pt>
                <c:pt idx="4469">
                  <c:v>0.89397879575908568</c:v>
                </c:pt>
                <c:pt idx="4470">
                  <c:v>0.89417883576708723</c:v>
                </c:pt>
                <c:pt idx="4471">
                  <c:v>0.89437887577508879</c:v>
                </c:pt>
                <c:pt idx="4472">
                  <c:v>0.89457891578309034</c:v>
                </c:pt>
                <c:pt idx="4473">
                  <c:v>0.8947789557910919</c:v>
                </c:pt>
                <c:pt idx="4474">
                  <c:v>0.89497899579909346</c:v>
                </c:pt>
                <c:pt idx="4475">
                  <c:v>0.89517903580709501</c:v>
                </c:pt>
                <c:pt idx="4476">
                  <c:v>0.89537907581509657</c:v>
                </c:pt>
                <c:pt idx="4477">
                  <c:v>0.89557911582309813</c:v>
                </c:pt>
                <c:pt idx="4478">
                  <c:v>0.89577915583109968</c:v>
                </c:pt>
                <c:pt idx="4479">
                  <c:v>0.89597919583910124</c:v>
                </c:pt>
                <c:pt idx="4480">
                  <c:v>0.8961792358471028</c:v>
                </c:pt>
                <c:pt idx="4481">
                  <c:v>0.89637927585510435</c:v>
                </c:pt>
                <c:pt idx="4482">
                  <c:v>0.89657931586310591</c:v>
                </c:pt>
                <c:pt idx="4483">
                  <c:v>0.89677935587110746</c:v>
                </c:pt>
                <c:pt idx="4484">
                  <c:v>0.89697939587910902</c:v>
                </c:pt>
                <c:pt idx="4485">
                  <c:v>0.89717943588711058</c:v>
                </c:pt>
                <c:pt idx="4486">
                  <c:v>0.89737947589511213</c:v>
                </c:pt>
                <c:pt idx="4487">
                  <c:v>0.89757951590311369</c:v>
                </c:pt>
                <c:pt idx="4488">
                  <c:v>0.89777955591111525</c:v>
                </c:pt>
                <c:pt idx="4489">
                  <c:v>0.8979795959191168</c:v>
                </c:pt>
                <c:pt idx="4490">
                  <c:v>0.89817963592711836</c:v>
                </c:pt>
                <c:pt idx="4491">
                  <c:v>0.89837967593511991</c:v>
                </c:pt>
                <c:pt idx="4492">
                  <c:v>0.89857971594312147</c:v>
                </c:pt>
                <c:pt idx="4493">
                  <c:v>0.89877975595112303</c:v>
                </c:pt>
                <c:pt idx="4494">
                  <c:v>0.89897979595912458</c:v>
                </c:pt>
                <c:pt idx="4495">
                  <c:v>0.89917983596712614</c:v>
                </c:pt>
                <c:pt idx="4496">
                  <c:v>0.8993798759751277</c:v>
                </c:pt>
                <c:pt idx="4497">
                  <c:v>0.89957991598312925</c:v>
                </c:pt>
                <c:pt idx="4498">
                  <c:v>0.89977995599113081</c:v>
                </c:pt>
                <c:pt idx="4499">
                  <c:v>0.89997999599913237</c:v>
                </c:pt>
                <c:pt idx="4500">
                  <c:v>0.90018003600713392</c:v>
                </c:pt>
                <c:pt idx="4501">
                  <c:v>0.90038007601513548</c:v>
                </c:pt>
                <c:pt idx="4502">
                  <c:v>0.90058011602313703</c:v>
                </c:pt>
                <c:pt idx="4503">
                  <c:v>0.90078015603113859</c:v>
                </c:pt>
                <c:pt idx="4504">
                  <c:v>0.90098019603914015</c:v>
                </c:pt>
                <c:pt idx="4505">
                  <c:v>0.9011802360471417</c:v>
                </c:pt>
                <c:pt idx="4506">
                  <c:v>0.90138027605514326</c:v>
                </c:pt>
                <c:pt idx="4507">
                  <c:v>0.90158031606314482</c:v>
                </c:pt>
                <c:pt idx="4508">
                  <c:v>0.90178035607114637</c:v>
                </c:pt>
                <c:pt idx="4509">
                  <c:v>0.90198039607914793</c:v>
                </c:pt>
                <c:pt idx="4510">
                  <c:v>0.90218043608714948</c:v>
                </c:pt>
                <c:pt idx="4511">
                  <c:v>0.90238047609515104</c:v>
                </c:pt>
                <c:pt idx="4512">
                  <c:v>0.9025805161031526</c:v>
                </c:pt>
                <c:pt idx="4513">
                  <c:v>0.90278055611115415</c:v>
                </c:pt>
                <c:pt idx="4514">
                  <c:v>0.90298059611915571</c:v>
                </c:pt>
                <c:pt idx="4515">
                  <c:v>0.90318063612715727</c:v>
                </c:pt>
                <c:pt idx="4516">
                  <c:v>0.90338067613515882</c:v>
                </c:pt>
                <c:pt idx="4517">
                  <c:v>0.90358071614316038</c:v>
                </c:pt>
                <c:pt idx="4518">
                  <c:v>0.90378075615116193</c:v>
                </c:pt>
                <c:pt idx="4519">
                  <c:v>0.90398079615916349</c:v>
                </c:pt>
                <c:pt idx="4520">
                  <c:v>0.90418083616716505</c:v>
                </c:pt>
                <c:pt idx="4521">
                  <c:v>0.9043808761751666</c:v>
                </c:pt>
                <c:pt idx="4522">
                  <c:v>0.90458091618316816</c:v>
                </c:pt>
                <c:pt idx="4523">
                  <c:v>0.90478095619116972</c:v>
                </c:pt>
                <c:pt idx="4524">
                  <c:v>0.90498099619917127</c:v>
                </c:pt>
                <c:pt idx="4525">
                  <c:v>0.90518103620717283</c:v>
                </c:pt>
                <c:pt idx="4526">
                  <c:v>0.90538107621517439</c:v>
                </c:pt>
                <c:pt idx="4527">
                  <c:v>0.90558111622317594</c:v>
                </c:pt>
                <c:pt idx="4528">
                  <c:v>0.9057811562311775</c:v>
                </c:pt>
                <c:pt idx="4529">
                  <c:v>0.90598119623917905</c:v>
                </c:pt>
                <c:pt idx="4530">
                  <c:v>0.90618123624718061</c:v>
                </c:pt>
                <c:pt idx="4531">
                  <c:v>0.90638127625518217</c:v>
                </c:pt>
                <c:pt idx="4532">
                  <c:v>0.90658131626318372</c:v>
                </c:pt>
                <c:pt idx="4533">
                  <c:v>0.90678135627118528</c:v>
                </c:pt>
                <c:pt idx="4534">
                  <c:v>0.90698139627918684</c:v>
                </c:pt>
                <c:pt idx="4535">
                  <c:v>0.90718143628718839</c:v>
                </c:pt>
                <c:pt idx="4536">
                  <c:v>0.90738147629518995</c:v>
                </c:pt>
                <c:pt idx="4537">
                  <c:v>0.9075815163031915</c:v>
                </c:pt>
                <c:pt idx="4538">
                  <c:v>0.90778155631119306</c:v>
                </c:pt>
                <c:pt idx="4539">
                  <c:v>0.90798159631919462</c:v>
                </c:pt>
                <c:pt idx="4540">
                  <c:v>0.90818163632719617</c:v>
                </c:pt>
                <c:pt idx="4541">
                  <c:v>0.90838167633519773</c:v>
                </c:pt>
                <c:pt idx="4542">
                  <c:v>0.90858171634319929</c:v>
                </c:pt>
                <c:pt idx="4543">
                  <c:v>0.90878175635120084</c:v>
                </c:pt>
                <c:pt idx="4544">
                  <c:v>0.9089817963592024</c:v>
                </c:pt>
                <c:pt idx="4545">
                  <c:v>0.90918183636720395</c:v>
                </c:pt>
                <c:pt idx="4546">
                  <c:v>0.90938187637520551</c:v>
                </c:pt>
                <c:pt idx="4547">
                  <c:v>0.90958191638320707</c:v>
                </c:pt>
                <c:pt idx="4548">
                  <c:v>0.90978195639120862</c:v>
                </c:pt>
                <c:pt idx="4549">
                  <c:v>0.90998199639921018</c:v>
                </c:pt>
                <c:pt idx="4550">
                  <c:v>0.91018203640721174</c:v>
                </c:pt>
                <c:pt idx="4551">
                  <c:v>0.91038207641521329</c:v>
                </c:pt>
                <c:pt idx="4552">
                  <c:v>0.91058211642321485</c:v>
                </c:pt>
                <c:pt idx="4553">
                  <c:v>0.91078215643121641</c:v>
                </c:pt>
                <c:pt idx="4554">
                  <c:v>0.91098219643921796</c:v>
                </c:pt>
                <c:pt idx="4555">
                  <c:v>0.91118223644721952</c:v>
                </c:pt>
                <c:pt idx="4556">
                  <c:v>0.91138227645522107</c:v>
                </c:pt>
                <c:pt idx="4557">
                  <c:v>0.91158231646322263</c:v>
                </c:pt>
                <c:pt idx="4558">
                  <c:v>0.91178235647122419</c:v>
                </c:pt>
                <c:pt idx="4559">
                  <c:v>0.91198239647922574</c:v>
                </c:pt>
                <c:pt idx="4560">
                  <c:v>0.9121824364872273</c:v>
                </c:pt>
                <c:pt idx="4561">
                  <c:v>0.91238247649522886</c:v>
                </c:pt>
                <c:pt idx="4562">
                  <c:v>0.91258251650323041</c:v>
                </c:pt>
                <c:pt idx="4563">
                  <c:v>0.91278255651123197</c:v>
                </c:pt>
                <c:pt idx="4564">
                  <c:v>0.91298259651923352</c:v>
                </c:pt>
                <c:pt idx="4565">
                  <c:v>0.91318263652723508</c:v>
                </c:pt>
                <c:pt idx="4566">
                  <c:v>0.91338267653523664</c:v>
                </c:pt>
                <c:pt idx="4567">
                  <c:v>0.91358271654323819</c:v>
                </c:pt>
                <c:pt idx="4568">
                  <c:v>0.91378275655123975</c:v>
                </c:pt>
                <c:pt idx="4569">
                  <c:v>0.91398279655924131</c:v>
                </c:pt>
                <c:pt idx="4570">
                  <c:v>0.91418283656724286</c:v>
                </c:pt>
                <c:pt idx="4571">
                  <c:v>0.91438287657524442</c:v>
                </c:pt>
                <c:pt idx="4572">
                  <c:v>0.91458291658324598</c:v>
                </c:pt>
                <c:pt idx="4573">
                  <c:v>0.91478295659124753</c:v>
                </c:pt>
                <c:pt idx="4574">
                  <c:v>0.91498299659924909</c:v>
                </c:pt>
                <c:pt idx="4575">
                  <c:v>0.91518303660725064</c:v>
                </c:pt>
                <c:pt idx="4576">
                  <c:v>0.9153830766152522</c:v>
                </c:pt>
                <c:pt idx="4577">
                  <c:v>0.91558311662325376</c:v>
                </c:pt>
                <c:pt idx="4578">
                  <c:v>0.91578315663125531</c:v>
                </c:pt>
                <c:pt idx="4579">
                  <c:v>0.91598319663925687</c:v>
                </c:pt>
                <c:pt idx="4580">
                  <c:v>0.91618323664725843</c:v>
                </c:pt>
                <c:pt idx="4581">
                  <c:v>0.91638327665525998</c:v>
                </c:pt>
                <c:pt idx="4582">
                  <c:v>0.91658331666326154</c:v>
                </c:pt>
                <c:pt idx="4583">
                  <c:v>0.91678335667126309</c:v>
                </c:pt>
                <c:pt idx="4584">
                  <c:v>0.91698339667926465</c:v>
                </c:pt>
                <c:pt idx="4585">
                  <c:v>0.91718343668726621</c:v>
                </c:pt>
                <c:pt idx="4586">
                  <c:v>0.91738347669526776</c:v>
                </c:pt>
                <c:pt idx="4587">
                  <c:v>0.91758351670326932</c:v>
                </c:pt>
                <c:pt idx="4588">
                  <c:v>0.91778355671127088</c:v>
                </c:pt>
                <c:pt idx="4589">
                  <c:v>0.91798359671927243</c:v>
                </c:pt>
                <c:pt idx="4590">
                  <c:v>0.91818363672727399</c:v>
                </c:pt>
                <c:pt idx="4591">
                  <c:v>0.91838367673527554</c:v>
                </c:pt>
                <c:pt idx="4592">
                  <c:v>0.9185837167432771</c:v>
                </c:pt>
                <c:pt idx="4593">
                  <c:v>0.91878375675127866</c:v>
                </c:pt>
                <c:pt idx="4594">
                  <c:v>0.91898379675928021</c:v>
                </c:pt>
                <c:pt idx="4595">
                  <c:v>0.91918383676728177</c:v>
                </c:pt>
                <c:pt idx="4596">
                  <c:v>0.91938387677528333</c:v>
                </c:pt>
                <c:pt idx="4597">
                  <c:v>0.91958391678328488</c:v>
                </c:pt>
                <c:pt idx="4598">
                  <c:v>0.91978395679128644</c:v>
                </c:pt>
                <c:pt idx="4599">
                  <c:v>0.919983996799288</c:v>
                </c:pt>
                <c:pt idx="4600">
                  <c:v>0.92018403680728955</c:v>
                </c:pt>
                <c:pt idx="4601">
                  <c:v>0.92038407681529111</c:v>
                </c:pt>
                <c:pt idx="4602">
                  <c:v>0.92058411682329266</c:v>
                </c:pt>
                <c:pt idx="4603">
                  <c:v>0.92078415683129422</c:v>
                </c:pt>
                <c:pt idx="4604">
                  <c:v>0.92098419683929578</c:v>
                </c:pt>
                <c:pt idx="4605">
                  <c:v>0.92118423684729733</c:v>
                </c:pt>
                <c:pt idx="4606">
                  <c:v>0.92138427685529889</c:v>
                </c:pt>
                <c:pt idx="4607">
                  <c:v>0.92158431686330045</c:v>
                </c:pt>
                <c:pt idx="4608">
                  <c:v>0.921784356871302</c:v>
                </c:pt>
                <c:pt idx="4609">
                  <c:v>0.92198439687930356</c:v>
                </c:pt>
                <c:pt idx="4610">
                  <c:v>0.92218443688730511</c:v>
                </c:pt>
                <c:pt idx="4611">
                  <c:v>0.92238447689530667</c:v>
                </c:pt>
                <c:pt idx="4612">
                  <c:v>0.92258451690330823</c:v>
                </c:pt>
                <c:pt idx="4613">
                  <c:v>0.92278455691130978</c:v>
                </c:pt>
                <c:pt idx="4614">
                  <c:v>0.92298459691931134</c:v>
                </c:pt>
                <c:pt idx="4615">
                  <c:v>0.9231846369273129</c:v>
                </c:pt>
                <c:pt idx="4616">
                  <c:v>0.92338467693531445</c:v>
                </c:pt>
                <c:pt idx="4617">
                  <c:v>0.92358471694331601</c:v>
                </c:pt>
                <c:pt idx="4618">
                  <c:v>0.92378475695131756</c:v>
                </c:pt>
                <c:pt idx="4619">
                  <c:v>0.92398479695931912</c:v>
                </c:pt>
                <c:pt idx="4620">
                  <c:v>0.92418483696732068</c:v>
                </c:pt>
                <c:pt idx="4621">
                  <c:v>0.92438487697532223</c:v>
                </c:pt>
                <c:pt idx="4622">
                  <c:v>0.92458491698332379</c:v>
                </c:pt>
                <c:pt idx="4623">
                  <c:v>0.92478495699132535</c:v>
                </c:pt>
                <c:pt idx="4624">
                  <c:v>0.9249849969993269</c:v>
                </c:pt>
                <c:pt idx="4625">
                  <c:v>0.92518503700732846</c:v>
                </c:pt>
                <c:pt idx="4626">
                  <c:v>0.92538507701533002</c:v>
                </c:pt>
                <c:pt idx="4627">
                  <c:v>0.92558511702333157</c:v>
                </c:pt>
                <c:pt idx="4628">
                  <c:v>0.92578515703133313</c:v>
                </c:pt>
                <c:pt idx="4629">
                  <c:v>0.92598519703933468</c:v>
                </c:pt>
                <c:pt idx="4630">
                  <c:v>0.92618523704733624</c:v>
                </c:pt>
                <c:pt idx="4631">
                  <c:v>0.9263852770553378</c:v>
                </c:pt>
                <c:pt idx="4632">
                  <c:v>0.92658531706333935</c:v>
                </c:pt>
                <c:pt idx="4633">
                  <c:v>0.92678535707134091</c:v>
                </c:pt>
                <c:pt idx="4634">
                  <c:v>0.92698539707934247</c:v>
                </c:pt>
                <c:pt idx="4635">
                  <c:v>0.92718543708734402</c:v>
                </c:pt>
                <c:pt idx="4636">
                  <c:v>0.92738547709534558</c:v>
                </c:pt>
                <c:pt idx="4637">
                  <c:v>0.92758551710334713</c:v>
                </c:pt>
                <c:pt idx="4638">
                  <c:v>0.92778555711134869</c:v>
                </c:pt>
                <c:pt idx="4639">
                  <c:v>0.92798559711935025</c:v>
                </c:pt>
                <c:pt idx="4640">
                  <c:v>0.9281856371273518</c:v>
                </c:pt>
                <c:pt idx="4641">
                  <c:v>0.92838567713535336</c:v>
                </c:pt>
                <c:pt idx="4642">
                  <c:v>0.92858571714335492</c:v>
                </c:pt>
                <c:pt idx="4643">
                  <c:v>0.92878575715135647</c:v>
                </c:pt>
                <c:pt idx="4644">
                  <c:v>0.92898579715935803</c:v>
                </c:pt>
                <c:pt idx="4645">
                  <c:v>0.92918583716735959</c:v>
                </c:pt>
                <c:pt idx="4646">
                  <c:v>0.92938587717536114</c:v>
                </c:pt>
                <c:pt idx="4647">
                  <c:v>0.9295859171833627</c:v>
                </c:pt>
                <c:pt idx="4648">
                  <c:v>0.92978595719136425</c:v>
                </c:pt>
                <c:pt idx="4649">
                  <c:v>0.92998599719936581</c:v>
                </c:pt>
                <c:pt idx="4650">
                  <c:v>0.93018603720736737</c:v>
                </c:pt>
                <c:pt idx="4651">
                  <c:v>0.93038607721536892</c:v>
                </c:pt>
                <c:pt idx="4652">
                  <c:v>0.93058611722337048</c:v>
                </c:pt>
                <c:pt idx="4653">
                  <c:v>0.93078615723137204</c:v>
                </c:pt>
                <c:pt idx="4654">
                  <c:v>0.93098619723937359</c:v>
                </c:pt>
                <c:pt idx="4655">
                  <c:v>0.93118623724737515</c:v>
                </c:pt>
                <c:pt idx="4656">
                  <c:v>0.9313862772553767</c:v>
                </c:pt>
                <c:pt idx="4657">
                  <c:v>0.93158631726337826</c:v>
                </c:pt>
                <c:pt idx="4658">
                  <c:v>0.93178635727137982</c:v>
                </c:pt>
                <c:pt idx="4659">
                  <c:v>0.93198639727938137</c:v>
                </c:pt>
                <c:pt idx="4660">
                  <c:v>0.93218643728738293</c:v>
                </c:pt>
                <c:pt idx="4661">
                  <c:v>0.93238647729538449</c:v>
                </c:pt>
                <c:pt idx="4662">
                  <c:v>0.93258651730338604</c:v>
                </c:pt>
                <c:pt idx="4663">
                  <c:v>0.9327865573113876</c:v>
                </c:pt>
                <c:pt idx="4664">
                  <c:v>0.93298659731938915</c:v>
                </c:pt>
                <c:pt idx="4665">
                  <c:v>0.93318663732739071</c:v>
                </c:pt>
                <c:pt idx="4666">
                  <c:v>0.93338667733539227</c:v>
                </c:pt>
                <c:pt idx="4667">
                  <c:v>0.93358671734339382</c:v>
                </c:pt>
                <c:pt idx="4668">
                  <c:v>0.93378675735139538</c:v>
                </c:pt>
                <c:pt idx="4669">
                  <c:v>0.93398679735939694</c:v>
                </c:pt>
                <c:pt idx="4670">
                  <c:v>0.93418683736739849</c:v>
                </c:pt>
                <c:pt idx="4671">
                  <c:v>0.93438687737540005</c:v>
                </c:pt>
                <c:pt idx="4672">
                  <c:v>0.93458691738340161</c:v>
                </c:pt>
                <c:pt idx="4673">
                  <c:v>0.93478695739140316</c:v>
                </c:pt>
                <c:pt idx="4674">
                  <c:v>0.93498699739940472</c:v>
                </c:pt>
                <c:pt idx="4675">
                  <c:v>0.93518703740740627</c:v>
                </c:pt>
                <c:pt idx="4676">
                  <c:v>0.93538707741540783</c:v>
                </c:pt>
                <c:pt idx="4677">
                  <c:v>0.93558711742340939</c:v>
                </c:pt>
                <c:pt idx="4678">
                  <c:v>0.93578715743141094</c:v>
                </c:pt>
                <c:pt idx="4679">
                  <c:v>0.9359871974394125</c:v>
                </c:pt>
                <c:pt idx="4680">
                  <c:v>0.93618723744741406</c:v>
                </c:pt>
                <c:pt idx="4681">
                  <c:v>0.93638727745541561</c:v>
                </c:pt>
                <c:pt idx="4682">
                  <c:v>0.93658731746341717</c:v>
                </c:pt>
                <c:pt idx="4683">
                  <c:v>0.93678735747141872</c:v>
                </c:pt>
                <c:pt idx="4684">
                  <c:v>0.93698739747942028</c:v>
                </c:pt>
                <c:pt idx="4685">
                  <c:v>0.93718743748742184</c:v>
                </c:pt>
                <c:pt idx="4686">
                  <c:v>0.93738747749542339</c:v>
                </c:pt>
                <c:pt idx="4687">
                  <c:v>0.93758751750342495</c:v>
                </c:pt>
                <c:pt idx="4688">
                  <c:v>0.93778755751142651</c:v>
                </c:pt>
                <c:pt idx="4689">
                  <c:v>0.93798759751942806</c:v>
                </c:pt>
                <c:pt idx="4690">
                  <c:v>0.93818763752742962</c:v>
                </c:pt>
                <c:pt idx="4691">
                  <c:v>0.93838767753543118</c:v>
                </c:pt>
                <c:pt idx="4692">
                  <c:v>0.93858771754343273</c:v>
                </c:pt>
                <c:pt idx="4693">
                  <c:v>0.93878775755143429</c:v>
                </c:pt>
                <c:pt idx="4694">
                  <c:v>0.93898779755943584</c:v>
                </c:pt>
                <c:pt idx="4695">
                  <c:v>0.9391878375674374</c:v>
                </c:pt>
                <c:pt idx="4696">
                  <c:v>0.93938787757543896</c:v>
                </c:pt>
                <c:pt idx="4697">
                  <c:v>0.93958791758344051</c:v>
                </c:pt>
                <c:pt idx="4698">
                  <c:v>0.93978795759144207</c:v>
                </c:pt>
                <c:pt idx="4699">
                  <c:v>0.93998799759944363</c:v>
                </c:pt>
                <c:pt idx="4700">
                  <c:v>0.94018803760744518</c:v>
                </c:pt>
                <c:pt idx="4701">
                  <c:v>0.94038807761544674</c:v>
                </c:pt>
                <c:pt idx="4702">
                  <c:v>0.94058811762344829</c:v>
                </c:pt>
                <c:pt idx="4703">
                  <c:v>0.94078815763144985</c:v>
                </c:pt>
                <c:pt idx="4704">
                  <c:v>0.94098819763945141</c:v>
                </c:pt>
                <c:pt idx="4705">
                  <c:v>0.94118823764745296</c:v>
                </c:pt>
                <c:pt idx="4706">
                  <c:v>0.94138827765545452</c:v>
                </c:pt>
                <c:pt idx="4707">
                  <c:v>0.94158831766345608</c:v>
                </c:pt>
                <c:pt idx="4708">
                  <c:v>0.94178835767145763</c:v>
                </c:pt>
                <c:pt idx="4709">
                  <c:v>0.94198839767945919</c:v>
                </c:pt>
                <c:pt idx="4710">
                  <c:v>0.94218843768746074</c:v>
                </c:pt>
                <c:pt idx="4711">
                  <c:v>0.9423884776954623</c:v>
                </c:pt>
                <c:pt idx="4712">
                  <c:v>0.94258851770346386</c:v>
                </c:pt>
                <c:pt idx="4713">
                  <c:v>0.94278855771146541</c:v>
                </c:pt>
                <c:pt idx="4714">
                  <c:v>0.94298859771946697</c:v>
                </c:pt>
                <c:pt idx="4715">
                  <c:v>0.94318863772746853</c:v>
                </c:pt>
                <c:pt idx="4716">
                  <c:v>0.94338867773547008</c:v>
                </c:pt>
                <c:pt idx="4717">
                  <c:v>0.94358871774347164</c:v>
                </c:pt>
                <c:pt idx="4718">
                  <c:v>0.9437887577514732</c:v>
                </c:pt>
                <c:pt idx="4719">
                  <c:v>0.94398879775947475</c:v>
                </c:pt>
                <c:pt idx="4720">
                  <c:v>0.94418883776747631</c:v>
                </c:pt>
                <c:pt idx="4721">
                  <c:v>0.94438887777547786</c:v>
                </c:pt>
                <c:pt idx="4722">
                  <c:v>0.94458891778347942</c:v>
                </c:pt>
                <c:pt idx="4723">
                  <c:v>0.94478895779148098</c:v>
                </c:pt>
                <c:pt idx="4724">
                  <c:v>0.94498899779948253</c:v>
                </c:pt>
                <c:pt idx="4725">
                  <c:v>0.94518903780748409</c:v>
                </c:pt>
                <c:pt idx="4726">
                  <c:v>0.94538907781548565</c:v>
                </c:pt>
                <c:pt idx="4727">
                  <c:v>0.9455891178234872</c:v>
                </c:pt>
                <c:pt idx="4728">
                  <c:v>0.94578915783148876</c:v>
                </c:pt>
                <c:pt idx="4729">
                  <c:v>0.94598919783949031</c:v>
                </c:pt>
                <c:pt idx="4730">
                  <c:v>0.94618923784749187</c:v>
                </c:pt>
                <c:pt idx="4731">
                  <c:v>0.94638927785549343</c:v>
                </c:pt>
                <c:pt idx="4732">
                  <c:v>0.94658931786349498</c:v>
                </c:pt>
                <c:pt idx="4733">
                  <c:v>0.94678935787149654</c:v>
                </c:pt>
                <c:pt idx="4734">
                  <c:v>0.9469893978794981</c:v>
                </c:pt>
                <c:pt idx="4735">
                  <c:v>0.94718943788749965</c:v>
                </c:pt>
                <c:pt idx="4736">
                  <c:v>0.94738947789550121</c:v>
                </c:pt>
                <c:pt idx="4737">
                  <c:v>0.94758951790350276</c:v>
                </c:pt>
                <c:pt idx="4738">
                  <c:v>0.94778955791150432</c:v>
                </c:pt>
                <c:pt idx="4739">
                  <c:v>0.94798959791950588</c:v>
                </c:pt>
                <c:pt idx="4740">
                  <c:v>0.94818963792750743</c:v>
                </c:pt>
                <c:pt idx="4741">
                  <c:v>0.94838967793550899</c:v>
                </c:pt>
                <c:pt idx="4742">
                  <c:v>0.94858971794351055</c:v>
                </c:pt>
                <c:pt idx="4743">
                  <c:v>0.9487897579515121</c:v>
                </c:pt>
                <c:pt idx="4744">
                  <c:v>0.94898979795951366</c:v>
                </c:pt>
                <c:pt idx="4745">
                  <c:v>0.94918983796751522</c:v>
                </c:pt>
                <c:pt idx="4746">
                  <c:v>0.94938987797551677</c:v>
                </c:pt>
                <c:pt idx="4747">
                  <c:v>0.94958991798351833</c:v>
                </c:pt>
                <c:pt idx="4748">
                  <c:v>0.94978995799151988</c:v>
                </c:pt>
                <c:pt idx="4749">
                  <c:v>0.94998999799952144</c:v>
                </c:pt>
                <c:pt idx="4750">
                  <c:v>0.950190038007523</c:v>
                </c:pt>
                <c:pt idx="4751">
                  <c:v>0.95039007801552455</c:v>
                </c:pt>
                <c:pt idx="4752">
                  <c:v>0.95059011802352611</c:v>
                </c:pt>
                <c:pt idx="4753">
                  <c:v>0.95079015803152767</c:v>
                </c:pt>
                <c:pt idx="4754">
                  <c:v>0.95099019803952922</c:v>
                </c:pt>
                <c:pt idx="4755">
                  <c:v>0.95119023804753078</c:v>
                </c:pt>
                <c:pt idx="4756">
                  <c:v>0.95139027805553233</c:v>
                </c:pt>
                <c:pt idx="4757">
                  <c:v>0.95159031806353389</c:v>
                </c:pt>
                <c:pt idx="4758">
                  <c:v>0.95179035807153545</c:v>
                </c:pt>
                <c:pt idx="4759">
                  <c:v>0.951990398079537</c:v>
                </c:pt>
                <c:pt idx="4760">
                  <c:v>0.95219043808753856</c:v>
                </c:pt>
                <c:pt idx="4761">
                  <c:v>0.95239047809554012</c:v>
                </c:pt>
                <c:pt idx="4762">
                  <c:v>0.95259051810354167</c:v>
                </c:pt>
                <c:pt idx="4763">
                  <c:v>0.95279055811154323</c:v>
                </c:pt>
                <c:pt idx="4764">
                  <c:v>0.95299059811954479</c:v>
                </c:pt>
                <c:pt idx="4765">
                  <c:v>0.95319063812754634</c:v>
                </c:pt>
                <c:pt idx="4766">
                  <c:v>0.9533906781355479</c:v>
                </c:pt>
                <c:pt idx="4767">
                  <c:v>0.95359071814354945</c:v>
                </c:pt>
                <c:pt idx="4768">
                  <c:v>0.95379075815155101</c:v>
                </c:pt>
                <c:pt idx="4769">
                  <c:v>0.95399079815955257</c:v>
                </c:pt>
                <c:pt idx="4770">
                  <c:v>0.95419083816755412</c:v>
                </c:pt>
                <c:pt idx="4771">
                  <c:v>0.95439087817555568</c:v>
                </c:pt>
                <c:pt idx="4772">
                  <c:v>0.95459091818355724</c:v>
                </c:pt>
                <c:pt idx="4773">
                  <c:v>0.95479095819155879</c:v>
                </c:pt>
                <c:pt idx="4774">
                  <c:v>0.95499099819956035</c:v>
                </c:pt>
                <c:pt idx="4775">
                  <c:v>0.9551910382075619</c:v>
                </c:pt>
                <c:pt idx="4776">
                  <c:v>0.95539107821556346</c:v>
                </c:pt>
                <c:pt idx="4777">
                  <c:v>0.95559111822356502</c:v>
                </c:pt>
                <c:pt idx="4778">
                  <c:v>0.95579115823156657</c:v>
                </c:pt>
                <c:pt idx="4779">
                  <c:v>0.95599119823956813</c:v>
                </c:pt>
                <c:pt idx="4780">
                  <c:v>0.95619123824756969</c:v>
                </c:pt>
                <c:pt idx="4781">
                  <c:v>0.95639127825557124</c:v>
                </c:pt>
                <c:pt idx="4782">
                  <c:v>0.9565913182635728</c:v>
                </c:pt>
                <c:pt idx="4783">
                  <c:v>0.95679135827157435</c:v>
                </c:pt>
                <c:pt idx="4784">
                  <c:v>0.95699139827957591</c:v>
                </c:pt>
                <c:pt idx="4785">
                  <c:v>0.95719143828757747</c:v>
                </c:pt>
                <c:pt idx="4786">
                  <c:v>0.95739147829557902</c:v>
                </c:pt>
                <c:pt idx="4787">
                  <c:v>0.95759151830358058</c:v>
                </c:pt>
                <c:pt idx="4788">
                  <c:v>0.95779155831158214</c:v>
                </c:pt>
                <c:pt idx="4789">
                  <c:v>0.95799159831958369</c:v>
                </c:pt>
                <c:pt idx="4790">
                  <c:v>0.95819163832758525</c:v>
                </c:pt>
                <c:pt idx="4791">
                  <c:v>0.95839167833558681</c:v>
                </c:pt>
                <c:pt idx="4792">
                  <c:v>0.95859171834358836</c:v>
                </c:pt>
                <c:pt idx="4793">
                  <c:v>0.95879175835158992</c:v>
                </c:pt>
                <c:pt idx="4794">
                  <c:v>0.95899179835959147</c:v>
                </c:pt>
                <c:pt idx="4795">
                  <c:v>0.95919183836759303</c:v>
                </c:pt>
                <c:pt idx="4796">
                  <c:v>0.95939187837559459</c:v>
                </c:pt>
                <c:pt idx="4797">
                  <c:v>0.95959191838359614</c:v>
                </c:pt>
                <c:pt idx="4798">
                  <c:v>0.9597919583915977</c:v>
                </c:pt>
                <c:pt idx="4799">
                  <c:v>0.95999199839959926</c:v>
                </c:pt>
                <c:pt idx="4800">
                  <c:v>0.96019203840760081</c:v>
                </c:pt>
                <c:pt idx="4801">
                  <c:v>0.96039207841560237</c:v>
                </c:pt>
                <c:pt idx="4802">
                  <c:v>0.96059211842360392</c:v>
                </c:pt>
                <c:pt idx="4803">
                  <c:v>0.96079215843160548</c:v>
                </c:pt>
                <c:pt idx="4804">
                  <c:v>0.96099219843960704</c:v>
                </c:pt>
                <c:pt idx="4805">
                  <c:v>0.96119223844760859</c:v>
                </c:pt>
                <c:pt idx="4806">
                  <c:v>0.96139227845561015</c:v>
                </c:pt>
                <c:pt idx="4807">
                  <c:v>0.96159231846361171</c:v>
                </c:pt>
                <c:pt idx="4808">
                  <c:v>0.96179235847161326</c:v>
                </c:pt>
                <c:pt idx="4809">
                  <c:v>0.96199239847961482</c:v>
                </c:pt>
                <c:pt idx="4810">
                  <c:v>0.96219243848761637</c:v>
                </c:pt>
                <c:pt idx="4811">
                  <c:v>0.96239247849561793</c:v>
                </c:pt>
                <c:pt idx="4812">
                  <c:v>0.96259251850361949</c:v>
                </c:pt>
                <c:pt idx="4813">
                  <c:v>0.96279255851162104</c:v>
                </c:pt>
                <c:pt idx="4814">
                  <c:v>0.9629925985196226</c:v>
                </c:pt>
                <c:pt idx="4815">
                  <c:v>0.96319263852762416</c:v>
                </c:pt>
                <c:pt idx="4816">
                  <c:v>0.96339267853562571</c:v>
                </c:pt>
                <c:pt idx="4817">
                  <c:v>0.96359271854362727</c:v>
                </c:pt>
                <c:pt idx="4818">
                  <c:v>0.96379275855162883</c:v>
                </c:pt>
                <c:pt idx="4819">
                  <c:v>0.96399279855963038</c:v>
                </c:pt>
                <c:pt idx="4820">
                  <c:v>0.96419283856763194</c:v>
                </c:pt>
                <c:pt idx="4821">
                  <c:v>0.96439287857563349</c:v>
                </c:pt>
                <c:pt idx="4822">
                  <c:v>0.96459291858363505</c:v>
                </c:pt>
                <c:pt idx="4823">
                  <c:v>0.96479295859163661</c:v>
                </c:pt>
                <c:pt idx="4824">
                  <c:v>0.96499299859963816</c:v>
                </c:pt>
                <c:pt idx="4825">
                  <c:v>0.96519303860763972</c:v>
                </c:pt>
                <c:pt idx="4826">
                  <c:v>0.96539307861564128</c:v>
                </c:pt>
                <c:pt idx="4827">
                  <c:v>0.96559311862364283</c:v>
                </c:pt>
                <c:pt idx="4828">
                  <c:v>0.96579315863164439</c:v>
                </c:pt>
                <c:pt idx="4829">
                  <c:v>0.96599319863964594</c:v>
                </c:pt>
                <c:pt idx="4830">
                  <c:v>0.9661932386476475</c:v>
                </c:pt>
                <c:pt idx="4831">
                  <c:v>0.96639327865564906</c:v>
                </c:pt>
                <c:pt idx="4832">
                  <c:v>0.96659331866365061</c:v>
                </c:pt>
                <c:pt idx="4833">
                  <c:v>0.96679335867165217</c:v>
                </c:pt>
                <c:pt idx="4834">
                  <c:v>0.96699339867965373</c:v>
                </c:pt>
                <c:pt idx="4835">
                  <c:v>0.96719343868765528</c:v>
                </c:pt>
                <c:pt idx="4836">
                  <c:v>0.96739347869565684</c:v>
                </c:pt>
                <c:pt idx="4837">
                  <c:v>0.9675935187036584</c:v>
                </c:pt>
                <c:pt idx="4838">
                  <c:v>0.96779355871165995</c:v>
                </c:pt>
                <c:pt idx="4839">
                  <c:v>0.96799359871966151</c:v>
                </c:pt>
                <c:pt idx="4840">
                  <c:v>0.96819363872766306</c:v>
                </c:pt>
                <c:pt idx="4841">
                  <c:v>0.96839367873566462</c:v>
                </c:pt>
                <c:pt idx="4842">
                  <c:v>0.96859371874366618</c:v>
                </c:pt>
                <c:pt idx="4843">
                  <c:v>0.96879375875166773</c:v>
                </c:pt>
                <c:pt idx="4844">
                  <c:v>0.96899379875966929</c:v>
                </c:pt>
                <c:pt idx="4845">
                  <c:v>0.96919383876767085</c:v>
                </c:pt>
                <c:pt idx="4846">
                  <c:v>0.9693938787756724</c:v>
                </c:pt>
                <c:pt idx="4847">
                  <c:v>0.96959391878367396</c:v>
                </c:pt>
                <c:pt idx="4848">
                  <c:v>0.96979395879167551</c:v>
                </c:pt>
                <c:pt idx="4849">
                  <c:v>0.96999399879967707</c:v>
                </c:pt>
                <c:pt idx="4850">
                  <c:v>0.97019403880767863</c:v>
                </c:pt>
                <c:pt idx="4851">
                  <c:v>0.97039407881568018</c:v>
                </c:pt>
                <c:pt idx="4852">
                  <c:v>0.97059411882368174</c:v>
                </c:pt>
                <c:pt idx="4853">
                  <c:v>0.9707941588316833</c:v>
                </c:pt>
                <c:pt idx="4854">
                  <c:v>0.97099419883968485</c:v>
                </c:pt>
                <c:pt idx="4855">
                  <c:v>0.97119423884768641</c:v>
                </c:pt>
                <c:pt idx="4856">
                  <c:v>0.97139427885568796</c:v>
                </c:pt>
                <c:pt idx="4857">
                  <c:v>0.97159431886368952</c:v>
                </c:pt>
                <c:pt idx="4858">
                  <c:v>0.97179435887169108</c:v>
                </c:pt>
                <c:pt idx="4859">
                  <c:v>0.97199439887969263</c:v>
                </c:pt>
                <c:pt idx="4860">
                  <c:v>0.97219443888769419</c:v>
                </c:pt>
                <c:pt idx="4861">
                  <c:v>0.97239447889569575</c:v>
                </c:pt>
                <c:pt idx="4862">
                  <c:v>0.9725945189036973</c:v>
                </c:pt>
                <c:pt idx="4863">
                  <c:v>0.97279455891169886</c:v>
                </c:pt>
                <c:pt idx="4864">
                  <c:v>0.97299459891970042</c:v>
                </c:pt>
                <c:pt idx="4865">
                  <c:v>0.97319463892770197</c:v>
                </c:pt>
                <c:pt idx="4866">
                  <c:v>0.97339467893570353</c:v>
                </c:pt>
                <c:pt idx="4867">
                  <c:v>0.97359471894370508</c:v>
                </c:pt>
                <c:pt idx="4868">
                  <c:v>0.97379475895170664</c:v>
                </c:pt>
                <c:pt idx="4869">
                  <c:v>0.9739947989597082</c:v>
                </c:pt>
                <c:pt idx="4870">
                  <c:v>0.97419483896770975</c:v>
                </c:pt>
                <c:pt idx="4871">
                  <c:v>0.97439487897571131</c:v>
                </c:pt>
                <c:pt idx="4872">
                  <c:v>0.97459491898371287</c:v>
                </c:pt>
                <c:pt idx="4873">
                  <c:v>0.97479495899171442</c:v>
                </c:pt>
                <c:pt idx="4874">
                  <c:v>0.97499499899971598</c:v>
                </c:pt>
                <c:pt idx="4875">
                  <c:v>0.97519503900771753</c:v>
                </c:pt>
                <c:pt idx="4876">
                  <c:v>0.97539507901571909</c:v>
                </c:pt>
                <c:pt idx="4877">
                  <c:v>0.97559511902372065</c:v>
                </c:pt>
                <c:pt idx="4878">
                  <c:v>0.9757951590317222</c:v>
                </c:pt>
                <c:pt idx="4879">
                  <c:v>0.97599519903972376</c:v>
                </c:pt>
                <c:pt idx="4880">
                  <c:v>0.97619523904772532</c:v>
                </c:pt>
                <c:pt idx="4881">
                  <c:v>0.97639527905572687</c:v>
                </c:pt>
                <c:pt idx="4882">
                  <c:v>0.97659531906372843</c:v>
                </c:pt>
                <c:pt idx="4883">
                  <c:v>0.97679535907172998</c:v>
                </c:pt>
                <c:pt idx="4884">
                  <c:v>0.97699539907973154</c:v>
                </c:pt>
                <c:pt idx="4885">
                  <c:v>0.9771954390877331</c:v>
                </c:pt>
                <c:pt idx="4886">
                  <c:v>0.97739547909573465</c:v>
                </c:pt>
                <c:pt idx="4887">
                  <c:v>0.97759551910373621</c:v>
                </c:pt>
                <c:pt idx="4888">
                  <c:v>0.97779555911173777</c:v>
                </c:pt>
                <c:pt idx="4889">
                  <c:v>0.97799559911973932</c:v>
                </c:pt>
                <c:pt idx="4890">
                  <c:v>0.97819563912774088</c:v>
                </c:pt>
                <c:pt idx="4891">
                  <c:v>0.97839567913574244</c:v>
                </c:pt>
                <c:pt idx="4892">
                  <c:v>0.97859571914374399</c:v>
                </c:pt>
                <c:pt idx="4893">
                  <c:v>0.97879575915174555</c:v>
                </c:pt>
                <c:pt idx="4894">
                  <c:v>0.9789957991597471</c:v>
                </c:pt>
                <c:pt idx="4895">
                  <c:v>0.97919583916774866</c:v>
                </c:pt>
                <c:pt idx="4896">
                  <c:v>0.97939587917575022</c:v>
                </c:pt>
                <c:pt idx="4897">
                  <c:v>0.97959591918375177</c:v>
                </c:pt>
                <c:pt idx="4898">
                  <c:v>0.97979595919175333</c:v>
                </c:pt>
                <c:pt idx="4899">
                  <c:v>0.97999599919975489</c:v>
                </c:pt>
                <c:pt idx="4900">
                  <c:v>0.98019603920775644</c:v>
                </c:pt>
                <c:pt idx="4901">
                  <c:v>0.980396079215758</c:v>
                </c:pt>
                <c:pt idx="4902">
                  <c:v>0.98059611922375955</c:v>
                </c:pt>
                <c:pt idx="4903">
                  <c:v>0.98079615923176111</c:v>
                </c:pt>
                <c:pt idx="4904">
                  <c:v>0.98099619923976267</c:v>
                </c:pt>
                <c:pt idx="4905">
                  <c:v>0.98119623924776422</c:v>
                </c:pt>
                <c:pt idx="4906">
                  <c:v>0.98139627925576578</c:v>
                </c:pt>
                <c:pt idx="4907">
                  <c:v>0.98159631926376734</c:v>
                </c:pt>
                <c:pt idx="4908">
                  <c:v>0.98179635927176889</c:v>
                </c:pt>
                <c:pt idx="4909">
                  <c:v>0.98199639927977045</c:v>
                </c:pt>
                <c:pt idx="4910">
                  <c:v>0.98219643928777201</c:v>
                </c:pt>
                <c:pt idx="4911">
                  <c:v>0.98239647929577356</c:v>
                </c:pt>
                <c:pt idx="4912">
                  <c:v>0.98259651930377512</c:v>
                </c:pt>
                <c:pt idx="4913">
                  <c:v>0.98279655931177667</c:v>
                </c:pt>
                <c:pt idx="4914">
                  <c:v>0.98299659931977823</c:v>
                </c:pt>
                <c:pt idx="4915">
                  <c:v>0.98319663932777979</c:v>
                </c:pt>
                <c:pt idx="4916">
                  <c:v>0.98339667933578134</c:v>
                </c:pt>
                <c:pt idx="4917">
                  <c:v>0.9835967193437829</c:v>
                </c:pt>
                <c:pt idx="4918">
                  <c:v>0.98379675935178446</c:v>
                </c:pt>
                <c:pt idx="4919">
                  <c:v>0.98399679935978601</c:v>
                </c:pt>
                <c:pt idx="4920">
                  <c:v>0.98419683936778757</c:v>
                </c:pt>
                <c:pt idx="4921">
                  <c:v>0.98439687937578912</c:v>
                </c:pt>
                <c:pt idx="4922">
                  <c:v>0.98459691938379068</c:v>
                </c:pt>
                <c:pt idx="4923">
                  <c:v>0.98479695939179224</c:v>
                </c:pt>
                <c:pt idx="4924">
                  <c:v>0.98499699939979379</c:v>
                </c:pt>
                <c:pt idx="4925">
                  <c:v>0.98519703940779535</c:v>
                </c:pt>
                <c:pt idx="4926">
                  <c:v>0.98539707941579691</c:v>
                </c:pt>
                <c:pt idx="4927">
                  <c:v>0.98559711942379846</c:v>
                </c:pt>
                <c:pt idx="4928">
                  <c:v>0.98579715943180002</c:v>
                </c:pt>
                <c:pt idx="4929">
                  <c:v>0.98599719943980157</c:v>
                </c:pt>
                <c:pt idx="4930">
                  <c:v>0.98619723944780313</c:v>
                </c:pt>
                <c:pt idx="4931">
                  <c:v>0.98639727945580469</c:v>
                </c:pt>
                <c:pt idx="4932">
                  <c:v>0.98659731946380624</c:v>
                </c:pt>
                <c:pt idx="4933">
                  <c:v>0.9867973594718078</c:v>
                </c:pt>
                <c:pt idx="4934">
                  <c:v>0.98699739947980936</c:v>
                </c:pt>
                <c:pt idx="4935">
                  <c:v>0.98719743948781091</c:v>
                </c:pt>
                <c:pt idx="4936">
                  <c:v>0.98739747949581247</c:v>
                </c:pt>
                <c:pt idx="4937">
                  <c:v>0.98759751950381403</c:v>
                </c:pt>
                <c:pt idx="4938">
                  <c:v>0.98779755951181558</c:v>
                </c:pt>
                <c:pt idx="4939">
                  <c:v>0.98799759951981714</c:v>
                </c:pt>
                <c:pt idx="4940">
                  <c:v>0.98819763952781869</c:v>
                </c:pt>
                <c:pt idx="4941">
                  <c:v>0.98839767953582025</c:v>
                </c:pt>
                <c:pt idx="4942">
                  <c:v>0.98859771954382181</c:v>
                </c:pt>
                <c:pt idx="4943">
                  <c:v>0.98879775955182336</c:v>
                </c:pt>
                <c:pt idx="4944">
                  <c:v>0.98899779955982492</c:v>
                </c:pt>
                <c:pt idx="4945">
                  <c:v>0.98919783956782648</c:v>
                </c:pt>
                <c:pt idx="4946">
                  <c:v>0.98939787957582803</c:v>
                </c:pt>
                <c:pt idx="4947">
                  <c:v>0.98959791958382959</c:v>
                </c:pt>
                <c:pt idx="4948">
                  <c:v>0.98979795959183114</c:v>
                </c:pt>
                <c:pt idx="4949">
                  <c:v>0.9899979995998327</c:v>
                </c:pt>
                <c:pt idx="4950">
                  <c:v>0.99019803960783426</c:v>
                </c:pt>
                <c:pt idx="4951">
                  <c:v>0.99039807961583581</c:v>
                </c:pt>
                <c:pt idx="4952">
                  <c:v>0.99059811962383737</c:v>
                </c:pt>
                <c:pt idx="4953">
                  <c:v>0.99079815963183893</c:v>
                </c:pt>
                <c:pt idx="4954">
                  <c:v>0.99099819963984048</c:v>
                </c:pt>
                <c:pt idx="4955">
                  <c:v>0.99119823964784204</c:v>
                </c:pt>
                <c:pt idx="4956">
                  <c:v>0.9913982796558436</c:v>
                </c:pt>
                <c:pt idx="4957">
                  <c:v>0.99159831966384515</c:v>
                </c:pt>
                <c:pt idx="4958">
                  <c:v>0.99179835967184671</c:v>
                </c:pt>
                <c:pt idx="4959">
                  <c:v>0.99199839967984826</c:v>
                </c:pt>
                <c:pt idx="4960">
                  <c:v>0.99219843968784982</c:v>
                </c:pt>
                <c:pt idx="4961">
                  <c:v>0.99239847969585138</c:v>
                </c:pt>
                <c:pt idx="4962">
                  <c:v>0.99259851970385293</c:v>
                </c:pt>
                <c:pt idx="4963">
                  <c:v>0.99279855971185449</c:v>
                </c:pt>
                <c:pt idx="4964">
                  <c:v>0.99299859971985605</c:v>
                </c:pt>
                <c:pt idx="4965">
                  <c:v>0.9931986397278576</c:v>
                </c:pt>
                <c:pt idx="4966">
                  <c:v>0.99339867973585916</c:v>
                </c:pt>
                <c:pt idx="4967">
                  <c:v>0.99359871974386071</c:v>
                </c:pt>
                <c:pt idx="4968">
                  <c:v>0.99379875975186227</c:v>
                </c:pt>
                <c:pt idx="4969">
                  <c:v>0.99399879975986383</c:v>
                </c:pt>
                <c:pt idx="4970">
                  <c:v>0.99419883976786538</c:v>
                </c:pt>
                <c:pt idx="4971">
                  <c:v>0.99439887977586694</c:v>
                </c:pt>
                <c:pt idx="4972">
                  <c:v>0.9945989197838685</c:v>
                </c:pt>
                <c:pt idx="4973">
                  <c:v>0.99479895979187005</c:v>
                </c:pt>
                <c:pt idx="4974">
                  <c:v>0.99499899979987161</c:v>
                </c:pt>
                <c:pt idx="4975">
                  <c:v>0.99519903980787316</c:v>
                </c:pt>
                <c:pt idx="4976">
                  <c:v>0.99539907981587472</c:v>
                </c:pt>
                <c:pt idx="4977">
                  <c:v>0.99559911982387628</c:v>
                </c:pt>
                <c:pt idx="4978">
                  <c:v>0.99579915983187783</c:v>
                </c:pt>
                <c:pt idx="4979">
                  <c:v>0.99599919983987939</c:v>
                </c:pt>
                <c:pt idx="4980">
                  <c:v>0.99619923984788095</c:v>
                </c:pt>
                <c:pt idx="4981">
                  <c:v>0.9963992798558825</c:v>
                </c:pt>
                <c:pt idx="4982">
                  <c:v>0.99659931986388406</c:v>
                </c:pt>
                <c:pt idx="4983">
                  <c:v>0.99679935987188562</c:v>
                </c:pt>
                <c:pt idx="4984">
                  <c:v>0.99699939987988717</c:v>
                </c:pt>
                <c:pt idx="4985">
                  <c:v>0.99719943988788873</c:v>
                </c:pt>
                <c:pt idx="4986">
                  <c:v>0.99739947989589028</c:v>
                </c:pt>
                <c:pt idx="4987">
                  <c:v>0.99759951990389184</c:v>
                </c:pt>
                <c:pt idx="4988">
                  <c:v>0.9977995599118934</c:v>
                </c:pt>
                <c:pt idx="4989">
                  <c:v>0.99799959991989495</c:v>
                </c:pt>
                <c:pt idx="4990">
                  <c:v>0.99819963992789651</c:v>
                </c:pt>
                <c:pt idx="4991">
                  <c:v>0.99839967993589807</c:v>
                </c:pt>
                <c:pt idx="4992">
                  <c:v>0.99859971994389962</c:v>
                </c:pt>
                <c:pt idx="4993">
                  <c:v>0.99879975995190118</c:v>
                </c:pt>
                <c:pt idx="4994">
                  <c:v>0.99899979995990273</c:v>
                </c:pt>
                <c:pt idx="4995">
                  <c:v>0.99919983996790429</c:v>
                </c:pt>
                <c:pt idx="4996">
                  <c:v>0.99939987997590585</c:v>
                </c:pt>
                <c:pt idx="4997">
                  <c:v>0.9995999199839074</c:v>
                </c:pt>
                <c:pt idx="4998">
                  <c:v>0.99979995999190896</c:v>
                </c:pt>
                <c:pt idx="4999">
                  <c:v>0.99999999999991052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SimData5000!$J$5008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SimData5000!$J$5009:$J$10008</c:f>
              <c:numCache>
                <c:formatCode>General</c:formatCode>
                <c:ptCount val="5000"/>
                <c:pt idx="0">
                  <c:v>9.1727842118416447E-5</c:v>
                </c:pt>
                <c:pt idx="1">
                  <c:v>2.8333220689091831E-4</c:v>
                </c:pt>
                <c:pt idx="2">
                  <c:v>4.3205175006733043E-4</c:v>
                </c:pt>
                <c:pt idx="3">
                  <c:v>5.153652327862801E-4</c:v>
                </c:pt>
                <c:pt idx="4">
                  <c:v>7.471871676898445E-4</c:v>
                </c:pt>
                <c:pt idx="5">
                  <c:v>9.3215253855305491E-4</c:v>
                </c:pt>
                <c:pt idx="6">
                  <c:v>1.0271333321725251E-3</c:v>
                </c:pt>
                <c:pt idx="7">
                  <c:v>1.2644141852717894E-3</c:v>
                </c:pt>
                <c:pt idx="8">
                  <c:v>1.6232153229793767E-3</c:v>
                </c:pt>
                <c:pt idx="9">
                  <c:v>1.8419322323097731E-3</c:v>
                </c:pt>
                <c:pt idx="10">
                  <c:v>1.8903292502727709E-3</c:v>
                </c:pt>
                <c:pt idx="11">
                  <c:v>2.0163308035989758E-3</c:v>
                </c:pt>
                <c:pt idx="12">
                  <c:v>2.168048667954281E-3</c:v>
                </c:pt>
                <c:pt idx="13">
                  <c:v>2.2322748263832182E-3</c:v>
                </c:pt>
                <c:pt idx="14">
                  <c:v>2.6156873400395853E-3</c:v>
                </c:pt>
                <c:pt idx="15">
                  <c:v>3.0863902629789663E-3</c:v>
                </c:pt>
                <c:pt idx="16">
                  <c:v>3.2746183651397587E-3</c:v>
                </c:pt>
                <c:pt idx="17">
                  <c:v>3.648773352324497E-3</c:v>
                </c:pt>
                <c:pt idx="18">
                  <c:v>3.6926369220964261E-3</c:v>
                </c:pt>
                <c:pt idx="19">
                  <c:v>3.8029689603717998E-3</c:v>
                </c:pt>
                <c:pt idx="20">
                  <c:v>3.8463407126982929E-3</c:v>
                </c:pt>
                <c:pt idx="21">
                  <c:v>4.1242197939936887E-3</c:v>
                </c:pt>
                <c:pt idx="22">
                  <c:v>4.1567488851796952E-3</c:v>
                </c:pt>
                <c:pt idx="23">
                  <c:v>4.1587055993659305E-3</c:v>
                </c:pt>
                <c:pt idx="24">
                  <c:v>5.1606116330731311E-3</c:v>
                </c:pt>
                <c:pt idx="25">
                  <c:v>5.6663850491531775E-3</c:v>
                </c:pt>
                <c:pt idx="26">
                  <c:v>5.7819197463686578E-3</c:v>
                </c:pt>
                <c:pt idx="27">
                  <c:v>5.9353476699470775E-3</c:v>
                </c:pt>
                <c:pt idx="28">
                  <c:v>5.9414636489236727E-3</c:v>
                </c:pt>
                <c:pt idx="29">
                  <c:v>5.950964626208588E-3</c:v>
                </c:pt>
                <c:pt idx="30">
                  <c:v>6.1882270802016137E-3</c:v>
                </c:pt>
                <c:pt idx="31">
                  <c:v>6.2073429298834526E-3</c:v>
                </c:pt>
                <c:pt idx="32">
                  <c:v>6.3708604084240505E-3</c:v>
                </c:pt>
                <c:pt idx="33">
                  <c:v>6.5629412210910232E-3</c:v>
                </c:pt>
                <c:pt idx="34">
                  <c:v>6.7637172915055999E-3</c:v>
                </c:pt>
                <c:pt idx="35">
                  <c:v>7.0262383733279421E-3</c:v>
                </c:pt>
                <c:pt idx="36">
                  <c:v>7.273145361978095E-3</c:v>
                </c:pt>
                <c:pt idx="37">
                  <c:v>7.3581082815508125E-3</c:v>
                </c:pt>
                <c:pt idx="38">
                  <c:v>7.5820788979399367E-3</c:v>
                </c:pt>
                <c:pt idx="39">
                  <c:v>7.627955469644121E-3</c:v>
                </c:pt>
                <c:pt idx="40">
                  <c:v>8.0425475562151405E-3</c:v>
                </c:pt>
                <c:pt idx="41">
                  <c:v>8.0652307642594678E-3</c:v>
                </c:pt>
                <c:pt idx="42">
                  <c:v>8.2119646249338984E-3</c:v>
                </c:pt>
                <c:pt idx="43">
                  <c:v>8.3134663409509812E-3</c:v>
                </c:pt>
                <c:pt idx="44">
                  <c:v>8.6022940895418287E-3</c:v>
                </c:pt>
                <c:pt idx="45">
                  <c:v>8.6322374800147372E-3</c:v>
                </c:pt>
                <c:pt idx="46">
                  <c:v>8.6480986610695254E-3</c:v>
                </c:pt>
                <c:pt idx="47">
                  <c:v>8.6948504331303411E-3</c:v>
                </c:pt>
                <c:pt idx="48">
                  <c:v>9.2911625097258366E-3</c:v>
                </c:pt>
                <c:pt idx="49">
                  <c:v>1.0097569468598522E-2</c:v>
                </c:pt>
                <c:pt idx="50">
                  <c:v>1.0287612002684909E-2</c:v>
                </c:pt>
                <c:pt idx="51">
                  <c:v>1.0481258193976828E-2</c:v>
                </c:pt>
                <c:pt idx="52">
                  <c:v>1.091874330995779E-2</c:v>
                </c:pt>
                <c:pt idx="53">
                  <c:v>1.1015247405339323E-2</c:v>
                </c:pt>
                <c:pt idx="54">
                  <c:v>1.1035830137188896E-2</c:v>
                </c:pt>
                <c:pt idx="55">
                  <c:v>1.12179393408951E-2</c:v>
                </c:pt>
                <c:pt idx="56">
                  <c:v>1.128977817370469E-2</c:v>
                </c:pt>
                <c:pt idx="57">
                  <c:v>1.1375620073522441E-2</c:v>
                </c:pt>
                <c:pt idx="58">
                  <c:v>1.1797494290476607E-2</c:v>
                </c:pt>
                <c:pt idx="59">
                  <c:v>1.1921999709556985E-2</c:v>
                </c:pt>
                <c:pt idx="60">
                  <c:v>1.194568632854498E-2</c:v>
                </c:pt>
                <c:pt idx="61">
                  <c:v>1.1973781150118157E-2</c:v>
                </c:pt>
                <c:pt idx="62">
                  <c:v>1.2231115264512482E-2</c:v>
                </c:pt>
                <c:pt idx="63">
                  <c:v>1.2356357107819349E-2</c:v>
                </c:pt>
                <c:pt idx="64">
                  <c:v>1.2360042199361487E-2</c:v>
                </c:pt>
                <c:pt idx="65">
                  <c:v>1.2390825053444132E-2</c:v>
                </c:pt>
                <c:pt idx="66">
                  <c:v>1.2554811499285279E-2</c:v>
                </c:pt>
                <c:pt idx="67">
                  <c:v>1.2802545428712619E-2</c:v>
                </c:pt>
                <c:pt idx="68">
                  <c:v>1.2831189765165618E-2</c:v>
                </c:pt>
                <c:pt idx="69">
                  <c:v>1.3184487728722161E-2</c:v>
                </c:pt>
                <c:pt idx="70">
                  <c:v>1.3229039615907823E-2</c:v>
                </c:pt>
                <c:pt idx="71">
                  <c:v>1.3255339254101273E-2</c:v>
                </c:pt>
                <c:pt idx="72">
                  <c:v>1.3568766437401791E-2</c:v>
                </c:pt>
                <c:pt idx="73">
                  <c:v>1.3645377172920803E-2</c:v>
                </c:pt>
                <c:pt idx="74">
                  <c:v>1.3988583008540445E-2</c:v>
                </c:pt>
                <c:pt idx="75">
                  <c:v>1.4292722633399535E-2</c:v>
                </c:pt>
                <c:pt idx="76">
                  <c:v>1.439909454802546E-2</c:v>
                </c:pt>
                <c:pt idx="77">
                  <c:v>1.4572925180800667E-2</c:v>
                </c:pt>
                <c:pt idx="78">
                  <c:v>1.5743304876195907E-2</c:v>
                </c:pt>
                <c:pt idx="79">
                  <c:v>1.577988816643483E-2</c:v>
                </c:pt>
                <c:pt idx="80">
                  <c:v>1.5787313122018531E-2</c:v>
                </c:pt>
                <c:pt idx="81">
                  <c:v>1.5825004299585999E-2</c:v>
                </c:pt>
                <c:pt idx="82">
                  <c:v>1.5922470924124354E-2</c:v>
                </c:pt>
                <c:pt idx="83">
                  <c:v>1.5927534360343998E-2</c:v>
                </c:pt>
                <c:pt idx="84">
                  <c:v>1.6348713206753018E-2</c:v>
                </c:pt>
                <c:pt idx="85">
                  <c:v>1.6391836370530655E-2</c:v>
                </c:pt>
                <c:pt idx="86">
                  <c:v>1.6403022222220898E-2</c:v>
                </c:pt>
                <c:pt idx="87">
                  <c:v>1.6555170444007672E-2</c:v>
                </c:pt>
                <c:pt idx="88">
                  <c:v>1.6750566585869819E-2</c:v>
                </c:pt>
                <c:pt idx="89">
                  <c:v>1.6925931584410137E-2</c:v>
                </c:pt>
                <c:pt idx="90">
                  <c:v>1.7018139355997164E-2</c:v>
                </c:pt>
                <c:pt idx="91">
                  <c:v>1.7392431357620808E-2</c:v>
                </c:pt>
                <c:pt idx="92">
                  <c:v>1.7446736077545211E-2</c:v>
                </c:pt>
                <c:pt idx="93">
                  <c:v>1.7684954889773508E-2</c:v>
                </c:pt>
                <c:pt idx="94">
                  <c:v>1.7852739386398753E-2</c:v>
                </c:pt>
                <c:pt idx="95">
                  <c:v>1.8012636838648177E-2</c:v>
                </c:pt>
                <c:pt idx="96">
                  <c:v>1.8137094102712581E-2</c:v>
                </c:pt>
                <c:pt idx="97">
                  <c:v>1.8198110235061904E-2</c:v>
                </c:pt>
                <c:pt idx="98">
                  <c:v>1.8737711074209074E-2</c:v>
                </c:pt>
                <c:pt idx="99">
                  <c:v>1.876882292344817E-2</c:v>
                </c:pt>
                <c:pt idx="100">
                  <c:v>1.9399032300526642E-2</c:v>
                </c:pt>
                <c:pt idx="101">
                  <c:v>1.951285026370897E-2</c:v>
                </c:pt>
                <c:pt idx="102">
                  <c:v>1.9555014790057612E-2</c:v>
                </c:pt>
                <c:pt idx="103">
                  <c:v>1.9680458470247686E-2</c:v>
                </c:pt>
                <c:pt idx="104">
                  <c:v>1.9780421984251007E-2</c:v>
                </c:pt>
                <c:pt idx="105">
                  <c:v>1.9895940322385286E-2</c:v>
                </c:pt>
                <c:pt idx="106">
                  <c:v>2.0012816839766856E-2</c:v>
                </c:pt>
                <c:pt idx="107">
                  <c:v>2.0438138739336864E-2</c:v>
                </c:pt>
                <c:pt idx="108">
                  <c:v>2.0594457285369572E-2</c:v>
                </c:pt>
                <c:pt idx="109">
                  <c:v>2.1245025417556462E-2</c:v>
                </c:pt>
                <c:pt idx="110">
                  <c:v>2.1371671388806135E-2</c:v>
                </c:pt>
                <c:pt idx="111">
                  <c:v>2.1700923117350612E-2</c:v>
                </c:pt>
                <c:pt idx="112">
                  <c:v>2.1701209469483729E-2</c:v>
                </c:pt>
                <c:pt idx="113">
                  <c:v>2.1704471836528683E-2</c:v>
                </c:pt>
                <c:pt idx="114">
                  <c:v>2.2042790465093276E-2</c:v>
                </c:pt>
                <c:pt idx="115">
                  <c:v>2.2092718789281207E-2</c:v>
                </c:pt>
                <c:pt idx="116">
                  <c:v>2.2215484726075374E-2</c:v>
                </c:pt>
                <c:pt idx="117">
                  <c:v>2.2262887432589196E-2</c:v>
                </c:pt>
                <c:pt idx="118">
                  <c:v>2.2270169296476183E-2</c:v>
                </c:pt>
                <c:pt idx="119">
                  <c:v>2.2648867120551586E-2</c:v>
                </c:pt>
                <c:pt idx="120">
                  <c:v>2.2815419442849816E-2</c:v>
                </c:pt>
                <c:pt idx="121">
                  <c:v>2.2891582781994657E-2</c:v>
                </c:pt>
                <c:pt idx="122">
                  <c:v>2.2957247507292777E-2</c:v>
                </c:pt>
                <c:pt idx="123">
                  <c:v>2.311018251839414E-2</c:v>
                </c:pt>
                <c:pt idx="124">
                  <c:v>2.332212393048394E-2</c:v>
                </c:pt>
                <c:pt idx="125">
                  <c:v>2.3684268002398312E-2</c:v>
                </c:pt>
                <c:pt idx="126">
                  <c:v>2.3830467504922126E-2</c:v>
                </c:pt>
                <c:pt idx="127">
                  <c:v>2.4259594545583241E-2</c:v>
                </c:pt>
                <c:pt idx="128">
                  <c:v>2.4528953204935533E-2</c:v>
                </c:pt>
                <c:pt idx="129">
                  <c:v>2.4786119398413575E-2</c:v>
                </c:pt>
                <c:pt idx="130">
                  <c:v>2.4931180576459155E-2</c:v>
                </c:pt>
                <c:pt idx="131">
                  <c:v>2.514340130801429E-2</c:v>
                </c:pt>
                <c:pt idx="132">
                  <c:v>2.5226823942830379E-2</c:v>
                </c:pt>
                <c:pt idx="133">
                  <c:v>2.5414971867576241E-2</c:v>
                </c:pt>
                <c:pt idx="134">
                  <c:v>2.5671854127736538E-2</c:v>
                </c:pt>
                <c:pt idx="135">
                  <c:v>2.5672971029962355E-2</c:v>
                </c:pt>
                <c:pt idx="136">
                  <c:v>2.5679687956653652E-2</c:v>
                </c:pt>
                <c:pt idx="137">
                  <c:v>2.5890074442941113E-2</c:v>
                </c:pt>
                <c:pt idx="138">
                  <c:v>2.6266059636327554E-2</c:v>
                </c:pt>
                <c:pt idx="139">
                  <c:v>2.6432833237777231E-2</c:v>
                </c:pt>
                <c:pt idx="140">
                  <c:v>2.6664787872505258E-2</c:v>
                </c:pt>
                <c:pt idx="141">
                  <c:v>2.7021098870136484E-2</c:v>
                </c:pt>
                <c:pt idx="142">
                  <c:v>2.7167300318069465E-2</c:v>
                </c:pt>
                <c:pt idx="143">
                  <c:v>2.7500210478137888E-2</c:v>
                </c:pt>
                <c:pt idx="144">
                  <c:v>2.7744066756895336E-2</c:v>
                </c:pt>
                <c:pt idx="145">
                  <c:v>2.7918199074520089E-2</c:v>
                </c:pt>
                <c:pt idx="146">
                  <c:v>2.7985301659100514E-2</c:v>
                </c:pt>
                <c:pt idx="147">
                  <c:v>2.8099689626287727E-2</c:v>
                </c:pt>
                <c:pt idx="148">
                  <c:v>2.8128042146818188E-2</c:v>
                </c:pt>
                <c:pt idx="149">
                  <c:v>2.8895009178995679E-2</c:v>
                </c:pt>
                <c:pt idx="150">
                  <c:v>2.8921851709128532E-2</c:v>
                </c:pt>
                <c:pt idx="151">
                  <c:v>2.9363424475377542E-2</c:v>
                </c:pt>
                <c:pt idx="152">
                  <c:v>2.9405522552224284E-2</c:v>
                </c:pt>
                <c:pt idx="153">
                  <c:v>2.9433180935484415E-2</c:v>
                </c:pt>
                <c:pt idx="154">
                  <c:v>2.9829029083884961E-2</c:v>
                </c:pt>
                <c:pt idx="155">
                  <c:v>2.9972410152367956E-2</c:v>
                </c:pt>
                <c:pt idx="156">
                  <c:v>3.0103581782896072E-2</c:v>
                </c:pt>
                <c:pt idx="157">
                  <c:v>3.0432865472903359E-2</c:v>
                </c:pt>
                <c:pt idx="158">
                  <c:v>3.0750826035728096E-2</c:v>
                </c:pt>
                <c:pt idx="159">
                  <c:v>3.1223037701238354E-2</c:v>
                </c:pt>
                <c:pt idx="160">
                  <c:v>3.1592285277852739E-2</c:v>
                </c:pt>
                <c:pt idx="161">
                  <c:v>3.163518800829479E-2</c:v>
                </c:pt>
                <c:pt idx="162">
                  <c:v>3.1642547077353811E-2</c:v>
                </c:pt>
                <c:pt idx="163">
                  <c:v>3.1880484559223987E-2</c:v>
                </c:pt>
                <c:pt idx="164">
                  <c:v>3.1972239210517728E-2</c:v>
                </c:pt>
                <c:pt idx="165">
                  <c:v>3.2329539206330082E-2</c:v>
                </c:pt>
                <c:pt idx="166">
                  <c:v>3.2509988302081183E-2</c:v>
                </c:pt>
                <c:pt idx="167">
                  <c:v>3.2675477043085266E-2</c:v>
                </c:pt>
                <c:pt idx="168">
                  <c:v>3.2784404806989187E-2</c:v>
                </c:pt>
                <c:pt idx="169">
                  <c:v>3.2805444860969146E-2</c:v>
                </c:pt>
                <c:pt idx="170">
                  <c:v>3.2892082399484934E-2</c:v>
                </c:pt>
                <c:pt idx="171">
                  <c:v>3.3139179071440594E-2</c:v>
                </c:pt>
                <c:pt idx="172">
                  <c:v>3.3249770791371702E-2</c:v>
                </c:pt>
                <c:pt idx="173">
                  <c:v>3.3323473460768582E-2</c:v>
                </c:pt>
                <c:pt idx="174">
                  <c:v>3.3606953576054366E-2</c:v>
                </c:pt>
                <c:pt idx="175">
                  <c:v>3.3610671725909924E-2</c:v>
                </c:pt>
                <c:pt idx="176">
                  <c:v>3.4009920901553414E-2</c:v>
                </c:pt>
                <c:pt idx="177">
                  <c:v>3.4108711483895604E-2</c:v>
                </c:pt>
                <c:pt idx="178">
                  <c:v>3.4258118063007714E-2</c:v>
                </c:pt>
                <c:pt idx="179">
                  <c:v>3.4344111994869309E-2</c:v>
                </c:pt>
                <c:pt idx="180">
                  <c:v>3.4408283160701103E-2</c:v>
                </c:pt>
                <c:pt idx="181">
                  <c:v>3.4640259765183146E-2</c:v>
                </c:pt>
                <c:pt idx="182">
                  <c:v>3.5004178470444458E-2</c:v>
                </c:pt>
                <c:pt idx="183">
                  <c:v>3.5163861816727149E-2</c:v>
                </c:pt>
                <c:pt idx="184">
                  <c:v>3.5534159634153184E-2</c:v>
                </c:pt>
                <c:pt idx="185">
                  <c:v>3.558613494351448E-2</c:v>
                </c:pt>
                <c:pt idx="186">
                  <c:v>3.5677299631061032E-2</c:v>
                </c:pt>
                <c:pt idx="187">
                  <c:v>3.5918909881729633E-2</c:v>
                </c:pt>
                <c:pt idx="188">
                  <c:v>3.5942731614341028E-2</c:v>
                </c:pt>
                <c:pt idx="189">
                  <c:v>3.6020925729644659E-2</c:v>
                </c:pt>
                <c:pt idx="190">
                  <c:v>3.6125357314631401E-2</c:v>
                </c:pt>
                <c:pt idx="191">
                  <c:v>3.6158167179564771E-2</c:v>
                </c:pt>
                <c:pt idx="192">
                  <c:v>3.6258587591873948E-2</c:v>
                </c:pt>
                <c:pt idx="193">
                  <c:v>3.6730909584548499E-2</c:v>
                </c:pt>
                <c:pt idx="194">
                  <c:v>3.6910603454998636E-2</c:v>
                </c:pt>
                <c:pt idx="195">
                  <c:v>3.7187934247413068E-2</c:v>
                </c:pt>
                <c:pt idx="196">
                  <c:v>3.7280091913999058E-2</c:v>
                </c:pt>
                <c:pt idx="197">
                  <c:v>3.7373812849182286E-2</c:v>
                </c:pt>
                <c:pt idx="198">
                  <c:v>3.7502665782994882E-2</c:v>
                </c:pt>
                <c:pt idx="199">
                  <c:v>3.7620920445095685E-2</c:v>
                </c:pt>
                <c:pt idx="200">
                  <c:v>3.7680942757106095E-2</c:v>
                </c:pt>
                <c:pt idx="201">
                  <c:v>3.7764377279955852E-2</c:v>
                </c:pt>
                <c:pt idx="202">
                  <c:v>3.780877079043421E-2</c:v>
                </c:pt>
                <c:pt idx="203">
                  <c:v>3.8016453570890008E-2</c:v>
                </c:pt>
                <c:pt idx="204">
                  <c:v>3.8024541601771489E-2</c:v>
                </c:pt>
                <c:pt idx="205">
                  <c:v>3.8283699629573675E-2</c:v>
                </c:pt>
                <c:pt idx="206">
                  <c:v>3.8385681878025935E-2</c:v>
                </c:pt>
                <c:pt idx="207">
                  <c:v>3.8603100407271995E-2</c:v>
                </c:pt>
                <c:pt idx="208">
                  <c:v>3.8658929639495909E-2</c:v>
                </c:pt>
                <c:pt idx="209">
                  <c:v>3.8873670466273325E-2</c:v>
                </c:pt>
                <c:pt idx="210">
                  <c:v>3.89663364212538E-2</c:v>
                </c:pt>
                <c:pt idx="211">
                  <c:v>3.9271062594707473E-2</c:v>
                </c:pt>
                <c:pt idx="212">
                  <c:v>3.9364180834127183E-2</c:v>
                </c:pt>
                <c:pt idx="213">
                  <c:v>3.9444558523427986E-2</c:v>
                </c:pt>
                <c:pt idx="214">
                  <c:v>3.9602600913895003E-2</c:v>
                </c:pt>
                <c:pt idx="215">
                  <c:v>4.007644516241271E-2</c:v>
                </c:pt>
                <c:pt idx="216">
                  <c:v>4.0095543744428142E-2</c:v>
                </c:pt>
                <c:pt idx="217">
                  <c:v>4.012690128365648E-2</c:v>
                </c:pt>
                <c:pt idx="218">
                  <c:v>4.0740583493061422E-2</c:v>
                </c:pt>
                <c:pt idx="219">
                  <c:v>4.090400954191864E-2</c:v>
                </c:pt>
                <c:pt idx="220">
                  <c:v>4.0954681480798172E-2</c:v>
                </c:pt>
                <c:pt idx="221">
                  <c:v>4.0991275036503794E-2</c:v>
                </c:pt>
                <c:pt idx="222">
                  <c:v>4.1160588662023656E-2</c:v>
                </c:pt>
                <c:pt idx="223">
                  <c:v>4.1441235035563295E-2</c:v>
                </c:pt>
                <c:pt idx="224">
                  <c:v>4.1466127951025555E-2</c:v>
                </c:pt>
                <c:pt idx="225">
                  <c:v>4.1954885563427524E-2</c:v>
                </c:pt>
                <c:pt idx="226">
                  <c:v>4.2019783122668741E-2</c:v>
                </c:pt>
                <c:pt idx="227">
                  <c:v>4.2092809429959743E-2</c:v>
                </c:pt>
                <c:pt idx="228">
                  <c:v>4.2132648277402041E-2</c:v>
                </c:pt>
                <c:pt idx="229">
                  <c:v>4.244556755929807E-2</c:v>
                </c:pt>
                <c:pt idx="230">
                  <c:v>4.271480472652911E-2</c:v>
                </c:pt>
                <c:pt idx="231">
                  <c:v>4.2901205923044472E-2</c:v>
                </c:pt>
                <c:pt idx="232">
                  <c:v>4.2975340851626243E-2</c:v>
                </c:pt>
                <c:pt idx="233">
                  <c:v>4.3129704564307758E-2</c:v>
                </c:pt>
                <c:pt idx="234">
                  <c:v>4.3234568486695935E-2</c:v>
                </c:pt>
                <c:pt idx="235">
                  <c:v>4.3237151341600111E-2</c:v>
                </c:pt>
                <c:pt idx="236">
                  <c:v>4.3269016763588297E-2</c:v>
                </c:pt>
                <c:pt idx="237">
                  <c:v>4.3537187636502495E-2</c:v>
                </c:pt>
                <c:pt idx="238">
                  <c:v>4.3580645819929487E-2</c:v>
                </c:pt>
                <c:pt idx="239">
                  <c:v>4.3849793641129509E-2</c:v>
                </c:pt>
                <c:pt idx="240">
                  <c:v>4.4074069257476367E-2</c:v>
                </c:pt>
                <c:pt idx="241">
                  <c:v>4.4195592314281384E-2</c:v>
                </c:pt>
                <c:pt idx="242">
                  <c:v>4.5037204131403996E-2</c:v>
                </c:pt>
                <c:pt idx="243">
                  <c:v>4.5166341436924995E-2</c:v>
                </c:pt>
                <c:pt idx="244">
                  <c:v>4.516993190645735E-2</c:v>
                </c:pt>
                <c:pt idx="245">
                  <c:v>4.5326036460210162E-2</c:v>
                </c:pt>
                <c:pt idx="246">
                  <c:v>4.5353019200319977E-2</c:v>
                </c:pt>
                <c:pt idx="247">
                  <c:v>4.5416543864121195E-2</c:v>
                </c:pt>
                <c:pt idx="248">
                  <c:v>4.562464148602885E-2</c:v>
                </c:pt>
                <c:pt idx="249">
                  <c:v>4.5726720244601893E-2</c:v>
                </c:pt>
                <c:pt idx="250">
                  <c:v>4.5904351142780797E-2</c:v>
                </c:pt>
                <c:pt idx="251">
                  <c:v>4.5924943608952162E-2</c:v>
                </c:pt>
                <c:pt idx="252">
                  <c:v>4.5966519590365351E-2</c:v>
                </c:pt>
                <c:pt idx="253">
                  <c:v>4.6082309302619251E-2</c:v>
                </c:pt>
                <c:pt idx="254">
                  <c:v>4.6488171021337621E-2</c:v>
                </c:pt>
                <c:pt idx="255">
                  <c:v>4.6816042040518369E-2</c:v>
                </c:pt>
                <c:pt idx="256">
                  <c:v>4.7844874398833781E-2</c:v>
                </c:pt>
                <c:pt idx="257">
                  <c:v>4.8051139259769116E-2</c:v>
                </c:pt>
                <c:pt idx="258">
                  <c:v>4.8053507980512222E-2</c:v>
                </c:pt>
                <c:pt idx="259">
                  <c:v>4.8277671986397763E-2</c:v>
                </c:pt>
                <c:pt idx="260">
                  <c:v>4.8514960752996217E-2</c:v>
                </c:pt>
                <c:pt idx="261">
                  <c:v>4.922930824704963E-2</c:v>
                </c:pt>
                <c:pt idx="262">
                  <c:v>4.9268128830590285E-2</c:v>
                </c:pt>
                <c:pt idx="263">
                  <c:v>4.9731319862075907E-2</c:v>
                </c:pt>
                <c:pt idx="264">
                  <c:v>4.9735800737863656E-2</c:v>
                </c:pt>
                <c:pt idx="265">
                  <c:v>4.9837106368613604E-2</c:v>
                </c:pt>
                <c:pt idx="266">
                  <c:v>5.0397277857882727E-2</c:v>
                </c:pt>
                <c:pt idx="267">
                  <c:v>5.0404383871864411E-2</c:v>
                </c:pt>
                <c:pt idx="268">
                  <c:v>5.0458537256417912E-2</c:v>
                </c:pt>
                <c:pt idx="269">
                  <c:v>5.0646656039134541E-2</c:v>
                </c:pt>
                <c:pt idx="270">
                  <c:v>5.0669146397922304E-2</c:v>
                </c:pt>
                <c:pt idx="271">
                  <c:v>5.0710205647192197E-2</c:v>
                </c:pt>
                <c:pt idx="272">
                  <c:v>5.0884233115539246E-2</c:v>
                </c:pt>
                <c:pt idx="273">
                  <c:v>5.0884609678178094E-2</c:v>
                </c:pt>
                <c:pt idx="274">
                  <c:v>5.1004168002691586E-2</c:v>
                </c:pt>
                <c:pt idx="275">
                  <c:v>5.1149204636232071E-2</c:v>
                </c:pt>
                <c:pt idx="276">
                  <c:v>5.1390701039053965E-2</c:v>
                </c:pt>
                <c:pt idx="277">
                  <c:v>5.1402899502136279E-2</c:v>
                </c:pt>
                <c:pt idx="278">
                  <c:v>5.1521697784664866E-2</c:v>
                </c:pt>
                <c:pt idx="279">
                  <c:v>5.1666788413967879E-2</c:v>
                </c:pt>
                <c:pt idx="280">
                  <c:v>5.1681657810149773E-2</c:v>
                </c:pt>
                <c:pt idx="281">
                  <c:v>5.1710556610487401E-2</c:v>
                </c:pt>
                <c:pt idx="282">
                  <c:v>5.199769710907276E-2</c:v>
                </c:pt>
                <c:pt idx="283">
                  <c:v>5.2197186980265542E-2</c:v>
                </c:pt>
                <c:pt idx="284">
                  <c:v>5.2272394295869162E-2</c:v>
                </c:pt>
                <c:pt idx="285">
                  <c:v>5.2576935398974456E-2</c:v>
                </c:pt>
                <c:pt idx="286">
                  <c:v>5.2583304299332667E-2</c:v>
                </c:pt>
                <c:pt idx="287">
                  <c:v>5.2716279190462956E-2</c:v>
                </c:pt>
                <c:pt idx="288">
                  <c:v>5.2854468519399234E-2</c:v>
                </c:pt>
                <c:pt idx="289">
                  <c:v>5.3044980592858337E-2</c:v>
                </c:pt>
                <c:pt idx="290">
                  <c:v>5.3056179287523264E-2</c:v>
                </c:pt>
                <c:pt idx="291">
                  <c:v>5.3654122914849722E-2</c:v>
                </c:pt>
                <c:pt idx="292">
                  <c:v>5.411567472765455E-2</c:v>
                </c:pt>
                <c:pt idx="293">
                  <c:v>5.4746998079281184E-2</c:v>
                </c:pt>
                <c:pt idx="294">
                  <c:v>5.4870545510311786E-2</c:v>
                </c:pt>
                <c:pt idx="295">
                  <c:v>5.494189612363698E-2</c:v>
                </c:pt>
                <c:pt idx="296">
                  <c:v>5.5387538244758616E-2</c:v>
                </c:pt>
                <c:pt idx="297">
                  <c:v>5.6430992683090153E-2</c:v>
                </c:pt>
                <c:pt idx="298">
                  <c:v>5.6561825441349356E-2</c:v>
                </c:pt>
                <c:pt idx="299">
                  <c:v>5.670931150780234E-2</c:v>
                </c:pt>
                <c:pt idx="300">
                  <c:v>5.6827453608093492E-2</c:v>
                </c:pt>
                <c:pt idx="301">
                  <c:v>5.6867554379095964E-2</c:v>
                </c:pt>
                <c:pt idx="302">
                  <c:v>5.689473161692149E-2</c:v>
                </c:pt>
                <c:pt idx="303">
                  <c:v>5.6967788886140625E-2</c:v>
                </c:pt>
                <c:pt idx="304">
                  <c:v>5.7044724059778673E-2</c:v>
                </c:pt>
                <c:pt idx="305">
                  <c:v>5.7085595118252286E-2</c:v>
                </c:pt>
                <c:pt idx="306">
                  <c:v>5.7684426125888422E-2</c:v>
                </c:pt>
                <c:pt idx="307">
                  <c:v>5.7714425900485367E-2</c:v>
                </c:pt>
                <c:pt idx="308">
                  <c:v>5.7785322033851116E-2</c:v>
                </c:pt>
                <c:pt idx="309">
                  <c:v>5.7848285722684523E-2</c:v>
                </c:pt>
                <c:pt idx="310">
                  <c:v>5.8125961162659223E-2</c:v>
                </c:pt>
                <c:pt idx="311">
                  <c:v>5.8487079763835936E-2</c:v>
                </c:pt>
                <c:pt idx="312">
                  <c:v>5.9485772116204316E-2</c:v>
                </c:pt>
                <c:pt idx="313">
                  <c:v>5.9600607465654321E-2</c:v>
                </c:pt>
                <c:pt idx="314">
                  <c:v>5.9654196544215665E-2</c:v>
                </c:pt>
                <c:pt idx="315">
                  <c:v>6.0087867575930431E-2</c:v>
                </c:pt>
                <c:pt idx="316">
                  <c:v>6.0723982592207904E-2</c:v>
                </c:pt>
                <c:pt idx="317">
                  <c:v>6.0987992791524448E-2</c:v>
                </c:pt>
                <c:pt idx="318">
                  <c:v>6.1070821703651745E-2</c:v>
                </c:pt>
                <c:pt idx="319">
                  <c:v>6.1140503436035942E-2</c:v>
                </c:pt>
                <c:pt idx="320">
                  <c:v>6.1342632927335217E-2</c:v>
                </c:pt>
                <c:pt idx="321">
                  <c:v>6.1749624008371029E-2</c:v>
                </c:pt>
                <c:pt idx="322">
                  <c:v>6.1969017514456937E-2</c:v>
                </c:pt>
                <c:pt idx="323">
                  <c:v>6.2080679856080678E-2</c:v>
                </c:pt>
                <c:pt idx="324">
                  <c:v>6.2289356334986223E-2</c:v>
                </c:pt>
                <c:pt idx="325">
                  <c:v>6.2607267408566258E-2</c:v>
                </c:pt>
                <c:pt idx="326">
                  <c:v>6.2836185640662734E-2</c:v>
                </c:pt>
                <c:pt idx="327">
                  <c:v>6.3291824280895526E-2</c:v>
                </c:pt>
                <c:pt idx="328">
                  <c:v>6.3500746716272261E-2</c:v>
                </c:pt>
                <c:pt idx="329">
                  <c:v>6.3603061852518294E-2</c:v>
                </c:pt>
                <c:pt idx="330">
                  <c:v>6.3728644456205075E-2</c:v>
                </c:pt>
                <c:pt idx="331">
                  <c:v>6.396808157205669E-2</c:v>
                </c:pt>
                <c:pt idx="332">
                  <c:v>6.3987150898356049E-2</c:v>
                </c:pt>
                <c:pt idx="333">
                  <c:v>6.4160283236560645E-2</c:v>
                </c:pt>
                <c:pt idx="334">
                  <c:v>6.4422553131407767E-2</c:v>
                </c:pt>
                <c:pt idx="335">
                  <c:v>6.4937694040054339E-2</c:v>
                </c:pt>
                <c:pt idx="336">
                  <c:v>6.5023653860407649E-2</c:v>
                </c:pt>
                <c:pt idx="337">
                  <c:v>6.5149689282407053E-2</c:v>
                </c:pt>
                <c:pt idx="338">
                  <c:v>6.5155273830896476E-2</c:v>
                </c:pt>
                <c:pt idx="339">
                  <c:v>6.5195645731364493E-2</c:v>
                </c:pt>
                <c:pt idx="340">
                  <c:v>6.5318597288751334E-2</c:v>
                </c:pt>
                <c:pt idx="341">
                  <c:v>6.5451630292955087E-2</c:v>
                </c:pt>
                <c:pt idx="342">
                  <c:v>6.5464314699056558E-2</c:v>
                </c:pt>
                <c:pt idx="343">
                  <c:v>6.5478901533424505E-2</c:v>
                </c:pt>
                <c:pt idx="344">
                  <c:v>6.5761918674979825E-2</c:v>
                </c:pt>
                <c:pt idx="345">
                  <c:v>6.6077661246708885E-2</c:v>
                </c:pt>
                <c:pt idx="346">
                  <c:v>6.6243933792065945E-2</c:v>
                </c:pt>
                <c:pt idx="347">
                  <c:v>6.7007729176111752E-2</c:v>
                </c:pt>
                <c:pt idx="348">
                  <c:v>6.7190702669904567E-2</c:v>
                </c:pt>
                <c:pt idx="349">
                  <c:v>6.7494835368961503E-2</c:v>
                </c:pt>
                <c:pt idx="350">
                  <c:v>6.8060673273976136E-2</c:v>
                </c:pt>
                <c:pt idx="351">
                  <c:v>6.8081092255852127E-2</c:v>
                </c:pt>
                <c:pt idx="352">
                  <c:v>6.8282703904515074E-2</c:v>
                </c:pt>
                <c:pt idx="353">
                  <c:v>6.8436697518336587E-2</c:v>
                </c:pt>
                <c:pt idx="354">
                  <c:v>6.8695646634296281E-2</c:v>
                </c:pt>
                <c:pt idx="355">
                  <c:v>6.9004132396003115E-2</c:v>
                </c:pt>
                <c:pt idx="356">
                  <c:v>6.9254972100679879E-2</c:v>
                </c:pt>
                <c:pt idx="357">
                  <c:v>6.9298058158892673E-2</c:v>
                </c:pt>
                <c:pt idx="358">
                  <c:v>6.9438620675100537E-2</c:v>
                </c:pt>
                <c:pt idx="359">
                  <c:v>6.9460565537156072E-2</c:v>
                </c:pt>
                <c:pt idx="360">
                  <c:v>6.9473328689127811E-2</c:v>
                </c:pt>
                <c:pt idx="361">
                  <c:v>6.9496519181484473E-2</c:v>
                </c:pt>
                <c:pt idx="362">
                  <c:v>6.9593382570928952E-2</c:v>
                </c:pt>
                <c:pt idx="363">
                  <c:v>6.9603076091880212E-2</c:v>
                </c:pt>
                <c:pt idx="364">
                  <c:v>6.9977179587112914E-2</c:v>
                </c:pt>
                <c:pt idx="365">
                  <c:v>7.0113493669850868E-2</c:v>
                </c:pt>
                <c:pt idx="366">
                  <c:v>7.0410886922218197E-2</c:v>
                </c:pt>
                <c:pt idx="367">
                  <c:v>7.0484268597283517E-2</c:v>
                </c:pt>
                <c:pt idx="368">
                  <c:v>7.0526347198210715E-2</c:v>
                </c:pt>
                <c:pt idx="369">
                  <c:v>7.1114053837845859E-2</c:v>
                </c:pt>
                <c:pt idx="370">
                  <c:v>7.1126986320450669E-2</c:v>
                </c:pt>
                <c:pt idx="371">
                  <c:v>7.1251099873734347E-2</c:v>
                </c:pt>
                <c:pt idx="372">
                  <c:v>7.1286323827735032E-2</c:v>
                </c:pt>
                <c:pt idx="373">
                  <c:v>7.1302200972240826E-2</c:v>
                </c:pt>
                <c:pt idx="374">
                  <c:v>7.1307886987597158E-2</c:v>
                </c:pt>
                <c:pt idx="375">
                  <c:v>7.1460578315964085E-2</c:v>
                </c:pt>
                <c:pt idx="376">
                  <c:v>7.1645256775809685E-2</c:v>
                </c:pt>
                <c:pt idx="377">
                  <c:v>7.1719464500347385E-2</c:v>
                </c:pt>
                <c:pt idx="378">
                  <c:v>7.1843252487269638E-2</c:v>
                </c:pt>
                <c:pt idx="379">
                  <c:v>7.1863238098558213E-2</c:v>
                </c:pt>
                <c:pt idx="380">
                  <c:v>7.2216669587760407E-2</c:v>
                </c:pt>
                <c:pt idx="381">
                  <c:v>7.234243514812988E-2</c:v>
                </c:pt>
                <c:pt idx="382">
                  <c:v>7.2555676196316199E-2</c:v>
                </c:pt>
                <c:pt idx="383">
                  <c:v>7.2628610095307522E-2</c:v>
                </c:pt>
                <c:pt idx="384">
                  <c:v>7.282365926039347E-2</c:v>
                </c:pt>
                <c:pt idx="385">
                  <c:v>7.3068403997240239E-2</c:v>
                </c:pt>
                <c:pt idx="386">
                  <c:v>7.3077867131360108E-2</c:v>
                </c:pt>
                <c:pt idx="387">
                  <c:v>7.3397412927079131E-2</c:v>
                </c:pt>
                <c:pt idx="388">
                  <c:v>7.3543379871807701E-2</c:v>
                </c:pt>
                <c:pt idx="389">
                  <c:v>7.3759355557740491E-2</c:v>
                </c:pt>
                <c:pt idx="390">
                  <c:v>7.408445555212495E-2</c:v>
                </c:pt>
                <c:pt idx="391">
                  <c:v>7.4243768089218065E-2</c:v>
                </c:pt>
                <c:pt idx="392">
                  <c:v>7.4529584500851342E-2</c:v>
                </c:pt>
                <c:pt idx="393">
                  <c:v>7.4620263822907873E-2</c:v>
                </c:pt>
                <c:pt idx="394">
                  <c:v>7.4764918842461725E-2</c:v>
                </c:pt>
                <c:pt idx="395">
                  <c:v>7.4874970900964399E-2</c:v>
                </c:pt>
                <c:pt idx="396">
                  <c:v>7.4990121802329668E-2</c:v>
                </c:pt>
                <c:pt idx="397">
                  <c:v>7.5029431636721711E-2</c:v>
                </c:pt>
                <c:pt idx="398">
                  <c:v>7.5066593853080121E-2</c:v>
                </c:pt>
                <c:pt idx="399">
                  <c:v>7.5126096789972507E-2</c:v>
                </c:pt>
                <c:pt idx="400">
                  <c:v>7.5172796327933611E-2</c:v>
                </c:pt>
                <c:pt idx="401">
                  <c:v>7.5374384849055787E-2</c:v>
                </c:pt>
                <c:pt idx="402">
                  <c:v>7.5482349841877294E-2</c:v>
                </c:pt>
                <c:pt idx="403">
                  <c:v>7.554709449505026E-2</c:v>
                </c:pt>
                <c:pt idx="404">
                  <c:v>7.5756467867904576E-2</c:v>
                </c:pt>
                <c:pt idx="405">
                  <c:v>7.5767578288832738E-2</c:v>
                </c:pt>
                <c:pt idx="406">
                  <c:v>7.5958749881465337E-2</c:v>
                </c:pt>
                <c:pt idx="407">
                  <c:v>7.602823292472749E-2</c:v>
                </c:pt>
                <c:pt idx="408">
                  <c:v>7.6815793684545497E-2</c:v>
                </c:pt>
                <c:pt idx="409">
                  <c:v>7.7135715487230527E-2</c:v>
                </c:pt>
                <c:pt idx="410">
                  <c:v>7.7206225882036961E-2</c:v>
                </c:pt>
                <c:pt idx="411">
                  <c:v>7.7381381788654835E-2</c:v>
                </c:pt>
                <c:pt idx="412">
                  <c:v>7.7679991627519485E-2</c:v>
                </c:pt>
                <c:pt idx="413">
                  <c:v>7.7692688375009311E-2</c:v>
                </c:pt>
                <c:pt idx="414">
                  <c:v>7.7715131769764412E-2</c:v>
                </c:pt>
                <c:pt idx="415">
                  <c:v>7.7986583274650911E-2</c:v>
                </c:pt>
                <c:pt idx="416">
                  <c:v>7.8000211220569327E-2</c:v>
                </c:pt>
                <c:pt idx="417">
                  <c:v>7.8524863171878678E-2</c:v>
                </c:pt>
                <c:pt idx="418">
                  <c:v>7.8825306977705623E-2</c:v>
                </c:pt>
                <c:pt idx="419">
                  <c:v>7.9172852307237918E-2</c:v>
                </c:pt>
                <c:pt idx="420">
                  <c:v>7.9256354880271829E-2</c:v>
                </c:pt>
                <c:pt idx="421">
                  <c:v>7.9259683914642665E-2</c:v>
                </c:pt>
                <c:pt idx="422">
                  <c:v>7.9583449757592462E-2</c:v>
                </c:pt>
                <c:pt idx="423">
                  <c:v>7.964255593924463E-2</c:v>
                </c:pt>
                <c:pt idx="424">
                  <c:v>7.9964890943301725E-2</c:v>
                </c:pt>
                <c:pt idx="425">
                  <c:v>8.0118905643757898E-2</c:v>
                </c:pt>
                <c:pt idx="426">
                  <c:v>8.0209746374748647E-2</c:v>
                </c:pt>
                <c:pt idx="427">
                  <c:v>8.0687008887252887E-2</c:v>
                </c:pt>
                <c:pt idx="428">
                  <c:v>8.0890938718766847E-2</c:v>
                </c:pt>
                <c:pt idx="429">
                  <c:v>8.0940448146066046E-2</c:v>
                </c:pt>
                <c:pt idx="430">
                  <c:v>8.1155847298759909E-2</c:v>
                </c:pt>
                <c:pt idx="431">
                  <c:v>8.1195811147154018E-2</c:v>
                </c:pt>
                <c:pt idx="432">
                  <c:v>8.1223067210885347E-2</c:v>
                </c:pt>
                <c:pt idx="433">
                  <c:v>8.1243048147371155E-2</c:v>
                </c:pt>
                <c:pt idx="434">
                  <c:v>8.1553069333494932E-2</c:v>
                </c:pt>
                <c:pt idx="435">
                  <c:v>8.1603655629805871E-2</c:v>
                </c:pt>
                <c:pt idx="436">
                  <c:v>8.1636157829962031E-2</c:v>
                </c:pt>
                <c:pt idx="437">
                  <c:v>8.1877017530132434E-2</c:v>
                </c:pt>
                <c:pt idx="438">
                  <c:v>8.1909929873290821E-2</c:v>
                </c:pt>
                <c:pt idx="439">
                  <c:v>8.2086455489843502E-2</c:v>
                </c:pt>
                <c:pt idx="440">
                  <c:v>8.2383442492755421E-2</c:v>
                </c:pt>
                <c:pt idx="441">
                  <c:v>8.2442720879043918E-2</c:v>
                </c:pt>
                <c:pt idx="442">
                  <c:v>8.2699735088681336E-2</c:v>
                </c:pt>
                <c:pt idx="443">
                  <c:v>8.2921813080247375E-2</c:v>
                </c:pt>
                <c:pt idx="444">
                  <c:v>8.31779853469925E-2</c:v>
                </c:pt>
                <c:pt idx="445">
                  <c:v>8.3218422512800316E-2</c:v>
                </c:pt>
                <c:pt idx="446">
                  <c:v>8.3377678351553186E-2</c:v>
                </c:pt>
                <c:pt idx="447">
                  <c:v>8.3668176634091651E-2</c:v>
                </c:pt>
                <c:pt idx="448">
                  <c:v>8.415394837356871E-2</c:v>
                </c:pt>
                <c:pt idx="449">
                  <c:v>8.4182721843717445E-2</c:v>
                </c:pt>
                <c:pt idx="450">
                  <c:v>8.4220399056903261E-2</c:v>
                </c:pt>
                <c:pt idx="451">
                  <c:v>8.4828660046696314E-2</c:v>
                </c:pt>
                <c:pt idx="452">
                  <c:v>8.4854197603817738E-2</c:v>
                </c:pt>
                <c:pt idx="453">
                  <c:v>8.5450771759497002E-2</c:v>
                </c:pt>
                <c:pt idx="454">
                  <c:v>8.6006379435275448E-2</c:v>
                </c:pt>
                <c:pt idx="455">
                  <c:v>8.6072960229103046E-2</c:v>
                </c:pt>
                <c:pt idx="456">
                  <c:v>8.6315156861928699E-2</c:v>
                </c:pt>
                <c:pt idx="457">
                  <c:v>8.6368487237450609E-2</c:v>
                </c:pt>
                <c:pt idx="458">
                  <c:v>8.6522680490816128E-2</c:v>
                </c:pt>
                <c:pt idx="459">
                  <c:v>8.6917506548161327E-2</c:v>
                </c:pt>
                <c:pt idx="460">
                  <c:v>8.7028119375645474E-2</c:v>
                </c:pt>
                <c:pt idx="461">
                  <c:v>8.8109307321246888E-2</c:v>
                </c:pt>
                <c:pt idx="462">
                  <c:v>8.814932483528537E-2</c:v>
                </c:pt>
                <c:pt idx="463">
                  <c:v>8.8190235243928328E-2</c:v>
                </c:pt>
                <c:pt idx="464">
                  <c:v>8.8249843925950699E-2</c:v>
                </c:pt>
                <c:pt idx="465">
                  <c:v>8.8283478600715171E-2</c:v>
                </c:pt>
                <c:pt idx="466">
                  <c:v>8.8378358606860274E-2</c:v>
                </c:pt>
                <c:pt idx="467">
                  <c:v>8.8466190984036075E-2</c:v>
                </c:pt>
                <c:pt idx="468">
                  <c:v>8.8520785304353922E-2</c:v>
                </c:pt>
                <c:pt idx="469">
                  <c:v>8.8910971101540781E-2</c:v>
                </c:pt>
                <c:pt idx="470">
                  <c:v>9.0584246528123913E-2</c:v>
                </c:pt>
                <c:pt idx="471">
                  <c:v>9.0731486887307256E-2</c:v>
                </c:pt>
                <c:pt idx="472">
                  <c:v>9.114493515517097E-2</c:v>
                </c:pt>
                <c:pt idx="473">
                  <c:v>9.1658698225742796E-2</c:v>
                </c:pt>
                <c:pt idx="474">
                  <c:v>9.1719145301794924E-2</c:v>
                </c:pt>
                <c:pt idx="475">
                  <c:v>9.1961011658895586E-2</c:v>
                </c:pt>
                <c:pt idx="476">
                  <c:v>9.236103144576191E-2</c:v>
                </c:pt>
                <c:pt idx="477">
                  <c:v>9.2517982906429097E-2</c:v>
                </c:pt>
                <c:pt idx="478">
                  <c:v>9.2799048631604819E-2</c:v>
                </c:pt>
                <c:pt idx="479">
                  <c:v>9.2865702416020213E-2</c:v>
                </c:pt>
                <c:pt idx="480">
                  <c:v>9.2892697886782116E-2</c:v>
                </c:pt>
                <c:pt idx="481">
                  <c:v>9.2936827756602725E-2</c:v>
                </c:pt>
                <c:pt idx="482">
                  <c:v>9.3213904579897644E-2</c:v>
                </c:pt>
                <c:pt idx="483">
                  <c:v>9.3339301246487594E-2</c:v>
                </c:pt>
                <c:pt idx="484">
                  <c:v>9.3375598038619501E-2</c:v>
                </c:pt>
                <c:pt idx="485">
                  <c:v>9.3564709098245658E-2</c:v>
                </c:pt>
                <c:pt idx="486">
                  <c:v>9.376147175225924E-2</c:v>
                </c:pt>
                <c:pt idx="487">
                  <c:v>9.4057708378386451E-2</c:v>
                </c:pt>
                <c:pt idx="488">
                  <c:v>9.4130073915948742E-2</c:v>
                </c:pt>
                <c:pt idx="489">
                  <c:v>9.4284862330823671E-2</c:v>
                </c:pt>
                <c:pt idx="490">
                  <c:v>9.4421746178340982E-2</c:v>
                </c:pt>
                <c:pt idx="491">
                  <c:v>9.462644246104901E-2</c:v>
                </c:pt>
                <c:pt idx="492">
                  <c:v>9.4695286137721268E-2</c:v>
                </c:pt>
                <c:pt idx="493">
                  <c:v>9.4843892791686812E-2</c:v>
                </c:pt>
                <c:pt idx="494">
                  <c:v>9.491979609538248E-2</c:v>
                </c:pt>
                <c:pt idx="495">
                  <c:v>9.4956995861139148E-2</c:v>
                </c:pt>
                <c:pt idx="496">
                  <c:v>9.5081738004409999E-2</c:v>
                </c:pt>
                <c:pt idx="497">
                  <c:v>9.5094243502899189E-2</c:v>
                </c:pt>
                <c:pt idx="498">
                  <c:v>9.5121133317661588E-2</c:v>
                </c:pt>
                <c:pt idx="499">
                  <c:v>9.5468891156087921E-2</c:v>
                </c:pt>
                <c:pt idx="500">
                  <c:v>9.5684374043230491E-2</c:v>
                </c:pt>
                <c:pt idx="501">
                  <c:v>9.595933084256103E-2</c:v>
                </c:pt>
                <c:pt idx="502">
                  <c:v>9.6153916198090883E-2</c:v>
                </c:pt>
                <c:pt idx="503">
                  <c:v>9.6471941735217115E-2</c:v>
                </c:pt>
                <c:pt idx="504">
                  <c:v>9.6651620370721503E-2</c:v>
                </c:pt>
                <c:pt idx="505">
                  <c:v>9.6707295641863311E-2</c:v>
                </c:pt>
                <c:pt idx="506">
                  <c:v>9.6730420342282741E-2</c:v>
                </c:pt>
                <c:pt idx="507">
                  <c:v>9.7134054652997293E-2</c:v>
                </c:pt>
                <c:pt idx="508">
                  <c:v>9.7134246494533727E-2</c:v>
                </c:pt>
                <c:pt idx="509">
                  <c:v>9.7258184975544282E-2</c:v>
                </c:pt>
                <c:pt idx="510">
                  <c:v>9.7505495254154084E-2</c:v>
                </c:pt>
                <c:pt idx="511">
                  <c:v>9.8104149668870377E-2</c:v>
                </c:pt>
                <c:pt idx="512">
                  <c:v>9.833383252225758E-2</c:v>
                </c:pt>
                <c:pt idx="513">
                  <c:v>9.856775763182668E-2</c:v>
                </c:pt>
                <c:pt idx="514">
                  <c:v>9.9055461975694925E-2</c:v>
                </c:pt>
                <c:pt idx="515">
                  <c:v>9.9099888546334114E-2</c:v>
                </c:pt>
                <c:pt idx="516">
                  <c:v>0.10004381100679893</c:v>
                </c:pt>
                <c:pt idx="517">
                  <c:v>0.10064056030205393</c:v>
                </c:pt>
                <c:pt idx="518">
                  <c:v>0.10064853807216423</c:v>
                </c:pt>
                <c:pt idx="519">
                  <c:v>0.10105952343656099</c:v>
                </c:pt>
                <c:pt idx="520">
                  <c:v>0.10121631764013728</c:v>
                </c:pt>
                <c:pt idx="521">
                  <c:v>0.10150015382987476</c:v>
                </c:pt>
                <c:pt idx="522">
                  <c:v>0.10174448599627794</c:v>
                </c:pt>
                <c:pt idx="523">
                  <c:v>0.10224305557494517</c:v>
                </c:pt>
                <c:pt idx="524">
                  <c:v>0.10262762339061737</c:v>
                </c:pt>
                <c:pt idx="525">
                  <c:v>0.10283931564208615</c:v>
                </c:pt>
                <c:pt idx="526">
                  <c:v>0.10321414315603761</c:v>
                </c:pt>
                <c:pt idx="527">
                  <c:v>0.10336571640073089</c:v>
                </c:pt>
                <c:pt idx="528">
                  <c:v>0.10340208795332728</c:v>
                </c:pt>
                <c:pt idx="529">
                  <c:v>0.1036823430831646</c:v>
                </c:pt>
                <c:pt idx="530">
                  <c:v>0.10389040053905774</c:v>
                </c:pt>
                <c:pt idx="531">
                  <c:v>0.10393883229608036</c:v>
                </c:pt>
                <c:pt idx="532">
                  <c:v>0.10461947489602608</c:v>
                </c:pt>
                <c:pt idx="533">
                  <c:v>0.10466632984571334</c:v>
                </c:pt>
                <c:pt idx="534">
                  <c:v>0.10468751653615982</c:v>
                </c:pt>
                <c:pt idx="535">
                  <c:v>0.10471027263156429</c:v>
                </c:pt>
                <c:pt idx="536">
                  <c:v>0.10477154159525526</c:v>
                </c:pt>
                <c:pt idx="537">
                  <c:v>0.10482357859928015</c:v>
                </c:pt>
                <c:pt idx="538">
                  <c:v>0.10482730409330543</c:v>
                </c:pt>
                <c:pt idx="539">
                  <c:v>0.10487062724314455</c:v>
                </c:pt>
                <c:pt idx="540">
                  <c:v>0.10495508617259475</c:v>
                </c:pt>
                <c:pt idx="541">
                  <c:v>0.10513071221430437</c:v>
                </c:pt>
                <c:pt idx="542">
                  <c:v>0.1064640471167877</c:v>
                </c:pt>
                <c:pt idx="543">
                  <c:v>0.10658503595641378</c:v>
                </c:pt>
                <c:pt idx="544">
                  <c:v>0.10675781335612555</c:v>
                </c:pt>
                <c:pt idx="545">
                  <c:v>0.10686412035556714</c:v>
                </c:pt>
                <c:pt idx="546">
                  <c:v>0.10707068262399844</c:v>
                </c:pt>
                <c:pt idx="547">
                  <c:v>0.10710544454832416</c:v>
                </c:pt>
                <c:pt idx="548">
                  <c:v>0.10711445749620907</c:v>
                </c:pt>
                <c:pt idx="549">
                  <c:v>0.10717851177923876</c:v>
                </c:pt>
                <c:pt idx="550">
                  <c:v>0.10742008852957952</c:v>
                </c:pt>
                <c:pt idx="551">
                  <c:v>0.1074262451766117</c:v>
                </c:pt>
                <c:pt idx="552">
                  <c:v>0.10753355295400979</c:v>
                </c:pt>
                <c:pt idx="553">
                  <c:v>0.10806914195563877</c:v>
                </c:pt>
                <c:pt idx="554">
                  <c:v>0.10811799544080714</c:v>
                </c:pt>
                <c:pt idx="555">
                  <c:v>0.10840910531896952</c:v>
                </c:pt>
                <c:pt idx="556">
                  <c:v>0.10864433146070951</c:v>
                </c:pt>
                <c:pt idx="557">
                  <c:v>0.10873379453187226</c:v>
                </c:pt>
                <c:pt idx="558">
                  <c:v>0.10876177288719191</c:v>
                </c:pt>
                <c:pt idx="559">
                  <c:v>0.10905943060697609</c:v>
                </c:pt>
                <c:pt idx="560">
                  <c:v>0.10938823397282249</c:v>
                </c:pt>
                <c:pt idx="561">
                  <c:v>0.10943610276626714</c:v>
                </c:pt>
                <c:pt idx="562">
                  <c:v>0.10944158552047156</c:v>
                </c:pt>
                <c:pt idx="563">
                  <c:v>0.10958872394806463</c:v>
                </c:pt>
                <c:pt idx="564">
                  <c:v>0.11001420866159606</c:v>
                </c:pt>
                <c:pt idx="565">
                  <c:v>0.11031256420301361</c:v>
                </c:pt>
                <c:pt idx="566">
                  <c:v>0.11050647862521146</c:v>
                </c:pt>
                <c:pt idx="567">
                  <c:v>0.11050651072036999</c:v>
                </c:pt>
                <c:pt idx="568">
                  <c:v>0.11063598755390558</c:v>
                </c:pt>
                <c:pt idx="569">
                  <c:v>0.11114503208318638</c:v>
                </c:pt>
                <c:pt idx="570">
                  <c:v>0.11118313466704421</c:v>
                </c:pt>
                <c:pt idx="571">
                  <c:v>0.11125560574419069</c:v>
                </c:pt>
                <c:pt idx="572">
                  <c:v>0.11131147733703983</c:v>
                </c:pt>
                <c:pt idx="573">
                  <c:v>0.11145340380153357</c:v>
                </c:pt>
                <c:pt idx="574">
                  <c:v>0.1118241138101439</c:v>
                </c:pt>
                <c:pt idx="575">
                  <c:v>0.11189707178527897</c:v>
                </c:pt>
                <c:pt idx="576">
                  <c:v>0.1120888517361891</c:v>
                </c:pt>
                <c:pt idx="577">
                  <c:v>0.11260873546325456</c:v>
                </c:pt>
                <c:pt idx="578">
                  <c:v>0.1126593927920112</c:v>
                </c:pt>
                <c:pt idx="579">
                  <c:v>0.11307205253615393</c:v>
                </c:pt>
                <c:pt idx="580">
                  <c:v>0.11358883275443077</c:v>
                </c:pt>
                <c:pt idx="581">
                  <c:v>0.11360378841345664</c:v>
                </c:pt>
                <c:pt idx="582">
                  <c:v>0.11374317999980121</c:v>
                </c:pt>
                <c:pt idx="583">
                  <c:v>0.11391130320771481</c:v>
                </c:pt>
                <c:pt idx="584">
                  <c:v>0.11413271236142464</c:v>
                </c:pt>
                <c:pt idx="585">
                  <c:v>0.11462781320369686</c:v>
                </c:pt>
                <c:pt idx="586">
                  <c:v>0.11481786678905337</c:v>
                </c:pt>
                <c:pt idx="587">
                  <c:v>0.11519578575462219</c:v>
                </c:pt>
                <c:pt idx="588">
                  <c:v>0.11527704278068995</c:v>
                </c:pt>
                <c:pt idx="589">
                  <c:v>0.11565175823488971</c:v>
                </c:pt>
                <c:pt idx="590">
                  <c:v>0.11567744199965091</c:v>
                </c:pt>
                <c:pt idx="591">
                  <c:v>0.11568401719341637</c:v>
                </c:pt>
                <c:pt idx="592">
                  <c:v>0.11589123932117218</c:v>
                </c:pt>
                <c:pt idx="593">
                  <c:v>0.11602362116900622</c:v>
                </c:pt>
                <c:pt idx="594">
                  <c:v>0.11605109635274857</c:v>
                </c:pt>
                <c:pt idx="595">
                  <c:v>0.11609393128037482</c:v>
                </c:pt>
                <c:pt idx="596">
                  <c:v>0.11655014779626072</c:v>
                </c:pt>
                <c:pt idx="597">
                  <c:v>0.11690804831778223</c:v>
                </c:pt>
                <c:pt idx="598">
                  <c:v>0.11691144017913757</c:v>
                </c:pt>
                <c:pt idx="599">
                  <c:v>0.11753323081666167</c:v>
                </c:pt>
                <c:pt idx="600">
                  <c:v>0.11753880522519466</c:v>
                </c:pt>
                <c:pt idx="601">
                  <c:v>0.11786562043016602</c:v>
                </c:pt>
                <c:pt idx="602">
                  <c:v>0.11811961291641637</c:v>
                </c:pt>
                <c:pt idx="603">
                  <c:v>0.11816869073481939</c:v>
                </c:pt>
                <c:pt idx="604">
                  <c:v>0.11859984632064879</c:v>
                </c:pt>
                <c:pt idx="605">
                  <c:v>0.11864122613405925</c:v>
                </c:pt>
                <c:pt idx="606">
                  <c:v>0.11904094002966303</c:v>
                </c:pt>
                <c:pt idx="607">
                  <c:v>0.11935942864056415</c:v>
                </c:pt>
                <c:pt idx="608">
                  <c:v>0.11940883424722415</c:v>
                </c:pt>
                <c:pt idx="609">
                  <c:v>0.11950806761251442</c:v>
                </c:pt>
                <c:pt idx="610">
                  <c:v>0.11986657980742166</c:v>
                </c:pt>
                <c:pt idx="611">
                  <c:v>0.11990558786237671</c:v>
                </c:pt>
                <c:pt idx="612">
                  <c:v>0.12006457102143031</c:v>
                </c:pt>
                <c:pt idx="613">
                  <c:v>0.12010865338197618</c:v>
                </c:pt>
                <c:pt idx="614">
                  <c:v>0.12011874241215992</c:v>
                </c:pt>
                <c:pt idx="615">
                  <c:v>0.120178755919369</c:v>
                </c:pt>
                <c:pt idx="616">
                  <c:v>0.12019148286708514</c:v>
                </c:pt>
                <c:pt idx="617">
                  <c:v>0.12106817001222225</c:v>
                </c:pt>
                <c:pt idx="618">
                  <c:v>0.12119538111801376</c:v>
                </c:pt>
                <c:pt idx="619">
                  <c:v>0.12144389099648834</c:v>
                </c:pt>
                <c:pt idx="620">
                  <c:v>0.12160115864844556</c:v>
                </c:pt>
                <c:pt idx="621">
                  <c:v>0.12175146193476394</c:v>
                </c:pt>
                <c:pt idx="622">
                  <c:v>0.12183292185363825</c:v>
                </c:pt>
                <c:pt idx="623">
                  <c:v>0.12212284678480501</c:v>
                </c:pt>
                <c:pt idx="624">
                  <c:v>0.1226151280097838</c:v>
                </c:pt>
                <c:pt idx="625">
                  <c:v>0.12282660840173776</c:v>
                </c:pt>
                <c:pt idx="626">
                  <c:v>0.12289773289830919</c:v>
                </c:pt>
                <c:pt idx="627">
                  <c:v>0.12323125814418745</c:v>
                </c:pt>
                <c:pt idx="628">
                  <c:v>0.12363719273707829</c:v>
                </c:pt>
                <c:pt idx="629">
                  <c:v>0.12367015215204447</c:v>
                </c:pt>
                <c:pt idx="630">
                  <c:v>0.1237799284308494</c:v>
                </c:pt>
                <c:pt idx="631">
                  <c:v>0.12378238352630433</c:v>
                </c:pt>
                <c:pt idx="632">
                  <c:v>0.12423613443570503</c:v>
                </c:pt>
                <c:pt idx="633">
                  <c:v>0.12446957633801503</c:v>
                </c:pt>
                <c:pt idx="634">
                  <c:v>0.12465454046105151</c:v>
                </c:pt>
                <c:pt idx="635">
                  <c:v>0.12468164551137306</c:v>
                </c:pt>
                <c:pt idx="636">
                  <c:v>0.1248961906239856</c:v>
                </c:pt>
                <c:pt idx="637">
                  <c:v>0.1250796528711362</c:v>
                </c:pt>
                <c:pt idx="638">
                  <c:v>0.1252213877351096</c:v>
                </c:pt>
                <c:pt idx="639">
                  <c:v>0.12534319658152526</c:v>
                </c:pt>
                <c:pt idx="640">
                  <c:v>0.12537314980727388</c:v>
                </c:pt>
                <c:pt idx="641">
                  <c:v>0.12546680788636877</c:v>
                </c:pt>
                <c:pt idx="642">
                  <c:v>0.12587795401213953</c:v>
                </c:pt>
                <c:pt idx="643">
                  <c:v>0.12608166851441638</c:v>
                </c:pt>
                <c:pt idx="644">
                  <c:v>0.12615413270214049</c:v>
                </c:pt>
                <c:pt idx="645">
                  <c:v>0.12631988142857153</c:v>
                </c:pt>
                <c:pt idx="646">
                  <c:v>0.1263409842567853</c:v>
                </c:pt>
                <c:pt idx="647">
                  <c:v>0.12683290365202993</c:v>
                </c:pt>
                <c:pt idx="648">
                  <c:v>0.12691266275851376</c:v>
                </c:pt>
                <c:pt idx="649">
                  <c:v>0.12700023487832368</c:v>
                </c:pt>
                <c:pt idx="650">
                  <c:v>0.12727077561341105</c:v>
                </c:pt>
                <c:pt idx="651">
                  <c:v>0.12729804879927542</c:v>
                </c:pt>
                <c:pt idx="652">
                  <c:v>0.12730560592899565</c:v>
                </c:pt>
                <c:pt idx="653">
                  <c:v>0.12735205355329526</c:v>
                </c:pt>
                <c:pt idx="654">
                  <c:v>0.12745402818654838</c:v>
                </c:pt>
                <c:pt idx="655">
                  <c:v>0.12752622937841807</c:v>
                </c:pt>
                <c:pt idx="656">
                  <c:v>0.1277626048276943</c:v>
                </c:pt>
                <c:pt idx="657">
                  <c:v>0.12788923027983401</c:v>
                </c:pt>
                <c:pt idx="658">
                  <c:v>0.127894070068578</c:v>
                </c:pt>
                <c:pt idx="659">
                  <c:v>0.12827140074932686</c:v>
                </c:pt>
                <c:pt idx="660">
                  <c:v>0.12831625555736537</c:v>
                </c:pt>
                <c:pt idx="661">
                  <c:v>0.12841126215516852</c:v>
                </c:pt>
                <c:pt idx="662">
                  <c:v>0.12868525092926575</c:v>
                </c:pt>
                <c:pt idx="663">
                  <c:v>0.12925635007468372</c:v>
                </c:pt>
                <c:pt idx="664">
                  <c:v>0.12931817910885002</c:v>
                </c:pt>
                <c:pt idx="665">
                  <c:v>0.1294186827062731</c:v>
                </c:pt>
                <c:pt idx="666">
                  <c:v>0.12951872106987139</c:v>
                </c:pt>
                <c:pt idx="667">
                  <c:v>0.1297527292263112</c:v>
                </c:pt>
                <c:pt idx="668">
                  <c:v>0.12975375193673244</c:v>
                </c:pt>
                <c:pt idx="669">
                  <c:v>0.12983918878853729</c:v>
                </c:pt>
                <c:pt idx="670">
                  <c:v>0.12984913111178287</c:v>
                </c:pt>
                <c:pt idx="671">
                  <c:v>0.12996465617652575</c:v>
                </c:pt>
                <c:pt idx="672">
                  <c:v>0.12996689951069129</c:v>
                </c:pt>
                <c:pt idx="673">
                  <c:v>0.1302691608434543</c:v>
                </c:pt>
                <c:pt idx="674">
                  <c:v>0.13053675600713177</c:v>
                </c:pt>
                <c:pt idx="675">
                  <c:v>0.13077652633455727</c:v>
                </c:pt>
                <c:pt idx="676">
                  <c:v>0.13104834661498899</c:v>
                </c:pt>
                <c:pt idx="677">
                  <c:v>0.1312319751295945</c:v>
                </c:pt>
                <c:pt idx="678">
                  <c:v>0.1312768538182354</c:v>
                </c:pt>
                <c:pt idx="679">
                  <c:v>0.13150729879816936</c:v>
                </c:pt>
                <c:pt idx="680">
                  <c:v>0.13169879566703457</c:v>
                </c:pt>
                <c:pt idx="681">
                  <c:v>0.13203333519959415</c:v>
                </c:pt>
                <c:pt idx="682">
                  <c:v>0.1320866627174837</c:v>
                </c:pt>
                <c:pt idx="683">
                  <c:v>0.132144672569666</c:v>
                </c:pt>
                <c:pt idx="684">
                  <c:v>0.13214705374957703</c:v>
                </c:pt>
                <c:pt idx="685">
                  <c:v>0.13276699722337071</c:v>
                </c:pt>
                <c:pt idx="686">
                  <c:v>0.13295314179413253</c:v>
                </c:pt>
                <c:pt idx="687">
                  <c:v>0.13317778573946271</c:v>
                </c:pt>
                <c:pt idx="688">
                  <c:v>0.1334181868342057</c:v>
                </c:pt>
                <c:pt idx="689">
                  <c:v>0.13359485055298137</c:v>
                </c:pt>
                <c:pt idx="690">
                  <c:v>0.13364917586659431</c:v>
                </c:pt>
                <c:pt idx="691">
                  <c:v>0.13395533263883408</c:v>
                </c:pt>
                <c:pt idx="692">
                  <c:v>0.13398247509030625</c:v>
                </c:pt>
                <c:pt idx="693">
                  <c:v>0.13428374129762233</c:v>
                </c:pt>
                <c:pt idx="694">
                  <c:v>0.13458828467173589</c:v>
                </c:pt>
                <c:pt idx="695">
                  <c:v>0.13507905348978966</c:v>
                </c:pt>
                <c:pt idx="696">
                  <c:v>0.13518024883160251</c:v>
                </c:pt>
                <c:pt idx="697">
                  <c:v>0.13522432297759224</c:v>
                </c:pt>
                <c:pt idx="698">
                  <c:v>0.13545442274607922</c:v>
                </c:pt>
                <c:pt idx="699">
                  <c:v>0.13578865060389944</c:v>
                </c:pt>
                <c:pt idx="700">
                  <c:v>0.13617148128378176</c:v>
                </c:pt>
                <c:pt idx="701">
                  <c:v>0.1368464583720197</c:v>
                </c:pt>
                <c:pt idx="702">
                  <c:v>0.13686211532876769</c:v>
                </c:pt>
                <c:pt idx="703">
                  <c:v>0.13698138092422596</c:v>
                </c:pt>
                <c:pt idx="704">
                  <c:v>0.13712018187379726</c:v>
                </c:pt>
                <c:pt idx="705">
                  <c:v>0.13799605526219239</c:v>
                </c:pt>
                <c:pt idx="706">
                  <c:v>0.13837472482418889</c:v>
                </c:pt>
                <c:pt idx="707">
                  <c:v>0.1388427346937533</c:v>
                </c:pt>
                <c:pt idx="708">
                  <c:v>0.13907071235735202</c:v>
                </c:pt>
                <c:pt idx="709">
                  <c:v>0.13926799412092805</c:v>
                </c:pt>
                <c:pt idx="710">
                  <c:v>0.13955073006673047</c:v>
                </c:pt>
                <c:pt idx="711">
                  <c:v>0.14000014992052456</c:v>
                </c:pt>
                <c:pt idx="712">
                  <c:v>0.14023900884239993</c:v>
                </c:pt>
                <c:pt idx="713">
                  <c:v>0.14120201952573552</c:v>
                </c:pt>
                <c:pt idx="714">
                  <c:v>0.14178311004070565</c:v>
                </c:pt>
                <c:pt idx="715">
                  <c:v>0.14203342144537601</c:v>
                </c:pt>
                <c:pt idx="716">
                  <c:v>0.14212412655342632</c:v>
                </c:pt>
                <c:pt idx="717">
                  <c:v>0.14216232939998008</c:v>
                </c:pt>
                <c:pt idx="718">
                  <c:v>0.14219354980014032</c:v>
                </c:pt>
                <c:pt idx="719">
                  <c:v>0.14238890886190347</c:v>
                </c:pt>
                <c:pt idx="720">
                  <c:v>0.1424153160842252</c:v>
                </c:pt>
                <c:pt idx="721">
                  <c:v>0.1424315920448862</c:v>
                </c:pt>
                <c:pt idx="722">
                  <c:v>0.14268097574313288</c:v>
                </c:pt>
                <c:pt idx="723">
                  <c:v>0.14271847825057193</c:v>
                </c:pt>
                <c:pt idx="724">
                  <c:v>0.1427625510677899</c:v>
                </c:pt>
                <c:pt idx="725">
                  <c:v>0.14332839907729067</c:v>
                </c:pt>
                <c:pt idx="726">
                  <c:v>0.14375610204842815</c:v>
                </c:pt>
                <c:pt idx="727">
                  <c:v>0.1438128062427495</c:v>
                </c:pt>
                <c:pt idx="728">
                  <c:v>0.14430248514690902</c:v>
                </c:pt>
                <c:pt idx="729">
                  <c:v>0.14435964095264353</c:v>
                </c:pt>
                <c:pt idx="730">
                  <c:v>0.14456307357158948</c:v>
                </c:pt>
                <c:pt idx="731">
                  <c:v>0.14469262562488439</c:v>
                </c:pt>
                <c:pt idx="732">
                  <c:v>0.14473277446631982</c:v>
                </c:pt>
                <c:pt idx="733">
                  <c:v>0.14473415026259318</c:v>
                </c:pt>
                <c:pt idx="734">
                  <c:v>0.14497197540367779</c:v>
                </c:pt>
                <c:pt idx="735">
                  <c:v>0.14509438483673875</c:v>
                </c:pt>
                <c:pt idx="736">
                  <c:v>0.14592372283550503</c:v>
                </c:pt>
                <c:pt idx="737">
                  <c:v>0.146081953202156</c:v>
                </c:pt>
                <c:pt idx="738">
                  <c:v>0.14620213475882338</c:v>
                </c:pt>
                <c:pt idx="739">
                  <c:v>0.14704865237673914</c:v>
                </c:pt>
                <c:pt idx="740">
                  <c:v>0.14705636881080864</c:v>
                </c:pt>
                <c:pt idx="741">
                  <c:v>0.14707632550289418</c:v>
                </c:pt>
                <c:pt idx="742">
                  <c:v>0.14745809518990427</c:v>
                </c:pt>
                <c:pt idx="743">
                  <c:v>0.14746935246057546</c:v>
                </c:pt>
                <c:pt idx="744">
                  <c:v>0.14755689922094462</c:v>
                </c:pt>
                <c:pt idx="745">
                  <c:v>0.1475629162905534</c:v>
                </c:pt>
                <c:pt idx="746">
                  <c:v>0.14763493099508196</c:v>
                </c:pt>
                <c:pt idx="747">
                  <c:v>0.14809227111891232</c:v>
                </c:pt>
                <c:pt idx="748">
                  <c:v>0.14815627910502371</c:v>
                </c:pt>
                <c:pt idx="749">
                  <c:v>0.14819115633144975</c:v>
                </c:pt>
                <c:pt idx="750">
                  <c:v>0.14823759690989391</c:v>
                </c:pt>
                <c:pt idx="751">
                  <c:v>0.14858207528322964</c:v>
                </c:pt>
                <c:pt idx="752">
                  <c:v>0.14869614704002743</c:v>
                </c:pt>
                <c:pt idx="753">
                  <c:v>0.14869931164048467</c:v>
                </c:pt>
                <c:pt idx="754">
                  <c:v>0.1488469106161574</c:v>
                </c:pt>
                <c:pt idx="755">
                  <c:v>0.14899429803972453</c:v>
                </c:pt>
                <c:pt idx="756">
                  <c:v>0.14920891495876276</c:v>
                </c:pt>
                <c:pt idx="757">
                  <c:v>0.14920981166596903</c:v>
                </c:pt>
                <c:pt idx="758">
                  <c:v>0.14921458579919999</c:v>
                </c:pt>
                <c:pt idx="759">
                  <c:v>0.14929554394529987</c:v>
                </c:pt>
                <c:pt idx="760">
                  <c:v>0.14933202145221003</c:v>
                </c:pt>
                <c:pt idx="761">
                  <c:v>0.14962749428468669</c:v>
                </c:pt>
                <c:pt idx="762">
                  <c:v>0.14965665084127977</c:v>
                </c:pt>
                <c:pt idx="763">
                  <c:v>0.14971353786677355</c:v>
                </c:pt>
                <c:pt idx="764">
                  <c:v>0.14982650463025493</c:v>
                </c:pt>
                <c:pt idx="765">
                  <c:v>0.15000319924729411</c:v>
                </c:pt>
                <c:pt idx="766">
                  <c:v>0.15013595593063656</c:v>
                </c:pt>
                <c:pt idx="767">
                  <c:v>0.15023359908082057</c:v>
                </c:pt>
                <c:pt idx="768">
                  <c:v>0.15035944781629951</c:v>
                </c:pt>
                <c:pt idx="769">
                  <c:v>0.1505982907174257</c:v>
                </c:pt>
                <c:pt idx="770">
                  <c:v>0.15099657412974921</c:v>
                </c:pt>
                <c:pt idx="771">
                  <c:v>0.15124463090705831</c:v>
                </c:pt>
                <c:pt idx="772">
                  <c:v>0.15165910981613706</c:v>
                </c:pt>
                <c:pt idx="773">
                  <c:v>0.15169681345741992</c:v>
                </c:pt>
                <c:pt idx="774">
                  <c:v>0.15196657259366475</c:v>
                </c:pt>
                <c:pt idx="775">
                  <c:v>0.15219692138998653</c:v>
                </c:pt>
                <c:pt idx="776">
                  <c:v>0.152308518031532</c:v>
                </c:pt>
                <c:pt idx="777">
                  <c:v>0.15295072587014147</c:v>
                </c:pt>
                <c:pt idx="778">
                  <c:v>0.15300425146415364</c:v>
                </c:pt>
                <c:pt idx="779">
                  <c:v>0.15314151737857173</c:v>
                </c:pt>
                <c:pt idx="780">
                  <c:v>0.15323217031709646</c:v>
                </c:pt>
                <c:pt idx="781">
                  <c:v>0.15347216411009867</c:v>
                </c:pt>
                <c:pt idx="782">
                  <c:v>0.15352586567314574</c:v>
                </c:pt>
                <c:pt idx="783">
                  <c:v>0.15457516442438646</c:v>
                </c:pt>
                <c:pt idx="784">
                  <c:v>0.15461446217796038</c:v>
                </c:pt>
                <c:pt idx="785">
                  <c:v>0.15461969749594573</c:v>
                </c:pt>
                <c:pt idx="786">
                  <c:v>0.15498798602857278</c:v>
                </c:pt>
                <c:pt idx="787">
                  <c:v>0.15519576151291403</c:v>
                </c:pt>
                <c:pt idx="788">
                  <c:v>0.15539536125834275</c:v>
                </c:pt>
                <c:pt idx="789">
                  <c:v>0.15541080069669988</c:v>
                </c:pt>
                <c:pt idx="790">
                  <c:v>0.15550943501875736</c:v>
                </c:pt>
                <c:pt idx="791">
                  <c:v>0.15552332764491439</c:v>
                </c:pt>
                <c:pt idx="792">
                  <c:v>0.15554906843101435</c:v>
                </c:pt>
                <c:pt idx="793">
                  <c:v>0.15589928062672698</c:v>
                </c:pt>
                <c:pt idx="794">
                  <c:v>0.1560563597113287</c:v>
                </c:pt>
                <c:pt idx="795">
                  <c:v>0.15657656423445587</c:v>
                </c:pt>
                <c:pt idx="796">
                  <c:v>0.15699215351833118</c:v>
                </c:pt>
                <c:pt idx="797">
                  <c:v>0.15701085697583039</c:v>
                </c:pt>
                <c:pt idx="798">
                  <c:v>0.15711010571430961</c:v>
                </c:pt>
                <c:pt idx="799">
                  <c:v>0.15739414948984631</c:v>
                </c:pt>
                <c:pt idx="800">
                  <c:v>0.15762779609212885</c:v>
                </c:pt>
                <c:pt idx="801">
                  <c:v>0.15807261162444775</c:v>
                </c:pt>
                <c:pt idx="802">
                  <c:v>0.15815276976991299</c:v>
                </c:pt>
                <c:pt idx="803">
                  <c:v>0.15845550103313144</c:v>
                </c:pt>
                <c:pt idx="804">
                  <c:v>0.1584970465492006</c:v>
                </c:pt>
                <c:pt idx="805">
                  <c:v>0.15866081468448101</c:v>
                </c:pt>
                <c:pt idx="806">
                  <c:v>0.15911192362545989</c:v>
                </c:pt>
                <c:pt idx="807">
                  <c:v>0.15915330403731787</c:v>
                </c:pt>
                <c:pt idx="808">
                  <c:v>0.15918310208326147</c:v>
                </c:pt>
                <c:pt idx="809">
                  <c:v>0.15922894221330353</c:v>
                </c:pt>
                <c:pt idx="810">
                  <c:v>0.15938245974029996</c:v>
                </c:pt>
                <c:pt idx="811">
                  <c:v>0.15953099456601194</c:v>
                </c:pt>
                <c:pt idx="812">
                  <c:v>0.15963331909279077</c:v>
                </c:pt>
                <c:pt idx="813">
                  <c:v>0.15988705951349402</c:v>
                </c:pt>
                <c:pt idx="814">
                  <c:v>0.15997618425353721</c:v>
                </c:pt>
                <c:pt idx="815">
                  <c:v>0.16018632176655956</c:v>
                </c:pt>
                <c:pt idx="816">
                  <c:v>0.16051093991609378</c:v>
                </c:pt>
                <c:pt idx="817">
                  <c:v>0.16078788735285343</c:v>
                </c:pt>
                <c:pt idx="818">
                  <c:v>0.16095253504136053</c:v>
                </c:pt>
                <c:pt idx="819">
                  <c:v>0.1609636884450083</c:v>
                </c:pt>
                <c:pt idx="820">
                  <c:v>0.16096586031017068</c:v>
                </c:pt>
                <c:pt idx="821">
                  <c:v>0.16131719921759213</c:v>
                </c:pt>
                <c:pt idx="822">
                  <c:v>0.1613821718010513</c:v>
                </c:pt>
                <c:pt idx="823">
                  <c:v>0.16140968698346114</c:v>
                </c:pt>
                <c:pt idx="824">
                  <c:v>0.16145033686098031</c:v>
                </c:pt>
                <c:pt idx="825">
                  <c:v>0.16146040370767878</c:v>
                </c:pt>
                <c:pt idx="826">
                  <c:v>0.16154360892323893</c:v>
                </c:pt>
                <c:pt idx="827">
                  <c:v>0.161593033401914</c:v>
                </c:pt>
                <c:pt idx="828">
                  <c:v>0.1616207146562374</c:v>
                </c:pt>
                <c:pt idx="829">
                  <c:v>0.16179209875190281</c:v>
                </c:pt>
                <c:pt idx="830">
                  <c:v>0.1618003438343294</c:v>
                </c:pt>
                <c:pt idx="831">
                  <c:v>0.16190815899699373</c:v>
                </c:pt>
                <c:pt idx="832">
                  <c:v>0.16211244336227537</c:v>
                </c:pt>
                <c:pt idx="833">
                  <c:v>0.16249094627710292</c:v>
                </c:pt>
                <c:pt idx="834">
                  <c:v>0.16265949363059917</c:v>
                </c:pt>
                <c:pt idx="835">
                  <c:v>0.16267210680689459</c:v>
                </c:pt>
                <c:pt idx="836">
                  <c:v>0.16285232779591752</c:v>
                </c:pt>
                <c:pt idx="837">
                  <c:v>0.16343500558195956</c:v>
                </c:pt>
                <c:pt idx="838">
                  <c:v>0.16388068598462269</c:v>
                </c:pt>
                <c:pt idx="839">
                  <c:v>0.16398783462136635</c:v>
                </c:pt>
                <c:pt idx="840">
                  <c:v>0.16402681421004672</c:v>
                </c:pt>
                <c:pt idx="841">
                  <c:v>0.16410555727088649</c:v>
                </c:pt>
                <c:pt idx="842">
                  <c:v>0.16428983975220035</c:v>
                </c:pt>
                <c:pt idx="843">
                  <c:v>0.16444394854261191</c:v>
                </c:pt>
                <c:pt idx="844">
                  <c:v>0.164576954021868</c:v>
                </c:pt>
                <c:pt idx="845">
                  <c:v>0.16481276784816146</c:v>
                </c:pt>
                <c:pt idx="846">
                  <c:v>0.16511363567678927</c:v>
                </c:pt>
                <c:pt idx="847">
                  <c:v>0.16512023313680402</c:v>
                </c:pt>
                <c:pt idx="848">
                  <c:v>0.16529261793948535</c:v>
                </c:pt>
                <c:pt idx="849">
                  <c:v>0.16549358136308001</c:v>
                </c:pt>
                <c:pt idx="850">
                  <c:v>0.16553366725656815</c:v>
                </c:pt>
                <c:pt idx="851">
                  <c:v>0.16555068891193514</c:v>
                </c:pt>
                <c:pt idx="852">
                  <c:v>0.16578131065307389</c:v>
                </c:pt>
                <c:pt idx="853">
                  <c:v>0.16590781010836508</c:v>
                </c:pt>
                <c:pt idx="854">
                  <c:v>0.16591897087255347</c:v>
                </c:pt>
                <c:pt idx="855">
                  <c:v>0.16610549837241706</c:v>
                </c:pt>
                <c:pt idx="856">
                  <c:v>0.1662654954016034</c:v>
                </c:pt>
                <c:pt idx="857">
                  <c:v>0.16653090461113607</c:v>
                </c:pt>
                <c:pt idx="858">
                  <c:v>0.16660947568743723</c:v>
                </c:pt>
                <c:pt idx="859">
                  <c:v>0.16679563581237744</c:v>
                </c:pt>
                <c:pt idx="860">
                  <c:v>0.16782546292597544</c:v>
                </c:pt>
                <c:pt idx="861">
                  <c:v>0.1678298477527278</c:v>
                </c:pt>
                <c:pt idx="862">
                  <c:v>0.16789551672354719</c:v>
                </c:pt>
                <c:pt idx="863">
                  <c:v>0.16795692401228735</c:v>
                </c:pt>
                <c:pt idx="864">
                  <c:v>0.16810548188550456</c:v>
                </c:pt>
                <c:pt idx="865">
                  <c:v>0.16814572626117297</c:v>
                </c:pt>
                <c:pt idx="866">
                  <c:v>0.16824258571341488</c:v>
                </c:pt>
                <c:pt idx="867">
                  <c:v>0.16836327985220123</c:v>
                </c:pt>
                <c:pt idx="868">
                  <c:v>0.1684598515248581</c:v>
                </c:pt>
                <c:pt idx="869">
                  <c:v>0.16858316290836228</c:v>
                </c:pt>
                <c:pt idx="870">
                  <c:v>0.16872139896258886</c:v>
                </c:pt>
                <c:pt idx="871">
                  <c:v>0.16901402517669339</c:v>
                </c:pt>
                <c:pt idx="872">
                  <c:v>0.16902763329653681</c:v>
                </c:pt>
                <c:pt idx="873">
                  <c:v>0.16903480320479503</c:v>
                </c:pt>
                <c:pt idx="874">
                  <c:v>0.1691124351682447</c:v>
                </c:pt>
                <c:pt idx="875">
                  <c:v>0.16926002218315261</c:v>
                </c:pt>
                <c:pt idx="876">
                  <c:v>0.16993655457463319</c:v>
                </c:pt>
                <c:pt idx="877">
                  <c:v>0.17007496923088183</c:v>
                </c:pt>
                <c:pt idx="878">
                  <c:v>0.17027384118409827</c:v>
                </c:pt>
                <c:pt idx="879">
                  <c:v>0.17038016967035219</c:v>
                </c:pt>
                <c:pt idx="880">
                  <c:v>0.17070042012255726</c:v>
                </c:pt>
                <c:pt idx="881">
                  <c:v>0.17075911322990578</c:v>
                </c:pt>
                <c:pt idx="882">
                  <c:v>0.17076077104047727</c:v>
                </c:pt>
                <c:pt idx="883">
                  <c:v>0.17089530971952627</c:v>
                </c:pt>
                <c:pt idx="884">
                  <c:v>0.17111812829080009</c:v>
                </c:pt>
                <c:pt idx="885">
                  <c:v>0.17131262101702305</c:v>
                </c:pt>
                <c:pt idx="886">
                  <c:v>0.17174085743499745</c:v>
                </c:pt>
                <c:pt idx="887">
                  <c:v>0.1719382226392554</c:v>
                </c:pt>
                <c:pt idx="888">
                  <c:v>0.17220580665434682</c:v>
                </c:pt>
                <c:pt idx="889">
                  <c:v>0.17235164483281551</c:v>
                </c:pt>
                <c:pt idx="890">
                  <c:v>0.17250143665023643</c:v>
                </c:pt>
                <c:pt idx="891">
                  <c:v>0.17255547005424887</c:v>
                </c:pt>
                <c:pt idx="892">
                  <c:v>0.17257318838164792</c:v>
                </c:pt>
                <c:pt idx="893">
                  <c:v>0.17281741936858452</c:v>
                </c:pt>
                <c:pt idx="894">
                  <c:v>0.1730714171389991</c:v>
                </c:pt>
                <c:pt idx="895">
                  <c:v>0.17307622458156402</c:v>
                </c:pt>
                <c:pt idx="896">
                  <c:v>0.17331530695707897</c:v>
                </c:pt>
                <c:pt idx="897">
                  <c:v>0.17341207030312944</c:v>
                </c:pt>
                <c:pt idx="898">
                  <c:v>0.17358118414813362</c:v>
                </c:pt>
                <c:pt idx="899">
                  <c:v>0.17364863905731909</c:v>
                </c:pt>
                <c:pt idx="900">
                  <c:v>0.17375672123580443</c:v>
                </c:pt>
                <c:pt idx="901">
                  <c:v>0.17387532120937976</c:v>
                </c:pt>
                <c:pt idx="902">
                  <c:v>0.17398255623811565</c:v>
                </c:pt>
                <c:pt idx="903">
                  <c:v>0.17459279233025882</c:v>
                </c:pt>
                <c:pt idx="904">
                  <c:v>0.17482714736979688</c:v>
                </c:pt>
                <c:pt idx="905">
                  <c:v>0.17505057910329924</c:v>
                </c:pt>
                <c:pt idx="906">
                  <c:v>0.17540658871257619</c:v>
                </c:pt>
                <c:pt idx="907">
                  <c:v>0.17555592580356461</c:v>
                </c:pt>
                <c:pt idx="908">
                  <c:v>0.17563754241200513</c:v>
                </c:pt>
                <c:pt idx="909">
                  <c:v>0.17586338677938329</c:v>
                </c:pt>
                <c:pt idx="910">
                  <c:v>0.1758940600338974</c:v>
                </c:pt>
                <c:pt idx="911">
                  <c:v>0.1761413235026339</c:v>
                </c:pt>
                <c:pt idx="912">
                  <c:v>0.17630798900063382</c:v>
                </c:pt>
                <c:pt idx="913">
                  <c:v>0.17634978460137063</c:v>
                </c:pt>
                <c:pt idx="914">
                  <c:v>0.17635237842841889</c:v>
                </c:pt>
                <c:pt idx="915">
                  <c:v>0.17652338723019056</c:v>
                </c:pt>
                <c:pt idx="916">
                  <c:v>0.17669555198426679</c:v>
                </c:pt>
                <c:pt idx="917">
                  <c:v>0.17671662229804497</c:v>
                </c:pt>
                <c:pt idx="918">
                  <c:v>0.17682834736388031</c:v>
                </c:pt>
                <c:pt idx="919">
                  <c:v>0.17688733262184542</c:v>
                </c:pt>
                <c:pt idx="920">
                  <c:v>0.1769303719220261</c:v>
                </c:pt>
                <c:pt idx="921">
                  <c:v>0.17756061111140298</c:v>
                </c:pt>
                <c:pt idx="922">
                  <c:v>0.1777980652595943</c:v>
                </c:pt>
                <c:pt idx="923">
                  <c:v>0.17798808605675731</c:v>
                </c:pt>
                <c:pt idx="924">
                  <c:v>0.17912767280176922</c:v>
                </c:pt>
                <c:pt idx="925">
                  <c:v>0.17944928030919982</c:v>
                </c:pt>
                <c:pt idx="926">
                  <c:v>0.17952039270767273</c:v>
                </c:pt>
                <c:pt idx="927">
                  <c:v>0.17962339573659847</c:v>
                </c:pt>
                <c:pt idx="928">
                  <c:v>0.17968529527752253</c:v>
                </c:pt>
                <c:pt idx="929">
                  <c:v>0.17970133410290146</c:v>
                </c:pt>
                <c:pt idx="930">
                  <c:v>0.1799064283604821</c:v>
                </c:pt>
                <c:pt idx="931">
                  <c:v>0.18004193624801701</c:v>
                </c:pt>
                <c:pt idx="932">
                  <c:v>0.1800589116064657</c:v>
                </c:pt>
                <c:pt idx="933">
                  <c:v>0.1800797729902115</c:v>
                </c:pt>
                <c:pt idx="934">
                  <c:v>0.18037519789504586</c:v>
                </c:pt>
                <c:pt idx="935">
                  <c:v>0.18066983080734644</c:v>
                </c:pt>
                <c:pt idx="936">
                  <c:v>0.18084986982830742</c:v>
                </c:pt>
                <c:pt idx="937">
                  <c:v>0.18093637796118855</c:v>
                </c:pt>
                <c:pt idx="938">
                  <c:v>0.18152681569972628</c:v>
                </c:pt>
                <c:pt idx="939">
                  <c:v>0.18175263291141164</c:v>
                </c:pt>
                <c:pt idx="940">
                  <c:v>0.18203129328867362</c:v>
                </c:pt>
                <c:pt idx="941">
                  <c:v>0.18210736398850713</c:v>
                </c:pt>
                <c:pt idx="942">
                  <c:v>0.18243458605229534</c:v>
                </c:pt>
                <c:pt idx="943">
                  <c:v>0.18244093937303774</c:v>
                </c:pt>
                <c:pt idx="944">
                  <c:v>0.18267578044560651</c:v>
                </c:pt>
                <c:pt idx="945">
                  <c:v>0.18292884251150099</c:v>
                </c:pt>
                <c:pt idx="946">
                  <c:v>0.18321797621774749</c:v>
                </c:pt>
                <c:pt idx="947">
                  <c:v>0.1832330073675621</c:v>
                </c:pt>
                <c:pt idx="948">
                  <c:v>0.18353147458856256</c:v>
                </c:pt>
                <c:pt idx="949">
                  <c:v>0.18357064639258169</c:v>
                </c:pt>
                <c:pt idx="950">
                  <c:v>0.18365611712579266</c:v>
                </c:pt>
                <c:pt idx="951">
                  <c:v>0.18390345604530012</c:v>
                </c:pt>
                <c:pt idx="952">
                  <c:v>0.18406597019293258</c:v>
                </c:pt>
                <c:pt idx="953">
                  <c:v>0.18408411850668926</c:v>
                </c:pt>
                <c:pt idx="954">
                  <c:v>0.18437077517774014</c:v>
                </c:pt>
                <c:pt idx="955">
                  <c:v>0.18489949154172791</c:v>
                </c:pt>
                <c:pt idx="956">
                  <c:v>0.18492618233995017</c:v>
                </c:pt>
                <c:pt idx="957">
                  <c:v>0.18496360105385179</c:v>
                </c:pt>
                <c:pt idx="958">
                  <c:v>0.1853769719864431</c:v>
                </c:pt>
                <c:pt idx="959">
                  <c:v>0.18554066150954895</c:v>
                </c:pt>
                <c:pt idx="960">
                  <c:v>0.18558764225690538</c:v>
                </c:pt>
                <c:pt idx="961">
                  <c:v>0.18558958758967492</c:v>
                </c:pt>
                <c:pt idx="962">
                  <c:v>0.18591214926436805</c:v>
                </c:pt>
                <c:pt idx="963">
                  <c:v>0.18601246496837121</c:v>
                </c:pt>
                <c:pt idx="964">
                  <c:v>0.18611435102502583</c:v>
                </c:pt>
                <c:pt idx="965">
                  <c:v>0.18634785700669454</c:v>
                </c:pt>
                <c:pt idx="966">
                  <c:v>0.18637522501376225</c:v>
                </c:pt>
                <c:pt idx="967">
                  <c:v>0.18664108165103244</c:v>
                </c:pt>
                <c:pt idx="968">
                  <c:v>0.18688212474264176</c:v>
                </c:pt>
                <c:pt idx="969">
                  <c:v>0.18708748968492728</c:v>
                </c:pt>
                <c:pt idx="970">
                  <c:v>0.18770711639717774</c:v>
                </c:pt>
                <c:pt idx="971">
                  <c:v>0.18806875955124269</c:v>
                </c:pt>
                <c:pt idx="972">
                  <c:v>0.18832593520710361</c:v>
                </c:pt>
                <c:pt idx="973">
                  <c:v>0.18834797293038719</c:v>
                </c:pt>
                <c:pt idx="974">
                  <c:v>0.18859006331695127</c:v>
                </c:pt>
                <c:pt idx="975">
                  <c:v>0.18868258838756446</c:v>
                </c:pt>
                <c:pt idx="976">
                  <c:v>0.18881376417539286</c:v>
                </c:pt>
                <c:pt idx="977">
                  <c:v>0.18883766255112278</c:v>
                </c:pt>
                <c:pt idx="978">
                  <c:v>0.18952303907735768</c:v>
                </c:pt>
                <c:pt idx="979">
                  <c:v>0.18980854835990613</c:v>
                </c:pt>
                <c:pt idx="980">
                  <c:v>0.18997661714638525</c:v>
                </c:pt>
                <c:pt idx="981">
                  <c:v>0.19008757545179833</c:v>
                </c:pt>
                <c:pt idx="982">
                  <c:v>0.19073337327426998</c:v>
                </c:pt>
                <c:pt idx="983">
                  <c:v>0.19101676878017315</c:v>
                </c:pt>
                <c:pt idx="984">
                  <c:v>0.1915253242405015</c:v>
                </c:pt>
                <c:pt idx="985">
                  <c:v>0.19152551959632547</c:v>
                </c:pt>
                <c:pt idx="986">
                  <c:v>0.192130409526726</c:v>
                </c:pt>
                <c:pt idx="987">
                  <c:v>0.19226635904760769</c:v>
                </c:pt>
                <c:pt idx="988">
                  <c:v>0.19232388276122947</c:v>
                </c:pt>
                <c:pt idx="989">
                  <c:v>0.19283326843833493</c:v>
                </c:pt>
                <c:pt idx="990">
                  <c:v>0.19346837349712587</c:v>
                </c:pt>
                <c:pt idx="991">
                  <c:v>0.1939145596270464</c:v>
                </c:pt>
                <c:pt idx="992">
                  <c:v>0.19405539013223461</c:v>
                </c:pt>
                <c:pt idx="993">
                  <c:v>0.19430845977240097</c:v>
                </c:pt>
                <c:pt idx="994">
                  <c:v>0.19441896637727041</c:v>
                </c:pt>
                <c:pt idx="995">
                  <c:v>0.19528024470037053</c:v>
                </c:pt>
                <c:pt idx="996">
                  <c:v>0.19528989791797358</c:v>
                </c:pt>
                <c:pt idx="997">
                  <c:v>0.19547336957384687</c:v>
                </c:pt>
                <c:pt idx="998">
                  <c:v>0.19560243395699217</c:v>
                </c:pt>
                <c:pt idx="999">
                  <c:v>0.19571425160302169</c:v>
                </c:pt>
                <c:pt idx="1000">
                  <c:v>0.19573599188333901</c:v>
                </c:pt>
                <c:pt idx="1001">
                  <c:v>0.19583143501404265</c:v>
                </c:pt>
                <c:pt idx="1002">
                  <c:v>0.19599721840768325</c:v>
                </c:pt>
                <c:pt idx="1003">
                  <c:v>0.19615022995185427</c:v>
                </c:pt>
                <c:pt idx="1004">
                  <c:v>0.19630078974751086</c:v>
                </c:pt>
                <c:pt idx="1005">
                  <c:v>0.1963176576045953</c:v>
                </c:pt>
                <c:pt idx="1006">
                  <c:v>0.19644865156260494</c:v>
                </c:pt>
                <c:pt idx="1007">
                  <c:v>0.19654650469510671</c:v>
                </c:pt>
                <c:pt idx="1008">
                  <c:v>0.19672609654662665</c:v>
                </c:pt>
                <c:pt idx="1009">
                  <c:v>0.19692985594610946</c:v>
                </c:pt>
                <c:pt idx="1010">
                  <c:v>0.19711758332778118</c:v>
                </c:pt>
                <c:pt idx="1011">
                  <c:v>0.19718213635763959</c:v>
                </c:pt>
                <c:pt idx="1012">
                  <c:v>0.19762084024659998</c:v>
                </c:pt>
                <c:pt idx="1013">
                  <c:v>0.19817717405931035</c:v>
                </c:pt>
                <c:pt idx="1014">
                  <c:v>0.19824285554750531</c:v>
                </c:pt>
                <c:pt idx="1015">
                  <c:v>0.19867142420480377</c:v>
                </c:pt>
                <c:pt idx="1016">
                  <c:v>0.19915886213675549</c:v>
                </c:pt>
                <c:pt idx="1017">
                  <c:v>0.19949151840683044</c:v>
                </c:pt>
                <c:pt idx="1018">
                  <c:v>0.19952029549949657</c:v>
                </c:pt>
                <c:pt idx="1019">
                  <c:v>0.19957362829427439</c:v>
                </c:pt>
                <c:pt idx="1020">
                  <c:v>0.19992908066524251</c:v>
                </c:pt>
                <c:pt idx="1021">
                  <c:v>0.19998521862544294</c:v>
                </c:pt>
                <c:pt idx="1022">
                  <c:v>0.20008850685644575</c:v>
                </c:pt>
                <c:pt idx="1023">
                  <c:v>0.20067640180786839</c:v>
                </c:pt>
                <c:pt idx="1024">
                  <c:v>0.20085010364891787</c:v>
                </c:pt>
                <c:pt idx="1025">
                  <c:v>0.20093600761811103</c:v>
                </c:pt>
                <c:pt idx="1026">
                  <c:v>0.20095578550626669</c:v>
                </c:pt>
                <c:pt idx="1027">
                  <c:v>0.2010744437793619</c:v>
                </c:pt>
                <c:pt idx="1028">
                  <c:v>0.20109176687947183</c:v>
                </c:pt>
                <c:pt idx="1029">
                  <c:v>0.20113499786475586</c:v>
                </c:pt>
                <c:pt idx="1030">
                  <c:v>0.20136207785253646</c:v>
                </c:pt>
                <c:pt idx="1031">
                  <c:v>0.20136223409917875</c:v>
                </c:pt>
                <c:pt idx="1032">
                  <c:v>0.20167560185018374</c:v>
                </c:pt>
                <c:pt idx="1033">
                  <c:v>0.2017476925129813</c:v>
                </c:pt>
                <c:pt idx="1034">
                  <c:v>0.20180846161110821</c:v>
                </c:pt>
                <c:pt idx="1035">
                  <c:v>0.20199598072940717</c:v>
                </c:pt>
                <c:pt idx="1036">
                  <c:v>0.20276794626806804</c:v>
                </c:pt>
                <c:pt idx="1037">
                  <c:v>0.20278211454842676</c:v>
                </c:pt>
                <c:pt idx="1038">
                  <c:v>0.20365924912766786</c:v>
                </c:pt>
                <c:pt idx="1039">
                  <c:v>0.20369637136991514</c:v>
                </c:pt>
                <c:pt idx="1040">
                  <c:v>0.20412983477217495</c:v>
                </c:pt>
                <c:pt idx="1041">
                  <c:v>0.20434957789893815</c:v>
                </c:pt>
                <c:pt idx="1042">
                  <c:v>0.20464220272515377</c:v>
                </c:pt>
                <c:pt idx="1043">
                  <c:v>0.20469542807222751</c:v>
                </c:pt>
                <c:pt idx="1044">
                  <c:v>0.20522075440567278</c:v>
                </c:pt>
                <c:pt idx="1045">
                  <c:v>0.20540630819868966</c:v>
                </c:pt>
                <c:pt idx="1046">
                  <c:v>0.205584854485096</c:v>
                </c:pt>
                <c:pt idx="1047">
                  <c:v>0.20565753692790167</c:v>
                </c:pt>
                <c:pt idx="1048">
                  <c:v>0.20568479459871014</c:v>
                </c:pt>
                <c:pt idx="1049">
                  <c:v>0.20650418880086363</c:v>
                </c:pt>
                <c:pt idx="1050">
                  <c:v>0.20679397900858021</c:v>
                </c:pt>
                <c:pt idx="1051">
                  <c:v>0.20692431980205583</c:v>
                </c:pt>
                <c:pt idx="1052">
                  <c:v>0.20695950091612758</c:v>
                </c:pt>
                <c:pt idx="1053">
                  <c:v>0.20699231317121303</c:v>
                </c:pt>
                <c:pt idx="1054">
                  <c:v>0.20720988326229417</c:v>
                </c:pt>
                <c:pt idx="1055">
                  <c:v>0.2073921833471104</c:v>
                </c:pt>
                <c:pt idx="1056">
                  <c:v>0.20739652554038912</c:v>
                </c:pt>
                <c:pt idx="1057">
                  <c:v>0.20744172295144381</c:v>
                </c:pt>
                <c:pt idx="1058">
                  <c:v>0.20759225713300111</c:v>
                </c:pt>
                <c:pt idx="1059">
                  <c:v>0.20800164360207418</c:v>
                </c:pt>
                <c:pt idx="1060">
                  <c:v>0.20808953352025128</c:v>
                </c:pt>
                <c:pt idx="1061">
                  <c:v>0.20822669493281865</c:v>
                </c:pt>
                <c:pt idx="1062">
                  <c:v>0.20881020375691151</c:v>
                </c:pt>
                <c:pt idx="1063">
                  <c:v>0.20936457385050744</c:v>
                </c:pt>
                <c:pt idx="1064">
                  <c:v>0.2095097268183963</c:v>
                </c:pt>
                <c:pt idx="1065">
                  <c:v>0.20973867787597555</c:v>
                </c:pt>
                <c:pt idx="1066">
                  <c:v>0.21055933372919355</c:v>
                </c:pt>
                <c:pt idx="1067">
                  <c:v>0.21068074011418503</c:v>
                </c:pt>
                <c:pt idx="1068">
                  <c:v>0.21077420878555131</c:v>
                </c:pt>
                <c:pt idx="1069">
                  <c:v>0.2114902626263131</c:v>
                </c:pt>
                <c:pt idx="1070">
                  <c:v>0.21163108824839583</c:v>
                </c:pt>
                <c:pt idx="1071">
                  <c:v>0.21179446322275908</c:v>
                </c:pt>
                <c:pt idx="1072">
                  <c:v>0.21201387155088014</c:v>
                </c:pt>
                <c:pt idx="1073">
                  <c:v>0.21250757401232434</c:v>
                </c:pt>
                <c:pt idx="1074">
                  <c:v>0.21251622536874493</c:v>
                </c:pt>
                <c:pt idx="1075">
                  <c:v>0.21255358995585993</c:v>
                </c:pt>
                <c:pt idx="1076">
                  <c:v>0.21256745567552571</c:v>
                </c:pt>
                <c:pt idx="1077">
                  <c:v>0.21277521084175532</c:v>
                </c:pt>
                <c:pt idx="1078">
                  <c:v>0.21278045733561157</c:v>
                </c:pt>
                <c:pt idx="1079">
                  <c:v>0.21279860210870538</c:v>
                </c:pt>
                <c:pt idx="1080">
                  <c:v>0.21288802051003586</c:v>
                </c:pt>
                <c:pt idx="1081">
                  <c:v>0.21291219423437724</c:v>
                </c:pt>
                <c:pt idx="1082">
                  <c:v>0.21315202311416215</c:v>
                </c:pt>
                <c:pt idx="1083">
                  <c:v>0.21370337936969008</c:v>
                </c:pt>
                <c:pt idx="1084">
                  <c:v>0.21405981404222985</c:v>
                </c:pt>
                <c:pt idx="1085">
                  <c:v>0.21421295451273181</c:v>
                </c:pt>
                <c:pt idx="1086">
                  <c:v>0.21438227399494281</c:v>
                </c:pt>
                <c:pt idx="1087">
                  <c:v>0.21478456771092169</c:v>
                </c:pt>
                <c:pt idx="1088">
                  <c:v>0.21496518936328357</c:v>
                </c:pt>
                <c:pt idx="1089">
                  <c:v>0.21498936349962605</c:v>
                </c:pt>
                <c:pt idx="1090">
                  <c:v>0.21536392141570104</c:v>
                </c:pt>
                <c:pt idx="1091">
                  <c:v>0.21551627833650855</c:v>
                </c:pt>
                <c:pt idx="1092">
                  <c:v>0.21594256407115608</c:v>
                </c:pt>
                <c:pt idx="1093">
                  <c:v>0.21605866051140765</c:v>
                </c:pt>
                <c:pt idx="1094">
                  <c:v>0.21647512249819556</c:v>
                </c:pt>
                <c:pt idx="1095">
                  <c:v>0.21667537976281892</c:v>
                </c:pt>
                <c:pt idx="1096">
                  <c:v>0.2169030366694642</c:v>
                </c:pt>
                <c:pt idx="1097">
                  <c:v>0.21692094111404003</c:v>
                </c:pt>
                <c:pt idx="1098">
                  <c:v>0.21697613080141309</c:v>
                </c:pt>
                <c:pt idx="1099">
                  <c:v>0.21698607881990029</c:v>
                </c:pt>
                <c:pt idx="1100">
                  <c:v>0.21726162710638164</c:v>
                </c:pt>
                <c:pt idx="1101">
                  <c:v>0.21737571608719009</c:v>
                </c:pt>
                <c:pt idx="1102">
                  <c:v>0.2174389711162803</c:v>
                </c:pt>
                <c:pt idx="1103">
                  <c:v>0.21749795781215653</c:v>
                </c:pt>
                <c:pt idx="1104">
                  <c:v>0.2176554297703035</c:v>
                </c:pt>
                <c:pt idx="1105">
                  <c:v>0.21782672530389391</c:v>
                </c:pt>
                <c:pt idx="1106">
                  <c:v>0.21790845905525202</c:v>
                </c:pt>
                <c:pt idx="1107">
                  <c:v>0.21797178022370645</c:v>
                </c:pt>
                <c:pt idx="1108">
                  <c:v>0.21824323123200884</c:v>
                </c:pt>
                <c:pt idx="1109">
                  <c:v>0.2183967396567823</c:v>
                </c:pt>
                <c:pt idx="1110">
                  <c:v>0.21855744481854344</c:v>
                </c:pt>
                <c:pt idx="1111">
                  <c:v>0.21896306375583663</c:v>
                </c:pt>
                <c:pt idx="1112">
                  <c:v>0.21901666450685298</c:v>
                </c:pt>
                <c:pt idx="1113">
                  <c:v>0.21929554779853788</c:v>
                </c:pt>
                <c:pt idx="1114">
                  <c:v>0.21940299709149258</c:v>
                </c:pt>
                <c:pt idx="1115">
                  <c:v>0.21957090211890318</c:v>
                </c:pt>
                <c:pt idx="1116">
                  <c:v>0.21996947281149914</c:v>
                </c:pt>
                <c:pt idx="1117">
                  <c:v>0.22006313110068731</c:v>
                </c:pt>
                <c:pt idx="1118">
                  <c:v>0.22007221159765322</c:v>
                </c:pt>
                <c:pt idx="1119">
                  <c:v>0.22047591135924449</c:v>
                </c:pt>
                <c:pt idx="1120">
                  <c:v>0.22055840344819444</c:v>
                </c:pt>
                <c:pt idx="1121">
                  <c:v>0.22058058309539774</c:v>
                </c:pt>
                <c:pt idx="1122">
                  <c:v>0.22059815348802658</c:v>
                </c:pt>
                <c:pt idx="1123">
                  <c:v>0.22070959460417328</c:v>
                </c:pt>
                <c:pt idx="1124">
                  <c:v>0.22077704147613986</c:v>
                </c:pt>
                <c:pt idx="1125">
                  <c:v>0.22099610916032475</c:v>
                </c:pt>
                <c:pt idx="1126">
                  <c:v>0.22101230511179892</c:v>
                </c:pt>
                <c:pt idx="1127">
                  <c:v>0.22120070311211748</c:v>
                </c:pt>
                <c:pt idx="1128">
                  <c:v>0.22132042123757856</c:v>
                </c:pt>
                <c:pt idx="1129">
                  <c:v>0.22134380657098518</c:v>
                </c:pt>
                <c:pt idx="1130">
                  <c:v>0.22190011091242923</c:v>
                </c:pt>
                <c:pt idx="1131">
                  <c:v>0.22196669381628453</c:v>
                </c:pt>
                <c:pt idx="1132">
                  <c:v>0.22227022447259515</c:v>
                </c:pt>
                <c:pt idx="1133">
                  <c:v>0.22227548042883427</c:v>
                </c:pt>
                <c:pt idx="1134">
                  <c:v>0.22228430048562586</c:v>
                </c:pt>
                <c:pt idx="1135">
                  <c:v>0.22246525350419688</c:v>
                </c:pt>
                <c:pt idx="1136">
                  <c:v>0.22255052438322309</c:v>
                </c:pt>
                <c:pt idx="1137">
                  <c:v>0.22277287766792142</c:v>
                </c:pt>
                <c:pt idx="1138">
                  <c:v>0.2228812067733088</c:v>
                </c:pt>
                <c:pt idx="1139">
                  <c:v>0.22293677944890078</c:v>
                </c:pt>
                <c:pt idx="1140">
                  <c:v>0.22313274697989982</c:v>
                </c:pt>
                <c:pt idx="1141">
                  <c:v>0.2232111976845772</c:v>
                </c:pt>
                <c:pt idx="1142">
                  <c:v>0.22370159382080601</c:v>
                </c:pt>
                <c:pt idx="1143">
                  <c:v>0.22381720115663484</c:v>
                </c:pt>
                <c:pt idx="1144">
                  <c:v>0.22400777250186366</c:v>
                </c:pt>
                <c:pt idx="1145">
                  <c:v>0.22412221416470857</c:v>
                </c:pt>
                <c:pt idx="1146">
                  <c:v>0.22435873159522046</c:v>
                </c:pt>
                <c:pt idx="1147">
                  <c:v>0.22516464976069983</c:v>
                </c:pt>
                <c:pt idx="1148">
                  <c:v>0.2253157988525345</c:v>
                </c:pt>
                <c:pt idx="1149">
                  <c:v>0.22532620093170408</c:v>
                </c:pt>
                <c:pt idx="1150">
                  <c:v>0.22562967589647087</c:v>
                </c:pt>
                <c:pt idx="1151">
                  <c:v>0.22597815794327403</c:v>
                </c:pt>
                <c:pt idx="1152">
                  <c:v>0.22602312653361878</c:v>
                </c:pt>
                <c:pt idx="1153">
                  <c:v>0.22640568850874843</c:v>
                </c:pt>
                <c:pt idx="1154">
                  <c:v>0.22658485234842374</c:v>
                </c:pt>
                <c:pt idx="1155">
                  <c:v>0.22667626005568309</c:v>
                </c:pt>
                <c:pt idx="1156">
                  <c:v>0.22673286834833561</c:v>
                </c:pt>
                <c:pt idx="1157">
                  <c:v>0.22675265482484974</c:v>
                </c:pt>
                <c:pt idx="1158">
                  <c:v>0.22675931666435645</c:v>
                </c:pt>
                <c:pt idx="1159">
                  <c:v>0.22677061989816139</c:v>
                </c:pt>
                <c:pt idx="1160">
                  <c:v>0.22735646691671718</c:v>
                </c:pt>
                <c:pt idx="1161">
                  <c:v>0.22749038228266727</c:v>
                </c:pt>
                <c:pt idx="1162">
                  <c:v>0.2275118726756773</c:v>
                </c:pt>
                <c:pt idx="1163">
                  <c:v>0.22758191540651751</c:v>
                </c:pt>
                <c:pt idx="1164">
                  <c:v>0.22799407767706725</c:v>
                </c:pt>
                <c:pt idx="1165">
                  <c:v>0.2281693514159997</c:v>
                </c:pt>
                <c:pt idx="1166">
                  <c:v>0.22818916703363357</c:v>
                </c:pt>
                <c:pt idx="1167">
                  <c:v>0.22820949206382579</c:v>
                </c:pt>
                <c:pt idx="1168">
                  <c:v>0.22836900230686297</c:v>
                </c:pt>
                <c:pt idx="1169">
                  <c:v>0.22880700067616999</c:v>
                </c:pt>
                <c:pt idx="1170">
                  <c:v>0.22893937780554552</c:v>
                </c:pt>
                <c:pt idx="1171">
                  <c:v>0.22901928403825877</c:v>
                </c:pt>
                <c:pt idx="1172">
                  <c:v>0.2292984465148038</c:v>
                </c:pt>
                <c:pt idx="1173">
                  <c:v>0.22962956314222538</c:v>
                </c:pt>
                <c:pt idx="1174">
                  <c:v>0.2297215803000654</c:v>
                </c:pt>
                <c:pt idx="1175">
                  <c:v>0.22981880711085978</c:v>
                </c:pt>
                <c:pt idx="1176">
                  <c:v>0.23006538138724864</c:v>
                </c:pt>
                <c:pt idx="1177">
                  <c:v>0.23024173458679797</c:v>
                </c:pt>
                <c:pt idx="1178">
                  <c:v>0.23041613184886955</c:v>
                </c:pt>
                <c:pt idx="1179">
                  <c:v>0.23066787519474019</c:v>
                </c:pt>
                <c:pt idx="1180">
                  <c:v>0.23079190407315764</c:v>
                </c:pt>
                <c:pt idx="1181">
                  <c:v>0.23134165005103569</c:v>
                </c:pt>
                <c:pt idx="1182">
                  <c:v>0.23144829906323139</c:v>
                </c:pt>
                <c:pt idx="1183">
                  <c:v>0.23223508416958794</c:v>
                </c:pt>
                <c:pt idx="1184">
                  <c:v>0.2325178911396506</c:v>
                </c:pt>
                <c:pt idx="1185">
                  <c:v>0.23310022264013242</c:v>
                </c:pt>
                <c:pt idx="1186">
                  <c:v>0.23317872612733481</c:v>
                </c:pt>
                <c:pt idx="1187">
                  <c:v>0.23322992303428691</c:v>
                </c:pt>
                <c:pt idx="1188">
                  <c:v>0.23337024190732336</c:v>
                </c:pt>
                <c:pt idx="1189">
                  <c:v>0.23337332104711095</c:v>
                </c:pt>
                <c:pt idx="1190">
                  <c:v>0.23345363532916963</c:v>
                </c:pt>
                <c:pt idx="1191">
                  <c:v>0.23347055880276457</c:v>
                </c:pt>
                <c:pt idx="1192">
                  <c:v>0.23381515282289911</c:v>
                </c:pt>
                <c:pt idx="1193">
                  <c:v>0.23381667778630799</c:v>
                </c:pt>
                <c:pt idx="1194">
                  <c:v>0.23389687109920487</c:v>
                </c:pt>
                <c:pt idx="1195">
                  <c:v>0.23421718061581487</c:v>
                </c:pt>
                <c:pt idx="1196">
                  <c:v>0.2342219316842602</c:v>
                </c:pt>
                <c:pt idx="1197">
                  <c:v>0.23446412604516809</c:v>
                </c:pt>
                <c:pt idx="1198">
                  <c:v>0.23472805676647113</c:v>
                </c:pt>
                <c:pt idx="1199">
                  <c:v>0.23477716960132966</c:v>
                </c:pt>
                <c:pt idx="1200">
                  <c:v>0.23502403169641184</c:v>
                </c:pt>
                <c:pt idx="1201">
                  <c:v>0.23502677772921743</c:v>
                </c:pt>
                <c:pt idx="1202">
                  <c:v>0.23507567738488433</c:v>
                </c:pt>
                <c:pt idx="1203">
                  <c:v>0.23511872402377776</c:v>
                </c:pt>
                <c:pt idx="1204">
                  <c:v>0.23517729485138261</c:v>
                </c:pt>
                <c:pt idx="1205">
                  <c:v>0.23543755238279118</c:v>
                </c:pt>
                <c:pt idx="1206">
                  <c:v>0.23550822431025153</c:v>
                </c:pt>
                <c:pt idx="1207">
                  <c:v>0.23563349830965308</c:v>
                </c:pt>
                <c:pt idx="1208">
                  <c:v>0.23575528968103754</c:v>
                </c:pt>
                <c:pt idx="1209">
                  <c:v>0.2360991839241251</c:v>
                </c:pt>
                <c:pt idx="1210">
                  <c:v>0.23616639052579558</c:v>
                </c:pt>
                <c:pt idx="1211">
                  <c:v>0.23651233212513034</c:v>
                </c:pt>
                <c:pt idx="1212">
                  <c:v>0.23661061374423298</c:v>
                </c:pt>
                <c:pt idx="1213">
                  <c:v>0.23684171830609557</c:v>
                </c:pt>
                <c:pt idx="1214">
                  <c:v>0.23685249117534113</c:v>
                </c:pt>
                <c:pt idx="1215">
                  <c:v>0.23695524579125049</c:v>
                </c:pt>
                <c:pt idx="1216">
                  <c:v>0.23708596069809573</c:v>
                </c:pt>
                <c:pt idx="1217">
                  <c:v>0.23752591385618871</c:v>
                </c:pt>
                <c:pt idx="1218">
                  <c:v>0.23789783118263585</c:v>
                </c:pt>
                <c:pt idx="1219">
                  <c:v>0.23797603710863768</c:v>
                </c:pt>
                <c:pt idx="1220">
                  <c:v>0.23800367287549307</c:v>
                </c:pt>
                <c:pt idx="1221">
                  <c:v>0.23829127396220429</c:v>
                </c:pt>
                <c:pt idx="1222">
                  <c:v>0.2387185807701826</c:v>
                </c:pt>
                <c:pt idx="1223">
                  <c:v>0.23899212791002356</c:v>
                </c:pt>
                <c:pt idx="1224">
                  <c:v>0.23934113552513736</c:v>
                </c:pt>
                <c:pt idx="1225">
                  <c:v>0.2395848108235441</c:v>
                </c:pt>
                <c:pt idx="1226">
                  <c:v>0.23994362024404836</c:v>
                </c:pt>
                <c:pt idx="1227">
                  <c:v>0.24002176312478696</c:v>
                </c:pt>
                <c:pt idx="1228">
                  <c:v>0.24022004433936672</c:v>
                </c:pt>
                <c:pt idx="1229">
                  <c:v>0.24033696279821015</c:v>
                </c:pt>
                <c:pt idx="1230">
                  <c:v>0.24058931735089573</c:v>
                </c:pt>
                <c:pt idx="1231">
                  <c:v>0.24105537371349328</c:v>
                </c:pt>
                <c:pt idx="1232">
                  <c:v>0.24110724751153612</c:v>
                </c:pt>
                <c:pt idx="1233">
                  <c:v>0.24135612531972583</c:v>
                </c:pt>
                <c:pt idx="1234">
                  <c:v>0.24146963019302348</c:v>
                </c:pt>
                <c:pt idx="1235">
                  <c:v>0.2415095611486322</c:v>
                </c:pt>
                <c:pt idx="1236">
                  <c:v>0.24183954569798516</c:v>
                </c:pt>
                <c:pt idx="1237">
                  <c:v>0.24184519165464735</c:v>
                </c:pt>
                <c:pt idx="1238">
                  <c:v>0.2421597896154708</c:v>
                </c:pt>
                <c:pt idx="1239">
                  <c:v>0.24231209974732337</c:v>
                </c:pt>
                <c:pt idx="1240">
                  <c:v>0.24238920119933027</c:v>
                </c:pt>
                <c:pt idx="1241">
                  <c:v>0.24303853130913922</c:v>
                </c:pt>
                <c:pt idx="1242">
                  <c:v>0.24313579537192709</c:v>
                </c:pt>
                <c:pt idx="1243">
                  <c:v>0.24360286853698199</c:v>
                </c:pt>
                <c:pt idx="1244">
                  <c:v>0.24363756440288853</c:v>
                </c:pt>
                <c:pt idx="1245">
                  <c:v>0.24406509934669884</c:v>
                </c:pt>
                <c:pt idx="1246">
                  <c:v>0.24423560660852672</c:v>
                </c:pt>
                <c:pt idx="1247">
                  <c:v>0.2448263343940198</c:v>
                </c:pt>
                <c:pt idx="1248">
                  <c:v>0.24501249903460121</c:v>
                </c:pt>
                <c:pt idx="1249">
                  <c:v>0.24515319323472795</c:v>
                </c:pt>
                <c:pt idx="1250">
                  <c:v>0.24536045291642949</c:v>
                </c:pt>
                <c:pt idx="1251">
                  <c:v>0.24539923947759235</c:v>
                </c:pt>
                <c:pt idx="1252">
                  <c:v>0.24551278097351314</c:v>
                </c:pt>
                <c:pt idx="1253">
                  <c:v>0.24556510780712415</c:v>
                </c:pt>
                <c:pt idx="1254">
                  <c:v>0.24563908998516126</c:v>
                </c:pt>
                <c:pt idx="1255">
                  <c:v>0.24581047830542957</c:v>
                </c:pt>
                <c:pt idx="1256">
                  <c:v>0.24589402367382718</c:v>
                </c:pt>
                <c:pt idx="1257">
                  <c:v>0.24595737700201425</c:v>
                </c:pt>
                <c:pt idx="1258">
                  <c:v>0.24632706783359026</c:v>
                </c:pt>
                <c:pt idx="1259">
                  <c:v>0.24632856155585614</c:v>
                </c:pt>
                <c:pt idx="1260">
                  <c:v>0.24644473922489851</c:v>
                </c:pt>
                <c:pt idx="1261">
                  <c:v>0.24672587768054655</c:v>
                </c:pt>
                <c:pt idx="1262">
                  <c:v>0.24693310437214677</c:v>
                </c:pt>
                <c:pt idx="1263">
                  <c:v>0.24721140002020547</c:v>
                </c:pt>
                <c:pt idx="1264">
                  <c:v>0.24755203536187764</c:v>
                </c:pt>
                <c:pt idx="1265">
                  <c:v>0.24830246442434145</c:v>
                </c:pt>
                <c:pt idx="1266">
                  <c:v>0.24864464665643027</c:v>
                </c:pt>
                <c:pt idx="1267">
                  <c:v>0.24873254471822293</c:v>
                </c:pt>
                <c:pt idx="1268">
                  <c:v>0.24873988351919252</c:v>
                </c:pt>
                <c:pt idx="1269">
                  <c:v>0.24880809455953568</c:v>
                </c:pt>
                <c:pt idx="1270">
                  <c:v>0.24883431026592007</c:v>
                </c:pt>
                <c:pt idx="1271">
                  <c:v>0.24965396403149498</c:v>
                </c:pt>
                <c:pt idx="1272">
                  <c:v>0.25002085327560053</c:v>
                </c:pt>
                <c:pt idx="1273">
                  <c:v>0.25012773835078406</c:v>
                </c:pt>
                <c:pt idx="1274">
                  <c:v>0.25046279245452752</c:v>
                </c:pt>
                <c:pt idx="1275">
                  <c:v>0.25070718432652939</c:v>
                </c:pt>
                <c:pt idx="1276">
                  <c:v>0.25080753740894579</c:v>
                </c:pt>
                <c:pt idx="1277">
                  <c:v>0.25084468929071591</c:v>
                </c:pt>
                <c:pt idx="1278">
                  <c:v>0.25124218894690387</c:v>
                </c:pt>
                <c:pt idx="1279">
                  <c:v>0.25132587209373014</c:v>
                </c:pt>
                <c:pt idx="1280">
                  <c:v>0.25136609230321483</c:v>
                </c:pt>
                <c:pt idx="1281">
                  <c:v>0.25157393929293903</c:v>
                </c:pt>
                <c:pt idx="1282">
                  <c:v>0.25190409601782449</c:v>
                </c:pt>
                <c:pt idx="1283">
                  <c:v>0.25288967328742729</c:v>
                </c:pt>
                <c:pt idx="1284">
                  <c:v>0.25333224860878545</c:v>
                </c:pt>
                <c:pt idx="1285">
                  <c:v>0.25339034345506661</c:v>
                </c:pt>
                <c:pt idx="1286">
                  <c:v>0.25353528262166947</c:v>
                </c:pt>
                <c:pt idx="1287">
                  <c:v>0.25355745545859065</c:v>
                </c:pt>
                <c:pt idx="1288">
                  <c:v>0.25358632152165228</c:v>
                </c:pt>
                <c:pt idx="1289">
                  <c:v>0.25403314610230154</c:v>
                </c:pt>
                <c:pt idx="1290">
                  <c:v>0.25422102340144193</c:v>
                </c:pt>
                <c:pt idx="1291">
                  <c:v>0.25427030152695806</c:v>
                </c:pt>
                <c:pt idx="1292">
                  <c:v>0.2544325254020805</c:v>
                </c:pt>
                <c:pt idx="1293">
                  <c:v>0.2546700605944352</c:v>
                </c:pt>
                <c:pt idx="1294">
                  <c:v>0.2559002883708672</c:v>
                </c:pt>
                <c:pt idx="1295">
                  <c:v>0.25598703537434631</c:v>
                </c:pt>
                <c:pt idx="1296">
                  <c:v>0.2563110818246237</c:v>
                </c:pt>
                <c:pt idx="1297">
                  <c:v>0.25631359201361192</c:v>
                </c:pt>
                <c:pt idx="1298">
                  <c:v>0.25635722953666118</c:v>
                </c:pt>
                <c:pt idx="1299">
                  <c:v>0.2564145564692808</c:v>
                </c:pt>
                <c:pt idx="1300">
                  <c:v>0.25643654792747839</c:v>
                </c:pt>
                <c:pt idx="1301">
                  <c:v>0.25653530197087093</c:v>
                </c:pt>
                <c:pt idx="1302">
                  <c:v>0.25662680862933485</c:v>
                </c:pt>
                <c:pt idx="1303">
                  <c:v>0.25671936175785959</c:v>
                </c:pt>
                <c:pt idx="1304">
                  <c:v>0.25706011351303459</c:v>
                </c:pt>
                <c:pt idx="1305">
                  <c:v>0.2573997959962071</c:v>
                </c:pt>
                <c:pt idx="1306">
                  <c:v>0.25755700389163394</c:v>
                </c:pt>
                <c:pt idx="1307">
                  <c:v>0.25769045555080083</c:v>
                </c:pt>
                <c:pt idx="1308">
                  <c:v>0.25820692381330446</c:v>
                </c:pt>
                <c:pt idx="1309">
                  <c:v>0.2584479448851198</c:v>
                </c:pt>
                <c:pt idx="1310">
                  <c:v>0.25851382035580173</c:v>
                </c:pt>
                <c:pt idx="1311">
                  <c:v>0.25910407666196988</c:v>
                </c:pt>
                <c:pt idx="1312">
                  <c:v>0.25910593875596533</c:v>
                </c:pt>
                <c:pt idx="1313">
                  <c:v>0.25925084103710105</c:v>
                </c:pt>
                <c:pt idx="1314">
                  <c:v>0.25932007396477275</c:v>
                </c:pt>
                <c:pt idx="1315">
                  <c:v>0.25946726510210283</c:v>
                </c:pt>
                <c:pt idx="1316">
                  <c:v>0.25947031027681078</c:v>
                </c:pt>
                <c:pt idx="1317">
                  <c:v>0.25956111001505633</c:v>
                </c:pt>
                <c:pt idx="1318">
                  <c:v>0.25965397253457922</c:v>
                </c:pt>
                <c:pt idx="1319">
                  <c:v>0.26036956768348318</c:v>
                </c:pt>
                <c:pt idx="1320">
                  <c:v>0.26039790765753423</c:v>
                </c:pt>
                <c:pt idx="1321">
                  <c:v>0.26080295047086111</c:v>
                </c:pt>
                <c:pt idx="1322">
                  <c:v>0.26085148788297374</c:v>
                </c:pt>
                <c:pt idx="1323">
                  <c:v>0.26099492072353314</c:v>
                </c:pt>
                <c:pt idx="1324">
                  <c:v>0.2610227776094689</c:v>
                </c:pt>
                <c:pt idx="1325">
                  <c:v>0.26106054248521104</c:v>
                </c:pt>
                <c:pt idx="1326">
                  <c:v>0.26150100477116212</c:v>
                </c:pt>
                <c:pt idx="1327">
                  <c:v>0.26172829775987339</c:v>
                </c:pt>
                <c:pt idx="1328">
                  <c:v>0.26179317510923283</c:v>
                </c:pt>
                <c:pt idx="1329">
                  <c:v>0.26184089670096</c:v>
                </c:pt>
                <c:pt idx="1330">
                  <c:v>0.26246564946904982</c:v>
                </c:pt>
                <c:pt idx="1331">
                  <c:v>0.26247844583667757</c:v>
                </c:pt>
                <c:pt idx="1332">
                  <c:v>0.26276112071172975</c:v>
                </c:pt>
                <c:pt idx="1333">
                  <c:v>0.26316476451574999</c:v>
                </c:pt>
                <c:pt idx="1334">
                  <c:v>0.26322233182054333</c:v>
                </c:pt>
                <c:pt idx="1335">
                  <c:v>0.26325759945757454</c:v>
                </c:pt>
                <c:pt idx="1336">
                  <c:v>0.26343766105674149</c:v>
                </c:pt>
                <c:pt idx="1337">
                  <c:v>0.26350403668675426</c:v>
                </c:pt>
                <c:pt idx="1338">
                  <c:v>0.26367871414367983</c:v>
                </c:pt>
                <c:pt idx="1339">
                  <c:v>0.26375437999013229</c:v>
                </c:pt>
                <c:pt idx="1340">
                  <c:v>0.26404383886165306</c:v>
                </c:pt>
                <c:pt idx="1341">
                  <c:v>0.26434111940670846</c:v>
                </c:pt>
                <c:pt idx="1342">
                  <c:v>0.26471095905708353</c:v>
                </c:pt>
                <c:pt idx="1343">
                  <c:v>0.26501722429929941</c:v>
                </c:pt>
                <c:pt idx="1344">
                  <c:v>0.26502335598070204</c:v>
                </c:pt>
                <c:pt idx="1345">
                  <c:v>0.26502359666392294</c:v>
                </c:pt>
                <c:pt idx="1346">
                  <c:v>0.26524228504422354</c:v>
                </c:pt>
                <c:pt idx="1347">
                  <c:v>0.26541421124603914</c:v>
                </c:pt>
                <c:pt idx="1348">
                  <c:v>0.26549097936185717</c:v>
                </c:pt>
                <c:pt idx="1349">
                  <c:v>0.26550565129036841</c:v>
                </c:pt>
                <c:pt idx="1350">
                  <c:v>0.26559230211296381</c:v>
                </c:pt>
                <c:pt idx="1351">
                  <c:v>0.26598546157674718</c:v>
                </c:pt>
                <c:pt idx="1352">
                  <c:v>0.26605817727067915</c:v>
                </c:pt>
                <c:pt idx="1353">
                  <c:v>0.26613543830990238</c:v>
                </c:pt>
                <c:pt idx="1354">
                  <c:v>0.26619247447979433</c:v>
                </c:pt>
                <c:pt idx="1355">
                  <c:v>0.26620540719977726</c:v>
                </c:pt>
                <c:pt idx="1356">
                  <c:v>0.26638907092819863</c:v>
                </c:pt>
                <c:pt idx="1357">
                  <c:v>0.26641066866523033</c:v>
                </c:pt>
                <c:pt idx="1358">
                  <c:v>0.26655799020591076</c:v>
                </c:pt>
                <c:pt idx="1359">
                  <c:v>0.26658130734904262</c:v>
                </c:pt>
                <c:pt idx="1360">
                  <c:v>0.26681686059782805</c:v>
                </c:pt>
                <c:pt idx="1361">
                  <c:v>0.26739194810943445</c:v>
                </c:pt>
                <c:pt idx="1362">
                  <c:v>0.26825685639505537</c:v>
                </c:pt>
                <c:pt idx="1363">
                  <c:v>0.26827593700090802</c:v>
                </c:pt>
                <c:pt idx="1364">
                  <c:v>0.26834528722429241</c:v>
                </c:pt>
                <c:pt idx="1365">
                  <c:v>0.26835434687927773</c:v>
                </c:pt>
                <c:pt idx="1366">
                  <c:v>0.26858207689929259</c:v>
                </c:pt>
                <c:pt idx="1367">
                  <c:v>0.26865399640428222</c:v>
                </c:pt>
                <c:pt idx="1368">
                  <c:v>0.26884380674346176</c:v>
                </c:pt>
                <c:pt idx="1369">
                  <c:v>0.26904036249106866</c:v>
                </c:pt>
                <c:pt idx="1370">
                  <c:v>0.26906592915474903</c:v>
                </c:pt>
                <c:pt idx="1371">
                  <c:v>0.26916737936335267</c:v>
                </c:pt>
                <c:pt idx="1372">
                  <c:v>0.26937082180120342</c:v>
                </c:pt>
                <c:pt idx="1373">
                  <c:v>0.26971331514050689</c:v>
                </c:pt>
                <c:pt idx="1374">
                  <c:v>0.26982698530355265</c:v>
                </c:pt>
                <c:pt idx="1375">
                  <c:v>0.27002488187463314</c:v>
                </c:pt>
                <c:pt idx="1376">
                  <c:v>0.27011096718888439</c:v>
                </c:pt>
                <c:pt idx="1377">
                  <c:v>0.27018416809369228</c:v>
                </c:pt>
                <c:pt idx="1378">
                  <c:v>0.27082321033867629</c:v>
                </c:pt>
                <c:pt idx="1379">
                  <c:v>0.27086514799066208</c:v>
                </c:pt>
                <c:pt idx="1380">
                  <c:v>0.2711063243023375</c:v>
                </c:pt>
                <c:pt idx="1381">
                  <c:v>0.27111268027147162</c:v>
                </c:pt>
                <c:pt idx="1382">
                  <c:v>0.27113960713904817</c:v>
                </c:pt>
                <c:pt idx="1383">
                  <c:v>0.27143809264543961</c:v>
                </c:pt>
                <c:pt idx="1384">
                  <c:v>0.2715354794590894</c:v>
                </c:pt>
                <c:pt idx="1385">
                  <c:v>0.2715482098656139</c:v>
                </c:pt>
                <c:pt idx="1386">
                  <c:v>0.27210805627601076</c:v>
                </c:pt>
                <c:pt idx="1387">
                  <c:v>0.27224961785486812</c:v>
                </c:pt>
                <c:pt idx="1388">
                  <c:v>0.27233044345666713</c:v>
                </c:pt>
                <c:pt idx="1389">
                  <c:v>0.27235809138801415</c:v>
                </c:pt>
                <c:pt idx="1390">
                  <c:v>0.27275596435174521</c:v>
                </c:pt>
                <c:pt idx="1391">
                  <c:v>0.27309138426426216</c:v>
                </c:pt>
                <c:pt idx="1392">
                  <c:v>0.27385392500036687</c:v>
                </c:pt>
                <c:pt idx="1393">
                  <c:v>0.27385778809821204</c:v>
                </c:pt>
                <c:pt idx="1394">
                  <c:v>0.27450275682622305</c:v>
                </c:pt>
                <c:pt idx="1395">
                  <c:v>0.27465414345078898</c:v>
                </c:pt>
                <c:pt idx="1396">
                  <c:v>0.27491434874264087</c:v>
                </c:pt>
                <c:pt idx="1397">
                  <c:v>0.27516655755425745</c:v>
                </c:pt>
                <c:pt idx="1398">
                  <c:v>0.27543674984462996</c:v>
                </c:pt>
                <c:pt idx="1399">
                  <c:v>0.27547094685451157</c:v>
                </c:pt>
                <c:pt idx="1400">
                  <c:v>0.27594376472825388</c:v>
                </c:pt>
                <c:pt idx="1401">
                  <c:v>0.27609617764755967</c:v>
                </c:pt>
                <c:pt idx="1402">
                  <c:v>0.2761110135470517</c:v>
                </c:pt>
                <c:pt idx="1403">
                  <c:v>0.27625171868749021</c:v>
                </c:pt>
                <c:pt idx="1404">
                  <c:v>0.27656595764165104</c:v>
                </c:pt>
                <c:pt idx="1405">
                  <c:v>0.27702198481438245</c:v>
                </c:pt>
                <c:pt idx="1406">
                  <c:v>0.27706440664951515</c:v>
                </c:pt>
                <c:pt idx="1407">
                  <c:v>0.27715663905111398</c:v>
                </c:pt>
                <c:pt idx="1408">
                  <c:v>0.2775615886775995</c:v>
                </c:pt>
                <c:pt idx="1409">
                  <c:v>0.27783336704578687</c:v>
                </c:pt>
                <c:pt idx="1410">
                  <c:v>0.27794938789247681</c:v>
                </c:pt>
                <c:pt idx="1411">
                  <c:v>0.27798846748009964</c:v>
                </c:pt>
                <c:pt idx="1412">
                  <c:v>0.27801783735412755</c:v>
                </c:pt>
                <c:pt idx="1413">
                  <c:v>0.27814802316700593</c:v>
                </c:pt>
                <c:pt idx="1414">
                  <c:v>0.2781809664247703</c:v>
                </c:pt>
                <c:pt idx="1415">
                  <c:v>0.2782936008179604</c:v>
                </c:pt>
                <c:pt idx="1416">
                  <c:v>0.27856266876916891</c:v>
                </c:pt>
                <c:pt idx="1417">
                  <c:v>0.27884911173168803</c:v>
                </c:pt>
                <c:pt idx="1418">
                  <c:v>0.27942601232007291</c:v>
                </c:pt>
                <c:pt idx="1419">
                  <c:v>0.27978093552519567</c:v>
                </c:pt>
                <c:pt idx="1420">
                  <c:v>0.27997995596797409</c:v>
                </c:pt>
                <c:pt idx="1421">
                  <c:v>0.27999726924645074</c:v>
                </c:pt>
                <c:pt idx="1422">
                  <c:v>0.28010126056142326</c:v>
                </c:pt>
                <c:pt idx="1423">
                  <c:v>0.28024890134383895</c:v>
                </c:pt>
                <c:pt idx="1424">
                  <c:v>0.28035332215586095</c:v>
                </c:pt>
                <c:pt idx="1425">
                  <c:v>0.2804002650491384</c:v>
                </c:pt>
                <c:pt idx="1426">
                  <c:v>0.28063931027281797</c:v>
                </c:pt>
                <c:pt idx="1427">
                  <c:v>0.28113830740767298</c:v>
                </c:pt>
                <c:pt idx="1428">
                  <c:v>0.2811506132266004</c:v>
                </c:pt>
                <c:pt idx="1429">
                  <c:v>0.28132870302124502</c:v>
                </c:pt>
                <c:pt idx="1430">
                  <c:v>0.28145596751892299</c:v>
                </c:pt>
                <c:pt idx="1431">
                  <c:v>0.28169066768805351</c:v>
                </c:pt>
                <c:pt idx="1432">
                  <c:v>0.28196000699244905</c:v>
                </c:pt>
                <c:pt idx="1433">
                  <c:v>0.28200814927913598</c:v>
                </c:pt>
                <c:pt idx="1434">
                  <c:v>0.28201745882688556</c:v>
                </c:pt>
                <c:pt idx="1435">
                  <c:v>0.2820890533093916</c:v>
                </c:pt>
                <c:pt idx="1436">
                  <c:v>0.28222068171726278</c:v>
                </c:pt>
                <c:pt idx="1437">
                  <c:v>0.28309930306750175</c:v>
                </c:pt>
                <c:pt idx="1438">
                  <c:v>0.2832370176583936</c:v>
                </c:pt>
                <c:pt idx="1439">
                  <c:v>0.28333518180352257</c:v>
                </c:pt>
                <c:pt idx="1440">
                  <c:v>0.28398203332380945</c:v>
                </c:pt>
                <c:pt idx="1441">
                  <c:v>0.28434144068614842</c:v>
                </c:pt>
                <c:pt idx="1442">
                  <c:v>0.28451868754200405</c:v>
                </c:pt>
                <c:pt idx="1443">
                  <c:v>0.28478810545402666</c:v>
                </c:pt>
                <c:pt idx="1444">
                  <c:v>0.2848681904060868</c:v>
                </c:pt>
                <c:pt idx="1445">
                  <c:v>0.28519867052000336</c:v>
                </c:pt>
                <c:pt idx="1446">
                  <c:v>0.28521784263557493</c:v>
                </c:pt>
                <c:pt idx="1447">
                  <c:v>0.28524255255524622</c:v>
                </c:pt>
                <c:pt idx="1448">
                  <c:v>0.28528113104493968</c:v>
                </c:pt>
                <c:pt idx="1449">
                  <c:v>0.28596973211733712</c:v>
                </c:pt>
                <c:pt idx="1450">
                  <c:v>0.28613845951349504</c:v>
                </c:pt>
                <c:pt idx="1451">
                  <c:v>0.28663686423897161</c:v>
                </c:pt>
                <c:pt idx="1452">
                  <c:v>0.28712861157691805</c:v>
                </c:pt>
                <c:pt idx="1453">
                  <c:v>0.287276627220308</c:v>
                </c:pt>
                <c:pt idx="1454">
                  <c:v>0.28732493571806117</c:v>
                </c:pt>
                <c:pt idx="1455">
                  <c:v>0.28782841135216586</c:v>
                </c:pt>
                <c:pt idx="1456">
                  <c:v>0.28802297074071248</c:v>
                </c:pt>
                <c:pt idx="1457">
                  <c:v>0.28806698413427512</c:v>
                </c:pt>
                <c:pt idx="1458">
                  <c:v>0.28829920046155166</c:v>
                </c:pt>
                <c:pt idx="1459">
                  <c:v>0.28843694533316011</c:v>
                </c:pt>
                <c:pt idx="1460">
                  <c:v>0.28881979163270444</c:v>
                </c:pt>
                <c:pt idx="1461">
                  <c:v>0.28887043332633766</c:v>
                </c:pt>
                <c:pt idx="1462">
                  <c:v>0.28931390234720311</c:v>
                </c:pt>
                <c:pt idx="1463">
                  <c:v>0.28960828519029747</c:v>
                </c:pt>
                <c:pt idx="1464">
                  <c:v>0.28970769205170654</c:v>
                </c:pt>
                <c:pt idx="1465">
                  <c:v>0.28998087784384552</c:v>
                </c:pt>
                <c:pt idx="1466">
                  <c:v>0.28999375134571892</c:v>
                </c:pt>
                <c:pt idx="1467">
                  <c:v>0.29018890257339081</c:v>
                </c:pt>
                <c:pt idx="1468">
                  <c:v>0.29152924282152526</c:v>
                </c:pt>
                <c:pt idx="1469">
                  <c:v>0.29157110725009261</c:v>
                </c:pt>
                <c:pt idx="1470">
                  <c:v>0.29163796886496129</c:v>
                </c:pt>
                <c:pt idx="1471">
                  <c:v>0.29174213360238355</c:v>
                </c:pt>
                <c:pt idx="1472">
                  <c:v>0.29216527895732725</c:v>
                </c:pt>
                <c:pt idx="1473">
                  <c:v>0.29238682348204748</c:v>
                </c:pt>
                <c:pt idx="1474">
                  <c:v>0.29267301493928244</c:v>
                </c:pt>
                <c:pt idx="1475">
                  <c:v>0.2929309785595251</c:v>
                </c:pt>
                <c:pt idx="1476">
                  <c:v>0.29331593640654319</c:v>
                </c:pt>
                <c:pt idx="1477">
                  <c:v>0.29344419706467306</c:v>
                </c:pt>
                <c:pt idx="1478">
                  <c:v>0.29376513951683592</c:v>
                </c:pt>
                <c:pt idx="1479">
                  <c:v>0.29389918749529897</c:v>
                </c:pt>
                <c:pt idx="1480">
                  <c:v>0.29390518684886047</c:v>
                </c:pt>
                <c:pt idx="1481">
                  <c:v>0.2945206734148087</c:v>
                </c:pt>
                <c:pt idx="1482">
                  <c:v>0.2948689180184374</c:v>
                </c:pt>
                <c:pt idx="1483">
                  <c:v>0.29491161674468458</c:v>
                </c:pt>
                <c:pt idx="1484">
                  <c:v>0.29524323795340024</c:v>
                </c:pt>
                <c:pt idx="1485">
                  <c:v>0.29525396257122338</c:v>
                </c:pt>
                <c:pt idx="1486">
                  <c:v>0.29536248909334972</c:v>
                </c:pt>
                <c:pt idx="1487">
                  <c:v>0.29577951726423635</c:v>
                </c:pt>
                <c:pt idx="1488">
                  <c:v>0.29589859878433344</c:v>
                </c:pt>
                <c:pt idx="1489">
                  <c:v>0.29607874632984021</c:v>
                </c:pt>
                <c:pt idx="1490">
                  <c:v>0.29618941211356287</c:v>
                </c:pt>
                <c:pt idx="1491">
                  <c:v>0.29675110502377322</c:v>
                </c:pt>
                <c:pt idx="1492">
                  <c:v>0.29698023622677283</c:v>
                </c:pt>
                <c:pt idx="1493">
                  <c:v>0.2971050131454831</c:v>
                </c:pt>
                <c:pt idx="1494">
                  <c:v>0.29730513862523367</c:v>
                </c:pt>
                <c:pt idx="1495">
                  <c:v>0.29732371242971567</c:v>
                </c:pt>
                <c:pt idx="1496">
                  <c:v>0.29738159102271311</c:v>
                </c:pt>
                <c:pt idx="1497">
                  <c:v>0.29755707009007892</c:v>
                </c:pt>
                <c:pt idx="1498">
                  <c:v>0.2975937706660261</c:v>
                </c:pt>
                <c:pt idx="1499">
                  <c:v>0.29796830561463139</c:v>
                </c:pt>
                <c:pt idx="1500">
                  <c:v>0.29806312617620279</c:v>
                </c:pt>
                <c:pt idx="1501">
                  <c:v>0.29809136569565453</c:v>
                </c:pt>
                <c:pt idx="1502">
                  <c:v>0.29822621402763616</c:v>
                </c:pt>
                <c:pt idx="1503">
                  <c:v>0.29838015396671835</c:v>
                </c:pt>
                <c:pt idx="1504">
                  <c:v>0.29876261418303329</c:v>
                </c:pt>
                <c:pt idx="1505">
                  <c:v>0.29916644688637462</c:v>
                </c:pt>
                <c:pt idx="1506">
                  <c:v>0.29928340318019764</c:v>
                </c:pt>
                <c:pt idx="1507">
                  <c:v>0.29936498461393057</c:v>
                </c:pt>
                <c:pt idx="1508">
                  <c:v>0.2993778862637555</c:v>
                </c:pt>
                <c:pt idx="1509">
                  <c:v>0.29949178134302201</c:v>
                </c:pt>
                <c:pt idx="1510">
                  <c:v>0.29951859446646267</c:v>
                </c:pt>
                <c:pt idx="1511">
                  <c:v>0.29999054036488815</c:v>
                </c:pt>
                <c:pt idx="1512">
                  <c:v>0.30009022810372699</c:v>
                </c:pt>
                <c:pt idx="1513">
                  <c:v>0.30023545861695311</c:v>
                </c:pt>
                <c:pt idx="1514">
                  <c:v>0.30088624809013709</c:v>
                </c:pt>
                <c:pt idx="1515">
                  <c:v>0.30100541130741476</c:v>
                </c:pt>
                <c:pt idx="1516">
                  <c:v>0.30139459522890277</c:v>
                </c:pt>
                <c:pt idx="1517">
                  <c:v>0.30141509048735315</c:v>
                </c:pt>
                <c:pt idx="1518">
                  <c:v>0.30149426267144008</c:v>
                </c:pt>
                <c:pt idx="1519">
                  <c:v>0.30177134979203402</c:v>
                </c:pt>
                <c:pt idx="1520">
                  <c:v>0.30255402616876381</c:v>
                </c:pt>
                <c:pt idx="1521">
                  <c:v>0.30266524336093426</c:v>
                </c:pt>
                <c:pt idx="1522">
                  <c:v>0.30271509683188924</c:v>
                </c:pt>
                <c:pt idx="1523">
                  <c:v>0.30324538035984006</c:v>
                </c:pt>
                <c:pt idx="1524">
                  <c:v>0.30326130469893542</c:v>
                </c:pt>
                <c:pt idx="1525">
                  <c:v>0.30375900389481103</c:v>
                </c:pt>
                <c:pt idx="1526">
                  <c:v>0.30396766894136817</c:v>
                </c:pt>
                <c:pt idx="1527">
                  <c:v>0.30412700528449932</c:v>
                </c:pt>
                <c:pt idx="1528">
                  <c:v>0.30414642115829338</c:v>
                </c:pt>
                <c:pt idx="1529">
                  <c:v>0.30417944716555212</c:v>
                </c:pt>
                <c:pt idx="1530">
                  <c:v>0.3042366537711132</c:v>
                </c:pt>
                <c:pt idx="1531">
                  <c:v>0.30446289760766376</c:v>
                </c:pt>
                <c:pt idx="1532">
                  <c:v>0.30453576867148513</c:v>
                </c:pt>
                <c:pt idx="1533">
                  <c:v>0.30528474038965214</c:v>
                </c:pt>
                <c:pt idx="1534">
                  <c:v>0.3052980279599069</c:v>
                </c:pt>
                <c:pt idx="1535">
                  <c:v>0.30547357724481117</c:v>
                </c:pt>
                <c:pt idx="1536">
                  <c:v>0.30555441671003791</c:v>
                </c:pt>
                <c:pt idx="1537">
                  <c:v>0.30595573882601457</c:v>
                </c:pt>
                <c:pt idx="1538">
                  <c:v>0.3060222415251701</c:v>
                </c:pt>
                <c:pt idx="1539">
                  <c:v>0.30617017143049452</c:v>
                </c:pt>
                <c:pt idx="1540">
                  <c:v>0.30639678038096463</c:v>
                </c:pt>
                <c:pt idx="1541">
                  <c:v>0.30647626905556535</c:v>
                </c:pt>
                <c:pt idx="1542">
                  <c:v>0.30659760966591421</c:v>
                </c:pt>
                <c:pt idx="1543">
                  <c:v>0.30691055584247806</c:v>
                </c:pt>
                <c:pt idx="1544">
                  <c:v>0.3069377456604343</c:v>
                </c:pt>
                <c:pt idx="1545">
                  <c:v>0.30708580008649733</c:v>
                </c:pt>
                <c:pt idx="1546">
                  <c:v>0.30729511653953523</c:v>
                </c:pt>
                <c:pt idx="1547">
                  <c:v>0.30762165880560133</c:v>
                </c:pt>
                <c:pt idx="1548">
                  <c:v>0.30779354005608184</c:v>
                </c:pt>
                <c:pt idx="1549">
                  <c:v>0.30791164067704813</c:v>
                </c:pt>
                <c:pt idx="1550">
                  <c:v>0.30809889784723055</c:v>
                </c:pt>
                <c:pt idx="1551">
                  <c:v>0.30838419899464498</c:v>
                </c:pt>
                <c:pt idx="1552">
                  <c:v>0.30870219053576875</c:v>
                </c:pt>
                <c:pt idx="1553">
                  <c:v>0.30911379850749654</c:v>
                </c:pt>
                <c:pt idx="1554">
                  <c:v>0.30917460442287847</c:v>
                </c:pt>
                <c:pt idx="1555">
                  <c:v>0.30923472530685103</c:v>
                </c:pt>
                <c:pt idx="1556">
                  <c:v>0.30930423734480428</c:v>
                </c:pt>
                <c:pt idx="1557">
                  <c:v>0.30981514617087669</c:v>
                </c:pt>
                <c:pt idx="1558">
                  <c:v>0.31004081685296114</c:v>
                </c:pt>
                <c:pt idx="1559">
                  <c:v>0.31004876102088019</c:v>
                </c:pt>
                <c:pt idx="1560">
                  <c:v>0.3100651151717102</c:v>
                </c:pt>
                <c:pt idx="1561">
                  <c:v>0.31016208446726523</c:v>
                </c:pt>
                <c:pt idx="1562">
                  <c:v>0.31046484550552123</c:v>
                </c:pt>
                <c:pt idx="1563">
                  <c:v>0.31073750173436565</c:v>
                </c:pt>
                <c:pt idx="1564">
                  <c:v>0.3109298793342532</c:v>
                </c:pt>
                <c:pt idx="1565">
                  <c:v>0.31093291551405855</c:v>
                </c:pt>
                <c:pt idx="1566">
                  <c:v>0.31118820690974758</c:v>
                </c:pt>
                <c:pt idx="1567">
                  <c:v>0.31134004672276205</c:v>
                </c:pt>
                <c:pt idx="1568">
                  <c:v>0.3115199386702443</c:v>
                </c:pt>
                <c:pt idx="1569">
                  <c:v>0.3117126887991617</c:v>
                </c:pt>
                <c:pt idx="1570">
                  <c:v>0.31172593363680789</c:v>
                </c:pt>
                <c:pt idx="1571">
                  <c:v>0.31174306631146464</c:v>
                </c:pt>
                <c:pt idx="1572">
                  <c:v>0.31178074392755661</c:v>
                </c:pt>
                <c:pt idx="1573">
                  <c:v>0.31193605441148975</c:v>
                </c:pt>
                <c:pt idx="1574">
                  <c:v>0.31200430927128764</c:v>
                </c:pt>
                <c:pt idx="1575">
                  <c:v>0.31258274191259261</c:v>
                </c:pt>
                <c:pt idx="1576">
                  <c:v>0.3127706567693167</c:v>
                </c:pt>
                <c:pt idx="1577">
                  <c:v>0.31277755296832765</c:v>
                </c:pt>
                <c:pt idx="1578">
                  <c:v>0.3128444804551691</c:v>
                </c:pt>
                <c:pt idx="1579">
                  <c:v>0.31329309671218653</c:v>
                </c:pt>
                <c:pt idx="1580">
                  <c:v>0.31345178889932868</c:v>
                </c:pt>
                <c:pt idx="1581">
                  <c:v>0.31360721838973404</c:v>
                </c:pt>
                <c:pt idx="1582">
                  <c:v>0.31360995139402803</c:v>
                </c:pt>
                <c:pt idx="1583">
                  <c:v>0.31364401403152442</c:v>
                </c:pt>
                <c:pt idx="1584">
                  <c:v>0.31409862947111833</c:v>
                </c:pt>
                <c:pt idx="1585">
                  <c:v>0.3143067571309075</c:v>
                </c:pt>
                <c:pt idx="1586">
                  <c:v>0.31434515520416539</c:v>
                </c:pt>
                <c:pt idx="1587">
                  <c:v>0.31503004976548254</c:v>
                </c:pt>
                <c:pt idx="1588">
                  <c:v>0.31606510381425323</c:v>
                </c:pt>
                <c:pt idx="1589">
                  <c:v>0.3163413302772824</c:v>
                </c:pt>
                <c:pt idx="1590">
                  <c:v>0.31656254877725587</c:v>
                </c:pt>
                <c:pt idx="1591">
                  <c:v>0.31656845082125074</c:v>
                </c:pt>
                <c:pt idx="1592">
                  <c:v>0.31670206507806142</c:v>
                </c:pt>
                <c:pt idx="1593">
                  <c:v>0.31711606523822411</c:v>
                </c:pt>
                <c:pt idx="1594">
                  <c:v>0.31722589250239253</c:v>
                </c:pt>
                <c:pt idx="1595">
                  <c:v>0.31750269584063062</c:v>
                </c:pt>
                <c:pt idx="1596">
                  <c:v>0.31798003452786361</c:v>
                </c:pt>
                <c:pt idx="1597">
                  <c:v>0.31809305333263183</c:v>
                </c:pt>
                <c:pt idx="1598">
                  <c:v>0.31827230257567862</c:v>
                </c:pt>
                <c:pt idx="1599">
                  <c:v>0.31842671231424902</c:v>
                </c:pt>
                <c:pt idx="1600">
                  <c:v>0.31859138085656014</c:v>
                </c:pt>
                <c:pt idx="1601">
                  <c:v>0.31876698220003163</c:v>
                </c:pt>
                <c:pt idx="1602">
                  <c:v>0.31876698610176391</c:v>
                </c:pt>
                <c:pt idx="1603">
                  <c:v>0.31891426546008006</c:v>
                </c:pt>
                <c:pt idx="1604">
                  <c:v>0.31906534892368654</c:v>
                </c:pt>
                <c:pt idx="1605">
                  <c:v>0.31966339994687587</c:v>
                </c:pt>
                <c:pt idx="1606">
                  <c:v>0.31970036135498958</c:v>
                </c:pt>
                <c:pt idx="1607">
                  <c:v>0.31982867584522978</c:v>
                </c:pt>
                <c:pt idx="1608">
                  <c:v>0.31990849752583017</c:v>
                </c:pt>
                <c:pt idx="1609">
                  <c:v>0.32002664073206688</c:v>
                </c:pt>
                <c:pt idx="1610">
                  <c:v>0.32012982732339879</c:v>
                </c:pt>
                <c:pt idx="1611">
                  <c:v>0.32025281822552643</c:v>
                </c:pt>
                <c:pt idx="1612">
                  <c:v>0.32032680828797311</c:v>
                </c:pt>
                <c:pt idx="1613">
                  <c:v>0.32056077623929013</c:v>
                </c:pt>
                <c:pt idx="1614">
                  <c:v>0.32070179162838031</c:v>
                </c:pt>
                <c:pt idx="1615">
                  <c:v>0.3209711004546989</c:v>
                </c:pt>
                <c:pt idx="1616">
                  <c:v>0.32113755860427773</c:v>
                </c:pt>
                <c:pt idx="1617">
                  <c:v>0.32122934315157181</c:v>
                </c:pt>
                <c:pt idx="1618">
                  <c:v>0.32124197030407231</c:v>
                </c:pt>
                <c:pt idx="1619">
                  <c:v>0.32130219677401328</c:v>
                </c:pt>
                <c:pt idx="1620">
                  <c:v>0.32172185269791953</c:v>
                </c:pt>
                <c:pt idx="1621">
                  <c:v>0.32211113999346708</c:v>
                </c:pt>
                <c:pt idx="1622">
                  <c:v>0.32230236961004266</c:v>
                </c:pt>
                <c:pt idx="1623">
                  <c:v>0.3223514204573803</c:v>
                </c:pt>
                <c:pt idx="1624">
                  <c:v>0.32244580345923168</c:v>
                </c:pt>
                <c:pt idx="1625">
                  <c:v>0.32269401615576498</c:v>
                </c:pt>
                <c:pt idx="1626">
                  <c:v>0.32298507486575545</c:v>
                </c:pt>
                <c:pt idx="1627">
                  <c:v>0.32299207727919566</c:v>
                </c:pt>
                <c:pt idx="1628">
                  <c:v>0.3231657894593809</c:v>
                </c:pt>
                <c:pt idx="1629">
                  <c:v>0.32327889777661767</c:v>
                </c:pt>
                <c:pt idx="1630">
                  <c:v>0.32353699923896784</c:v>
                </c:pt>
                <c:pt idx="1631">
                  <c:v>0.32372387987379625</c:v>
                </c:pt>
                <c:pt idx="1632">
                  <c:v>0.3240766451735908</c:v>
                </c:pt>
                <c:pt idx="1633">
                  <c:v>0.32424634961716947</c:v>
                </c:pt>
                <c:pt idx="1634">
                  <c:v>0.32461541638349445</c:v>
                </c:pt>
                <c:pt idx="1635">
                  <c:v>0.32499389206532214</c:v>
                </c:pt>
                <c:pt idx="1636">
                  <c:v>0.32505386153115978</c:v>
                </c:pt>
                <c:pt idx="1637">
                  <c:v>0.32562772864912404</c:v>
                </c:pt>
                <c:pt idx="1638">
                  <c:v>0.3256896791035615</c:v>
                </c:pt>
                <c:pt idx="1639">
                  <c:v>0.32576974448056717</c:v>
                </c:pt>
                <c:pt idx="1640">
                  <c:v>0.32591992121706426</c:v>
                </c:pt>
                <c:pt idx="1641">
                  <c:v>0.32595362377560377</c:v>
                </c:pt>
                <c:pt idx="1642">
                  <c:v>0.32599184926766611</c:v>
                </c:pt>
                <c:pt idx="1643">
                  <c:v>0.32611705383351364</c:v>
                </c:pt>
                <c:pt idx="1644">
                  <c:v>0.32612406150383322</c:v>
                </c:pt>
                <c:pt idx="1645">
                  <c:v>0.32615005956085952</c:v>
                </c:pt>
                <c:pt idx="1646">
                  <c:v>0.32628636063782324</c:v>
                </c:pt>
                <c:pt idx="1647">
                  <c:v>0.3264224997283236</c:v>
                </c:pt>
                <c:pt idx="1648">
                  <c:v>0.32660615203258203</c:v>
                </c:pt>
                <c:pt idx="1649">
                  <c:v>0.32674147729630931</c:v>
                </c:pt>
                <c:pt idx="1650">
                  <c:v>0.32697520067722508</c:v>
                </c:pt>
                <c:pt idx="1651">
                  <c:v>0.32700473666136531</c:v>
                </c:pt>
                <c:pt idx="1652">
                  <c:v>0.32790479040158971</c:v>
                </c:pt>
                <c:pt idx="1653">
                  <c:v>0.32809865674971661</c:v>
                </c:pt>
                <c:pt idx="1654">
                  <c:v>0.32819880251372524</c:v>
                </c:pt>
                <c:pt idx="1655">
                  <c:v>0.32843378293455316</c:v>
                </c:pt>
                <c:pt idx="1656">
                  <c:v>0.32850141452581738</c:v>
                </c:pt>
                <c:pt idx="1657">
                  <c:v>0.32858262438185193</c:v>
                </c:pt>
                <c:pt idx="1658">
                  <c:v>0.32866410062615614</c:v>
                </c:pt>
                <c:pt idx="1659">
                  <c:v>0.32904360580323555</c:v>
                </c:pt>
                <c:pt idx="1660">
                  <c:v>0.32905933216079575</c:v>
                </c:pt>
                <c:pt idx="1661">
                  <c:v>0.32937900869910663</c:v>
                </c:pt>
                <c:pt idx="1662">
                  <c:v>0.32941558591119247</c:v>
                </c:pt>
                <c:pt idx="1663">
                  <c:v>0.32951161597338796</c:v>
                </c:pt>
                <c:pt idx="1664">
                  <c:v>0.32988239777296258</c:v>
                </c:pt>
                <c:pt idx="1665">
                  <c:v>0.33017067774744646</c:v>
                </c:pt>
                <c:pt idx="1666">
                  <c:v>0.33026256752236804</c:v>
                </c:pt>
                <c:pt idx="1667">
                  <c:v>0.33108169419483602</c:v>
                </c:pt>
                <c:pt idx="1668">
                  <c:v>0.33135213765582705</c:v>
                </c:pt>
                <c:pt idx="1669">
                  <c:v>0.33169974662723689</c:v>
                </c:pt>
                <c:pt idx="1670">
                  <c:v>0.33188637724835601</c:v>
                </c:pt>
                <c:pt idx="1671">
                  <c:v>0.33196973936446739</c:v>
                </c:pt>
                <c:pt idx="1672">
                  <c:v>0.33213064516166924</c:v>
                </c:pt>
                <c:pt idx="1673">
                  <c:v>0.33220589887423557</c:v>
                </c:pt>
                <c:pt idx="1674">
                  <c:v>0.33247494092393026</c:v>
                </c:pt>
                <c:pt idx="1675">
                  <c:v>0.33294476977971499</c:v>
                </c:pt>
                <c:pt idx="1676">
                  <c:v>0.33311793722168659</c:v>
                </c:pt>
                <c:pt idx="1677">
                  <c:v>0.3331753833563198</c:v>
                </c:pt>
                <c:pt idx="1678">
                  <c:v>0.3333855374248742</c:v>
                </c:pt>
                <c:pt idx="1679">
                  <c:v>0.33345938089314586</c:v>
                </c:pt>
                <c:pt idx="1680">
                  <c:v>0.33350778304156847</c:v>
                </c:pt>
                <c:pt idx="1681">
                  <c:v>0.33367410380833462</c:v>
                </c:pt>
                <c:pt idx="1682">
                  <c:v>0.33374267124690959</c:v>
                </c:pt>
                <c:pt idx="1683">
                  <c:v>0.33395531684982416</c:v>
                </c:pt>
                <c:pt idx="1684">
                  <c:v>0.33399735749389947</c:v>
                </c:pt>
                <c:pt idx="1685">
                  <c:v>0.33416154701899359</c:v>
                </c:pt>
                <c:pt idx="1686">
                  <c:v>0.3345507830463248</c:v>
                </c:pt>
                <c:pt idx="1687">
                  <c:v>0.33464810052919347</c:v>
                </c:pt>
                <c:pt idx="1688">
                  <c:v>0.33468500867820694</c:v>
                </c:pt>
                <c:pt idx="1689">
                  <c:v>0.33479032797276886</c:v>
                </c:pt>
                <c:pt idx="1690">
                  <c:v>0.33482993594407162</c:v>
                </c:pt>
                <c:pt idx="1691">
                  <c:v>0.33497836802052916</c:v>
                </c:pt>
                <c:pt idx="1692">
                  <c:v>0.33555715341935866</c:v>
                </c:pt>
                <c:pt idx="1693">
                  <c:v>0.3357033007487189</c:v>
                </c:pt>
                <c:pt idx="1694">
                  <c:v>0.33586238116367895</c:v>
                </c:pt>
                <c:pt idx="1695">
                  <c:v>0.33626379094857839</c:v>
                </c:pt>
                <c:pt idx="1696">
                  <c:v>0.33670828028152755</c:v>
                </c:pt>
                <c:pt idx="1697">
                  <c:v>0.33709003466719878</c:v>
                </c:pt>
                <c:pt idx="1698">
                  <c:v>0.33717511072609341</c:v>
                </c:pt>
                <c:pt idx="1699">
                  <c:v>0.33728762711507443</c:v>
                </c:pt>
                <c:pt idx="1700">
                  <c:v>0.33738394733336463</c:v>
                </c:pt>
                <c:pt idx="1701">
                  <c:v>0.33738922030715912</c:v>
                </c:pt>
                <c:pt idx="1702">
                  <c:v>0.33780045005732973</c:v>
                </c:pt>
                <c:pt idx="1703">
                  <c:v>0.3379516522081758</c:v>
                </c:pt>
                <c:pt idx="1704">
                  <c:v>0.33798503765683563</c:v>
                </c:pt>
                <c:pt idx="1705">
                  <c:v>0.33811707465611107</c:v>
                </c:pt>
                <c:pt idx="1706">
                  <c:v>0.33813790483145567</c:v>
                </c:pt>
                <c:pt idx="1707">
                  <c:v>0.33821471301325801</c:v>
                </c:pt>
                <c:pt idx="1708">
                  <c:v>0.33825631019138314</c:v>
                </c:pt>
                <c:pt idx="1709">
                  <c:v>0.33831218274553976</c:v>
                </c:pt>
                <c:pt idx="1710">
                  <c:v>0.3383829050908389</c:v>
                </c:pt>
                <c:pt idx="1711">
                  <c:v>0.33873433095777727</c:v>
                </c:pt>
                <c:pt idx="1712">
                  <c:v>0.33886255708421231</c:v>
                </c:pt>
                <c:pt idx="1713">
                  <c:v>0.33890946153132973</c:v>
                </c:pt>
                <c:pt idx="1714">
                  <c:v>0.3390957743549734</c:v>
                </c:pt>
                <c:pt idx="1715">
                  <c:v>0.33912171397605562</c:v>
                </c:pt>
                <c:pt idx="1716">
                  <c:v>0.33916401701935683</c:v>
                </c:pt>
                <c:pt idx="1717">
                  <c:v>0.33942898665281973</c:v>
                </c:pt>
                <c:pt idx="1718">
                  <c:v>0.33957063399248</c:v>
                </c:pt>
                <c:pt idx="1719">
                  <c:v>0.3403210011720148</c:v>
                </c:pt>
                <c:pt idx="1720">
                  <c:v>0.34035137106911861</c:v>
                </c:pt>
                <c:pt idx="1721">
                  <c:v>0.34063147620054224</c:v>
                </c:pt>
                <c:pt idx="1722">
                  <c:v>0.34077273199909541</c:v>
                </c:pt>
                <c:pt idx="1723">
                  <c:v>0.34108743839897215</c:v>
                </c:pt>
                <c:pt idx="1724">
                  <c:v>0.34116886135871027</c:v>
                </c:pt>
                <c:pt idx="1725">
                  <c:v>0.34172463686900301</c:v>
                </c:pt>
                <c:pt idx="1726">
                  <c:v>0.34189944057561661</c:v>
                </c:pt>
                <c:pt idx="1727">
                  <c:v>0.34237479202693066</c:v>
                </c:pt>
                <c:pt idx="1728">
                  <c:v>0.34242610035198595</c:v>
                </c:pt>
                <c:pt idx="1729">
                  <c:v>0.34245575773547898</c:v>
                </c:pt>
                <c:pt idx="1730">
                  <c:v>0.34254279197830328</c:v>
                </c:pt>
                <c:pt idx="1731">
                  <c:v>0.34287731660879217</c:v>
                </c:pt>
                <c:pt idx="1732">
                  <c:v>0.34300044149586029</c:v>
                </c:pt>
                <c:pt idx="1733">
                  <c:v>0.34312779811443761</c:v>
                </c:pt>
                <c:pt idx="1734">
                  <c:v>0.34315223165503994</c:v>
                </c:pt>
                <c:pt idx="1735">
                  <c:v>0.34317426069083012</c:v>
                </c:pt>
                <c:pt idx="1736">
                  <c:v>0.34341162355940469</c:v>
                </c:pt>
                <c:pt idx="1737">
                  <c:v>0.3438234602645025</c:v>
                </c:pt>
                <c:pt idx="1738">
                  <c:v>0.34390031360544526</c:v>
                </c:pt>
                <c:pt idx="1739">
                  <c:v>0.34391030637107178</c:v>
                </c:pt>
                <c:pt idx="1740">
                  <c:v>0.34393213380099041</c:v>
                </c:pt>
                <c:pt idx="1741">
                  <c:v>0.34429170449402591</c:v>
                </c:pt>
                <c:pt idx="1742">
                  <c:v>0.34430182267169585</c:v>
                </c:pt>
                <c:pt idx="1743">
                  <c:v>0.34432842472506309</c:v>
                </c:pt>
                <c:pt idx="1744">
                  <c:v>0.3446611895242313</c:v>
                </c:pt>
                <c:pt idx="1745">
                  <c:v>0.3448124053529682</c:v>
                </c:pt>
                <c:pt idx="1746">
                  <c:v>0.3455997376859159</c:v>
                </c:pt>
                <c:pt idx="1747">
                  <c:v>0.34560943750693696</c:v>
                </c:pt>
                <c:pt idx="1748">
                  <c:v>0.34568028430385311</c:v>
                </c:pt>
                <c:pt idx="1749">
                  <c:v>0.34574031297779584</c:v>
                </c:pt>
                <c:pt idx="1750">
                  <c:v>0.34583272004419996</c:v>
                </c:pt>
                <c:pt idx="1751">
                  <c:v>0.34585624168539653</c:v>
                </c:pt>
                <c:pt idx="1752">
                  <c:v>0.34594987669152033</c:v>
                </c:pt>
                <c:pt idx="1753">
                  <c:v>0.34609274495869613</c:v>
                </c:pt>
                <c:pt idx="1754">
                  <c:v>0.34616213432946097</c:v>
                </c:pt>
                <c:pt idx="1755">
                  <c:v>0.34629666637010814</c:v>
                </c:pt>
                <c:pt idx="1756">
                  <c:v>0.34647402704467822</c:v>
                </c:pt>
                <c:pt idx="1757">
                  <c:v>0.34653210458873218</c:v>
                </c:pt>
                <c:pt idx="1758">
                  <c:v>0.34680162713084428</c:v>
                </c:pt>
                <c:pt idx="1759">
                  <c:v>0.34775204132893123</c:v>
                </c:pt>
                <c:pt idx="1760">
                  <c:v>0.34802411759028473</c:v>
                </c:pt>
                <c:pt idx="1761">
                  <c:v>0.34812018805860134</c:v>
                </c:pt>
                <c:pt idx="1762">
                  <c:v>0.3483894855962717</c:v>
                </c:pt>
                <c:pt idx="1763">
                  <c:v>0.34886122949501441</c:v>
                </c:pt>
                <c:pt idx="1764">
                  <c:v>0.3492620882771007</c:v>
                </c:pt>
                <c:pt idx="1765">
                  <c:v>0.34962182236085937</c:v>
                </c:pt>
                <c:pt idx="1766">
                  <c:v>0.34972462589032105</c:v>
                </c:pt>
                <c:pt idx="1767">
                  <c:v>0.35001355967506242</c:v>
                </c:pt>
                <c:pt idx="1768">
                  <c:v>0.35002074335170619</c:v>
                </c:pt>
                <c:pt idx="1769">
                  <c:v>0.35027910425742448</c:v>
                </c:pt>
                <c:pt idx="1770">
                  <c:v>0.35038256115149125</c:v>
                </c:pt>
                <c:pt idx="1771">
                  <c:v>0.35051066202140646</c:v>
                </c:pt>
                <c:pt idx="1772">
                  <c:v>0.35083063230285916</c:v>
                </c:pt>
                <c:pt idx="1773">
                  <c:v>0.35126532414324174</c:v>
                </c:pt>
                <c:pt idx="1774">
                  <c:v>0.3513833145298122</c:v>
                </c:pt>
                <c:pt idx="1775">
                  <c:v>0.35157746376444265</c:v>
                </c:pt>
                <c:pt idx="1776">
                  <c:v>0.35198507987843186</c:v>
                </c:pt>
                <c:pt idx="1777">
                  <c:v>0.35199272218233091</c:v>
                </c:pt>
                <c:pt idx="1778">
                  <c:v>0.35214378477212449</c:v>
                </c:pt>
                <c:pt idx="1779">
                  <c:v>0.35215235627765651</c:v>
                </c:pt>
                <c:pt idx="1780">
                  <c:v>0.35229415807134501</c:v>
                </c:pt>
                <c:pt idx="1781">
                  <c:v>0.3523357010244581</c:v>
                </c:pt>
                <c:pt idx="1782">
                  <c:v>0.35240211949349032</c:v>
                </c:pt>
                <c:pt idx="1783">
                  <c:v>0.35246572854521219</c:v>
                </c:pt>
                <c:pt idx="1784">
                  <c:v>0.35251116230938351</c:v>
                </c:pt>
                <c:pt idx="1785">
                  <c:v>0.35252644517368026</c:v>
                </c:pt>
                <c:pt idx="1786">
                  <c:v>0.35291069265531405</c:v>
                </c:pt>
                <c:pt idx="1787">
                  <c:v>0.35309705053532525</c:v>
                </c:pt>
                <c:pt idx="1788">
                  <c:v>0.35315155429816514</c:v>
                </c:pt>
                <c:pt idx="1789">
                  <c:v>0.35317429810675094</c:v>
                </c:pt>
                <c:pt idx="1790">
                  <c:v>0.35356790752211964</c:v>
                </c:pt>
                <c:pt idx="1791">
                  <c:v>0.35379333833861892</c:v>
                </c:pt>
                <c:pt idx="1792">
                  <c:v>0.3543106240722409</c:v>
                </c:pt>
                <c:pt idx="1793">
                  <c:v>0.35502396868469077</c:v>
                </c:pt>
                <c:pt idx="1794">
                  <c:v>0.35518959279852425</c:v>
                </c:pt>
                <c:pt idx="1795">
                  <c:v>0.35530564958389732</c:v>
                </c:pt>
                <c:pt idx="1796">
                  <c:v>0.35553158538459684</c:v>
                </c:pt>
                <c:pt idx="1797">
                  <c:v>0.35580916866365442</c:v>
                </c:pt>
                <c:pt idx="1798">
                  <c:v>0.35612546723132255</c:v>
                </c:pt>
                <c:pt idx="1799">
                  <c:v>0.35620031068901881</c:v>
                </c:pt>
                <c:pt idx="1800">
                  <c:v>0.35624560777341685</c:v>
                </c:pt>
                <c:pt idx="1801">
                  <c:v>0.35641077483069239</c:v>
                </c:pt>
                <c:pt idx="1802">
                  <c:v>0.35669694413263642</c:v>
                </c:pt>
                <c:pt idx="1803">
                  <c:v>0.35707318934055365</c:v>
                </c:pt>
                <c:pt idx="1804">
                  <c:v>0.35737141929894278</c:v>
                </c:pt>
                <c:pt idx="1805">
                  <c:v>0.35740871466350654</c:v>
                </c:pt>
                <c:pt idx="1806">
                  <c:v>0.35763532078908611</c:v>
                </c:pt>
                <c:pt idx="1807">
                  <c:v>0.35767604342527193</c:v>
                </c:pt>
                <c:pt idx="1808">
                  <c:v>0.35781098055485927</c:v>
                </c:pt>
                <c:pt idx="1809">
                  <c:v>0.35813331734061649</c:v>
                </c:pt>
                <c:pt idx="1810">
                  <c:v>0.35814428669436893</c:v>
                </c:pt>
                <c:pt idx="1811">
                  <c:v>0.35833850632934627</c:v>
                </c:pt>
                <c:pt idx="1812">
                  <c:v>0.3583608568424097</c:v>
                </c:pt>
                <c:pt idx="1813">
                  <c:v>0.3584953469935499</c:v>
                </c:pt>
                <c:pt idx="1814">
                  <c:v>0.35863069463994179</c:v>
                </c:pt>
                <c:pt idx="1815">
                  <c:v>0.35876566673414345</c:v>
                </c:pt>
                <c:pt idx="1816">
                  <c:v>0.35878255674469983</c:v>
                </c:pt>
                <c:pt idx="1817">
                  <c:v>0.35897813874180429</c:v>
                </c:pt>
                <c:pt idx="1818">
                  <c:v>0.35906551988318824</c:v>
                </c:pt>
                <c:pt idx="1819">
                  <c:v>0.35948468854985549</c:v>
                </c:pt>
                <c:pt idx="1820">
                  <c:v>0.36001319200295256</c:v>
                </c:pt>
                <c:pt idx="1821">
                  <c:v>0.36014608852838137</c:v>
                </c:pt>
                <c:pt idx="1822">
                  <c:v>0.36019943065457483</c:v>
                </c:pt>
                <c:pt idx="1823">
                  <c:v>0.36059500956434931</c:v>
                </c:pt>
                <c:pt idx="1824">
                  <c:v>0.36077678365927568</c:v>
                </c:pt>
                <c:pt idx="1825">
                  <c:v>0.36077916775411722</c:v>
                </c:pt>
                <c:pt idx="1826">
                  <c:v>0.36097685382537748</c:v>
                </c:pt>
                <c:pt idx="1827">
                  <c:v>0.36114647195608995</c:v>
                </c:pt>
                <c:pt idx="1828">
                  <c:v>0.36125675622133713</c:v>
                </c:pt>
                <c:pt idx="1829">
                  <c:v>0.36210469271463808</c:v>
                </c:pt>
                <c:pt idx="1830">
                  <c:v>0.36213345974283584</c:v>
                </c:pt>
                <c:pt idx="1831">
                  <c:v>0.36217330345607479</c:v>
                </c:pt>
                <c:pt idx="1832">
                  <c:v>0.36229787991396734</c:v>
                </c:pt>
                <c:pt idx="1833">
                  <c:v>0.36271910469076829</c:v>
                </c:pt>
                <c:pt idx="1834">
                  <c:v>0.36311947438116476</c:v>
                </c:pt>
                <c:pt idx="1835">
                  <c:v>0.36312629517669848</c:v>
                </c:pt>
                <c:pt idx="1836">
                  <c:v>0.36381068991886423</c:v>
                </c:pt>
                <c:pt idx="1837">
                  <c:v>0.36395489188362262</c:v>
                </c:pt>
                <c:pt idx="1838">
                  <c:v>0.36421682889795193</c:v>
                </c:pt>
                <c:pt idx="1839">
                  <c:v>0.36427251781424275</c:v>
                </c:pt>
                <c:pt idx="1840">
                  <c:v>0.36436411815157044</c:v>
                </c:pt>
                <c:pt idx="1841">
                  <c:v>0.36443064735158259</c:v>
                </c:pt>
                <c:pt idx="1842">
                  <c:v>0.36448420089166689</c:v>
                </c:pt>
                <c:pt idx="1843">
                  <c:v>0.364541526980247</c:v>
                </c:pt>
                <c:pt idx="1844">
                  <c:v>0.36467022247688874</c:v>
                </c:pt>
                <c:pt idx="1845">
                  <c:v>0.36468837929805886</c:v>
                </c:pt>
                <c:pt idx="1846">
                  <c:v>0.36490852901897597</c:v>
                </c:pt>
                <c:pt idx="1847">
                  <c:v>0.36493593569866789</c:v>
                </c:pt>
                <c:pt idx="1848">
                  <c:v>0.36495086968079704</c:v>
                </c:pt>
                <c:pt idx="1849">
                  <c:v>0.36514351181085658</c:v>
                </c:pt>
                <c:pt idx="1850">
                  <c:v>0.36566962177494133</c:v>
                </c:pt>
                <c:pt idx="1851">
                  <c:v>0.36587801873247372</c:v>
                </c:pt>
                <c:pt idx="1852">
                  <c:v>0.36640065638857777</c:v>
                </c:pt>
                <c:pt idx="1853">
                  <c:v>0.36725874970943551</c:v>
                </c:pt>
                <c:pt idx="1854">
                  <c:v>0.36745283666277828</c:v>
                </c:pt>
                <c:pt idx="1855">
                  <c:v>0.36786568837942468</c:v>
                </c:pt>
                <c:pt idx="1856">
                  <c:v>0.36793742698046117</c:v>
                </c:pt>
                <c:pt idx="1857">
                  <c:v>0.36799975314443145</c:v>
                </c:pt>
                <c:pt idx="1858">
                  <c:v>0.36831424766569398</c:v>
                </c:pt>
                <c:pt idx="1859">
                  <c:v>0.36866933758484777</c:v>
                </c:pt>
                <c:pt idx="1860">
                  <c:v>0.36923597670465824</c:v>
                </c:pt>
                <c:pt idx="1861">
                  <c:v>0.36932170452200808</c:v>
                </c:pt>
                <c:pt idx="1862">
                  <c:v>0.36935858817014378</c:v>
                </c:pt>
                <c:pt idx="1863">
                  <c:v>0.3698733905730478</c:v>
                </c:pt>
                <c:pt idx="1864">
                  <c:v>0.36998798776403419</c:v>
                </c:pt>
                <c:pt idx="1865">
                  <c:v>0.37092569932428887</c:v>
                </c:pt>
                <c:pt idx="1866">
                  <c:v>0.37104501249177702</c:v>
                </c:pt>
                <c:pt idx="1867">
                  <c:v>0.37110271846904652</c:v>
                </c:pt>
                <c:pt idx="1868">
                  <c:v>0.37161121663484664</c:v>
                </c:pt>
                <c:pt idx="1869">
                  <c:v>0.37203998065524502</c:v>
                </c:pt>
                <c:pt idx="1870">
                  <c:v>0.37204797453887295</c:v>
                </c:pt>
                <c:pt idx="1871">
                  <c:v>0.37272814350035333</c:v>
                </c:pt>
                <c:pt idx="1872">
                  <c:v>0.37352499437292863</c:v>
                </c:pt>
                <c:pt idx="1873">
                  <c:v>0.37352895570532496</c:v>
                </c:pt>
                <c:pt idx="1874">
                  <c:v>0.37353124698529427</c:v>
                </c:pt>
                <c:pt idx="1875">
                  <c:v>0.37414669721692917</c:v>
                </c:pt>
                <c:pt idx="1876">
                  <c:v>0.37462874911125255</c:v>
                </c:pt>
                <c:pt idx="1877">
                  <c:v>0.37501592847820575</c:v>
                </c:pt>
                <c:pt idx="1878">
                  <c:v>0.37519056802921114</c:v>
                </c:pt>
                <c:pt idx="1879">
                  <c:v>0.37537857721963519</c:v>
                </c:pt>
                <c:pt idx="1880">
                  <c:v>0.37538585017227888</c:v>
                </c:pt>
                <c:pt idx="1881">
                  <c:v>0.37549657079671306</c:v>
                </c:pt>
                <c:pt idx="1882">
                  <c:v>0.37580322274334321</c:v>
                </c:pt>
                <c:pt idx="1883">
                  <c:v>0.37606580848023441</c:v>
                </c:pt>
                <c:pt idx="1884">
                  <c:v>0.37617807288734184</c:v>
                </c:pt>
                <c:pt idx="1885">
                  <c:v>0.37632587427651742</c:v>
                </c:pt>
                <c:pt idx="1886">
                  <c:v>0.37651247181111103</c:v>
                </c:pt>
                <c:pt idx="1887">
                  <c:v>0.37668558976201894</c:v>
                </c:pt>
                <c:pt idx="1888">
                  <c:v>0.37669705761072692</c:v>
                </c:pt>
                <c:pt idx="1889">
                  <c:v>0.37672183146059979</c:v>
                </c:pt>
                <c:pt idx="1890">
                  <c:v>0.37683618477876735</c:v>
                </c:pt>
                <c:pt idx="1891">
                  <c:v>0.3775564677798684</c:v>
                </c:pt>
                <c:pt idx="1892">
                  <c:v>0.37755959164132946</c:v>
                </c:pt>
                <c:pt idx="1893">
                  <c:v>0.37756938057827938</c:v>
                </c:pt>
                <c:pt idx="1894">
                  <c:v>0.37787607383870636</c:v>
                </c:pt>
                <c:pt idx="1895">
                  <c:v>0.37798723808919021</c:v>
                </c:pt>
                <c:pt idx="1896">
                  <c:v>0.37814045070899738</c:v>
                </c:pt>
                <c:pt idx="1897">
                  <c:v>0.37824137621464615</c:v>
                </c:pt>
                <c:pt idx="1898">
                  <c:v>0.37833667347422306</c:v>
                </c:pt>
                <c:pt idx="1899">
                  <c:v>0.37835747037843248</c:v>
                </c:pt>
                <c:pt idx="1900">
                  <c:v>0.37856884831856519</c:v>
                </c:pt>
                <c:pt idx="1901">
                  <c:v>0.37875914037431357</c:v>
                </c:pt>
                <c:pt idx="1902">
                  <c:v>0.37886462407368526</c:v>
                </c:pt>
                <c:pt idx="1903">
                  <c:v>0.37889228900348826</c:v>
                </c:pt>
                <c:pt idx="1904">
                  <c:v>0.37896295388873114</c:v>
                </c:pt>
                <c:pt idx="1905">
                  <c:v>0.37906122094500461</c:v>
                </c:pt>
                <c:pt idx="1906">
                  <c:v>0.37941752833921782</c:v>
                </c:pt>
                <c:pt idx="1907">
                  <c:v>0.37988920044699626</c:v>
                </c:pt>
                <c:pt idx="1908">
                  <c:v>0.38007077595375449</c:v>
                </c:pt>
                <c:pt idx="1909">
                  <c:v>0.38083027453831164</c:v>
                </c:pt>
                <c:pt idx="1910">
                  <c:v>0.38093879103236361</c:v>
                </c:pt>
                <c:pt idx="1911">
                  <c:v>0.38128086334018008</c:v>
                </c:pt>
                <c:pt idx="1912">
                  <c:v>0.38133956725232565</c:v>
                </c:pt>
                <c:pt idx="1913">
                  <c:v>0.38134026852094394</c:v>
                </c:pt>
                <c:pt idx="1914">
                  <c:v>0.38142683402475086</c:v>
                </c:pt>
                <c:pt idx="1915">
                  <c:v>0.38166385958174942</c:v>
                </c:pt>
                <c:pt idx="1916">
                  <c:v>0.38206588713728706</c:v>
                </c:pt>
                <c:pt idx="1917">
                  <c:v>0.38211944171644063</c:v>
                </c:pt>
                <c:pt idx="1918">
                  <c:v>0.38234444546469604</c:v>
                </c:pt>
                <c:pt idx="1919">
                  <c:v>0.38247195815529267</c:v>
                </c:pt>
                <c:pt idx="1920">
                  <c:v>0.38260286112927133</c:v>
                </c:pt>
                <c:pt idx="1921">
                  <c:v>0.38264232407891541</c:v>
                </c:pt>
                <c:pt idx="1922">
                  <c:v>0.38292049787833093</c:v>
                </c:pt>
                <c:pt idx="1923">
                  <c:v>0.38303282935157767</c:v>
                </c:pt>
                <c:pt idx="1924">
                  <c:v>0.38323895315534173</c:v>
                </c:pt>
                <c:pt idx="1925">
                  <c:v>0.3834436610359262</c:v>
                </c:pt>
                <c:pt idx="1926">
                  <c:v>0.38355640984264028</c:v>
                </c:pt>
                <c:pt idx="1927">
                  <c:v>0.3836730372704551</c:v>
                </c:pt>
                <c:pt idx="1928">
                  <c:v>0.38375905102384422</c:v>
                </c:pt>
                <c:pt idx="1929">
                  <c:v>0.38419909870572155</c:v>
                </c:pt>
                <c:pt idx="1930">
                  <c:v>0.38441867474011815</c:v>
                </c:pt>
                <c:pt idx="1931">
                  <c:v>0.38447484530843212</c:v>
                </c:pt>
                <c:pt idx="1932">
                  <c:v>0.38462467085264507</c:v>
                </c:pt>
                <c:pt idx="1933">
                  <c:v>0.38499798879456648</c:v>
                </c:pt>
                <c:pt idx="1934">
                  <c:v>0.38509435163814487</c:v>
                </c:pt>
                <c:pt idx="1935">
                  <c:v>0.38519863219426043</c:v>
                </c:pt>
                <c:pt idx="1936">
                  <c:v>0.38530104324854619</c:v>
                </c:pt>
                <c:pt idx="1937">
                  <c:v>0.38531305722790421</c:v>
                </c:pt>
                <c:pt idx="1938">
                  <c:v>0.38531520650303719</c:v>
                </c:pt>
                <c:pt idx="1939">
                  <c:v>0.385410257017611</c:v>
                </c:pt>
                <c:pt idx="1940">
                  <c:v>0.38545227734721266</c:v>
                </c:pt>
                <c:pt idx="1941">
                  <c:v>0.38546632426550786</c:v>
                </c:pt>
                <c:pt idx="1942">
                  <c:v>0.38554178944013984</c:v>
                </c:pt>
                <c:pt idx="1943">
                  <c:v>0.38554261714853055</c:v>
                </c:pt>
                <c:pt idx="1944">
                  <c:v>0.38568531126657035</c:v>
                </c:pt>
                <c:pt idx="1945">
                  <c:v>0.3857454067638173</c:v>
                </c:pt>
                <c:pt idx="1946">
                  <c:v>0.38575995535029506</c:v>
                </c:pt>
                <c:pt idx="1947">
                  <c:v>0.38591124132744881</c:v>
                </c:pt>
                <c:pt idx="1948">
                  <c:v>0.3859376447444447</c:v>
                </c:pt>
                <c:pt idx="1949">
                  <c:v>0.38616979878955249</c:v>
                </c:pt>
                <c:pt idx="1950">
                  <c:v>0.38635116381374246</c:v>
                </c:pt>
                <c:pt idx="1951">
                  <c:v>0.38635524272649491</c:v>
                </c:pt>
                <c:pt idx="1952">
                  <c:v>0.38642448597238399</c:v>
                </c:pt>
                <c:pt idx="1953">
                  <c:v>0.38650105819669989</c:v>
                </c:pt>
                <c:pt idx="1954">
                  <c:v>0.38661130756736384</c:v>
                </c:pt>
                <c:pt idx="1955">
                  <c:v>0.38667112548955629</c:v>
                </c:pt>
                <c:pt idx="1956">
                  <c:v>0.38672921129091264</c:v>
                </c:pt>
                <c:pt idx="1957">
                  <c:v>0.38690781937839347</c:v>
                </c:pt>
                <c:pt idx="1958">
                  <c:v>0.38702194106008392</c:v>
                </c:pt>
                <c:pt idx="1959">
                  <c:v>0.38710871917464829</c:v>
                </c:pt>
                <c:pt idx="1960">
                  <c:v>0.38713146280133515</c:v>
                </c:pt>
                <c:pt idx="1961">
                  <c:v>0.38818120993710181</c:v>
                </c:pt>
                <c:pt idx="1962">
                  <c:v>0.38853137858495757</c:v>
                </c:pt>
                <c:pt idx="1963">
                  <c:v>0.38904194708084106</c:v>
                </c:pt>
                <c:pt idx="1964">
                  <c:v>0.38944157762944087</c:v>
                </c:pt>
                <c:pt idx="1965">
                  <c:v>0.38985032294294797</c:v>
                </c:pt>
                <c:pt idx="1966">
                  <c:v>0.38994743013608968</c:v>
                </c:pt>
                <c:pt idx="1967">
                  <c:v>0.38995535570666107</c:v>
                </c:pt>
                <c:pt idx="1968">
                  <c:v>0.39048382011060312</c:v>
                </c:pt>
                <c:pt idx="1969">
                  <c:v>0.39050780437537469</c:v>
                </c:pt>
                <c:pt idx="1970">
                  <c:v>0.39064398837672343</c:v>
                </c:pt>
                <c:pt idx="1971">
                  <c:v>0.3907043240224084</c:v>
                </c:pt>
                <c:pt idx="1972">
                  <c:v>0.39094343559372646</c:v>
                </c:pt>
                <c:pt idx="1973">
                  <c:v>0.39107721056279843</c:v>
                </c:pt>
                <c:pt idx="1974">
                  <c:v>0.39131871136032714</c:v>
                </c:pt>
                <c:pt idx="1975">
                  <c:v>0.39146574418919045</c:v>
                </c:pt>
                <c:pt idx="1976">
                  <c:v>0.39226555155528331</c:v>
                </c:pt>
                <c:pt idx="1977">
                  <c:v>0.39244898583547183</c:v>
                </c:pt>
                <c:pt idx="1978">
                  <c:v>0.39250665849613142</c:v>
                </c:pt>
                <c:pt idx="1979">
                  <c:v>0.39260403259868326</c:v>
                </c:pt>
                <c:pt idx="1980">
                  <c:v>0.39264714182083349</c:v>
                </c:pt>
                <c:pt idx="1981">
                  <c:v>0.39313438233511988</c:v>
                </c:pt>
                <c:pt idx="1982">
                  <c:v>0.39325525259391725</c:v>
                </c:pt>
                <c:pt idx="1983">
                  <c:v>0.39341233619961713</c:v>
                </c:pt>
                <c:pt idx="1984">
                  <c:v>0.39364813606334792</c:v>
                </c:pt>
                <c:pt idx="1985">
                  <c:v>0.39397932584961382</c:v>
                </c:pt>
                <c:pt idx="1986">
                  <c:v>0.39413483594125864</c:v>
                </c:pt>
                <c:pt idx="1987">
                  <c:v>0.39436055444184603</c:v>
                </c:pt>
                <c:pt idx="1988">
                  <c:v>0.39437742317932134</c:v>
                </c:pt>
                <c:pt idx="1989">
                  <c:v>0.39440650333744998</c:v>
                </c:pt>
                <c:pt idx="1990">
                  <c:v>0.39464206443062722</c:v>
                </c:pt>
                <c:pt idx="1991">
                  <c:v>0.39469571607696707</c:v>
                </c:pt>
                <c:pt idx="1992">
                  <c:v>0.39475698440855922</c:v>
                </c:pt>
                <c:pt idx="1993">
                  <c:v>0.39488150566012337</c:v>
                </c:pt>
                <c:pt idx="1994">
                  <c:v>0.39516278071005217</c:v>
                </c:pt>
                <c:pt idx="1995">
                  <c:v>0.39521842410886165</c:v>
                </c:pt>
                <c:pt idx="1996">
                  <c:v>0.39521928272461082</c:v>
                </c:pt>
                <c:pt idx="1997">
                  <c:v>0.39565324738759955</c:v>
                </c:pt>
                <c:pt idx="1998">
                  <c:v>0.39578807393627358</c:v>
                </c:pt>
                <c:pt idx="1999">
                  <c:v>0.39594919490355096</c:v>
                </c:pt>
                <c:pt idx="2000">
                  <c:v>0.39598547429068276</c:v>
                </c:pt>
                <c:pt idx="2001">
                  <c:v>0.396238736297164</c:v>
                </c:pt>
                <c:pt idx="2002">
                  <c:v>0.39628221651582862</c:v>
                </c:pt>
                <c:pt idx="2003">
                  <c:v>0.39670507393293519</c:v>
                </c:pt>
                <c:pt idx="2004">
                  <c:v>0.39688305018353276</c:v>
                </c:pt>
                <c:pt idx="2005">
                  <c:v>0.39699626835135859</c:v>
                </c:pt>
                <c:pt idx="2006">
                  <c:v>0.39727254951321811</c:v>
                </c:pt>
                <c:pt idx="2007">
                  <c:v>0.39737675127526018</c:v>
                </c:pt>
                <c:pt idx="2008">
                  <c:v>0.39755937536210695</c:v>
                </c:pt>
                <c:pt idx="2009">
                  <c:v>0.39776462017380254</c:v>
                </c:pt>
                <c:pt idx="2010">
                  <c:v>0.39779037337029877</c:v>
                </c:pt>
                <c:pt idx="2011">
                  <c:v>0.39780002142379089</c:v>
                </c:pt>
                <c:pt idx="2012">
                  <c:v>0.39790411016110738</c:v>
                </c:pt>
                <c:pt idx="2013">
                  <c:v>0.39829320345779706</c:v>
                </c:pt>
                <c:pt idx="2014">
                  <c:v>0.3984859409620185</c:v>
                </c:pt>
                <c:pt idx="2015">
                  <c:v>0.39864900143220439</c:v>
                </c:pt>
                <c:pt idx="2016">
                  <c:v>0.39889011810282682</c:v>
                </c:pt>
                <c:pt idx="2017">
                  <c:v>0.39926863811479052</c:v>
                </c:pt>
                <c:pt idx="2018">
                  <c:v>0.39949595315556508</c:v>
                </c:pt>
                <c:pt idx="2019">
                  <c:v>0.39949985026126456</c:v>
                </c:pt>
                <c:pt idx="2020">
                  <c:v>0.39992006053216755</c:v>
                </c:pt>
                <c:pt idx="2021">
                  <c:v>0.39996005770444754</c:v>
                </c:pt>
                <c:pt idx="2022">
                  <c:v>0.40007879413496994</c:v>
                </c:pt>
                <c:pt idx="2023">
                  <c:v>0.40027777719569713</c:v>
                </c:pt>
                <c:pt idx="2024">
                  <c:v>0.40037313627999538</c:v>
                </c:pt>
                <c:pt idx="2025">
                  <c:v>0.4004280215340259</c:v>
                </c:pt>
                <c:pt idx="2026">
                  <c:v>0.40048352193934988</c:v>
                </c:pt>
                <c:pt idx="2027">
                  <c:v>0.40052960680259275</c:v>
                </c:pt>
                <c:pt idx="2028">
                  <c:v>0.40082042462836398</c:v>
                </c:pt>
                <c:pt idx="2029">
                  <c:v>0.40090076376873185</c:v>
                </c:pt>
                <c:pt idx="2030">
                  <c:v>0.40108596407480945</c:v>
                </c:pt>
                <c:pt idx="2031">
                  <c:v>0.401227755302898</c:v>
                </c:pt>
                <c:pt idx="2032">
                  <c:v>0.40133916878949094</c:v>
                </c:pt>
                <c:pt idx="2033">
                  <c:v>0.40152558600675547</c:v>
                </c:pt>
                <c:pt idx="2034">
                  <c:v>0.40184835994659807</c:v>
                </c:pt>
                <c:pt idx="2035">
                  <c:v>0.40193579732294893</c:v>
                </c:pt>
                <c:pt idx="2036">
                  <c:v>0.4019693766204</c:v>
                </c:pt>
                <c:pt idx="2037">
                  <c:v>0.40213160037001217</c:v>
                </c:pt>
                <c:pt idx="2038">
                  <c:v>0.40292724534356239</c:v>
                </c:pt>
                <c:pt idx="2039">
                  <c:v>0.40297510695017991</c:v>
                </c:pt>
                <c:pt idx="2040">
                  <c:v>0.40320354485993448</c:v>
                </c:pt>
                <c:pt idx="2041">
                  <c:v>0.40321172623498569</c:v>
                </c:pt>
                <c:pt idx="2042">
                  <c:v>0.40384067061495443</c:v>
                </c:pt>
                <c:pt idx="2043">
                  <c:v>0.40386875515014253</c:v>
                </c:pt>
                <c:pt idx="2044">
                  <c:v>0.40394142894638208</c:v>
                </c:pt>
                <c:pt idx="2045">
                  <c:v>0.40397858859705593</c:v>
                </c:pt>
                <c:pt idx="2046">
                  <c:v>0.40414877558396256</c:v>
                </c:pt>
                <c:pt idx="2047">
                  <c:v>0.40437229250983364</c:v>
                </c:pt>
                <c:pt idx="2048">
                  <c:v>0.40440958147974015</c:v>
                </c:pt>
                <c:pt idx="2049">
                  <c:v>0.40449573373916792</c:v>
                </c:pt>
                <c:pt idx="2050">
                  <c:v>0.40465897685407981</c:v>
                </c:pt>
                <c:pt idx="2051">
                  <c:v>0.40488871933030168</c:v>
                </c:pt>
                <c:pt idx="2052">
                  <c:v>0.40500223538219871</c:v>
                </c:pt>
                <c:pt idx="2053">
                  <c:v>0.40526212622262392</c:v>
                </c:pt>
                <c:pt idx="2054">
                  <c:v>0.40561392242398142</c:v>
                </c:pt>
                <c:pt idx="2055">
                  <c:v>0.40565114138098579</c:v>
                </c:pt>
                <c:pt idx="2056">
                  <c:v>0.40575259650995577</c:v>
                </c:pt>
                <c:pt idx="2057">
                  <c:v>0.40576839232926432</c:v>
                </c:pt>
                <c:pt idx="2058">
                  <c:v>0.40591004729049018</c:v>
                </c:pt>
                <c:pt idx="2059">
                  <c:v>0.40604161824285256</c:v>
                </c:pt>
                <c:pt idx="2060">
                  <c:v>0.40673662940298527</c:v>
                </c:pt>
                <c:pt idx="2061">
                  <c:v>0.4068197490505554</c:v>
                </c:pt>
                <c:pt idx="2062">
                  <c:v>0.40729948166972463</c:v>
                </c:pt>
                <c:pt idx="2063">
                  <c:v>0.40752552690264565</c:v>
                </c:pt>
                <c:pt idx="2064">
                  <c:v>0.40761976091653196</c:v>
                </c:pt>
                <c:pt idx="2065">
                  <c:v>0.40783237423875107</c:v>
                </c:pt>
                <c:pt idx="2066">
                  <c:v>0.40790118500626704</c:v>
                </c:pt>
                <c:pt idx="2067">
                  <c:v>0.40822616949026269</c:v>
                </c:pt>
                <c:pt idx="2068">
                  <c:v>0.40853438426256616</c:v>
                </c:pt>
                <c:pt idx="2069">
                  <c:v>0.40862794794247748</c:v>
                </c:pt>
                <c:pt idx="2070">
                  <c:v>0.40913112848102173</c:v>
                </c:pt>
                <c:pt idx="2071">
                  <c:v>0.40957319589506369</c:v>
                </c:pt>
                <c:pt idx="2072">
                  <c:v>0.40973825852051959</c:v>
                </c:pt>
                <c:pt idx="2073">
                  <c:v>0.41007651775635168</c:v>
                </c:pt>
                <c:pt idx="2074">
                  <c:v>0.41048683049939427</c:v>
                </c:pt>
                <c:pt idx="2075">
                  <c:v>0.41118752448164742</c:v>
                </c:pt>
                <c:pt idx="2076">
                  <c:v>0.41138351651443372</c:v>
                </c:pt>
                <c:pt idx="2077">
                  <c:v>0.41154959702816996</c:v>
                </c:pt>
                <c:pt idx="2078">
                  <c:v>0.41155327067463077</c:v>
                </c:pt>
                <c:pt idx="2079">
                  <c:v>0.41162904933116806</c:v>
                </c:pt>
                <c:pt idx="2080">
                  <c:v>0.41176942124639027</c:v>
                </c:pt>
                <c:pt idx="2081">
                  <c:v>0.41188943344423024</c:v>
                </c:pt>
                <c:pt idx="2082">
                  <c:v>0.41226920289591362</c:v>
                </c:pt>
                <c:pt idx="2083">
                  <c:v>0.41242056726241572</c:v>
                </c:pt>
                <c:pt idx="2084">
                  <c:v>0.41244319979432476</c:v>
                </c:pt>
                <c:pt idx="2085">
                  <c:v>0.41246884601787315</c:v>
                </c:pt>
                <c:pt idx="2086">
                  <c:v>0.41272415482399083</c:v>
                </c:pt>
                <c:pt idx="2087">
                  <c:v>0.41300603279250936</c:v>
                </c:pt>
                <c:pt idx="2088">
                  <c:v>0.41327215616729518</c:v>
                </c:pt>
                <c:pt idx="2089">
                  <c:v>0.41354141883675766</c:v>
                </c:pt>
                <c:pt idx="2090">
                  <c:v>0.41400734015223861</c:v>
                </c:pt>
                <c:pt idx="2091">
                  <c:v>0.41421934950722061</c:v>
                </c:pt>
                <c:pt idx="2092">
                  <c:v>0.41461381007320597</c:v>
                </c:pt>
                <c:pt idx="2093">
                  <c:v>0.41483287985465722</c:v>
                </c:pt>
                <c:pt idx="2094">
                  <c:v>0.41489820587139548</c:v>
                </c:pt>
                <c:pt idx="2095">
                  <c:v>0.41517303467389866</c:v>
                </c:pt>
                <c:pt idx="2096">
                  <c:v>0.41526893096306594</c:v>
                </c:pt>
                <c:pt idx="2097">
                  <c:v>0.41567818363455444</c:v>
                </c:pt>
                <c:pt idx="2098">
                  <c:v>0.41583908946904558</c:v>
                </c:pt>
                <c:pt idx="2099">
                  <c:v>0.41609333872840182</c:v>
                </c:pt>
                <c:pt idx="2100">
                  <c:v>0.41629538849429082</c:v>
                </c:pt>
                <c:pt idx="2101">
                  <c:v>0.41638677515857125</c:v>
                </c:pt>
                <c:pt idx="2102">
                  <c:v>0.41657988087717968</c:v>
                </c:pt>
                <c:pt idx="2103">
                  <c:v>0.41689034285536763</c:v>
                </c:pt>
                <c:pt idx="2104">
                  <c:v>0.41693591056355217</c:v>
                </c:pt>
                <c:pt idx="2105">
                  <c:v>0.41742944062298193</c:v>
                </c:pt>
                <c:pt idx="2106">
                  <c:v>0.41755267899679893</c:v>
                </c:pt>
                <c:pt idx="2107">
                  <c:v>0.41758156874948327</c:v>
                </c:pt>
                <c:pt idx="2108">
                  <c:v>0.41819167787343758</c:v>
                </c:pt>
                <c:pt idx="2109">
                  <c:v>0.41821345713105984</c:v>
                </c:pt>
                <c:pt idx="2110">
                  <c:v>0.41824258455562813</c:v>
                </c:pt>
                <c:pt idx="2111">
                  <c:v>0.41833667698665522</c:v>
                </c:pt>
                <c:pt idx="2112">
                  <c:v>0.41861546029758756</c:v>
                </c:pt>
                <c:pt idx="2113">
                  <c:v>0.41906723135980428</c:v>
                </c:pt>
                <c:pt idx="2114">
                  <c:v>0.41915224767399195</c:v>
                </c:pt>
                <c:pt idx="2115">
                  <c:v>0.41923637167110428</c:v>
                </c:pt>
                <c:pt idx="2116">
                  <c:v>0.41952599081923836</c:v>
                </c:pt>
                <c:pt idx="2117">
                  <c:v>0.41959248144030425</c:v>
                </c:pt>
                <c:pt idx="2118">
                  <c:v>0.41975814696797897</c:v>
                </c:pt>
                <c:pt idx="2119">
                  <c:v>0.41988770829630084</c:v>
                </c:pt>
                <c:pt idx="2120">
                  <c:v>0.41989515826571733</c:v>
                </c:pt>
                <c:pt idx="2121">
                  <c:v>0.41992389367078431</c:v>
                </c:pt>
                <c:pt idx="2122">
                  <c:v>0.42011680360610626</c:v>
                </c:pt>
                <c:pt idx="2123">
                  <c:v>0.4205525239385679</c:v>
                </c:pt>
                <c:pt idx="2124">
                  <c:v>0.42071196769393282</c:v>
                </c:pt>
                <c:pt idx="2125">
                  <c:v>0.42099061199587595</c:v>
                </c:pt>
                <c:pt idx="2126">
                  <c:v>0.42128584912097722</c:v>
                </c:pt>
                <c:pt idx="2127">
                  <c:v>0.42145142781828326</c:v>
                </c:pt>
                <c:pt idx="2128">
                  <c:v>0.42179242764177616</c:v>
                </c:pt>
                <c:pt idx="2129">
                  <c:v>0.42252139659377974</c:v>
                </c:pt>
                <c:pt idx="2130">
                  <c:v>0.42282699529994261</c:v>
                </c:pt>
                <c:pt idx="2131">
                  <c:v>0.42301640968980792</c:v>
                </c:pt>
                <c:pt idx="2132">
                  <c:v>0.42321874797744385</c:v>
                </c:pt>
                <c:pt idx="2133">
                  <c:v>0.42372903177874832</c:v>
                </c:pt>
                <c:pt idx="2134">
                  <c:v>0.42384742321701196</c:v>
                </c:pt>
                <c:pt idx="2135">
                  <c:v>0.42398238082932949</c:v>
                </c:pt>
                <c:pt idx="2136">
                  <c:v>0.42401143858114665</c:v>
                </c:pt>
                <c:pt idx="2137">
                  <c:v>0.42403009833287797</c:v>
                </c:pt>
                <c:pt idx="2138">
                  <c:v>0.42443184725108818</c:v>
                </c:pt>
                <c:pt idx="2139">
                  <c:v>0.42487689108838822</c:v>
                </c:pt>
                <c:pt idx="2140">
                  <c:v>0.42494971669020742</c:v>
                </c:pt>
                <c:pt idx="2141">
                  <c:v>0.42495068546577386</c:v>
                </c:pt>
                <c:pt idx="2142">
                  <c:v>0.42535537319054129</c:v>
                </c:pt>
                <c:pt idx="2143">
                  <c:v>0.42558090364309464</c:v>
                </c:pt>
                <c:pt idx="2144">
                  <c:v>0.42604951495559362</c:v>
                </c:pt>
                <c:pt idx="2145">
                  <c:v>0.4261914469570911</c:v>
                </c:pt>
                <c:pt idx="2146">
                  <c:v>0.42621111098378606</c:v>
                </c:pt>
                <c:pt idx="2147">
                  <c:v>0.42624018530295871</c:v>
                </c:pt>
                <c:pt idx="2148">
                  <c:v>0.42624603942749673</c:v>
                </c:pt>
                <c:pt idx="2149">
                  <c:v>0.4262619332093891</c:v>
                </c:pt>
                <c:pt idx="2150">
                  <c:v>0.42634535196884826</c:v>
                </c:pt>
                <c:pt idx="2151">
                  <c:v>0.42636520352425578</c:v>
                </c:pt>
                <c:pt idx="2152">
                  <c:v>0.42663105533029011</c:v>
                </c:pt>
                <c:pt idx="2153">
                  <c:v>0.42690638492786093</c:v>
                </c:pt>
                <c:pt idx="2154">
                  <c:v>0.42695933617233095</c:v>
                </c:pt>
                <c:pt idx="2155">
                  <c:v>0.42728392668414017</c:v>
                </c:pt>
                <c:pt idx="2156">
                  <c:v>0.42735259416713234</c:v>
                </c:pt>
                <c:pt idx="2157">
                  <c:v>0.42768216058902908</c:v>
                </c:pt>
                <c:pt idx="2158">
                  <c:v>0.42835471891339694</c:v>
                </c:pt>
                <c:pt idx="2159">
                  <c:v>0.42845846198451909</c:v>
                </c:pt>
                <c:pt idx="2160">
                  <c:v>0.4285320012104421</c:v>
                </c:pt>
                <c:pt idx="2161">
                  <c:v>0.42945748051170085</c:v>
                </c:pt>
                <c:pt idx="2162">
                  <c:v>0.42954781184562307</c:v>
                </c:pt>
                <c:pt idx="2163">
                  <c:v>0.42959225282629632</c:v>
                </c:pt>
                <c:pt idx="2164">
                  <c:v>0.42962996191999991</c:v>
                </c:pt>
                <c:pt idx="2165">
                  <c:v>0.42965068931607675</c:v>
                </c:pt>
                <c:pt idx="2166">
                  <c:v>0.42973252257706918</c:v>
                </c:pt>
                <c:pt idx="2167">
                  <c:v>0.42976755628751562</c:v>
                </c:pt>
                <c:pt idx="2168">
                  <c:v>0.43012524991900136</c:v>
                </c:pt>
                <c:pt idx="2169">
                  <c:v>0.43024615930244181</c:v>
                </c:pt>
                <c:pt idx="2170">
                  <c:v>0.43040005897910305</c:v>
                </c:pt>
                <c:pt idx="2171">
                  <c:v>0.43057164310994267</c:v>
                </c:pt>
                <c:pt idx="2172">
                  <c:v>0.43066884106610814</c:v>
                </c:pt>
                <c:pt idx="2173">
                  <c:v>0.43072894708893728</c:v>
                </c:pt>
                <c:pt idx="2174">
                  <c:v>0.43085564675493515</c:v>
                </c:pt>
                <c:pt idx="2175">
                  <c:v>0.43112879481941491</c:v>
                </c:pt>
                <c:pt idx="2176">
                  <c:v>0.43136133139341837</c:v>
                </c:pt>
                <c:pt idx="2177">
                  <c:v>0.43143684675305849</c:v>
                </c:pt>
                <c:pt idx="2178">
                  <c:v>0.43159288076185476</c:v>
                </c:pt>
                <c:pt idx="2179">
                  <c:v>0.43177177222696628</c:v>
                </c:pt>
                <c:pt idx="2180">
                  <c:v>0.43189373831501143</c:v>
                </c:pt>
                <c:pt idx="2181">
                  <c:v>0.43213629109959584</c:v>
                </c:pt>
                <c:pt idx="2182">
                  <c:v>0.43231089728215011</c:v>
                </c:pt>
                <c:pt idx="2183">
                  <c:v>0.43237442531153647</c:v>
                </c:pt>
                <c:pt idx="2184">
                  <c:v>0.43239987048855255</c:v>
                </c:pt>
                <c:pt idx="2185">
                  <c:v>0.43245587453748158</c:v>
                </c:pt>
                <c:pt idx="2186">
                  <c:v>0.43273462697106879</c:v>
                </c:pt>
                <c:pt idx="2187">
                  <c:v>0.43274582754656876</c:v>
                </c:pt>
                <c:pt idx="2188">
                  <c:v>0.43298300888727681</c:v>
                </c:pt>
                <c:pt idx="2189">
                  <c:v>0.4331845092410731</c:v>
                </c:pt>
                <c:pt idx="2190">
                  <c:v>0.43321410422413464</c:v>
                </c:pt>
                <c:pt idx="2191">
                  <c:v>0.43327893689911434</c:v>
                </c:pt>
                <c:pt idx="2192">
                  <c:v>0.433340561852674</c:v>
                </c:pt>
                <c:pt idx="2193">
                  <c:v>0.43335751260383404</c:v>
                </c:pt>
                <c:pt idx="2194">
                  <c:v>0.4336418273342133</c:v>
                </c:pt>
                <c:pt idx="2195">
                  <c:v>0.43377297682036442</c:v>
                </c:pt>
                <c:pt idx="2196">
                  <c:v>0.4339633507461258</c:v>
                </c:pt>
                <c:pt idx="2197">
                  <c:v>0.43432954465060902</c:v>
                </c:pt>
                <c:pt idx="2198">
                  <c:v>0.43480691754211875</c:v>
                </c:pt>
                <c:pt idx="2199">
                  <c:v>0.43500889715323865</c:v>
                </c:pt>
                <c:pt idx="2200">
                  <c:v>0.43526682631181757</c:v>
                </c:pt>
                <c:pt idx="2201">
                  <c:v>0.43550548260373034</c:v>
                </c:pt>
                <c:pt idx="2202">
                  <c:v>0.435557690450878</c:v>
                </c:pt>
                <c:pt idx="2203">
                  <c:v>0.43591770429611643</c:v>
                </c:pt>
                <c:pt idx="2204">
                  <c:v>0.43600680765212019</c:v>
                </c:pt>
                <c:pt idx="2205">
                  <c:v>0.43611356058863748</c:v>
                </c:pt>
                <c:pt idx="2206">
                  <c:v>0.43627805490905303</c:v>
                </c:pt>
                <c:pt idx="2207">
                  <c:v>0.43638636995456181</c:v>
                </c:pt>
                <c:pt idx="2208">
                  <c:v>0.43670255594042828</c:v>
                </c:pt>
                <c:pt idx="2209">
                  <c:v>0.43701778608192399</c:v>
                </c:pt>
                <c:pt idx="2210">
                  <c:v>0.43714993615412823</c:v>
                </c:pt>
                <c:pt idx="2211">
                  <c:v>0.43717128346270329</c:v>
                </c:pt>
                <c:pt idx="2212">
                  <c:v>0.43723678880087391</c:v>
                </c:pt>
                <c:pt idx="2213">
                  <c:v>0.43737850619891105</c:v>
                </c:pt>
                <c:pt idx="2214">
                  <c:v>0.4375663819591864</c:v>
                </c:pt>
                <c:pt idx="2215">
                  <c:v>0.43757981794442458</c:v>
                </c:pt>
                <c:pt idx="2216">
                  <c:v>0.43777127330758958</c:v>
                </c:pt>
                <c:pt idx="2217">
                  <c:v>0.43814068421579577</c:v>
                </c:pt>
                <c:pt idx="2218">
                  <c:v>0.43817168833265896</c:v>
                </c:pt>
                <c:pt idx="2219">
                  <c:v>0.43819835657723161</c:v>
                </c:pt>
                <c:pt idx="2220">
                  <c:v>0.43847906953851634</c:v>
                </c:pt>
                <c:pt idx="2221">
                  <c:v>0.43857562137372952</c:v>
                </c:pt>
                <c:pt idx="2222">
                  <c:v>0.43864450343971839</c:v>
                </c:pt>
                <c:pt idx="2223">
                  <c:v>0.43872479630863381</c:v>
                </c:pt>
                <c:pt idx="2224">
                  <c:v>0.43878129539100996</c:v>
                </c:pt>
                <c:pt idx="2225">
                  <c:v>0.43882203272733022</c:v>
                </c:pt>
                <c:pt idx="2226">
                  <c:v>0.4389141152478544</c:v>
                </c:pt>
                <c:pt idx="2227">
                  <c:v>0.43928493320345297</c:v>
                </c:pt>
                <c:pt idx="2228">
                  <c:v>0.43929596690850303</c:v>
                </c:pt>
                <c:pt idx="2229">
                  <c:v>0.43932963505358202</c:v>
                </c:pt>
                <c:pt idx="2230">
                  <c:v>0.43937188451309339</c:v>
                </c:pt>
                <c:pt idx="2231">
                  <c:v>0.4397392535029212</c:v>
                </c:pt>
                <c:pt idx="2232">
                  <c:v>0.43980108483356162</c:v>
                </c:pt>
                <c:pt idx="2233">
                  <c:v>0.43983054382988485</c:v>
                </c:pt>
                <c:pt idx="2234">
                  <c:v>0.44030391479009268</c:v>
                </c:pt>
                <c:pt idx="2235">
                  <c:v>0.44049448637179012</c:v>
                </c:pt>
                <c:pt idx="2236">
                  <c:v>0.44106202420789486</c:v>
                </c:pt>
                <c:pt idx="2237">
                  <c:v>0.4411461115887505</c:v>
                </c:pt>
                <c:pt idx="2238">
                  <c:v>0.44145450624182558</c:v>
                </c:pt>
                <c:pt idx="2239">
                  <c:v>0.44175125593210396</c:v>
                </c:pt>
                <c:pt idx="2240">
                  <c:v>0.44197740227355098</c:v>
                </c:pt>
                <c:pt idx="2241">
                  <c:v>0.4420206046261228</c:v>
                </c:pt>
                <c:pt idx="2242">
                  <c:v>0.44208310655267269</c:v>
                </c:pt>
                <c:pt idx="2243">
                  <c:v>0.44223281776976364</c:v>
                </c:pt>
                <c:pt idx="2244">
                  <c:v>0.44288005186535884</c:v>
                </c:pt>
                <c:pt idx="2245">
                  <c:v>0.4431318200795431</c:v>
                </c:pt>
                <c:pt idx="2246">
                  <c:v>0.44323115253882861</c:v>
                </c:pt>
                <c:pt idx="2247">
                  <c:v>0.4432471464642731</c:v>
                </c:pt>
                <c:pt idx="2248">
                  <c:v>0.44347814866344493</c:v>
                </c:pt>
                <c:pt idx="2249">
                  <c:v>0.44477336783893406</c:v>
                </c:pt>
                <c:pt idx="2250">
                  <c:v>0.44483863430014026</c:v>
                </c:pt>
                <c:pt idx="2251">
                  <c:v>0.44490934515671654</c:v>
                </c:pt>
                <c:pt idx="2252">
                  <c:v>0.44510458131026098</c:v>
                </c:pt>
                <c:pt idx="2253">
                  <c:v>0.44511121531013487</c:v>
                </c:pt>
                <c:pt idx="2254">
                  <c:v>0.44520367230688862</c:v>
                </c:pt>
                <c:pt idx="2255">
                  <c:v>0.44521363534204283</c:v>
                </c:pt>
                <c:pt idx="2256">
                  <c:v>0.44527929986090342</c:v>
                </c:pt>
                <c:pt idx="2257">
                  <c:v>0.44580063284320204</c:v>
                </c:pt>
                <c:pt idx="2258">
                  <c:v>0.44597723107564491</c:v>
                </c:pt>
                <c:pt idx="2259">
                  <c:v>0.44616937789126609</c:v>
                </c:pt>
                <c:pt idx="2260">
                  <c:v>0.44630706880343496</c:v>
                </c:pt>
                <c:pt idx="2261">
                  <c:v>0.4475357597502807</c:v>
                </c:pt>
                <c:pt idx="2262">
                  <c:v>0.44763530533327867</c:v>
                </c:pt>
                <c:pt idx="2263">
                  <c:v>0.44774044005134783</c:v>
                </c:pt>
                <c:pt idx="2264">
                  <c:v>0.44791005419210705</c:v>
                </c:pt>
                <c:pt idx="2265">
                  <c:v>0.44791921876321794</c:v>
                </c:pt>
                <c:pt idx="2266">
                  <c:v>0.44803783940642461</c:v>
                </c:pt>
                <c:pt idx="2267">
                  <c:v>0.44804157369799213</c:v>
                </c:pt>
                <c:pt idx="2268">
                  <c:v>0.44809867164258321</c:v>
                </c:pt>
                <c:pt idx="2269">
                  <c:v>0.44847645047411788</c:v>
                </c:pt>
                <c:pt idx="2270">
                  <c:v>0.44859299911513517</c:v>
                </c:pt>
                <c:pt idx="2271">
                  <c:v>0.44864738435080653</c:v>
                </c:pt>
                <c:pt idx="2272">
                  <c:v>0.44867946418344218</c:v>
                </c:pt>
                <c:pt idx="2273">
                  <c:v>0.44868581622642978</c:v>
                </c:pt>
                <c:pt idx="2274">
                  <c:v>0.44871087670617271</c:v>
                </c:pt>
                <c:pt idx="2275">
                  <c:v>0.44885632689783961</c:v>
                </c:pt>
                <c:pt idx="2276">
                  <c:v>0.44891266138893116</c:v>
                </c:pt>
                <c:pt idx="2277">
                  <c:v>0.44900361897543917</c:v>
                </c:pt>
                <c:pt idx="2278">
                  <c:v>0.44907483886981936</c:v>
                </c:pt>
                <c:pt idx="2279">
                  <c:v>0.44914219418116663</c:v>
                </c:pt>
                <c:pt idx="2280">
                  <c:v>0.44957404222442676</c:v>
                </c:pt>
                <c:pt idx="2281">
                  <c:v>0.45009019566441566</c:v>
                </c:pt>
                <c:pt idx="2282">
                  <c:v>0.45017629710218898</c:v>
                </c:pt>
                <c:pt idx="2283">
                  <c:v>0.45022977321332291</c:v>
                </c:pt>
                <c:pt idx="2284">
                  <c:v>0.45090100785819232</c:v>
                </c:pt>
                <c:pt idx="2285">
                  <c:v>0.45098743311609724</c:v>
                </c:pt>
                <c:pt idx="2286">
                  <c:v>0.45112593260455469</c:v>
                </c:pt>
                <c:pt idx="2287">
                  <c:v>0.45115796545178455</c:v>
                </c:pt>
                <c:pt idx="2288">
                  <c:v>0.45119309169240296</c:v>
                </c:pt>
                <c:pt idx="2289">
                  <c:v>0.45134657858125138</c:v>
                </c:pt>
                <c:pt idx="2290">
                  <c:v>0.45140012966021459</c:v>
                </c:pt>
                <c:pt idx="2291">
                  <c:v>0.45143587801339891</c:v>
                </c:pt>
                <c:pt idx="2292">
                  <c:v>0.45197191622082755</c:v>
                </c:pt>
                <c:pt idx="2293">
                  <c:v>0.45284863727101765</c:v>
                </c:pt>
                <c:pt idx="2294">
                  <c:v>0.45296081824380963</c:v>
                </c:pt>
                <c:pt idx="2295">
                  <c:v>0.45327623607590795</c:v>
                </c:pt>
                <c:pt idx="2296">
                  <c:v>0.4533459531094195</c:v>
                </c:pt>
                <c:pt idx="2297">
                  <c:v>0.45353362972946343</c:v>
                </c:pt>
                <c:pt idx="2298">
                  <c:v>0.45380777650461823</c:v>
                </c:pt>
                <c:pt idx="2299">
                  <c:v>0.45381804289536376</c:v>
                </c:pt>
                <c:pt idx="2300">
                  <c:v>0.45396115333733178</c:v>
                </c:pt>
                <c:pt idx="2301">
                  <c:v>0.45445006160207413</c:v>
                </c:pt>
                <c:pt idx="2302">
                  <c:v>0.45465104271443124</c:v>
                </c:pt>
                <c:pt idx="2303">
                  <c:v>0.45500352191720594</c:v>
                </c:pt>
                <c:pt idx="2304">
                  <c:v>0.45511097912731202</c:v>
                </c:pt>
                <c:pt idx="2305">
                  <c:v>0.45531117020436795</c:v>
                </c:pt>
                <c:pt idx="2306">
                  <c:v>0.45632165923598222</c:v>
                </c:pt>
                <c:pt idx="2307">
                  <c:v>0.45637596426149685</c:v>
                </c:pt>
                <c:pt idx="2308">
                  <c:v>0.45641463655192638</c:v>
                </c:pt>
                <c:pt idx="2309">
                  <c:v>0.45668709005974506</c:v>
                </c:pt>
                <c:pt idx="2310">
                  <c:v>0.45670871750007791</c:v>
                </c:pt>
                <c:pt idx="2311">
                  <c:v>0.45679551192370127</c:v>
                </c:pt>
                <c:pt idx="2312">
                  <c:v>0.45764607438832172</c:v>
                </c:pt>
                <c:pt idx="2313">
                  <c:v>0.45790693472918065</c:v>
                </c:pt>
                <c:pt idx="2314">
                  <c:v>0.45811399552258081</c:v>
                </c:pt>
                <c:pt idx="2315">
                  <c:v>0.45828850513862562</c:v>
                </c:pt>
                <c:pt idx="2316">
                  <c:v>0.45829465016049653</c:v>
                </c:pt>
                <c:pt idx="2317">
                  <c:v>0.45839702412558836</c:v>
                </c:pt>
                <c:pt idx="2318">
                  <c:v>0.45840237062657252</c:v>
                </c:pt>
                <c:pt idx="2319">
                  <c:v>0.45874884731529164</c:v>
                </c:pt>
                <c:pt idx="2320">
                  <c:v>0.45879306899314543</c:v>
                </c:pt>
                <c:pt idx="2321">
                  <c:v>0.45911059613081306</c:v>
                </c:pt>
                <c:pt idx="2322">
                  <c:v>0.45927434432815062</c:v>
                </c:pt>
                <c:pt idx="2323">
                  <c:v>0.45943467677352601</c:v>
                </c:pt>
                <c:pt idx="2324">
                  <c:v>0.4594423775197356</c:v>
                </c:pt>
                <c:pt idx="2325">
                  <c:v>0.45952806342847907</c:v>
                </c:pt>
                <c:pt idx="2326">
                  <c:v>0.45968419456221454</c:v>
                </c:pt>
                <c:pt idx="2327">
                  <c:v>0.45998466223863943</c:v>
                </c:pt>
                <c:pt idx="2328">
                  <c:v>0.46019964892093412</c:v>
                </c:pt>
                <c:pt idx="2329">
                  <c:v>0.46137060660930729</c:v>
                </c:pt>
                <c:pt idx="2330">
                  <c:v>0.46176761405877187</c:v>
                </c:pt>
                <c:pt idx="2331">
                  <c:v>0.46207590721041925</c:v>
                </c:pt>
                <c:pt idx="2332">
                  <c:v>0.46207733232677128</c:v>
                </c:pt>
                <c:pt idx="2333">
                  <c:v>0.46223549225669558</c:v>
                </c:pt>
                <c:pt idx="2334">
                  <c:v>0.46247366010447877</c:v>
                </c:pt>
                <c:pt idx="2335">
                  <c:v>0.46330657448743295</c:v>
                </c:pt>
                <c:pt idx="2336">
                  <c:v>0.4635932918972685</c:v>
                </c:pt>
                <c:pt idx="2337">
                  <c:v>0.46433408087068528</c:v>
                </c:pt>
                <c:pt idx="2338">
                  <c:v>0.46434995935214829</c:v>
                </c:pt>
                <c:pt idx="2339">
                  <c:v>0.46437020036864851</c:v>
                </c:pt>
                <c:pt idx="2340">
                  <c:v>0.46447122466543078</c:v>
                </c:pt>
                <c:pt idx="2341">
                  <c:v>0.46458900370902256</c:v>
                </c:pt>
                <c:pt idx="2342">
                  <c:v>0.46482043108244397</c:v>
                </c:pt>
                <c:pt idx="2343">
                  <c:v>0.46502621623676532</c:v>
                </c:pt>
                <c:pt idx="2344">
                  <c:v>0.46506111069084</c:v>
                </c:pt>
                <c:pt idx="2345">
                  <c:v>0.46511542940879735</c:v>
                </c:pt>
                <c:pt idx="2346">
                  <c:v>0.46585803153448069</c:v>
                </c:pt>
                <c:pt idx="2347">
                  <c:v>0.46597576203021163</c:v>
                </c:pt>
                <c:pt idx="2348">
                  <c:v>0.46618651629250962</c:v>
                </c:pt>
                <c:pt idx="2349">
                  <c:v>0.46658833645142295</c:v>
                </c:pt>
                <c:pt idx="2350">
                  <c:v>0.46691233007641131</c:v>
                </c:pt>
                <c:pt idx="2351">
                  <c:v>0.4669136863985841</c:v>
                </c:pt>
                <c:pt idx="2352">
                  <c:v>0.46729543614401337</c:v>
                </c:pt>
                <c:pt idx="2353">
                  <c:v>0.46738562979862763</c:v>
                </c:pt>
                <c:pt idx="2354">
                  <c:v>0.46764844121571514</c:v>
                </c:pt>
                <c:pt idx="2355">
                  <c:v>0.4677079824714383</c:v>
                </c:pt>
                <c:pt idx="2356">
                  <c:v>0.46807818800243695</c:v>
                </c:pt>
                <c:pt idx="2357">
                  <c:v>0.46838196675525978</c:v>
                </c:pt>
                <c:pt idx="2358">
                  <c:v>0.46838728987859213</c:v>
                </c:pt>
                <c:pt idx="2359">
                  <c:v>0.46855667971294679</c:v>
                </c:pt>
                <c:pt idx="2360">
                  <c:v>0.46869043584410974</c:v>
                </c:pt>
                <c:pt idx="2361">
                  <c:v>0.46880949086973089</c:v>
                </c:pt>
                <c:pt idx="2362">
                  <c:v>0.46888625731662614</c:v>
                </c:pt>
                <c:pt idx="2363">
                  <c:v>0.46957137627580892</c:v>
                </c:pt>
                <c:pt idx="2364">
                  <c:v>0.46958201334291516</c:v>
                </c:pt>
                <c:pt idx="2365">
                  <c:v>0.46960705056335428</c:v>
                </c:pt>
                <c:pt idx="2366">
                  <c:v>0.46993670747724536</c:v>
                </c:pt>
                <c:pt idx="2367">
                  <c:v>0.4699554018843628</c:v>
                </c:pt>
                <c:pt idx="2368">
                  <c:v>0.47014253639190429</c:v>
                </c:pt>
                <c:pt idx="2369">
                  <c:v>0.4703476580507413</c:v>
                </c:pt>
                <c:pt idx="2370">
                  <c:v>0.47041440230441367</c:v>
                </c:pt>
                <c:pt idx="2371">
                  <c:v>0.47061438650689524</c:v>
                </c:pt>
                <c:pt idx="2372">
                  <c:v>0.47075162919190916</c:v>
                </c:pt>
                <c:pt idx="2373">
                  <c:v>0.47077301145691308</c:v>
                </c:pt>
                <c:pt idx="2374">
                  <c:v>0.47080264634951163</c:v>
                </c:pt>
                <c:pt idx="2375">
                  <c:v>0.47093459334791987</c:v>
                </c:pt>
                <c:pt idx="2376">
                  <c:v>0.47095851063386363</c:v>
                </c:pt>
                <c:pt idx="2377">
                  <c:v>0.47121481679550925</c:v>
                </c:pt>
                <c:pt idx="2378">
                  <c:v>0.4712825212000098</c:v>
                </c:pt>
                <c:pt idx="2379">
                  <c:v>0.47135518549021072</c:v>
                </c:pt>
                <c:pt idx="2380">
                  <c:v>0.47135802674893057</c:v>
                </c:pt>
                <c:pt idx="2381">
                  <c:v>0.47166656487479486</c:v>
                </c:pt>
                <c:pt idx="2382">
                  <c:v>0.47168116983357322</c:v>
                </c:pt>
                <c:pt idx="2383">
                  <c:v>0.47200709924436524</c:v>
                </c:pt>
                <c:pt idx="2384">
                  <c:v>0.47223783707067923</c:v>
                </c:pt>
                <c:pt idx="2385">
                  <c:v>0.47243925518796459</c:v>
                </c:pt>
                <c:pt idx="2386">
                  <c:v>0.47261873108254804</c:v>
                </c:pt>
                <c:pt idx="2387">
                  <c:v>0.47275122375958745</c:v>
                </c:pt>
                <c:pt idx="2388">
                  <c:v>0.47296347187511856</c:v>
                </c:pt>
                <c:pt idx="2389">
                  <c:v>0.47330480554319365</c:v>
                </c:pt>
                <c:pt idx="2390">
                  <c:v>0.47330545185650408</c:v>
                </c:pt>
                <c:pt idx="2391">
                  <c:v>0.47398542366045149</c:v>
                </c:pt>
                <c:pt idx="2392">
                  <c:v>0.47406191774007311</c:v>
                </c:pt>
                <c:pt idx="2393">
                  <c:v>0.47423777234143927</c:v>
                </c:pt>
                <c:pt idx="2394">
                  <c:v>0.47426494606406777</c:v>
                </c:pt>
                <c:pt idx="2395">
                  <c:v>0.47428662871789129</c:v>
                </c:pt>
                <c:pt idx="2396">
                  <c:v>0.47436823210955481</c:v>
                </c:pt>
                <c:pt idx="2397">
                  <c:v>0.47481232986956456</c:v>
                </c:pt>
                <c:pt idx="2398">
                  <c:v>0.47491580785299448</c:v>
                </c:pt>
                <c:pt idx="2399">
                  <c:v>0.47501080177516997</c:v>
                </c:pt>
                <c:pt idx="2400">
                  <c:v>0.47543781147760455</c:v>
                </c:pt>
                <c:pt idx="2401">
                  <c:v>0.47566089551946789</c:v>
                </c:pt>
                <c:pt idx="2402">
                  <c:v>0.47607617657831725</c:v>
                </c:pt>
                <c:pt idx="2403">
                  <c:v>0.47622375734954403</c:v>
                </c:pt>
                <c:pt idx="2404">
                  <c:v>0.47637499123084126</c:v>
                </c:pt>
                <c:pt idx="2405">
                  <c:v>0.4768994780806679</c:v>
                </c:pt>
                <c:pt idx="2406">
                  <c:v>0.47703534034371842</c:v>
                </c:pt>
                <c:pt idx="2407">
                  <c:v>0.47718169279596623</c:v>
                </c:pt>
                <c:pt idx="2408">
                  <c:v>0.47724478991131036</c:v>
                </c:pt>
                <c:pt idx="2409">
                  <c:v>0.47738642042986612</c:v>
                </c:pt>
                <c:pt idx="2410">
                  <c:v>0.47756251467308175</c:v>
                </c:pt>
                <c:pt idx="2411">
                  <c:v>0.47758609033553512</c:v>
                </c:pt>
                <c:pt idx="2412">
                  <c:v>0.47785027318695938</c:v>
                </c:pt>
                <c:pt idx="2413">
                  <c:v>0.47832216860206245</c:v>
                </c:pt>
                <c:pt idx="2414">
                  <c:v>0.47836845122310478</c:v>
                </c:pt>
                <c:pt idx="2415">
                  <c:v>0.47847748780714028</c:v>
                </c:pt>
                <c:pt idx="2416">
                  <c:v>0.47848734412946214</c:v>
                </c:pt>
                <c:pt idx="2417">
                  <c:v>0.47877339574824873</c:v>
                </c:pt>
                <c:pt idx="2418">
                  <c:v>0.4789434753893147</c:v>
                </c:pt>
                <c:pt idx="2419">
                  <c:v>0.47910560556738346</c:v>
                </c:pt>
                <c:pt idx="2420">
                  <c:v>0.47912148390969378</c:v>
                </c:pt>
                <c:pt idx="2421">
                  <c:v>0.47915640048449859</c:v>
                </c:pt>
                <c:pt idx="2422">
                  <c:v>0.47926942733829492</c:v>
                </c:pt>
                <c:pt idx="2423">
                  <c:v>0.47959360420827579</c:v>
                </c:pt>
                <c:pt idx="2424">
                  <c:v>0.48005227690282481</c:v>
                </c:pt>
                <c:pt idx="2425">
                  <c:v>0.48011698461505148</c:v>
                </c:pt>
                <c:pt idx="2426">
                  <c:v>0.48015560596104478</c:v>
                </c:pt>
                <c:pt idx="2427">
                  <c:v>0.48055247329102713</c:v>
                </c:pt>
                <c:pt idx="2428">
                  <c:v>0.4805791079716073</c:v>
                </c:pt>
                <c:pt idx="2429">
                  <c:v>0.4806541152374848</c:v>
                </c:pt>
                <c:pt idx="2430">
                  <c:v>0.48117849782101985</c:v>
                </c:pt>
                <c:pt idx="2431">
                  <c:v>0.48126028925071296</c:v>
                </c:pt>
                <c:pt idx="2432">
                  <c:v>0.48190646926195768</c:v>
                </c:pt>
                <c:pt idx="2433">
                  <c:v>0.48191083116762456</c:v>
                </c:pt>
                <c:pt idx="2434">
                  <c:v>0.48195784071185699</c:v>
                </c:pt>
                <c:pt idx="2435">
                  <c:v>0.48223515603876876</c:v>
                </c:pt>
                <c:pt idx="2436">
                  <c:v>0.48246712470427155</c:v>
                </c:pt>
                <c:pt idx="2437">
                  <c:v>0.48274416883486992</c:v>
                </c:pt>
                <c:pt idx="2438">
                  <c:v>0.48291474403686152</c:v>
                </c:pt>
                <c:pt idx="2439">
                  <c:v>0.4829568988407118</c:v>
                </c:pt>
                <c:pt idx="2440">
                  <c:v>0.48344520548289438</c:v>
                </c:pt>
                <c:pt idx="2441">
                  <c:v>0.48358896657464356</c:v>
                </c:pt>
                <c:pt idx="2442">
                  <c:v>0.48386617053895975</c:v>
                </c:pt>
                <c:pt idx="2443">
                  <c:v>0.48394614886910858</c:v>
                </c:pt>
                <c:pt idx="2444">
                  <c:v>0.48435766146758397</c:v>
                </c:pt>
                <c:pt idx="2445">
                  <c:v>0.48442453334519087</c:v>
                </c:pt>
                <c:pt idx="2446">
                  <c:v>0.48491684580858418</c:v>
                </c:pt>
                <c:pt idx="2447">
                  <c:v>0.48547742880509759</c:v>
                </c:pt>
                <c:pt idx="2448">
                  <c:v>0.48575108223940333</c:v>
                </c:pt>
                <c:pt idx="2449">
                  <c:v>0.48582751033063687</c:v>
                </c:pt>
                <c:pt idx="2450">
                  <c:v>0.48605258457610034</c:v>
                </c:pt>
                <c:pt idx="2451">
                  <c:v>0.48624643619405106</c:v>
                </c:pt>
                <c:pt idx="2452">
                  <c:v>0.48626298368708376</c:v>
                </c:pt>
                <c:pt idx="2453">
                  <c:v>0.4863336108301155</c:v>
                </c:pt>
                <c:pt idx="2454">
                  <c:v>0.48636528579663718</c:v>
                </c:pt>
                <c:pt idx="2455">
                  <c:v>0.48637963184592081</c:v>
                </c:pt>
                <c:pt idx="2456">
                  <c:v>0.48646660207487002</c:v>
                </c:pt>
                <c:pt idx="2457">
                  <c:v>0.487245929416531</c:v>
                </c:pt>
                <c:pt idx="2458">
                  <c:v>0.48724761599260091</c:v>
                </c:pt>
                <c:pt idx="2459">
                  <c:v>0.48756151300494821</c:v>
                </c:pt>
                <c:pt idx="2460">
                  <c:v>0.48779251577889227</c:v>
                </c:pt>
                <c:pt idx="2461">
                  <c:v>0.48812663708213222</c:v>
                </c:pt>
                <c:pt idx="2462">
                  <c:v>0.48849318494831095</c:v>
                </c:pt>
                <c:pt idx="2463">
                  <c:v>0.4886567321154871</c:v>
                </c:pt>
                <c:pt idx="2464">
                  <c:v>0.48893328475332964</c:v>
                </c:pt>
                <c:pt idx="2465">
                  <c:v>0.48905147697587381</c:v>
                </c:pt>
                <c:pt idx="2466">
                  <c:v>0.48931854808961361</c:v>
                </c:pt>
                <c:pt idx="2467">
                  <c:v>0.48953306429211807</c:v>
                </c:pt>
                <c:pt idx="2468">
                  <c:v>0.48986114633225952</c:v>
                </c:pt>
                <c:pt idx="2469">
                  <c:v>0.48989052572687797</c:v>
                </c:pt>
                <c:pt idx="2470">
                  <c:v>0.49004298441286664</c:v>
                </c:pt>
                <c:pt idx="2471">
                  <c:v>0.49010934627312963</c:v>
                </c:pt>
                <c:pt idx="2472">
                  <c:v>0.49040633614458784</c:v>
                </c:pt>
                <c:pt idx="2473">
                  <c:v>0.49079780291503994</c:v>
                </c:pt>
                <c:pt idx="2474">
                  <c:v>0.49080999880061427</c:v>
                </c:pt>
                <c:pt idx="2475">
                  <c:v>0.49101183814946125</c:v>
                </c:pt>
                <c:pt idx="2476">
                  <c:v>0.49156286327706766</c:v>
                </c:pt>
                <c:pt idx="2477">
                  <c:v>0.491699023916226</c:v>
                </c:pt>
                <c:pt idx="2478">
                  <c:v>0.49177651256104582</c:v>
                </c:pt>
                <c:pt idx="2479">
                  <c:v>0.49181326722548491</c:v>
                </c:pt>
                <c:pt idx="2480">
                  <c:v>0.49195251069522783</c:v>
                </c:pt>
                <c:pt idx="2481">
                  <c:v>0.49197754605847877</c:v>
                </c:pt>
                <c:pt idx="2482">
                  <c:v>0.49199443126326514</c:v>
                </c:pt>
                <c:pt idx="2483">
                  <c:v>0.49315782519079221</c:v>
                </c:pt>
                <c:pt idx="2484">
                  <c:v>0.49334538470338885</c:v>
                </c:pt>
                <c:pt idx="2485">
                  <c:v>0.49357639609297621</c:v>
                </c:pt>
                <c:pt idx="2486">
                  <c:v>0.49362403578379599</c:v>
                </c:pt>
                <c:pt idx="2487">
                  <c:v>0.49386369281091902</c:v>
                </c:pt>
                <c:pt idx="2488">
                  <c:v>0.49430243920869543</c:v>
                </c:pt>
                <c:pt idx="2489">
                  <c:v>0.49467090808138892</c:v>
                </c:pt>
                <c:pt idx="2490">
                  <c:v>0.49477751374161016</c:v>
                </c:pt>
                <c:pt idx="2491">
                  <c:v>0.49545530159775808</c:v>
                </c:pt>
                <c:pt idx="2492">
                  <c:v>0.49558776794128789</c:v>
                </c:pt>
                <c:pt idx="2493">
                  <c:v>0.49583556909510662</c:v>
                </c:pt>
                <c:pt idx="2494">
                  <c:v>0.49636179643948708</c:v>
                </c:pt>
                <c:pt idx="2495">
                  <c:v>0.4970986809103124</c:v>
                </c:pt>
                <c:pt idx="2496">
                  <c:v>0.49717246711406915</c:v>
                </c:pt>
                <c:pt idx="2497">
                  <c:v>0.49773425941657479</c:v>
                </c:pt>
                <c:pt idx="2498">
                  <c:v>0.4977693766104494</c:v>
                </c:pt>
                <c:pt idx="2499">
                  <c:v>0.49781854344382737</c:v>
                </c:pt>
                <c:pt idx="2500">
                  <c:v>0.49792298394550016</c:v>
                </c:pt>
                <c:pt idx="2501">
                  <c:v>0.49797715443946799</c:v>
                </c:pt>
                <c:pt idx="2502">
                  <c:v>0.49799281154264463</c:v>
                </c:pt>
                <c:pt idx="2503">
                  <c:v>0.49848045383714634</c:v>
                </c:pt>
                <c:pt idx="2504">
                  <c:v>0.49869554240467551</c:v>
                </c:pt>
                <c:pt idx="2505">
                  <c:v>0.49874188408739428</c:v>
                </c:pt>
                <c:pt idx="2506">
                  <c:v>0.49886658678315143</c:v>
                </c:pt>
                <c:pt idx="2507">
                  <c:v>0.4989646044796423</c:v>
                </c:pt>
                <c:pt idx="2508">
                  <c:v>0.49907084381720779</c:v>
                </c:pt>
                <c:pt idx="2509">
                  <c:v>0.50052794285056734</c:v>
                </c:pt>
                <c:pt idx="2510">
                  <c:v>0.50060016287443432</c:v>
                </c:pt>
                <c:pt idx="2511">
                  <c:v>0.50065269056267425</c:v>
                </c:pt>
                <c:pt idx="2512">
                  <c:v>0.50130751021879405</c:v>
                </c:pt>
                <c:pt idx="2513">
                  <c:v>0.50165110348461894</c:v>
                </c:pt>
                <c:pt idx="2514">
                  <c:v>0.50191826465561462</c:v>
                </c:pt>
                <c:pt idx="2515">
                  <c:v>0.50212931342502998</c:v>
                </c:pt>
                <c:pt idx="2516">
                  <c:v>0.50227871724746365</c:v>
                </c:pt>
                <c:pt idx="2517">
                  <c:v>0.50250434046120063</c:v>
                </c:pt>
                <c:pt idx="2518">
                  <c:v>0.5026477820429136</c:v>
                </c:pt>
                <c:pt idx="2519">
                  <c:v>0.50276182522247836</c:v>
                </c:pt>
                <c:pt idx="2520">
                  <c:v>0.50287052494149975</c:v>
                </c:pt>
                <c:pt idx="2521">
                  <c:v>0.50303769856236613</c:v>
                </c:pt>
                <c:pt idx="2522">
                  <c:v>0.50314176322262938</c:v>
                </c:pt>
                <c:pt idx="2523">
                  <c:v>0.5032949754386209</c:v>
                </c:pt>
                <c:pt idx="2524">
                  <c:v>0.50330070692598383</c:v>
                </c:pt>
                <c:pt idx="2525">
                  <c:v>0.50360421838558977</c:v>
                </c:pt>
                <c:pt idx="2526">
                  <c:v>0.50406608977118594</c:v>
                </c:pt>
                <c:pt idx="2527">
                  <c:v>0.50435367125373887</c:v>
                </c:pt>
                <c:pt idx="2528">
                  <c:v>0.50450147353694774</c:v>
                </c:pt>
                <c:pt idx="2529">
                  <c:v>0.50459236095412052</c:v>
                </c:pt>
                <c:pt idx="2530">
                  <c:v>0.50551972243192722</c:v>
                </c:pt>
                <c:pt idx="2531">
                  <c:v>0.50559511557457881</c:v>
                </c:pt>
                <c:pt idx="2532">
                  <c:v>0.50565585415915848</c:v>
                </c:pt>
                <c:pt idx="2533">
                  <c:v>0.5057143319863826</c:v>
                </c:pt>
                <c:pt idx="2534">
                  <c:v>0.50591329702820076</c:v>
                </c:pt>
                <c:pt idx="2535">
                  <c:v>0.50615563331393787</c:v>
                </c:pt>
                <c:pt idx="2536">
                  <c:v>0.50616873460694478</c:v>
                </c:pt>
                <c:pt idx="2537">
                  <c:v>0.50631283145685302</c:v>
                </c:pt>
                <c:pt idx="2538">
                  <c:v>0.50638661702487298</c:v>
                </c:pt>
                <c:pt idx="2539">
                  <c:v>0.50640651907724532</c:v>
                </c:pt>
                <c:pt idx="2540">
                  <c:v>0.50681849525699363</c:v>
                </c:pt>
                <c:pt idx="2541">
                  <c:v>0.50687546062181355</c:v>
                </c:pt>
                <c:pt idx="2542">
                  <c:v>0.50723867017677549</c:v>
                </c:pt>
                <c:pt idx="2543">
                  <c:v>0.507346481705099</c:v>
                </c:pt>
                <c:pt idx="2544">
                  <c:v>0.5074252539416193</c:v>
                </c:pt>
                <c:pt idx="2545">
                  <c:v>0.50748393439062056</c:v>
                </c:pt>
                <c:pt idx="2546">
                  <c:v>0.5077397415161613</c:v>
                </c:pt>
                <c:pt idx="2547">
                  <c:v>0.50790974825576995</c:v>
                </c:pt>
                <c:pt idx="2548">
                  <c:v>0.50873867659174721</c:v>
                </c:pt>
                <c:pt idx="2549">
                  <c:v>0.50882830250247935</c:v>
                </c:pt>
                <c:pt idx="2550">
                  <c:v>0.50905949683419749</c:v>
                </c:pt>
                <c:pt idx="2551">
                  <c:v>0.50920562508508738</c:v>
                </c:pt>
                <c:pt idx="2552">
                  <c:v>0.50935223726628465</c:v>
                </c:pt>
                <c:pt idx="2553">
                  <c:v>0.50937934008106822</c:v>
                </c:pt>
                <c:pt idx="2554">
                  <c:v>0.50991346754926781</c:v>
                </c:pt>
                <c:pt idx="2555">
                  <c:v>0.51009358099599922</c:v>
                </c:pt>
                <c:pt idx="2556">
                  <c:v>0.51009998907557019</c:v>
                </c:pt>
                <c:pt idx="2557">
                  <c:v>0.51024631009022414</c:v>
                </c:pt>
                <c:pt idx="2558">
                  <c:v>0.51025711187503475</c:v>
                </c:pt>
                <c:pt idx="2559">
                  <c:v>0.51040866349286773</c:v>
                </c:pt>
                <c:pt idx="2560">
                  <c:v>0.51050765946092724</c:v>
                </c:pt>
                <c:pt idx="2561">
                  <c:v>0.51076192471282411</c:v>
                </c:pt>
                <c:pt idx="2562">
                  <c:v>0.51087869832281285</c:v>
                </c:pt>
                <c:pt idx="2563">
                  <c:v>0.51101699944047141</c:v>
                </c:pt>
                <c:pt idx="2564">
                  <c:v>0.51107802510068723</c:v>
                </c:pt>
                <c:pt idx="2565">
                  <c:v>0.51110602308745001</c:v>
                </c:pt>
                <c:pt idx="2566">
                  <c:v>0.5113525190645305</c:v>
                </c:pt>
                <c:pt idx="2567">
                  <c:v>0.51168813468120788</c:v>
                </c:pt>
                <c:pt idx="2568">
                  <c:v>0.51183955604210496</c:v>
                </c:pt>
                <c:pt idx="2569">
                  <c:v>0.51185253364292294</c:v>
                </c:pt>
                <c:pt idx="2570">
                  <c:v>0.51207403527769202</c:v>
                </c:pt>
                <c:pt idx="2571">
                  <c:v>0.51213774752704921</c:v>
                </c:pt>
                <c:pt idx="2572">
                  <c:v>0.51254456277820282</c:v>
                </c:pt>
                <c:pt idx="2573">
                  <c:v>0.51268680919474718</c:v>
                </c:pt>
                <c:pt idx="2574">
                  <c:v>0.51295808021770029</c:v>
                </c:pt>
                <c:pt idx="2575">
                  <c:v>0.51306773558371788</c:v>
                </c:pt>
                <c:pt idx="2576">
                  <c:v>0.51308635435816541</c:v>
                </c:pt>
                <c:pt idx="2577">
                  <c:v>0.51322959463504958</c:v>
                </c:pt>
                <c:pt idx="2578">
                  <c:v>0.51326178652834642</c:v>
                </c:pt>
                <c:pt idx="2579">
                  <c:v>0.51364391247807362</c:v>
                </c:pt>
                <c:pt idx="2580">
                  <c:v>0.51381288725860941</c:v>
                </c:pt>
                <c:pt idx="2581">
                  <c:v>0.51389322922386782</c:v>
                </c:pt>
                <c:pt idx="2582">
                  <c:v>0.51432209225822589</c:v>
                </c:pt>
                <c:pt idx="2583">
                  <c:v>0.5144803661351034</c:v>
                </c:pt>
                <c:pt idx="2584">
                  <c:v>0.51473407804405724</c:v>
                </c:pt>
                <c:pt idx="2585">
                  <c:v>0.51477393097593449</c:v>
                </c:pt>
                <c:pt idx="2586">
                  <c:v>0.51523928627830173</c:v>
                </c:pt>
                <c:pt idx="2587">
                  <c:v>0.51575561176650808</c:v>
                </c:pt>
                <c:pt idx="2588">
                  <c:v>0.51591754826040415</c:v>
                </c:pt>
                <c:pt idx="2589">
                  <c:v>0.51605915654636192</c:v>
                </c:pt>
                <c:pt idx="2590">
                  <c:v>0.51627619816281367</c:v>
                </c:pt>
                <c:pt idx="2591">
                  <c:v>0.51631755533344403</c:v>
                </c:pt>
                <c:pt idx="2592">
                  <c:v>0.51655878912970365</c:v>
                </c:pt>
                <c:pt idx="2593">
                  <c:v>0.51664850992074207</c:v>
                </c:pt>
                <c:pt idx="2594">
                  <c:v>0.51668265822354442</c:v>
                </c:pt>
                <c:pt idx="2595">
                  <c:v>0.51697191602943349</c:v>
                </c:pt>
                <c:pt idx="2596">
                  <c:v>0.51699891930638842</c:v>
                </c:pt>
                <c:pt idx="2597">
                  <c:v>0.51717695407569408</c:v>
                </c:pt>
                <c:pt idx="2598">
                  <c:v>0.51725832172180031</c:v>
                </c:pt>
                <c:pt idx="2599">
                  <c:v>0.51773637723454158</c:v>
                </c:pt>
                <c:pt idx="2600">
                  <c:v>0.5180273084433793</c:v>
                </c:pt>
                <c:pt idx="2601">
                  <c:v>0.51831447517088236</c:v>
                </c:pt>
                <c:pt idx="2602">
                  <c:v>0.51876748531230987</c:v>
                </c:pt>
                <c:pt idx="2603">
                  <c:v>0.51990246169862075</c:v>
                </c:pt>
                <c:pt idx="2604">
                  <c:v>0.51999963516664138</c:v>
                </c:pt>
                <c:pt idx="2605">
                  <c:v>0.52027701180304575</c:v>
                </c:pt>
                <c:pt idx="2606">
                  <c:v>0.52064990815324563</c:v>
                </c:pt>
                <c:pt idx="2607">
                  <c:v>0.5207230895957764</c:v>
                </c:pt>
                <c:pt idx="2608">
                  <c:v>0.52146550468114583</c:v>
                </c:pt>
                <c:pt idx="2609">
                  <c:v>0.52155820072769643</c:v>
                </c:pt>
                <c:pt idx="2610">
                  <c:v>0.52186225381410623</c:v>
                </c:pt>
                <c:pt idx="2611">
                  <c:v>0.52196608573194681</c:v>
                </c:pt>
                <c:pt idx="2612">
                  <c:v>0.52202748496620188</c:v>
                </c:pt>
                <c:pt idx="2613">
                  <c:v>0.52206532548552786</c:v>
                </c:pt>
                <c:pt idx="2614">
                  <c:v>0.52211329945021134</c:v>
                </c:pt>
                <c:pt idx="2615">
                  <c:v>0.5221321993994934</c:v>
                </c:pt>
                <c:pt idx="2616">
                  <c:v>0.52217237783179371</c:v>
                </c:pt>
                <c:pt idx="2617">
                  <c:v>0.52269720723143109</c:v>
                </c:pt>
                <c:pt idx="2618">
                  <c:v>0.52300834218840464</c:v>
                </c:pt>
                <c:pt idx="2619">
                  <c:v>0.52358198773163167</c:v>
                </c:pt>
                <c:pt idx="2620">
                  <c:v>0.52368818576542253</c:v>
                </c:pt>
                <c:pt idx="2621">
                  <c:v>0.52382546818807896</c:v>
                </c:pt>
                <c:pt idx="2622">
                  <c:v>0.52408665712027869</c:v>
                </c:pt>
                <c:pt idx="2623">
                  <c:v>0.52427890895341989</c:v>
                </c:pt>
                <c:pt idx="2624">
                  <c:v>0.52442663361307496</c:v>
                </c:pt>
                <c:pt idx="2625">
                  <c:v>0.52452575762526976</c:v>
                </c:pt>
                <c:pt idx="2626">
                  <c:v>0.5248141727724942</c:v>
                </c:pt>
                <c:pt idx="2627">
                  <c:v>0.52519779622434726</c:v>
                </c:pt>
                <c:pt idx="2628">
                  <c:v>0.52547072761535674</c:v>
                </c:pt>
                <c:pt idx="2629">
                  <c:v>0.52564376037480542</c:v>
                </c:pt>
                <c:pt idx="2630">
                  <c:v>0.52572704509657342</c:v>
                </c:pt>
                <c:pt idx="2631">
                  <c:v>0.52574632252981246</c:v>
                </c:pt>
                <c:pt idx="2632">
                  <c:v>0.52578665423970961</c:v>
                </c:pt>
                <c:pt idx="2633">
                  <c:v>0.52598160223533341</c:v>
                </c:pt>
                <c:pt idx="2634">
                  <c:v>0.52611509421967639</c:v>
                </c:pt>
                <c:pt idx="2635">
                  <c:v>0.52619277772737405</c:v>
                </c:pt>
                <c:pt idx="2636">
                  <c:v>0.52629446023001947</c:v>
                </c:pt>
                <c:pt idx="2637">
                  <c:v>0.52674949319225561</c:v>
                </c:pt>
                <c:pt idx="2638">
                  <c:v>0.52715239648023271</c:v>
                </c:pt>
                <c:pt idx="2639">
                  <c:v>0.52728619393383269</c:v>
                </c:pt>
                <c:pt idx="2640">
                  <c:v>0.52815268087942968</c:v>
                </c:pt>
                <c:pt idx="2641">
                  <c:v>0.52817299934395123</c:v>
                </c:pt>
                <c:pt idx="2642">
                  <c:v>0.52856088337557594</c:v>
                </c:pt>
                <c:pt idx="2643">
                  <c:v>0.52858457093589095</c:v>
                </c:pt>
                <c:pt idx="2644">
                  <c:v>0.52872055001989793</c:v>
                </c:pt>
                <c:pt idx="2645">
                  <c:v>0.52907478453880685</c:v>
                </c:pt>
                <c:pt idx="2646">
                  <c:v>0.52955904840200674</c:v>
                </c:pt>
                <c:pt idx="2647">
                  <c:v>0.52994104279514431</c:v>
                </c:pt>
                <c:pt idx="2648">
                  <c:v>0.52996951087880007</c:v>
                </c:pt>
                <c:pt idx="2649">
                  <c:v>0.53001656040487433</c:v>
                </c:pt>
                <c:pt idx="2650">
                  <c:v>0.53042252919385646</c:v>
                </c:pt>
                <c:pt idx="2651">
                  <c:v>0.53101815026639088</c:v>
                </c:pt>
                <c:pt idx="2652">
                  <c:v>0.53106811478937743</c:v>
                </c:pt>
                <c:pt idx="2653">
                  <c:v>0.53154779623855575</c:v>
                </c:pt>
                <c:pt idx="2654">
                  <c:v>0.53164289512278629</c:v>
                </c:pt>
                <c:pt idx="2655">
                  <c:v>0.53184547154707218</c:v>
                </c:pt>
                <c:pt idx="2656">
                  <c:v>0.5327253751365788</c:v>
                </c:pt>
                <c:pt idx="2657">
                  <c:v>0.53281563637574436</c:v>
                </c:pt>
                <c:pt idx="2658">
                  <c:v>0.53301593129981484</c:v>
                </c:pt>
                <c:pt idx="2659">
                  <c:v>0.53335899251760566</c:v>
                </c:pt>
                <c:pt idx="2660">
                  <c:v>0.5336102813926118</c:v>
                </c:pt>
                <c:pt idx="2661">
                  <c:v>0.53472656748363079</c:v>
                </c:pt>
                <c:pt idx="2662">
                  <c:v>0.53482583837831044</c:v>
                </c:pt>
                <c:pt idx="2663">
                  <c:v>0.53486727068229811</c:v>
                </c:pt>
                <c:pt idx="2664">
                  <c:v>0.53493284273281461</c:v>
                </c:pt>
                <c:pt idx="2665">
                  <c:v>0.53519935191616241</c:v>
                </c:pt>
                <c:pt idx="2666">
                  <c:v>0.53550827463459427</c:v>
                </c:pt>
                <c:pt idx="2667">
                  <c:v>0.53556127478077542</c:v>
                </c:pt>
                <c:pt idx="2668">
                  <c:v>0.5356604633598181</c:v>
                </c:pt>
                <c:pt idx="2669">
                  <c:v>0.53567904249393905</c:v>
                </c:pt>
                <c:pt idx="2670">
                  <c:v>0.53572418076419126</c:v>
                </c:pt>
                <c:pt idx="2671">
                  <c:v>0.53623671031255071</c:v>
                </c:pt>
                <c:pt idx="2672">
                  <c:v>0.53632008159729594</c:v>
                </c:pt>
                <c:pt idx="2673">
                  <c:v>0.53647137847656268</c:v>
                </c:pt>
                <c:pt idx="2674">
                  <c:v>0.53653415479038813</c:v>
                </c:pt>
                <c:pt idx="2675">
                  <c:v>0.53662301058739104</c:v>
                </c:pt>
                <c:pt idx="2676">
                  <c:v>0.53673375607831986</c:v>
                </c:pt>
                <c:pt idx="2677">
                  <c:v>0.53698225347397965</c:v>
                </c:pt>
                <c:pt idx="2678">
                  <c:v>0.53712870576873684</c:v>
                </c:pt>
                <c:pt idx="2679">
                  <c:v>0.53728019804293581</c:v>
                </c:pt>
                <c:pt idx="2680">
                  <c:v>0.5373511854231765</c:v>
                </c:pt>
                <c:pt idx="2681">
                  <c:v>0.53735248742214026</c:v>
                </c:pt>
                <c:pt idx="2682">
                  <c:v>0.53744923224712693</c:v>
                </c:pt>
                <c:pt idx="2683">
                  <c:v>0.53748810790514767</c:v>
                </c:pt>
                <c:pt idx="2684">
                  <c:v>0.53750082553415268</c:v>
                </c:pt>
                <c:pt idx="2685">
                  <c:v>0.53750558248884772</c:v>
                </c:pt>
                <c:pt idx="2686">
                  <c:v>0.53761159824352944</c:v>
                </c:pt>
                <c:pt idx="2687">
                  <c:v>0.53777920166248805</c:v>
                </c:pt>
                <c:pt idx="2688">
                  <c:v>0.53789862807207101</c:v>
                </c:pt>
                <c:pt idx="2689">
                  <c:v>0.53806643944426469</c:v>
                </c:pt>
                <c:pt idx="2690">
                  <c:v>0.53820351494232455</c:v>
                </c:pt>
                <c:pt idx="2691">
                  <c:v>0.53829912793389667</c:v>
                </c:pt>
                <c:pt idx="2692">
                  <c:v>0.53865064532874385</c:v>
                </c:pt>
                <c:pt idx="2693">
                  <c:v>0.53866925428337709</c:v>
                </c:pt>
                <c:pt idx="2694">
                  <c:v>0.53876366340864479</c:v>
                </c:pt>
                <c:pt idx="2695">
                  <c:v>0.53878809183427734</c:v>
                </c:pt>
                <c:pt idx="2696">
                  <c:v>0.5390817907264136</c:v>
                </c:pt>
                <c:pt idx="2697">
                  <c:v>0.53921615557010227</c:v>
                </c:pt>
                <c:pt idx="2698">
                  <c:v>0.53930513803607028</c:v>
                </c:pt>
                <c:pt idx="2699">
                  <c:v>0.53944659306398535</c:v>
                </c:pt>
                <c:pt idx="2700">
                  <c:v>0.5397411464346078</c:v>
                </c:pt>
                <c:pt idx="2701">
                  <c:v>0.5400217173009878</c:v>
                </c:pt>
                <c:pt idx="2702">
                  <c:v>0.54015965882808814</c:v>
                </c:pt>
                <c:pt idx="2703">
                  <c:v>0.54017102917896409</c:v>
                </c:pt>
                <c:pt idx="2704">
                  <c:v>0.54027353523179045</c:v>
                </c:pt>
                <c:pt idx="2705">
                  <c:v>0.54115331105822406</c:v>
                </c:pt>
                <c:pt idx="2706">
                  <c:v>0.54150222578482499</c:v>
                </c:pt>
                <c:pt idx="2707">
                  <c:v>0.54152165471168701</c:v>
                </c:pt>
                <c:pt idx="2708">
                  <c:v>0.54164096373642678</c:v>
                </c:pt>
                <c:pt idx="2709">
                  <c:v>0.54188345730563015</c:v>
                </c:pt>
                <c:pt idx="2710">
                  <c:v>0.54263276202891575</c:v>
                </c:pt>
                <c:pt idx="2711">
                  <c:v>0.5428184715219686</c:v>
                </c:pt>
                <c:pt idx="2712">
                  <c:v>0.54282801971839945</c:v>
                </c:pt>
                <c:pt idx="2713">
                  <c:v>0.54290931350351457</c:v>
                </c:pt>
                <c:pt idx="2714">
                  <c:v>0.54302059284509596</c:v>
                </c:pt>
                <c:pt idx="2715">
                  <c:v>0.54309036778522568</c:v>
                </c:pt>
                <c:pt idx="2716">
                  <c:v>0.54321923145198525</c:v>
                </c:pt>
                <c:pt idx="2717">
                  <c:v>0.54325978527685947</c:v>
                </c:pt>
                <c:pt idx="2718">
                  <c:v>0.54337364757338946</c:v>
                </c:pt>
                <c:pt idx="2719">
                  <c:v>0.54337501210375194</c:v>
                </c:pt>
                <c:pt idx="2720">
                  <c:v>0.54409416044927639</c:v>
                </c:pt>
                <c:pt idx="2721">
                  <c:v>0.54422877795877866</c:v>
                </c:pt>
                <c:pt idx="2722">
                  <c:v>0.54423710814626247</c:v>
                </c:pt>
                <c:pt idx="2723">
                  <c:v>0.54449180442861689</c:v>
                </c:pt>
                <c:pt idx="2724">
                  <c:v>0.5452655013605181</c:v>
                </c:pt>
                <c:pt idx="2725">
                  <c:v>0.54538365695589164</c:v>
                </c:pt>
                <c:pt idx="2726">
                  <c:v>0.54544137120956293</c:v>
                </c:pt>
                <c:pt idx="2727">
                  <c:v>0.54603797065283288</c:v>
                </c:pt>
                <c:pt idx="2728">
                  <c:v>0.54608428392111819</c:v>
                </c:pt>
                <c:pt idx="2729">
                  <c:v>0.54630326211554348</c:v>
                </c:pt>
                <c:pt idx="2730">
                  <c:v>0.54658085156188463</c:v>
                </c:pt>
                <c:pt idx="2731">
                  <c:v>0.54666900093889126</c:v>
                </c:pt>
                <c:pt idx="2732">
                  <c:v>0.54680006953185512</c:v>
                </c:pt>
                <c:pt idx="2733">
                  <c:v>0.54714960868295748</c:v>
                </c:pt>
                <c:pt idx="2734">
                  <c:v>0.5474355383830698</c:v>
                </c:pt>
                <c:pt idx="2735">
                  <c:v>0.54745901319165569</c:v>
                </c:pt>
                <c:pt idx="2736">
                  <c:v>0.54756025349161064</c:v>
                </c:pt>
                <c:pt idx="2737">
                  <c:v>0.54756097897373479</c:v>
                </c:pt>
                <c:pt idx="2738">
                  <c:v>0.54756992921375058</c:v>
                </c:pt>
                <c:pt idx="2739">
                  <c:v>0.5477681214306358</c:v>
                </c:pt>
                <c:pt idx="2740">
                  <c:v>0.54793129382690609</c:v>
                </c:pt>
                <c:pt idx="2741">
                  <c:v>0.5480108211750121</c:v>
                </c:pt>
                <c:pt idx="2742">
                  <c:v>0.54810426969561377</c:v>
                </c:pt>
                <c:pt idx="2743">
                  <c:v>0.54815613231858151</c:v>
                </c:pt>
                <c:pt idx="2744">
                  <c:v>0.54826319384665112</c:v>
                </c:pt>
                <c:pt idx="2745">
                  <c:v>0.54827145288072643</c:v>
                </c:pt>
                <c:pt idx="2746">
                  <c:v>0.54830402541847434</c:v>
                </c:pt>
                <c:pt idx="2747">
                  <c:v>0.5483983798776535</c:v>
                </c:pt>
                <c:pt idx="2748">
                  <c:v>0.54842647423356539</c:v>
                </c:pt>
                <c:pt idx="2749">
                  <c:v>0.54852940552427754</c:v>
                </c:pt>
                <c:pt idx="2750">
                  <c:v>0.54888950686836324</c:v>
                </c:pt>
                <c:pt idx="2751">
                  <c:v>0.54937185848757508</c:v>
                </c:pt>
                <c:pt idx="2752">
                  <c:v>0.55006397641230365</c:v>
                </c:pt>
                <c:pt idx="2753">
                  <c:v>0.55009130010694207</c:v>
                </c:pt>
                <c:pt idx="2754">
                  <c:v>0.55018419233692839</c:v>
                </c:pt>
                <c:pt idx="2755">
                  <c:v>0.55082651928751147</c:v>
                </c:pt>
                <c:pt idx="2756">
                  <c:v>0.55113871606499742</c:v>
                </c:pt>
                <c:pt idx="2757">
                  <c:v>0.55136672871140036</c:v>
                </c:pt>
                <c:pt idx="2758">
                  <c:v>0.55138625648578454</c:v>
                </c:pt>
                <c:pt idx="2759">
                  <c:v>0.55148293861566344</c:v>
                </c:pt>
                <c:pt idx="2760">
                  <c:v>0.55151134238349186</c:v>
                </c:pt>
                <c:pt idx="2761">
                  <c:v>0.55158947854943108</c:v>
                </c:pt>
                <c:pt idx="2762">
                  <c:v>0.55187957594353065</c:v>
                </c:pt>
                <c:pt idx="2763">
                  <c:v>0.55210808675474254</c:v>
                </c:pt>
                <c:pt idx="2764">
                  <c:v>0.55233734090415965</c:v>
                </c:pt>
                <c:pt idx="2765">
                  <c:v>0.55289260746758373</c:v>
                </c:pt>
                <c:pt idx="2766">
                  <c:v>0.55306087117878633</c:v>
                </c:pt>
                <c:pt idx="2767">
                  <c:v>0.55310636752983555</c:v>
                </c:pt>
                <c:pt idx="2768">
                  <c:v>0.55356359256529686</c:v>
                </c:pt>
                <c:pt idx="2769">
                  <c:v>0.55378593200748583</c:v>
                </c:pt>
                <c:pt idx="2770">
                  <c:v>0.55412924338725134</c:v>
                </c:pt>
                <c:pt idx="2771">
                  <c:v>0.55419966869430937</c:v>
                </c:pt>
                <c:pt idx="2772">
                  <c:v>0.55449582887013094</c:v>
                </c:pt>
                <c:pt idx="2773">
                  <c:v>0.55483967800682876</c:v>
                </c:pt>
                <c:pt idx="2774">
                  <c:v>0.554966204320408</c:v>
                </c:pt>
                <c:pt idx="2775">
                  <c:v>0.55522345359531755</c:v>
                </c:pt>
                <c:pt idx="2776">
                  <c:v>0.55562833396743372</c:v>
                </c:pt>
                <c:pt idx="2777">
                  <c:v>0.55566313789768174</c:v>
                </c:pt>
                <c:pt idx="2778">
                  <c:v>0.55567502052781492</c:v>
                </c:pt>
                <c:pt idx="2779">
                  <c:v>0.55568739260070288</c:v>
                </c:pt>
                <c:pt idx="2780">
                  <c:v>0.55583441438648151</c:v>
                </c:pt>
                <c:pt idx="2781">
                  <c:v>0.55592451662414533</c:v>
                </c:pt>
                <c:pt idx="2782">
                  <c:v>0.55626691534234851</c:v>
                </c:pt>
                <c:pt idx="2783">
                  <c:v>0.55684972960807499</c:v>
                </c:pt>
                <c:pt idx="2784">
                  <c:v>0.55691593211486179</c:v>
                </c:pt>
                <c:pt idx="2785">
                  <c:v>0.55704517567482981</c:v>
                </c:pt>
                <c:pt idx="2786">
                  <c:v>0.55713473375635658</c:v>
                </c:pt>
                <c:pt idx="2787">
                  <c:v>0.55762414241780789</c:v>
                </c:pt>
                <c:pt idx="2788">
                  <c:v>0.55783415031874029</c:v>
                </c:pt>
                <c:pt idx="2789">
                  <c:v>0.55805716883696732</c:v>
                </c:pt>
                <c:pt idx="2790">
                  <c:v>0.55829765318503632</c:v>
                </c:pt>
                <c:pt idx="2791">
                  <c:v>0.55832551232015248</c:v>
                </c:pt>
                <c:pt idx="2792">
                  <c:v>0.55855521740795666</c:v>
                </c:pt>
                <c:pt idx="2793">
                  <c:v>0.5589154053841412</c:v>
                </c:pt>
                <c:pt idx="2794">
                  <c:v>0.55895638383029222</c:v>
                </c:pt>
                <c:pt idx="2795">
                  <c:v>0.5595095110420516</c:v>
                </c:pt>
                <c:pt idx="2796">
                  <c:v>0.55976869211372104</c:v>
                </c:pt>
                <c:pt idx="2797">
                  <c:v>0.55988095999236975</c:v>
                </c:pt>
                <c:pt idx="2798">
                  <c:v>0.55988985445765138</c:v>
                </c:pt>
                <c:pt idx="2799">
                  <c:v>0.5603183315070055</c:v>
                </c:pt>
                <c:pt idx="2800">
                  <c:v>0.56047434501124371</c:v>
                </c:pt>
                <c:pt idx="2801">
                  <c:v>0.56069833392484725</c:v>
                </c:pt>
                <c:pt idx="2802">
                  <c:v>0.56073083781393507</c:v>
                </c:pt>
                <c:pt idx="2803">
                  <c:v>0.56082607488860958</c:v>
                </c:pt>
                <c:pt idx="2804">
                  <c:v>0.56085341631023766</c:v>
                </c:pt>
                <c:pt idx="2805">
                  <c:v>0.56109758331695048</c:v>
                </c:pt>
                <c:pt idx="2806">
                  <c:v>0.56143718603289017</c:v>
                </c:pt>
                <c:pt idx="2807">
                  <c:v>0.56171373194047192</c:v>
                </c:pt>
                <c:pt idx="2808">
                  <c:v>0.56183967153720005</c:v>
                </c:pt>
                <c:pt idx="2809">
                  <c:v>0.56192948943498777</c:v>
                </c:pt>
                <c:pt idx="2810">
                  <c:v>0.56210830407417234</c:v>
                </c:pt>
                <c:pt idx="2811">
                  <c:v>0.56251583134780958</c:v>
                </c:pt>
                <c:pt idx="2812">
                  <c:v>0.56276372065258329</c:v>
                </c:pt>
                <c:pt idx="2813">
                  <c:v>0.56283868515492941</c:v>
                </c:pt>
                <c:pt idx="2814">
                  <c:v>0.56285554617352318</c:v>
                </c:pt>
                <c:pt idx="2815">
                  <c:v>0.56298773848266137</c:v>
                </c:pt>
                <c:pt idx="2816">
                  <c:v>0.56367821195271972</c:v>
                </c:pt>
                <c:pt idx="2817">
                  <c:v>0.56371296426732442</c:v>
                </c:pt>
                <c:pt idx="2818">
                  <c:v>0.56382995858621143</c:v>
                </c:pt>
                <c:pt idx="2819">
                  <c:v>0.56394303170600324</c:v>
                </c:pt>
                <c:pt idx="2820">
                  <c:v>0.56400251069953811</c:v>
                </c:pt>
                <c:pt idx="2821">
                  <c:v>0.56404960104555357</c:v>
                </c:pt>
                <c:pt idx="2822">
                  <c:v>0.56409739100217848</c:v>
                </c:pt>
                <c:pt idx="2823">
                  <c:v>0.56426082267171296</c:v>
                </c:pt>
                <c:pt idx="2824">
                  <c:v>0.56467581708238868</c:v>
                </c:pt>
                <c:pt idx="2825">
                  <c:v>0.56481011770938494</c:v>
                </c:pt>
                <c:pt idx="2826">
                  <c:v>0.56482290662006562</c:v>
                </c:pt>
                <c:pt idx="2827">
                  <c:v>0.56483600286446745</c:v>
                </c:pt>
                <c:pt idx="2828">
                  <c:v>0.56487696022486489</c:v>
                </c:pt>
                <c:pt idx="2829">
                  <c:v>0.56542381881445181</c:v>
                </c:pt>
                <c:pt idx="2830">
                  <c:v>0.56542582192378177</c:v>
                </c:pt>
                <c:pt idx="2831">
                  <c:v>0.56560347944559908</c:v>
                </c:pt>
                <c:pt idx="2832">
                  <c:v>0.56561784299992723</c:v>
                </c:pt>
                <c:pt idx="2833">
                  <c:v>0.56584691911302798</c:v>
                </c:pt>
                <c:pt idx="2834">
                  <c:v>0.56629142164820223</c:v>
                </c:pt>
                <c:pt idx="2835">
                  <c:v>0.5663300571450236</c:v>
                </c:pt>
                <c:pt idx="2836">
                  <c:v>0.56646260330580844</c:v>
                </c:pt>
                <c:pt idx="2837">
                  <c:v>0.56656348290016467</c:v>
                </c:pt>
                <c:pt idx="2838">
                  <c:v>0.56684209234845184</c:v>
                </c:pt>
                <c:pt idx="2839">
                  <c:v>0.5671612708192697</c:v>
                </c:pt>
                <c:pt idx="2840">
                  <c:v>0.56724363408284262</c:v>
                </c:pt>
                <c:pt idx="2841">
                  <c:v>0.56726560306833562</c:v>
                </c:pt>
                <c:pt idx="2842">
                  <c:v>0.56756522617524752</c:v>
                </c:pt>
                <c:pt idx="2843">
                  <c:v>0.56763298302939802</c:v>
                </c:pt>
                <c:pt idx="2844">
                  <c:v>0.56794854319650767</c:v>
                </c:pt>
                <c:pt idx="2845">
                  <c:v>0.56796547222711524</c:v>
                </c:pt>
                <c:pt idx="2846">
                  <c:v>0.56814106901947525</c:v>
                </c:pt>
                <c:pt idx="2847">
                  <c:v>0.5681885842277552</c:v>
                </c:pt>
                <c:pt idx="2848">
                  <c:v>0.56824648177644121</c:v>
                </c:pt>
                <c:pt idx="2849">
                  <c:v>0.56834049662666075</c:v>
                </c:pt>
                <c:pt idx="2850">
                  <c:v>0.56844311294116778</c:v>
                </c:pt>
                <c:pt idx="2851">
                  <c:v>0.56859565940521861</c:v>
                </c:pt>
                <c:pt idx="2852">
                  <c:v>0.5693817860674244</c:v>
                </c:pt>
                <c:pt idx="2853">
                  <c:v>0.56963334984811809</c:v>
                </c:pt>
                <c:pt idx="2854">
                  <c:v>0.56963954298043973</c:v>
                </c:pt>
                <c:pt idx="2855">
                  <c:v>0.56990706131819024</c:v>
                </c:pt>
                <c:pt idx="2856">
                  <c:v>0.570103976291648</c:v>
                </c:pt>
                <c:pt idx="2857">
                  <c:v>0.57087953576319705</c:v>
                </c:pt>
                <c:pt idx="2858">
                  <c:v>0.57106988981286122</c:v>
                </c:pt>
                <c:pt idx="2859">
                  <c:v>0.571176019196173</c:v>
                </c:pt>
                <c:pt idx="2860">
                  <c:v>0.57157482484751654</c:v>
                </c:pt>
                <c:pt idx="2861">
                  <c:v>0.57160244995429821</c:v>
                </c:pt>
                <c:pt idx="2862">
                  <c:v>0.57237865009938105</c:v>
                </c:pt>
                <c:pt idx="2863">
                  <c:v>0.57255790618910396</c:v>
                </c:pt>
                <c:pt idx="2864">
                  <c:v>0.57301677679151908</c:v>
                </c:pt>
                <c:pt idx="2865">
                  <c:v>0.57403898958909849</c:v>
                </c:pt>
                <c:pt idx="2866">
                  <c:v>0.57412185861448961</c:v>
                </c:pt>
                <c:pt idx="2867">
                  <c:v>0.57434483296219696</c:v>
                </c:pt>
                <c:pt idx="2868">
                  <c:v>0.57480299146118341</c:v>
                </c:pt>
                <c:pt idx="2869">
                  <c:v>0.57509807521273615</c:v>
                </c:pt>
                <c:pt idx="2870">
                  <c:v>0.57530155756649037</c:v>
                </c:pt>
                <c:pt idx="2871">
                  <c:v>0.57584858040900144</c:v>
                </c:pt>
                <c:pt idx="2872">
                  <c:v>0.57629159590760537</c:v>
                </c:pt>
                <c:pt idx="2873">
                  <c:v>0.57636232711047342</c:v>
                </c:pt>
                <c:pt idx="2874">
                  <c:v>0.57655200786302885</c:v>
                </c:pt>
                <c:pt idx="2875">
                  <c:v>0.5765748212361359</c:v>
                </c:pt>
                <c:pt idx="2876">
                  <c:v>0.57666065352987061</c:v>
                </c:pt>
                <c:pt idx="2877">
                  <c:v>0.57671662182110595</c:v>
                </c:pt>
                <c:pt idx="2878">
                  <c:v>0.57672068249667063</c:v>
                </c:pt>
                <c:pt idx="2879">
                  <c:v>0.57689957459118091</c:v>
                </c:pt>
                <c:pt idx="2880">
                  <c:v>0.57726421457664401</c:v>
                </c:pt>
                <c:pt idx="2881">
                  <c:v>0.57752082402748783</c:v>
                </c:pt>
                <c:pt idx="2882">
                  <c:v>0.57828766620514216</c:v>
                </c:pt>
                <c:pt idx="2883">
                  <c:v>0.57837213110997254</c:v>
                </c:pt>
                <c:pt idx="2884">
                  <c:v>0.57838593924498127</c:v>
                </c:pt>
                <c:pt idx="2885">
                  <c:v>0.57891297095738992</c:v>
                </c:pt>
                <c:pt idx="2886">
                  <c:v>0.57908025400502083</c:v>
                </c:pt>
                <c:pt idx="2887">
                  <c:v>0.57923667211252905</c:v>
                </c:pt>
                <c:pt idx="2888">
                  <c:v>0.57946427618935559</c:v>
                </c:pt>
                <c:pt idx="2889">
                  <c:v>0.57994924127706327</c:v>
                </c:pt>
                <c:pt idx="2890">
                  <c:v>0.58053458867016161</c:v>
                </c:pt>
                <c:pt idx="2891">
                  <c:v>0.58055136655639217</c:v>
                </c:pt>
                <c:pt idx="2892">
                  <c:v>0.58073077735025436</c:v>
                </c:pt>
                <c:pt idx="2893">
                  <c:v>0.58091477986999962</c:v>
                </c:pt>
                <c:pt idx="2894">
                  <c:v>0.58165220560476882</c:v>
                </c:pt>
                <c:pt idx="2895">
                  <c:v>0.58169265030619499</c:v>
                </c:pt>
                <c:pt idx="2896">
                  <c:v>0.58172121656299947</c:v>
                </c:pt>
                <c:pt idx="2897">
                  <c:v>0.58197869852847361</c:v>
                </c:pt>
                <c:pt idx="2898">
                  <c:v>0.58214253178539366</c:v>
                </c:pt>
                <c:pt idx="2899">
                  <c:v>0.58278993685689784</c:v>
                </c:pt>
                <c:pt idx="2900">
                  <c:v>0.58293187230447074</c:v>
                </c:pt>
                <c:pt idx="2901">
                  <c:v>0.58297514402056549</c:v>
                </c:pt>
                <c:pt idx="2902">
                  <c:v>0.58313069428095332</c:v>
                </c:pt>
                <c:pt idx="2903">
                  <c:v>0.58327591138640855</c:v>
                </c:pt>
                <c:pt idx="2904">
                  <c:v>0.58350566048829933</c:v>
                </c:pt>
                <c:pt idx="2905">
                  <c:v>0.58391308364934957</c:v>
                </c:pt>
                <c:pt idx="2906">
                  <c:v>0.58394689856049808</c:v>
                </c:pt>
                <c:pt idx="2907">
                  <c:v>0.58406216361254337</c:v>
                </c:pt>
                <c:pt idx="2908">
                  <c:v>0.58424485067644127</c:v>
                </c:pt>
                <c:pt idx="2909">
                  <c:v>0.58439843873929931</c:v>
                </c:pt>
                <c:pt idx="2910">
                  <c:v>0.5844122098023945</c:v>
                </c:pt>
                <c:pt idx="2911">
                  <c:v>0.58446697913132084</c:v>
                </c:pt>
                <c:pt idx="2912">
                  <c:v>0.58470761919033976</c:v>
                </c:pt>
                <c:pt idx="2913">
                  <c:v>0.58489146145714699</c:v>
                </c:pt>
                <c:pt idx="2914">
                  <c:v>0.58493961633212166</c:v>
                </c:pt>
                <c:pt idx="2915">
                  <c:v>0.58524070083876722</c:v>
                </c:pt>
                <c:pt idx="2916">
                  <c:v>0.58529127045767382</c:v>
                </c:pt>
                <c:pt idx="2917">
                  <c:v>0.58556716435759881</c:v>
                </c:pt>
                <c:pt idx="2918">
                  <c:v>0.58576158259802469</c:v>
                </c:pt>
                <c:pt idx="2919">
                  <c:v>0.58582058319370844</c:v>
                </c:pt>
                <c:pt idx="2920">
                  <c:v>0.58584747906388657</c:v>
                </c:pt>
                <c:pt idx="2921">
                  <c:v>0.58599537513055111</c:v>
                </c:pt>
                <c:pt idx="2922">
                  <c:v>0.5860245366293384</c:v>
                </c:pt>
                <c:pt idx="2923">
                  <c:v>0.58628454395784502</c:v>
                </c:pt>
                <c:pt idx="2924">
                  <c:v>0.58636306774133118</c:v>
                </c:pt>
                <c:pt idx="2925">
                  <c:v>0.5863781033676787</c:v>
                </c:pt>
                <c:pt idx="2926">
                  <c:v>0.5865313050817349</c:v>
                </c:pt>
                <c:pt idx="2927">
                  <c:v>0.58653146702272352</c:v>
                </c:pt>
                <c:pt idx="2928">
                  <c:v>0.58734158754486998</c:v>
                </c:pt>
                <c:pt idx="2929">
                  <c:v>0.58742708308454894</c:v>
                </c:pt>
                <c:pt idx="2930">
                  <c:v>0.58768415267695673</c:v>
                </c:pt>
                <c:pt idx="2931">
                  <c:v>0.5877963095153973</c:v>
                </c:pt>
                <c:pt idx="2932">
                  <c:v>0.58803603400519933</c:v>
                </c:pt>
                <c:pt idx="2933">
                  <c:v>0.58827879981981823</c:v>
                </c:pt>
                <c:pt idx="2934">
                  <c:v>0.58867677885382363</c:v>
                </c:pt>
                <c:pt idx="2935">
                  <c:v>0.58889319717491162</c:v>
                </c:pt>
                <c:pt idx="2936">
                  <c:v>0.58889674614420073</c:v>
                </c:pt>
                <c:pt idx="2937">
                  <c:v>0.5892846630895292</c:v>
                </c:pt>
                <c:pt idx="2938">
                  <c:v>0.58932698080297996</c:v>
                </c:pt>
                <c:pt idx="2939">
                  <c:v>0.5893275664839166</c:v>
                </c:pt>
                <c:pt idx="2940">
                  <c:v>0.58947206539141916</c:v>
                </c:pt>
                <c:pt idx="2941">
                  <c:v>0.58955614351361874</c:v>
                </c:pt>
                <c:pt idx="2942">
                  <c:v>0.58960981535892643</c:v>
                </c:pt>
                <c:pt idx="2943">
                  <c:v>0.58979065918720153</c:v>
                </c:pt>
                <c:pt idx="2944">
                  <c:v>0.58980572207110527</c:v>
                </c:pt>
                <c:pt idx="2945">
                  <c:v>0.58984742242137145</c:v>
                </c:pt>
                <c:pt idx="2946">
                  <c:v>0.59017636327916989</c:v>
                </c:pt>
                <c:pt idx="2947">
                  <c:v>0.59054561421999097</c:v>
                </c:pt>
                <c:pt idx="2948">
                  <c:v>0.59082566124925506</c:v>
                </c:pt>
                <c:pt idx="2949">
                  <c:v>0.59089906575900386</c:v>
                </c:pt>
                <c:pt idx="2950">
                  <c:v>0.59106254714515671</c:v>
                </c:pt>
                <c:pt idx="2951">
                  <c:v>0.59109368553799868</c:v>
                </c:pt>
                <c:pt idx="2952">
                  <c:v>0.59138293353862537</c:v>
                </c:pt>
                <c:pt idx="2953">
                  <c:v>0.59179525888248463</c:v>
                </c:pt>
                <c:pt idx="2954">
                  <c:v>0.59179861192933458</c:v>
                </c:pt>
                <c:pt idx="2955">
                  <c:v>0.59190671482156176</c:v>
                </c:pt>
                <c:pt idx="2956">
                  <c:v>0.59215644241885457</c:v>
                </c:pt>
                <c:pt idx="2957">
                  <c:v>0.59232293324021157</c:v>
                </c:pt>
                <c:pt idx="2958">
                  <c:v>0.59237509711968528</c:v>
                </c:pt>
                <c:pt idx="2959">
                  <c:v>0.59246083159814589</c:v>
                </c:pt>
                <c:pt idx="2960">
                  <c:v>0.5928339207348472</c:v>
                </c:pt>
                <c:pt idx="2961">
                  <c:v>0.59332676066969725</c:v>
                </c:pt>
                <c:pt idx="2962">
                  <c:v>0.59350584230378445</c:v>
                </c:pt>
                <c:pt idx="2963">
                  <c:v>0.59356482031671476</c:v>
                </c:pt>
                <c:pt idx="2964">
                  <c:v>0.59390653266473237</c:v>
                </c:pt>
                <c:pt idx="2965">
                  <c:v>0.59402304426748742</c:v>
                </c:pt>
                <c:pt idx="2966">
                  <c:v>0.59428987804585631</c:v>
                </c:pt>
                <c:pt idx="2967">
                  <c:v>0.59497242162433395</c:v>
                </c:pt>
                <c:pt idx="2968">
                  <c:v>0.59522893056964676</c:v>
                </c:pt>
                <c:pt idx="2969">
                  <c:v>0.59536371135800437</c:v>
                </c:pt>
                <c:pt idx="2970">
                  <c:v>0.5954335507203723</c:v>
                </c:pt>
                <c:pt idx="2971">
                  <c:v>0.59562045381062489</c:v>
                </c:pt>
                <c:pt idx="2972">
                  <c:v>0.5957201425508174</c:v>
                </c:pt>
                <c:pt idx="2973">
                  <c:v>0.59585438346402952</c:v>
                </c:pt>
                <c:pt idx="2974">
                  <c:v>0.59608140811360499</c:v>
                </c:pt>
                <c:pt idx="2975">
                  <c:v>0.59614454850088805</c:v>
                </c:pt>
                <c:pt idx="2976">
                  <c:v>0.5962059639787185</c:v>
                </c:pt>
                <c:pt idx="2977">
                  <c:v>0.59642756427638233</c:v>
                </c:pt>
                <c:pt idx="2978">
                  <c:v>0.59659258708506968</c:v>
                </c:pt>
                <c:pt idx="2979">
                  <c:v>0.59686700824386207</c:v>
                </c:pt>
                <c:pt idx="2980">
                  <c:v>0.59689525342400884</c:v>
                </c:pt>
                <c:pt idx="2981">
                  <c:v>0.59711754604450107</c:v>
                </c:pt>
                <c:pt idx="2982">
                  <c:v>0.59717717380863178</c:v>
                </c:pt>
                <c:pt idx="2983">
                  <c:v>0.59721757601892023</c:v>
                </c:pt>
                <c:pt idx="2984">
                  <c:v>0.5974112122439692</c:v>
                </c:pt>
                <c:pt idx="2985">
                  <c:v>0.59753188959075487</c:v>
                </c:pt>
                <c:pt idx="2986">
                  <c:v>0.59785240416022134</c:v>
                </c:pt>
                <c:pt idx="2987">
                  <c:v>0.59793257002547762</c:v>
                </c:pt>
                <c:pt idx="2988">
                  <c:v>0.5981009512061064</c:v>
                </c:pt>
                <c:pt idx="2989">
                  <c:v>0.59832630666005571</c:v>
                </c:pt>
                <c:pt idx="2990">
                  <c:v>0.59848464782044175</c:v>
                </c:pt>
                <c:pt idx="2991">
                  <c:v>0.59889794493301451</c:v>
                </c:pt>
                <c:pt idx="2992">
                  <c:v>0.59908156900928589</c:v>
                </c:pt>
                <c:pt idx="2993">
                  <c:v>0.59931756589594443</c:v>
                </c:pt>
                <c:pt idx="2994">
                  <c:v>0.59992068616065808</c:v>
                </c:pt>
                <c:pt idx="2995">
                  <c:v>0.60065366425897082</c:v>
                </c:pt>
                <c:pt idx="2996">
                  <c:v>0.60085221146528056</c:v>
                </c:pt>
                <c:pt idx="2997">
                  <c:v>0.60116402828862192</c:v>
                </c:pt>
                <c:pt idx="2998">
                  <c:v>0.60155674170800921</c:v>
                </c:pt>
                <c:pt idx="2999">
                  <c:v>0.60186875034924014</c:v>
                </c:pt>
                <c:pt idx="3000">
                  <c:v>0.60210729025220644</c:v>
                </c:pt>
                <c:pt idx="3001">
                  <c:v>0.60230534098263888</c:v>
                </c:pt>
                <c:pt idx="3002">
                  <c:v>0.60230758240140858</c:v>
                </c:pt>
                <c:pt idx="3003">
                  <c:v>0.60277655341997161</c:v>
                </c:pt>
                <c:pt idx="3004">
                  <c:v>0.60282323854426068</c:v>
                </c:pt>
                <c:pt idx="3005">
                  <c:v>0.60320221052825218</c:v>
                </c:pt>
                <c:pt idx="3006">
                  <c:v>0.60366364486253588</c:v>
                </c:pt>
                <c:pt idx="3007">
                  <c:v>0.6039570086331878</c:v>
                </c:pt>
                <c:pt idx="3008">
                  <c:v>0.60410840360873408</c:v>
                </c:pt>
                <c:pt idx="3009">
                  <c:v>0.60451513439875271</c:v>
                </c:pt>
                <c:pt idx="3010">
                  <c:v>0.60512678585109825</c:v>
                </c:pt>
                <c:pt idx="3011">
                  <c:v>0.60518072668673994</c:v>
                </c:pt>
                <c:pt idx="3012">
                  <c:v>0.6052624509893576</c:v>
                </c:pt>
                <c:pt idx="3013">
                  <c:v>0.60557501536004565</c:v>
                </c:pt>
                <c:pt idx="3014">
                  <c:v>0.60571464400527475</c:v>
                </c:pt>
                <c:pt idx="3015">
                  <c:v>0.60603532188179088</c:v>
                </c:pt>
                <c:pt idx="3016">
                  <c:v>0.60606047788405704</c:v>
                </c:pt>
                <c:pt idx="3017">
                  <c:v>0.60607240068111423</c:v>
                </c:pt>
                <c:pt idx="3018">
                  <c:v>0.60629876075836364</c:v>
                </c:pt>
                <c:pt idx="3019">
                  <c:v>0.60642045097847586</c:v>
                </c:pt>
                <c:pt idx="3020">
                  <c:v>0.60687865801264707</c:v>
                </c:pt>
                <c:pt idx="3021">
                  <c:v>0.60707257372177992</c:v>
                </c:pt>
                <c:pt idx="3022">
                  <c:v>0.60731532655518095</c:v>
                </c:pt>
                <c:pt idx="3023">
                  <c:v>0.60732774499956577</c:v>
                </c:pt>
                <c:pt idx="3024">
                  <c:v>0.60741649959118149</c:v>
                </c:pt>
                <c:pt idx="3025">
                  <c:v>0.60768491498402</c:v>
                </c:pt>
                <c:pt idx="3026">
                  <c:v>0.60817100399799529</c:v>
                </c:pt>
                <c:pt idx="3027">
                  <c:v>0.60851160773017909</c:v>
                </c:pt>
                <c:pt idx="3028">
                  <c:v>0.60873348362565594</c:v>
                </c:pt>
                <c:pt idx="3029">
                  <c:v>0.60927700862976053</c:v>
                </c:pt>
                <c:pt idx="3030">
                  <c:v>0.60932883003715688</c:v>
                </c:pt>
                <c:pt idx="3031">
                  <c:v>0.60936533066796983</c:v>
                </c:pt>
                <c:pt idx="3032">
                  <c:v>0.6099204088877741</c:v>
                </c:pt>
                <c:pt idx="3033">
                  <c:v>0.61029652497472853</c:v>
                </c:pt>
                <c:pt idx="3034">
                  <c:v>0.61074821721740591</c:v>
                </c:pt>
                <c:pt idx="3035">
                  <c:v>0.61097198644347372</c:v>
                </c:pt>
                <c:pt idx="3036">
                  <c:v>0.61113887115880061</c:v>
                </c:pt>
                <c:pt idx="3037">
                  <c:v>0.61150294056960774</c:v>
                </c:pt>
                <c:pt idx="3038">
                  <c:v>0.61156342496178695</c:v>
                </c:pt>
                <c:pt idx="3039">
                  <c:v>0.61164384199582855</c:v>
                </c:pt>
                <c:pt idx="3040">
                  <c:v>0.61191755906475009</c:v>
                </c:pt>
                <c:pt idx="3041">
                  <c:v>0.61196544513313711</c:v>
                </c:pt>
                <c:pt idx="3042">
                  <c:v>0.61210322157876362</c:v>
                </c:pt>
                <c:pt idx="3043">
                  <c:v>0.6121546642634712</c:v>
                </c:pt>
                <c:pt idx="3044">
                  <c:v>0.61241412407525786</c:v>
                </c:pt>
                <c:pt idx="3045">
                  <c:v>0.61246279914303159</c:v>
                </c:pt>
                <c:pt idx="3046">
                  <c:v>0.61251869866373454</c:v>
                </c:pt>
                <c:pt idx="3047">
                  <c:v>0.61270421387416718</c:v>
                </c:pt>
                <c:pt idx="3048">
                  <c:v>0.61352092668312252</c:v>
                </c:pt>
                <c:pt idx="3049">
                  <c:v>0.61354306859539065</c:v>
                </c:pt>
                <c:pt idx="3050">
                  <c:v>0.61360865774076956</c:v>
                </c:pt>
                <c:pt idx="3051">
                  <c:v>0.61367966107630423</c:v>
                </c:pt>
                <c:pt idx="3052">
                  <c:v>0.61375153526660142</c:v>
                </c:pt>
                <c:pt idx="3053">
                  <c:v>0.61389763280021725</c:v>
                </c:pt>
                <c:pt idx="3054">
                  <c:v>0.61404629919252329</c:v>
                </c:pt>
                <c:pt idx="3055">
                  <c:v>0.61429466820027301</c:v>
                </c:pt>
                <c:pt idx="3056">
                  <c:v>0.61484692279100273</c:v>
                </c:pt>
                <c:pt idx="3057">
                  <c:v>0.6152389292483349</c:v>
                </c:pt>
                <c:pt idx="3058">
                  <c:v>0.61532417955550045</c:v>
                </c:pt>
                <c:pt idx="3059">
                  <c:v>0.61554519590390555</c:v>
                </c:pt>
                <c:pt idx="3060">
                  <c:v>0.61607290472602472</c:v>
                </c:pt>
                <c:pt idx="3061">
                  <c:v>0.61633212664946768</c:v>
                </c:pt>
                <c:pt idx="3062">
                  <c:v>0.61669164046907099</c:v>
                </c:pt>
                <c:pt idx="3063">
                  <c:v>0.61676381616143772</c:v>
                </c:pt>
                <c:pt idx="3064">
                  <c:v>0.61686556505719636</c:v>
                </c:pt>
                <c:pt idx="3065">
                  <c:v>0.61709807300849207</c:v>
                </c:pt>
                <c:pt idx="3066">
                  <c:v>0.61736393837782089</c:v>
                </c:pt>
                <c:pt idx="3067">
                  <c:v>0.61755912008629821</c:v>
                </c:pt>
                <c:pt idx="3068">
                  <c:v>0.61756943736418179</c:v>
                </c:pt>
                <c:pt idx="3069">
                  <c:v>0.6177691307857458</c:v>
                </c:pt>
                <c:pt idx="3070">
                  <c:v>0.61785417037754087</c:v>
                </c:pt>
                <c:pt idx="3071">
                  <c:v>0.6182807635559584</c:v>
                </c:pt>
                <c:pt idx="3072">
                  <c:v>0.6183196552328809</c:v>
                </c:pt>
                <c:pt idx="3073">
                  <c:v>0.6198442155828161</c:v>
                </c:pt>
                <c:pt idx="3074">
                  <c:v>0.61989182158868061</c:v>
                </c:pt>
                <c:pt idx="3075">
                  <c:v>0.61992957424808992</c:v>
                </c:pt>
                <c:pt idx="3076">
                  <c:v>0.6201153956244525</c:v>
                </c:pt>
                <c:pt idx="3077">
                  <c:v>0.62046787457802566</c:v>
                </c:pt>
                <c:pt idx="3078">
                  <c:v>0.62047039762273926</c:v>
                </c:pt>
                <c:pt idx="3079">
                  <c:v>0.62080967868132575</c:v>
                </c:pt>
                <c:pt idx="3080">
                  <c:v>0.62090403880756639</c:v>
                </c:pt>
                <c:pt idx="3081">
                  <c:v>0.6210153762713162</c:v>
                </c:pt>
                <c:pt idx="3082">
                  <c:v>0.62102272125412128</c:v>
                </c:pt>
                <c:pt idx="3083">
                  <c:v>0.62103925678457017</c:v>
                </c:pt>
                <c:pt idx="3084">
                  <c:v>0.62111229233141785</c:v>
                </c:pt>
                <c:pt idx="3085">
                  <c:v>0.62125451198335213</c:v>
                </c:pt>
                <c:pt idx="3086">
                  <c:v>0.62145432813667867</c:v>
                </c:pt>
                <c:pt idx="3087">
                  <c:v>0.6216393198028527</c:v>
                </c:pt>
                <c:pt idx="3088">
                  <c:v>0.62192624406179675</c:v>
                </c:pt>
                <c:pt idx="3089">
                  <c:v>0.62196455557023</c:v>
                </c:pt>
                <c:pt idx="3090">
                  <c:v>0.62262412335167028</c:v>
                </c:pt>
                <c:pt idx="3091">
                  <c:v>0.62269398784246732</c:v>
                </c:pt>
                <c:pt idx="3092">
                  <c:v>0.6227340320501753</c:v>
                </c:pt>
                <c:pt idx="3093">
                  <c:v>0.62281854825596383</c:v>
                </c:pt>
                <c:pt idx="3094">
                  <c:v>0.62297589359241101</c:v>
                </c:pt>
                <c:pt idx="3095">
                  <c:v>0.62301675759044883</c:v>
                </c:pt>
                <c:pt idx="3096">
                  <c:v>0.62316090828880988</c:v>
                </c:pt>
                <c:pt idx="3097">
                  <c:v>0.62333146895161917</c:v>
                </c:pt>
                <c:pt idx="3098">
                  <c:v>0.62415727291136136</c:v>
                </c:pt>
                <c:pt idx="3099">
                  <c:v>0.62429920679278439</c:v>
                </c:pt>
                <c:pt idx="3100">
                  <c:v>0.6243491027107666</c:v>
                </c:pt>
                <c:pt idx="3101">
                  <c:v>0.62445480888709426</c:v>
                </c:pt>
                <c:pt idx="3102">
                  <c:v>0.62520805518488487</c:v>
                </c:pt>
                <c:pt idx="3103">
                  <c:v>0.62571847764411359</c:v>
                </c:pt>
                <c:pt idx="3104">
                  <c:v>0.62574004468297062</c:v>
                </c:pt>
                <c:pt idx="3105">
                  <c:v>0.62576897569852008</c:v>
                </c:pt>
                <c:pt idx="3106">
                  <c:v>0.62596664053216955</c:v>
                </c:pt>
                <c:pt idx="3107">
                  <c:v>0.6262317070923018</c:v>
                </c:pt>
                <c:pt idx="3108">
                  <c:v>0.62643631742685102</c:v>
                </c:pt>
                <c:pt idx="3109">
                  <c:v>0.62646783114541904</c:v>
                </c:pt>
                <c:pt idx="3110">
                  <c:v>0.62650408440003957</c:v>
                </c:pt>
                <c:pt idx="3111">
                  <c:v>0.62665571020443167</c:v>
                </c:pt>
                <c:pt idx="3112">
                  <c:v>0.62669920823464054</c:v>
                </c:pt>
                <c:pt idx="3113">
                  <c:v>0.62675430243962182</c:v>
                </c:pt>
                <c:pt idx="3114">
                  <c:v>0.62678935671738145</c:v>
                </c:pt>
                <c:pt idx="3115">
                  <c:v>0.62695257786072034</c:v>
                </c:pt>
                <c:pt idx="3116">
                  <c:v>0.6269932471032007</c:v>
                </c:pt>
                <c:pt idx="3117">
                  <c:v>0.62722564456726104</c:v>
                </c:pt>
                <c:pt idx="3118">
                  <c:v>0.62761605678952037</c:v>
                </c:pt>
                <c:pt idx="3119">
                  <c:v>0.6277251853780399</c:v>
                </c:pt>
                <c:pt idx="3120">
                  <c:v>0.62772593875433813</c:v>
                </c:pt>
                <c:pt idx="3121">
                  <c:v>0.62789276915736991</c:v>
                </c:pt>
                <c:pt idx="3122">
                  <c:v>0.62791765978727199</c:v>
                </c:pt>
                <c:pt idx="3123">
                  <c:v>0.6279904880302638</c:v>
                </c:pt>
                <c:pt idx="3124">
                  <c:v>0.62812414743711997</c:v>
                </c:pt>
                <c:pt idx="3125">
                  <c:v>0.62925557328890136</c:v>
                </c:pt>
                <c:pt idx="3126">
                  <c:v>0.62952193232467835</c:v>
                </c:pt>
                <c:pt idx="3127">
                  <c:v>0.62976563632855687</c:v>
                </c:pt>
                <c:pt idx="3128">
                  <c:v>0.62980946497737023</c:v>
                </c:pt>
                <c:pt idx="3129">
                  <c:v>0.62991097329359036</c:v>
                </c:pt>
                <c:pt idx="3130">
                  <c:v>0.6299552057425899</c:v>
                </c:pt>
                <c:pt idx="3131">
                  <c:v>0.63069531225937681</c:v>
                </c:pt>
                <c:pt idx="3132">
                  <c:v>0.63076245929551078</c:v>
                </c:pt>
                <c:pt idx="3133">
                  <c:v>0.63110813432194846</c:v>
                </c:pt>
                <c:pt idx="3134">
                  <c:v>0.63131767740924261</c:v>
                </c:pt>
                <c:pt idx="3135">
                  <c:v>0.63133818047208479</c:v>
                </c:pt>
                <c:pt idx="3136">
                  <c:v>0.63136188851785846</c:v>
                </c:pt>
                <c:pt idx="3137">
                  <c:v>0.63156996578072722</c:v>
                </c:pt>
                <c:pt idx="3138">
                  <c:v>0.63182321243493789</c:v>
                </c:pt>
                <c:pt idx="3139">
                  <c:v>0.6318489540799419</c:v>
                </c:pt>
                <c:pt idx="3140">
                  <c:v>0.63186066413618391</c:v>
                </c:pt>
                <c:pt idx="3141">
                  <c:v>0.63196938657347346</c:v>
                </c:pt>
                <c:pt idx="3142">
                  <c:v>0.63219810440114088</c:v>
                </c:pt>
                <c:pt idx="3143">
                  <c:v>0.63247889848571504</c:v>
                </c:pt>
                <c:pt idx="3144">
                  <c:v>0.63258754399976169</c:v>
                </c:pt>
                <c:pt idx="3145">
                  <c:v>0.63263987895334139</c:v>
                </c:pt>
                <c:pt idx="3146">
                  <c:v>0.63279102917658747</c:v>
                </c:pt>
                <c:pt idx="3147">
                  <c:v>0.63290249942656374</c:v>
                </c:pt>
                <c:pt idx="3148">
                  <c:v>0.63294569116987986</c:v>
                </c:pt>
                <c:pt idx="3149">
                  <c:v>0.63306114596161933</c:v>
                </c:pt>
                <c:pt idx="3150">
                  <c:v>0.63383854573385179</c:v>
                </c:pt>
                <c:pt idx="3151">
                  <c:v>0.63390036746750411</c:v>
                </c:pt>
                <c:pt idx="3152">
                  <c:v>0.63411344898486277</c:v>
                </c:pt>
                <c:pt idx="3153">
                  <c:v>0.63438332802979858</c:v>
                </c:pt>
                <c:pt idx="3154">
                  <c:v>0.6345869620972735</c:v>
                </c:pt>
                <c:pt idx="3155">
                  <c:v>0.63464478637979482</c:v>
                </c:pt>
                <c:pt idx="3156">
                  <c:v>0.63465695811828482</c:v>
                </c:pt>
                <c:pt idx="3157">
                  <c:v>0.63491058751969831</c:v>
                </c:pt>
                <c:pt idx="3158">
                  <c:v>0.63512231929325935</c:v>
                </c:pt>
                <c:pt idx="3159">
                  <c:v>0.63520139169941103</c:v>
                </c:pt>
                <c:pt idx="3160">
                  <c:v>0.63526238566737447</c:v>
                </c:pt>
                <c:pt idx="3161">
                  <c:v>0.63577432931560907</c:v>
                </c:pt>
                <c:pt idx="3162">
                  <c:v>0.6358955152636554</c:v>
                </c:pt>
                <c:pt idx="3163">
                  <c:v>0.6363138433698623</c:v>
                </c:pt>
                <c:pt idx="3164">
                  <c:v>0.63651786802802235</c:v>
                </c:pt>
                <c:pt idx="3165">
                  <c:v>0.63679028954720707</c:v>
                </c:pt>
                <c:pt idx="3166">
                  <c:v>0.63693436146058957</c:v>
                </c:pt>
                <c:pt idx="3167">
                  <c:v>0.63693852102460369</c:v>
                </c:pt>
                <c:pt idx="3168">
                  <c:v>0.63712413770736021</c:v>
                </c:pt>
                <c:pt idx="3169">
                  <c:v>0.63729670110842562</c:v>
                </c:pt>
                <c:pt idx="3170">
                  <c:v>0.63770069098609383</c:v>
                </c:pt>
                <c:pt idx="3171">
                  <c:v>0.63798038408731372</c:v>
                </c:pt>
                <c:pt idx="3172">
                  <c:v>0.63801607207187772</c:v>
                </c:pt>
                <c:pt idx="3173">
                  <c:v>0.63817315715914447</c:v>
                </c:pt>
                <c:pt idx="3174">
                  <c:v>0.63853359263157472</c:v>
                </c:pt>
                <c:pt idx="3175">
                  <c:v>0.63858585180153682</c:v>
                </c:pt>
                <c:pt idx="3176">
                  <c:v>0.63874647372904292</c:v>
                </c:pt>
                <c:pt idx="3177">
                  <c:v>0.63881002421931044</c:v>
                </c:pt>
                <c:pt idx="3178">
                  <c:v>0.63888384740675974</c:v>
                </c:pt>
                <c:pt idx="3179">
                  <c:v>0.63901752779929666</c:v>
                </c:pt>
                <c:pt idx="3180">
                  <c:v>0.63929971338802716</c:v>
                </c:pt>
                <c:pt idx="3181">
                  <c:v>0.63942694782417675</c:v>
                </c:pt>
                <c:pt idx="3182">
                  <c:v>0.63955580163383274</c:v>
                </c:pt>
                <c:pt idx="3183">
                  <c:v>0.63998945659841411</c:v>
                </c:pt>
                <c:pt idx="3184">
                  <c:v>0.6402969234432021</c:v>
                </c:pt>
                <c:pt idx="3185">
                  <c:v>0.64047898152057314</c:v>
                </c:pt>
                <c:pt idx="3186">
                  <c:v>0.64057296054033941</c:v>
                </c:pt>
                <c:pt idx="3187">
                  <c:v>0.64083377890347037</c:v>
                </c:pt>
                <c:pt idx="3188">
                  <c:v>0.64101324658804515</c:v>
                </c:pt>
                <c:pt idx="3189">
                  <c:v>0.64147075636901718</c:v>
                </c:pt>
                <c:pt idx="3190">
                  <c:v>0.64149120632373524</c:v>
                </c:pt>
                <c:pt idx="3191">
                  <c:v>0.64167263485978765</c:v>
                </c:pt>
                <c:pt idx="3192">
                  <c:v>0.64199257985728764</c:v>
                </c:pt>
                <c:pt idx="3193">
                  <c:v>0.64214554514546762</c:v>
                </c:pt>
                <c:pt idx="3194">
                  <c:v>0.64310449462391261</c:v>
                </c:pt>
                <c:pt idx="3195">
                  <c:v>0.64334876626071491</c:v>
                </c:pt>
                <c:pt idx="3196">
                  <c:v>0.64344323333716602</c:v>
                </c:pt>
                <c:pt idx="3197">
                  <c:v>0.64362932927360816</c:v>
                </c:pt>
                <c:pt idx="3198">
                  <c:v>0.64374598679569317</c:v>
                </c:pt>
                <c:pt idx="3199">
                  <c:v>0.64405194243590813</c:v>
                </c:pt>
                <c:pt idx="3200">
                  <c:v>0.64420463130772987</c:v>
                </c:pt>
                <c:pt idx="3201">
                  <c:v>0.64425793320242519</c:v>
                </c:pt>
                <c:pt idx="3202">
                  <c:v>0.64447204535463243</c:v>
                </c:pt>
                <c:pt idx="3203">
                  <c:v>0.6446496462185678</c:v>
                </c:pt>
                <c:pt idx="3204">
                  <c:v>0.64465555019978638</c:v>
                </c:pt>
                <c:pt idx="3205">
                  <c:v>0.64503515228079777</c:v>
                </c:pt>
                <c:pt idx="3206">
                  <c:v>0.64548706817549828</c:v>
                </c:pt>
                <c:pt idx="3207">
                  <c:v>0.64591756173012982</c:v>
                </c:pt>
                <c:pt idx="3208">
                  <c:v>0.64615604978916963</c:v>
                </c:pt>
                <c:pt idx="3209">
                  <c:v>0.64616829078931914</c:v>
                </c:pt>
                <c:pt idx="3210">
                  <c:v>0.64688354766803968</c:v>
                </c:pt>
                <c:pt idx="3211">
                  <c:v>0.64736693275244761</c:v>
                </c:pt>
                <c:pt idx="3212">
                  <c:v>0.64746505896710005</c:v>
                </c:pt>
                <c:pt idx="3213">
                  <c:v>0.64755538678036828</c:v>
                </c:pt>
                <c:pt idx="3214">
                  <c:v>0.64759983002750232</c:v>
                </c:pt>
                <c:pt idx="3215">
                  <c:v>0.64770088314071472</c:v>
                </c:pt>
                <c:pt idx="3216">
                  <c:v>0.64772331460608257</c:v>
                </c:pt>
                <c:pt idx="3217">
                  <c:v>0.64773695179428614</c:v>
                </c:pt>
                <c:pt idx="3218">
                  <c:v>0.6477392204287753</c:v>
                </c:pt>
                <c:pt idx="3219">
                  <c:v>0.6478640029718008</c:v>
                </c:pt>
                <c:pt idx="3220">
                  <c:v>0.64795228740695165</c:v>
                </c:pt>
                <c:pt idx="3221">
                  <c:v>0.64798381514629</c:v>
                </c:pt>
                <c:pt idx="3222">
                  <c:v>0.64804476138851896</c:v>
                </c:pt>
                <c:pt idx="3223">
                  <c:v>0.6484578935396712</c:v>
                </c:pt>
                <c:pt idx="3224">
                  <c:v>0.64859682673977659</c:v>
                </c:pt>
                <c:pt idx="3225">
                  <c:v>0.64861893097076972</c:v>
                </c:pt>
                <c:pt idx="3226">
                  <c:v>0.64913291339053103</c:v>
                </c:pt>
                <c:pt idx="3227">
                  <c:v>0.64946176553257828</c:v>
                </c:pt>
                <c:pt idx="3228">
                  <c:v>0.64959996666948427</c:v>
                </c:pt>
                <c:pt idx="3229">
                  <c:v>0.64989015861920052</c:v>
                </c:pt>
                <c:pt idx="3230">
                  <c:v>0.65039822784774515</c:v>
                </c:pt>
                <c:pt idx="3231">
                  <c:v>0.6504073712940226</c:v>
                </c:pt>
                <c:pt idx="3232">
                  <c:v>0.65049675598675094</c:v>
                </c:pt>
                <c:pt idx="3233">
                  <c:v>0.65074855756483885</c:v>
                </c:pt>
                <c:pt idx="3234">
                  <c:v>0.65088111836212192</c:v>
                </c:pt>
                <c:pt idx="3235">
                  <c:v>0.65098515291811054</c:v>
                </c:pt>
                <c:pt idx="3236">
                  <c:v>0.65137936515930051</c:v>
                </c:pt>
                <c:pt idx="3237">
                  <c:v>0.65138503103025869</c:v>
                </c:pt>
                <c:pt idx="3238">
                  <c:v>0.65145736999875226</c:v>
                </c:pt>
                <c:pt idx="3239">
                  <c:v>0.65157422166339529</c:v>
                </c:pt>
                <c:pt idx="3240">
                  <c:v>0.65248420831721887</c:v>
                </c:pt>
                <c:pt idx="3241">
                  <c:v>0.65263010006583499</c:v>
                </c:pt>
                <c:pt idx="3242">
                  <c:v>0.65276397989055113</c:v>
                </c:pt>
                <c:pt idx="3243">
                  <c:v>0.65276910530155874</c:v>
                </c:pt>
                <c:pt idx="3244">
                  <c:v>0.65301607678429718</c:v>
                </c:pt>
                <c:pt idx="3245">
                  <c:v>0.65340669229863124</c:v>
                </c:pt>
                <c:pt idx="3246">
                  <c:v>0.65349421946211805</c:v>
                </c:pt>
                <c:pt idx="3247">
                  <c:v>0.65381082470685215</c:v>
                </c:pt>
                <c:pt idx="3248">
                  <c:v>0.65386281361588772</c:v>
                </c:pt>
                <c:pt idx="3249">
                  <c:v>0.65410616579538328</c:v>
                </c:pt>
                <c:pt idx="3250">
                  <c:v>0.65422528525414236</c:v>
                </c:pt>
                <c:pt idx="3251">
                  <c:v>0.65441194724917295</c:v>
                </c:pt>
                <c:pt idx="3252">
                  <c:v>0.6545322368538109</c:v>
                </c:pt>
                <c:pt idx="3253">
                  <c:v>0.65459899641064112</c:v>
                </c:pt>
                <c:pt idx="3254">
                  <c:v>0.65460422031355847</c:v>
                </c:pt>
                <c:pt idx="3255">
                  <c:v>0.65481827878556942</c:v>
                </c:pt>
                <c:pt idx="3256">
                  <c:v>0.65493422199051565</c:v>
                </c:pt>
                <c:pt idx="3257">
                  <c:v>0.65569163183317869</c:v>
                </c:pt>
                <c:pt idx="3258">
                  <c:v>0.65578647204438312</c:v>
                </c:pt>
                <c:pt idx="3259">
                  <c:v>0.65597886653449677</c:v>
                </c:pt>
                <c:pt idx="3260">
                  <c:v>0.6560110690043075</c:v>
                </c:pt>
                <c:pt idx="3261">
                  <c:v>0.65637454684383556</c:v>
                </c:pt>
                <c:pt idx="3262">
                  <c:v>0.65646537432985497</c:v>
                </c:pt>
                <c:pt idx="3263">
                  <c:v>0.65652716817112378</c:v>
                </c:pt>
                <c:pt idx="3264">
                  <c:v>0.65656518874220637</c:v>
                </c:pt>
                <c:pt idx="3265">
                  <c:v>0.65667006982312159</c:v>
                </c:pt>
                <c:pt idx="3266">
                  <c:v>0.65670736382708128</c:v>
                </c:pt>
                <c:pt idx="3267">
                  <c:v>0.65683210726456309</c:v>
                </c:pt>
                <c:pt idx="3268">
                  <c:v>0.65691023690305883</c:v>
                </c:pt>
                <c:pt idx="3269">
                  <c:v>0.65739139548531966</c:v>
                </c:pt>
                <c:pt idx="3270">
                  <c:v>0.65760676363061066</c:v>
                </c:pt>
                <c:pt idx="3271">
                  <c:v>0.65763132970459992</c:v>
                </c:pt>
                <c:pt idx="3272">
                  <c:v>0.6582550242637808</c:v>
                </c:pt>
                <c:pt idx="3273">
                  <c:v>0.65827612490284082</c:v>
                </c:pt>
                <c:pt idx="3274">
                  <c:v>0.65847523592859147</c:v>
                </c:pt>
                <c:pt idx="3275">
                  <c:v>0.65851801518056163</c:v>
                </c:pt>
                <c:pt idx="3276">
                  <c:v>0.65900414916632144</c:v>
                </c:pt>
                <c:pt idx="3277">
                  <c:v>0.65905541584743332</c:v>
                </c:pt>
                <c:pt idx="3278">
                  <c:v>0.6592586517062955</c:v>
                </c:pt>
                <c:pt idx="3279">
                  <c:v>0.65941359172575176</c:v>
                </c:pt>
                <c:pt idx="3280">
                  <c:v>0.65948261230005301</c:v>
                </c:pt>
                <c:pt idx="3281">
                  <c:v>0.65952903248216899</c:v>
                </c:pt>
                <c:pt idx="3282">
                  <c:v>0.65965795291776885</c:v>
                </c:pt>
                <c:pt idx="3283">
                  <c:v>0.66042342002219812</c:v>
                </c:pt>
                <c:pt idx="3284">
                  <c:v>0.66045074560497596</c:v>
                </c:pt>
                <c:pt idx="3285">
                  <c:v>0.66057750704385398</c:v>
                </c:pt>
                <c:pt idx="3286">
                  <c:v>0.66057804650699836</c:v>
                </c:pt>
                <c:pt idx="3287">
                  <c:v>0.66079826659552054</c:v>
                </c:pt>
                <c:pt idx="3288">
                  <c:v>0.66139522202865919</c:v>
                </c:pt>
                <c:pt idx="3289">
                  <c:v>0.66146971323905746</c:v>
                </c:pt>
                <c:pt idx="3290">
                  <c:v>0.66159182863520982</c:v>
                </c:pt>
                <c:pt idx="3291">
                  <c:v>0.66165572250247351</c:v>
                </c:pt>
                <c:pt idx="3292">
                  <c:v>0.6617252462056058</c:v>
                </c:pt>
                <c:pt idx="3293">
                  <c:v>0.66179410058339272</c:v>
                </c:pt>
                <c:pt idx="3294">
                  <c:v>0.6618112349697185</c:v>
                </c:pt>
                <c:pt idx="3295">
                  <c:v>0.66192430656610668</c:v>
                </c:pt>
                <c:pt idx="3296">
                  <c:v>0.66192834887988283</c:v>
                </c:pt>
                <c:pt idx="3297">
                  <c:v>0.66199224897172826</c:v>
                </c:pt>
                <c:pt idx="3298">
                  <c:v>0.66257866512933106</c:v>
                </c:pt>
                <c:pt idx="3299">
                  <c:v>0.66257936052261357</c:v>
                </c:pt>
                <c:pt idx="3300">
                  <c:v>0.66262410115814419</c:v>
                </c:pt>
                <c:pt idx="3301">
                  <c:v>0.6626974215350856</c:v>
                </c:pt>
                <c:pt idx="3302">
                  <c:v>0.66285670671550179</c:v>
                </c:pt>
                <c:pt idx="3303">
                  <c:v>0.66305295171423495</c:v>
                </c:pt>
                <c:pt idx="3304">
                  <c:v>0.66311248219062691</c:v>
                </c:pt>
                <c:pt idx="3305">
                  <c:v>0.66321510097259306</c:v>
                </c:pt>
                <c:pt idx="3306">
                  <c:v>0.66332325046460028</c:v>
                </c:pt>
                <c:pt idx="3307">
                  <c:v>0.66332798704024754</c:v>
                </c:pt>
                <c:pt idx="3308">
                  <c:v>0.66359288280364126</c:v>
                </c:pt>
                <c:pt idx="3309">
                  <c:v>0.66366482811281458</c:v>
                </c:pt>
                <c:pt idx="3310">
                  <c:v>0.66385062380504678</c:v>
                </c:pt>
                <c:pt idx="3311">
                  <c:v>0.66415014307676756</c:v>
                </c:pt>
                <c:pt idx="3312">
                  <c:v>0.66447337684712693</c:v>
                </c:pt>
                <c:pt idx="3313">
                  <c:v>0.6645142525439951</c:v>
                </c:pt>
                <c:pt idx="3314">
                  <c:v>0.66484733605375368</c:v>
                </c:pt>
                <c:pt idx="3315">
                  <c:v>0.66490298920689384</c:v>
                </c:pt>
                <c:pt idx="3316">
                  <c:v>0.66499055333952128</c:v>
                </c:pt>
                <c:pt idx="3317">
                  <c:v>0.66524021526311117</c:v>
                </c:pt>
                <c:pt idx="3318">
                  <c:v>0.66542526905686827</c:v>
                </c:pt>
                <c:pt idx="3319">
                  <c:v>0.66590788730536588</c:v>
                </c:pt>
                <c:pt idx="3320">
                  <c:v>0.66603982642482151</c:v>
                </c:pt>
                <c:pt idx="3321">
                  <c:v>0.6664727321067403</c:v>
                </c:pt>
                <c:pt idx="3322">
                  <c:v>0.6671409506634518</c:v>
                </c:pt>
                <c:pt idx="3323">
                  <c:v>0.66722757898605778</c:v>
                </c:pt>
                <c:pt idx="3324">
                  <c:v>0.66723627929331997</c:v>
                </c:pt>
                <c:pt idx="3325">
                  <c:v>0.66763361521043407</c:v>
                </c:pt>
                <c:pt idx="3326">
                  <c:v>0.66818573606724385</c:v>
                </c:pt>
                <c:pt idx="3327">
                  <c:v>0.6682422263393164</c:v>
                </c:pt>
                <c:pt idx="3328">
                  <c:v>0.66839818042080879</c:v>
                </c:pt>
                <c:pt idx="3329">
                  <c:v>0.66911237305976101</c:v>
                </c:pt>
                <c:pt idx="3330">
                  <c:v>0.66997795155384665</c:v>
                </c:pt>
                <c:pt idx="3331">
                  <c:v>0.67036426187041798</c:v>
                </c:pt>
                <c:pt idx="3332">
                  <c:v>0.67043888290572795</c:v>
                </c:pt>
                <c:pt idx="3333">
                  <c:v>0.67075038497932837</c:v>
                </c:pt>
                <c:pt idx="3334">
                  <c:v>0.67083715259741439</c:v>
                </c:pt>
                <c:pt idx="3335">
                  <c:v>0.67089465689241479</c:v>
                </c:pt>
                <c:pt idx="3336">
                  <c:v>0.67131113992036262</c:v>
                </c:pt>
                <c:pt idx="3337">
                  <c:v>0.67213780099700671</c:v>
                </c:pt>
                <c:pt idx="3338">
                  <c:v>0.67222169228443818</c:v>
                </c:pt>
                <c:pt idx="3339">
                  <c:v>0.67236938104360888</c:v>
                </c:pt>
                <c:pt idx="3340">
                  <c:v>0.67252793982970616</c:v>
                </c:pt>
                <c:pt idx="3341">
                  <c:v>0.67258560350001062</c:v>
                </c:pt>
                <c:pt idx="3342">
                  <c:v>0.67279235125261039</c:v>
                </c:pt>
                <c:pt idx="3343">
                  <c:v>0.67285704667210666</c:v>
                </c:pt>
                <c:pt idx="3344">
                  <c:v>0.67307840692228638</c:v>
                </c:pt>
                <c:pt idx="3345">
                  <c:v>0.67327964884862013</c:v>
                </c:pt>
                <c:pt idx="3346">
                  <c:v>0.67330124401632929</c:v>
                </c:pt>
                <c:pt idx="3347">
                  <c:v>0.67339960150729894</c:v>
                </c:pt>
                <c:pt idx="3348">
                  <c:v>0.67350924400852819</c:v>
                </c:pt>
                <c:pt idx="3349">
                  <c:v>0.67351719187900017</c:v>
                </c:pt>
                <c:pt idx="3350">
                  <c:v>0.67380146206505742</c:v>
                </c:pt>
                <c:pt idx="3351">
                  <c:v>0.67409214671988593</c:v>
                </c:pt>
                <c:pt idx="3352">
                  <c:v>0.67412810524001543</c:v>
                </c:pt>
                <c:pt idx="3353">
                  <c:v>0.67434495077759493</c:v>
                </c:pt>
                <c:pt idx="3354">
                  <c:v>0.67448041779334744</c:v>
                </c:pt>
                <c:pt idx="3355">
                  <c:v>0.67451996536328807</c:v>
                </c:pt>
                <c:pt idx="3356">
                  <c:v>0.67476633263140684</c:v>
                </c:pt>
                <c:pt idx="3357">
                  <c:v>0.67481697899256687</c:v>
                </c:pt>
                <c:pt idx="3358">
                  <c:v>0.67501770144917828</c:v>
                </c:pt>
                <c:pt idx="3359">
                  <c:v>0.6752897981887287</c:v>
                </c:pt>
                <c:pt idx="3360">
                  <c:v>0.67532793561713333</c:v>
                </c:pt>
                <c:pt idx="3361">
                  <c:v>0.67544637790615525</c:v>
                </c:pt>
                <c:pt idx="3362">
                  <c:v>0.67567329160920053</c:v>
                </c:pt>
                <c:pt idx="3363">
                  <c:v>0.67584339306722541</c:v>
                </c:pt>
                <c:pt idx="3364">
                  <c:v>0.67597681022743927</c:v>
                </c:pt>
                <c:pt idx="3365">
                  <c:v>0.67655326340354804</c:v>
                </c:pt>
                <c:pt idx="3366">
                  <c:v>0.67656910956247884</c:v>
                </c:pt>
                <c:pt idx="3367">
                  <c:v>0.67674074035130616</c:v>
                </c:pt>
                <c:pt idx="3368">
                  <c:v>0.67713866000576672</c:v>
                </c:pt>
                <c:pt idx="3369">
                  <c:v>0.67722224155477306</c:v>
                </c:pt>
                <c:pt idx="3370">
                  <c:v>0.67737359015154652</c:v>
                </c:pt>
                <c:pt idx="3371">
                  <c:v>0.67740631094966375</c:v>
                </c:pt>
                <c:pt idx="3372">
                  <c:v>0.67755793866399472</c:v>
                </c:pt>
                <c:pt idx="3373">
                  <c:v>0.67778893947070173</c:v>
                </c:pt>
                <c:pt idx="3374">
                  <c:v>0.67781730974365928</c:v>
                </c:pt>
                <c:pt idx="3375">
                  <c:v>0.67789281382829358</c:v>
                </c:pt>
                <c:pt idx="3376">
                  <c:v>0.67794626365775912</c:v>
                </c:pt>
                <c:pt idx="3377">
                  <c:v>0.67811626782531675</c:v>
                </c:pt>
                <c:pt idx="3378">
                  <c:v>0.67822485513352149</c:v>
                </c:pt>
                <c:pt idx="3379">
                  <c:v>0.67838329125606833</c:v>
                </c:pt>
                <c:pt idx="3380">
                  <c:v>0.67861550025099859</c:v>
                </c:pt>
                <c:pt idx="3381">
                  <c:v>0.67889491305868432</c:v>
                </c:pt>
                <c:pt idx="3382">
                  <c:v>0.67901182076548139</c:v>
                </c:pt>
                <c:pt idx="3383">
                  <c:v>0.67944898215409921</c:v>
                </c:pt>
                <c:pt idx="3384">
                  <c:v>0.6795507792958233</c:v>
                </c:pt>
                <c:pt idx="3385">
                  <c:v>0.67983927376826614</c:v>
                </c:pt>
                <c:pt idx="3386">
                  <c:v>0.67985469387440389</c:v>
                </c:pt>
                <c:pt idx="3387">
                  <c:v>0.68014424998182221</c:v>
                </c:pt>
                <c:pt idx="3388">
                  <c:v>0.68038755207453505</c:v>
                </c:pt>
                <c:pt idx="3389">
                  <c:v>0.68039864510228654</c:v>
                </c:pt>
                <c:pt idx="3390">
                  <c:v>0.6804033474991229</c:v>
                </c:pt>
                <c:pt idx="3391">
                  <c:v>0.68060975640946708</c:v>
                </c:pt>
                <c:pt idx="3392">
                  <c:v>0.68083710928749497</c:v>
                </c:pt>
                <c:pt idx="3393">
                  <c:v>0.68126076761473087</c:v>
                </c:pt>
                <c:pt idx="3394">
                  <c:v>0.68150901758599503</c:v>
                </c:pt>
                <c:pt idx="3395">
                  <c:v>0.68166349469174747</c:v>
                </c:pt>
                <c:pt idx="3396">
                  <c:v>0.68185219875431358</c:v>
                </c:pt>
                <c:pt idx="3397">
                  <c:v>0.68231267893406766</c:v>
                </c:pt>
                <c:pt idx="3398">
                  <c:v>0.68231722715427168</c:v>
                </c:pt>
                <c:pt idx="3399">
                  <c:v>0.68277632320859993</c:v>
                </c:pt>
                <c:pt idx="3400">
                  <c:v>0.68278625411585381</c:v>
                </c:pt>
                <c:pt idx="3401">
                  <c:v>0.68286952617199859</c:v>
                </c:pt>
                <c:pt idx="3402">
                  <c:v>0.68296513024279193</c:v>
                </c:pt>
                <c:pt idx="3403">
                  <c:v>0.68325943929630739</c:v>
                </c:pt>
                <c:pt idx="3404">
                  <c:v>0.68343137837928225</c:v>
                </c:pt>
                <c:pt idx="3405">
                  <c:v>0.68365182971592731</c:v>
                </c:pt>
                <c:pt idx="3406">
                  <c:v>0.68394403601632803</c:v>
                </c:pt>
                <c:pt idx="3407">
                  <c:v>0.68403691788898868</c:v>
                </c:pt>
                <c:pt idx="3408">
                  <c:v>0.6841842635321882</c:v>
                </c:pt>
                <c:pt idx="3409">
                  <c:v>0.68482808350563573</c:v>
                </c:pt>
                <c:pt idx="3410">
                  <c:v>0.68483889193066716</c:v>
                </c:pt>
                <c:pt idx="3411">
                  <c:v>0.68484420645290811</c:v>
                </c:pt>
                <c:pt idx="3412">
                  <c:v>0.68537037335318018</c:v>
                </c:pt>
                <c:pt idx="3413">
                  <c:v>0.68539936023807968</c:v>
                </c:pt>
                <c:pt idx="3414">
                  <c:v>0.685537125645169</c:v>
                </c:pt>
                <c:pt idx="3415">
                  <c:v>0.68555905315406562</c:v>
                </c:pt>
                <c:pt idx="3416">
                  <c:v>0.68600728630190133</c:v>
                </c:pt>
                <c:pt idx="3417">
                  <c:v>0.68623382460009452</c:v>
                </c:pt>
                <c:pt idx="3418">
                  <c:v>0.68636045521816413</c:v>
                </c:pt>
                <c:pt idx="3419">
                  <c:v>0.68675025453558192</c:v>
                </c:pt>
                <c:pt idx="3420">
                  <c:v>0.68678429132705787</c:v>
                </c:pt>
                <c:pt idx="3421">
                  <c:v>0.68694611179671483</c:v>
                </c:pt>
                <c:pt idx="3422">
                  <c:v>0.68699662087965407</c:v>
                </c:pt>
                <c:pt idx="3423">
                  <c:v>0.68702000725443213</c:v>
                </c:pt>
                <c:pt idx="3424">
                  <c:v>0.6873590483019143</c:v>
                </c:pt>
                <c:pt idx="3425">
                  <c:v>0.68741683291136724</c:v>
                </c:pt>
                <c:pt idx="3426">
                  <c:v>0.68749340858630603</c:v>
                </c:pt>
                <c:pt idx="3427">
                  <c:v>0.68771940575607005</c:v>
                </c:pt>
                <c:pt idx="3428">
                  <c:v>0.68804411435939983</c:v>
                </c:pt>
                <c:pt idx="3429">
                  <c:v>0.68804880223979126</c:v>
                </c:pt>
                <c:pt idx="3430">
                  <c:v>0.6883989853267849</c:v>
                </c:pt>
                <c:pt idx="3431">
                  <c:v>0.68882174385180406</c:v>
                </c:pt>
                <c:pt idx="3432">
                  <c:v>0.68883815675326332</c:v>
                </c:pt>
                <c:pt idx="3433">
                  <c:v>0.68887902993174066</c:v>
                </c:pt>
                <c:pt idx="3434">
                  <c:v>0.68914851735371485</c:v>
                </c:pt>
                <c:pt idx="3435">
                  <c:v>0.68920396600788081</c:v>
                </c:pt>
                <c:pt idx="3436">
                  <c:v>0.68945577933936875</c:v>
                </c:pt>
                <c:pt idx="3437">
                  <c:v>0.68979411892451026</c:v>
                </c:pt>
                <c:pt idx="3438">
                  <c:v>0.68997889194452</c:v>
                </c:pt>
                <c:pt idx="3439">
                  <c:v>0.69042808392987354</c:v>
                </c:pt>
                <c:pt idx="3440">
                  <c:v>0.69064133900246816</c:v>
                </c:pt>
                <c:pt idx="3441">
                  <c:v>0.69091848333482631</c:v>
                </c:pt>
                <c:pt idx="3442">
                  <c:v>0.69098356160793628</c:v>
                </c:pt>
                <c:pt idx="3443">
                  <c:v>0.69111853133017576</c:v>
                </c:pt>
                <c:pt idx="3444">
                  <c:v>0.69111860228804289</c:v>
                </c:pt>
                <c:pt idx="3445">
                  <c:v>0.69112810681417614</c:v>
                </c:pt>
                <c:pt idx="3446">
                  <c:v>0.6914946666565811</c:v>
                </c:pt>
                <c:pt idx="3447">
                  <c:v>0.69151853899802518</c:v>
                </c:pt>
                <c:pt idx="3448">
                  <c:v>0.69154357708248426</c:v>
                </c:pt>
                <c:pt idx="3449">
                  <c:v>0.69157229609845672</c:v>
                </c:pt>
                <c:pt idx="3450">
                  <c:v>0.69167530972663371</c:v>
                </c:pt>
                <c:pt idx="3451">
                  <c:v>0.69179366130902054</c:v>
                </c:pt>
                <c:pt idx="3452">
                  <c:v>0.69235585160913615</c:v>
                </c:pt>
                <c:pt idx="3453">
                  <c:v>0.6923644183802935</c:v>
                </c:pt>
                <c:pt idx="3454">
                  <c:v>0.69276381659165054</c:v>
                </c:pt>
                <c:pt idx="3455">
                  <c:v>0.6928392563449961</c:v>
                </c:pt>
                <c:pt idx="3456">
                  <c:v>0.69290233318679384</c:v>
                </c:pt>
                <c:pt idx="3457">
                  <c:v>0.69325109937835805</c:v>
                </c:pt>
                <c:pt idx="3458">
                  <c:v>0.69330161573270743</c:v>
                </c:pt>
                <c:pt idx="3459">
                  <c:v>0.69337717237885954</c:v>
                </c:pt>
                <c:pt idx="3460">
                  <c:v>0.69417652441461541</c:v>
                </c:pt>
                <c:pt idx="3461">
                  <c:v>0.694195290292555</c:v>
                </c:pt>
                <c:pt idx="3462">
                  <c:v>0.69507835375679861</c:v>
                </c:pt>
                <c:pt idx="3463">
                  <c:v>0.69512063243928424</c:v>
                </c:pt>
                <c:pt idx="3464">
                  <c:v>0.69515091428002052</c:v>
                </c:pt>
                <c:pt idx="3465">
                  <c:v>0.69518265140959556</c:v>
                </c:pt>
                <c:pt idx="3466">
                  <c:v>0.69623037955079781</c:v>
                </c:pt>
                <c:pt idx="3467">
                  <c:v>0.69645369751560793</c:v>
                </c:pt>
                <c:pt idx="3468">
                  <c:v>0.69648794534168701</c:v>
                </c:pt>
                <c:pt idx="3469">
                  <c:v>0.69668918426305027</c:v>
                </c:pt>
                <c:pt idx="3470">
                  <c:v>0.69677916121509043</c:v>
                </c:pt>
                <c:pt idx="3471">
                  <c:v>0.69689033047689009</c:v>
                </c:pt>
                <c:pt idx="3472">
                  <c:v>0.6968933575990377</c:v>
                </c:pt>
                <c:pt idx="3473">
                  <c:v>0.69692158797352022</c:v>
                </c:pt>
                <c:pt idx="3474">
                  <c:v>0.69696135983122076</c:v>
                </c:pt>
                <c:pt idx="3475">
                  <c:v>0.69704211598218535</c:v>
                </c:pt>
                <c:pt idx="3476">
                  <c:v>0.69705547538615065</c:v>
                </c:pt>
                <c:pt idx="3477">
                  <c:v>0.69721947634752723</c:v>
                </c:pt>
                <c:pt idx="3478">
                  <c:v>0.69728004024091206</c:v>
                </c:pt>
                <c:pt idx="3479">
                  <c:v>0.69741535246885178</c:v>
                </c:pt>
                <c:pt idx="3480">
                  <c:v>0.6976084525913393</c:v>
                </c:pt>
                <c:pt idx="3481">
                  <c:v>0.69781671776036092</c:v>
                </c:pt>
                <c:pt idx="3482">
                  <c:v>0.6983019817762397</c:v>
                </c:pt>
                <c:pt idx="3483">
                  <c:v>0.69841763319618622</c:v>
                </c:pt>
                <c:pt idx="3484">
                  <c:v>0.69844050657229673</c:v>
                </c:pt>
                <c:pt idx="3485">
                  <c:v>0.69850472417238052</c:v>
                </c:pt>
                <c:pt idx="3486">
                  <c:v>0.69875645892625471</c:v>
                </c:pt>
                <c:pt idx="3487">
                  <c:v>0.69881003897171468</c:v>
                </c:pt>
                <c:pt idx="3488">
                  <c:v>0.69888274178629217</c:v>
                </c:pt>
                <c:pt idx="3489">
                  <c:v>0.69983232012145891</c:v>
                </c:pt>
                <c:pt idx="3490">
                  <c:v>0.70007300268571271</c:v>
                </c:pt>
                <c:pt idx="3491">
                  <c:v>0.70018639126556081</c:v>
                </c:pt>
                <c:pt idx="3492">
                  <c:v>0.70019068715828325</c:v>
                </c:pt>
                <c:pt idx="3493">
                  <c:v>0.70035600674418674</c:v>
                </c:pt>
                <c:pt idx="3494">
                  <c:v>0.7013728373012782</c:v>
                </c:pt>
                <c:pt idx="3495">
                  <c:v>0.70142667024992988</c:v>
                </c:pt>
                <c:pt idx="3496">
                  <c:v>0.70212417747188738</c:v>
                </c:pt>
                <c:pt idx="3497">
                  <c:v>0.70212641607668047</c:v>
                </c:pt>
                <c:pt idx="3498">
                  <c:v>0.70240761957848008</c:v>
                </c:pt>
                <c:pt idx="3499">
                  <c:v>0.70413826791082101</c:v>
                </c:pt>
                <c:pt idx="3500">
                  <c:v>0.70438409838425287</c:v>
                </c:pt>
                <c:pt idx="3501">
                  <c:v>0.70479140809311502</c:v>
                </c:pt>
                <c:pt idx="3502">
                  <c:v>0.7048174634719544</c:v>
                </c:pt>
                <c:pt idx="3503">
                  <c:v>0.70527704830874427</c:v>
                </c:pt>
                <c:pt idx="3504">
                  <c:v>0.70540821948361554</c:v>
                </c:pt>
                <c:pt idx="3505">
                  <c:v>0.70658461708626419</c:v>
                </c:pt>
                <c:pt idx="3506">
                  <c:v>0.70664315361864283</c:v>
                </c:pt>
                <c:pt idx="3507">
                  <c:v>0.70666619492840255</c:v>
                </c:pt>
                <c:pt idx="3508">
                  <c:v>0.70675031278369715</c:v>
                </c:pt>
                <c:pt idx="3509">
                  <c:v>0.70712878158701642</c:v>
                </c:pt>
                <c:pt idx="3510">
                  <c:v>0.70741110368635418</c:v>
                </c:pt>
                <c:pt idx="3511">
                  <c:v>0.70771372992021497</c:v>
                </c:pt>
                <c:pt idx="3512">
                  <c:v>0.70786052718904102</c:v>
                </c:pt>
                <c:pt idx="3513">
                  <c:v>0.70837672546258545</c:v>
                </c:pt>
                <c:pt idx="3514">
                  <c:v>0.70903160448506242</c:v>
                </c:pt>
                <c:pt idx="3515">
                  <c:v>0.70903831780196924</c:v>
                </c:pt>
                <c:pt idx="3516">
                  <c:v>0.70908633589533565</c:v>
                </c:pt>
                <c:pt idx="3517">
                  <c:v>0.70924386945625884</c:v>
                </c:pt>
                <c:pt idx="3518">
                  <c:v>0.71000733518212655</c:v>
                </c:pt>
                <c:pt idx="3519">
                  <c:v>0.71008622953650047</c:v>
                </c:pt>
                <c:pt idx="3520">
                  <c:v>0.71014621844005887</c:v>
                </c:pt>
                <c:pt idx="3521">
                  <c:v>0.71016032572697441</c:v>
                </c:pt>
                <c:pt idx="3522">
                  <c:v>0.71028634896993026</c:v>
                </c:pt>
                <c:pt idx="3523">
                  <c:v>0.71028791116350476</c:v>
                </c:pt>
                <c:pt idx="3524">
                  <c:v>0.71108708111660235</c:v>
                </c:pt>
                <c:pt idx="3525">
                  <c:v>0.71120883173352922</c:v>
                </c:pt>
                <c:pt idx="3526">
                  <c:v>0.71124726800644567</c:v>
                </c:pt>
                <c:pt idx="3527">
                  <c:v>0.71138060766861599</c:v>
                </c:pt>
                <c:pt idx="3528">
                  <c:v>0.71164224236053997</c:v>
                </c:pt>
                <c:pt idx="3529">
                  <c:v>0.71175854335888289</c:v>
                </c:pt>
                <c:pt idx="3530">
                  <c:v>0.71190722894152714</c:v>
                </c:pt>
                <c:pt idx="3531">
                  <c:v>0.71200835958006792</c:v>
                </c:pt>
                <c:pt idx="3532">
                  <c:v>0.71237551145441103</c:v>
                </c:pt>
                <c:pt idx="3533">
                  <c:v>0.71243612599482731</c:v>
                </c:pt>
                <c:pt idx="3534">
                  <c:v>0.71285347845696378</c:v>
                </c:pt>
                <c:pt idx="3535">
                  <c:v>0.71383670238901686</c:v>
                </c:pt>
                <c:pt idx="3536">
                  <c:v>0.71425890188675112</c:v>
                </c:pt>
                <c:pt idx="3537">
                  <c:v>0.71443325173731864</c:v>
                </c:pt>
                <c:pt idx="3538">
                  <c:v>0.71462424791479862</c:v>
                </c:pt>
                <c:pt idx="3539">
                  <c:v>0.71474928570114571</c:v>
                </c:pt>
                <c:pt idx="3540">
                  <c:v>0.71507895079412265</c:v>
                </c:pt>
                <c:pt idx="3541">
                  <c:v>0.71507928063965664</c:v>
                </c:pt>
                <c:pt idx="3542">
                  <c:v>0.71535213695460698</c:v>
                </c:pt>
                <c:pt idx="3543">
                  <c:v>0.71550761983598932</c:v>
                </c:pt>
                <c:pt idx="3544">
                  <c:v>0.71567060775942082</c:v>
                </c:pt>
                <c:pt idx="3545">
                  <c:v>0.71574620380488341</c:v>
                </c:pt>
                <c:pt idx="3546">
                  <c:v>0.71585153932028334</c:v>
                </c:pt>
                <c:pt idx="3547">
                  <c:v>0.7159525301267422</c:v>
                </c:pt>
                <c:pt idx="3548">
                  <c:v>0.71618574826516124</c:v>
                </c:pt>
                <c:pt idx="3549">
                  <c:v>0.71652820621511637</c:v>
                </c:pt>
                <c:pt idx="3550">
                  <c:v>0.71728854733555636</c:v>
                </c:pt>
                <c:pt idx="3551">
                  <c:v>0.71758612774283392</c:v>
                </c:pt>
                <c:pt idx="3552">
                  <c:v>0.71781089492924366</c:v>
                </c:pt>
                <c:pt idx="3553">
                  <c:v>0.71815477181553433</c:v>
                </c:pt>
                <c:pt idx="3554">
                  <c:v>0.71823152974957338</c:v>
                </c:pt>
                <c:pt idx="3555">
                  <c:v>0.71829246228571719</c:v>
                </c:pt>
                <c:pt idx="3556">
                  <c:v>0.71867804637622612</c:v>
                </c:pt>
                <c:pt idx="3557">
                  <c:v>0.71886417629684729</c:v>
                </c:pt>
                <c:pt idx="3558">
                  <c:v>0.71895362996474432</c:v>
                </c:pt>
                <c:pt idx="3559">
                  <c:v>0.71937748293112236</c:v>
                </c:pt>
                <c:pt idx="3560">
                  <c:v>0.71937784989498255</c:v>
                </c:pt>
                <c:pt idx="3561">
                  <c:v>0.71942076539198752</c:v>
                </c:pt>
                <c:pt idx="3562">
                  <c:v>0.71945581678573944</c:v>
                </c:pt>
                <c:pt idx="3563">
                  <c:v>0.71949485433742666</c:v>
                </c:pt>
                <c:pt idx="3564">
                  <c:v>0.71952011343000777</c:v>
                </c:pt>
                <c:pt idx="3565">
                  <c:v>0.72001621429717488</c:v>
                </c:pt>
                <c:pt idx="3566">
                  <c:v>0.72022914824810869</c:v>
                </c:pt>
                <c:pt idx="3567">
                  <c:v>0.72073621185609227</c:v>
                </c:pt>
                <c:pt idx="3568">
                  <c:v>0.72110178851926321</c:v>
                </c:pt>
                <c:pt idx="3569">
                  <c:v>0.72137710026436253</c:v>
                </c:pt>
                <c:pt idx="3570">
                  <c:v>0.72139639527904365</c:v>
                </c:pt>
                <c:pt idx="3571">
                  <c:v>0.72157421646079456</c:v>
                </c:pt>
                <c:pt idx="3572">
                  <c:v>0.72162501484854147</c:v>
                </c:pt>
                <c:pt idx="3573">
                  <c:v>0.72184619156996632</c:v>
                </c:pt>
                <c:pt idx="3574">
                  <c:v>0.72196640110269072</c:v>
                </c:pt>
                <c:pt idx="3575">
                  <c:v>0.72236540599897126</c:v>
                </c:pt>
                <c:pt idx="3576">
                  <c:v>0.72244868031702936</c:v>
                </c:pt>
                <c:pt idx="3577">
                  <c:v>0.72247502978282796</c:v>
                </c:pt>
                <c:pt idx="3578">
                  <c:v>0.72251033412157994</c:v>
                </c:pt>
                <c:pt idx="3579">
                  <c:v>0.72255080676404759</c:v>
                </c:pt>
                <c:pt idx="3580">
                  <c:v>0.72297636645544117</c:v>
                </c:pt>
                <c:pt idx="3581">
                  <c:v>0.72327296350340475</c:v>
                </c:pt>
                <c:pt idx="3582">
                  <c:v>0.72353968459083262</c:v>
                </c:pt>
                <c:pt idx="3583">
                  <c:v>0.72365847544188</c:v>
                </c:pt>
                <c:pt idx="3584">
                  <c:v>0.72409646794221771</c:v>
                </c:pt>
                <c:pt idx="3585">
                  <c:v>0.72425480969286582</c:v>
                </c:pt>
                <c:pt idx="3586">
                  <c:v>0.72433170461954433</c:v>
                </c:pt>
                <c:pt idx="3587">
                  <c:v>0.72456624065944197</c:v>
                </c:pt>
                <c:pt idx="3588">
                  <c:v>0.7247209845463658</c:v>
                </c:pt>
                <c:pt idx="3589">
                  <c:v>0.72485854312435549</c:v>
                </c:pt>
                <c:pt idx="3590">
                  <c:v>0.72500661677804601</c:v>
                </c:pt>
                <c:pt idx="3591">
                  <c:v>0.72510999840505974</c:v>
                </c:pt>
                <c:pt idx="3592">
                  <c:v>0.72524639164112159</c:v>
                </c:pt>
                <c:pt idx="3593">
                  <c:v>0.72543047858835052</c:v>
                </c:pt>
                <c:pt idx="3594">
                  <c:v>0.7258284689651191</c:v>
                </c:pt>
                <c:pt idx="3595">
                  <c:v>0.72583165243122494</c:v>
                </c:pt>
                <c:pt idx="3596">
                  <c:v>0.72599044023900206</c:v>
                </c:pt>
                <c:pt idx="3597">
                  <c:v>0.7260928834148217</c:v>
                </c:pt>
                <c:pt idx="3598">
                  <c:v>0.72623229920372978</c:v>
                </c:pt>
                <c:pt idx="3599">
                  <c:v>0.72639731726758328</c:v>
                </c:pt>
                <c:pt idx="3600">
                  <c:v>0.72670499880587158</c:v>
                </c:pt>
                <c:pt idx="3601">
                  <c:v>0.72692613063463796</c:v>
                </c:pt>
                <c:pt idx="3602">
                  <c:v>0.72730810641769494</c:v>
                </c:pt>
                <c:pt idx="3603">
                  <c:v>0.72759780349770153</c:v>
                </c:pt>
                <c:pt idx="3604">
                  <c:v>0.72776658239672543</c:v>
                </c:pt>
                <c:pt idx="3605">
                  <c:v>0.72808815027113383</c:v>
                </c:pt>
                <c:pt idx="3606">
                  <c:v>0.72813693008902192</c:v>
                </c:pt>
                <c:pt idx="3607">
                  <c:v>0.72814278542318789</c:v>
                </c:pt>
                <c:pt idx="3608">
                  <c:v>0.72898324691686867</c:v>
                </c:pt>
                <c:pt idx="3609">
                  <c:v>0.72919882429687277</c:v>
                </c:pt>
                <c:pt idx="3610">
                  <c:v>0.73008712904538697</c:v>
                </c:pt>
                <c:pt idx="3611">
                  <c:v>0.73013360309232667</c:v>
                </c:pt>
                <c:pt idx="3612">
                  <c:v>0.73017328894638922</c:v>
                </c:pt>
                <c:pt idx="3613">
                  <c:v>0.73024576064381108</c:v>
                </c:pt>
                <c:pt idx="3614">
                  <c:v>0.73038154315690917</c:v>
                </c:pt>
                <c:pt idx="3615">
                  <c:v>0.73038708415333531</c:v>
                </c:pt>
                <c:pt idx="3616">
                  <c:v>0.73044423817191273</c:v>
                </c:pt>
                <c:pt idx="3617">
                  <c:v>0.73053563628220175</c:v>
                </c:pt>
                <c:pt idx="3618">
                  <c:v>0.73071340603564749</c:v>
                </c:pt>
                <c:pt idx="3619">
                  <c:v>0.73076424001465057</c:v>
                </c:pt>
                <c:pt idx="3620">
                  <c:v>0.73100037908261584</c:v>
                </c:pt>
                <c:pt idx="3621">
                  <c:v>0.73141305266562995</c:v>
                </c:pt>
                <c:pt idx="3622">
                  <c:v>0.73142907587043737</c:v>
                </c:pt>
                <c:pt idx="3623">
                  <c:v>0.73147335279736581</c:v>
                </c:pt>
                <c:pt idx="3624">
                  <c:v>0.73159367668813502</c:v>
                </c:pt>
                <c:pt idx="3625">
                  <c:v>0.73160197151264583</c:v>
                </c:pt>
                <c:pt idx="3626">
                  <c:v>0.7317180098980316</c:v>
                </c:pt>
                <c:pt idx="3627">
                  <c:v>0.73181218988702312</c:v>
                </c:pt>
                <c:pt idx="3628">
                  <c:v>0.73186971584527782</c:v>
                </c:pt>
                <c:pt idx="3629">
                  <c:v>0.73188242862306652</c:v>
                </c:pt>
                <c:pt idx="3630">
                  <c:v>0.73201738623629353</c:v>
                </c:pt>
                <c:pt idx="3631">
                  <c:v>0.7324257551726987</c:v>
                </c:pt>
                <c:pt idx="3632">
                  <c:v>0.73268259545329784</c:v>
                </c:pt>
                <c:pt idx="3633">
                  <c:v>0.73277018079079426</c:v>
                </c:pt>
                <c:pt idx="3634">
                  <c:v>0.73315615766841802</c:v>
                </c:pt>
                <c:pt idx="3635">
                  <c:v>0.73327238453839527</c:v>
                </c:pt>
                <c:pt idx="3636">
                  <c:v>0.73329695027041453</c:v>
                </c:pt>
                <c:pt idx="3637">
                  <c:v>0.73358946850476059</c:v>
                </c:pt>
                <c:pt idx="3638">
                  <c:v>0.73361914357064961</c:v>
                </c:pt>
                <c:pt idx="3639">
                  <c:v>0.73391819245352963</c:v>
                </c:pt>
                <c:pt idx="3640">
                  <c:v>0.73405035609539482</c:v>
                </c:pt>
                <c:pt idx="3641">
                  <c:v>0.73420362491197011</c:v>
                </c:pt>
                <c:pt idx="3642">
                  <c:v>0.73447128793350203</c:v>
                </c:pt>
                <c:pt idx="3643">
                  <c:v>0.7347555711021414</c:v>
                </c:pt>
                <c:pt idx="3644">
                  <c:v>0.73478613783208857</c:v>
                </c:pt>
                <c:pt idx="3645">
                  <c:v>0.73488777353941259</c:v>
                </c:pt>
                <c:pt idx="3646">
                  <c:v>0.73506400479618605</c:v>
                </c:pt>
                <c:pt idx="3647">
                  <c:v>0.73510333674130379</c:v>
                </c:pt>
                <c:pt idx="3648">
                  <c:v>0.73525878945929435</c:v>
                </c:pt>
                <c:pt idx="3649">
                  <c:v>0.73534626706532435</c:v>
                </c:pt>
                <c:pt idx="3650">
                  <c:v>0.73551579926424893</c:v>
                </c:pt>
                <c:pt idx="3651">
                  <c:v>0.7355378264473984</c:v>
                </c:pt>
                <c:pt idx="3652">
                  <c:v>0.73563562759227352</c:v>
                </c:pt>
                <c:pt idx="3653">
                  <c:v>0.73605073565795465</c:v>
                </c:pt>
                <c:pt idx="3654">
                  <c:v>0.73640666556002543</c:v>
                </c:pt>
                <c:pt idx="3655">
                  <c:v>0.73642275624661124</c:v>
                </c:pt>
                <c:pt idx="3656">
                  <c:v>0.73691741027596436</c:v>
                </c:pt>
                <c:pt idx="3657">
                  <c:v>0.73705694430555013</c:v>
                </c:pt>
                <c:pt idx="3658">
                  <c:v>0.73747816718241666</c:v>
                </c:pt>
                <c:pt idx="3659">
                  <c:v>0.73754533671854006</c:v>
                </c:pt>
                <c:pt idx="3660">
                  <c:v>0.73779348108382692</c:v>
                </c:pt>
                <c:pt idx="3661">
                  <c:v>0.73785225887968409</c:v>
                </c:pt>
                <c:pt idx="3662">
                  <c:v>0.73786543390542647</c:v>
                </c:pt>
                <c:pt idx="3663">
                  <c:v>0.73794246337365621</c:v>
                </c:pt>
                <c:pt idx="3664">
                  <c:v>0.7380861630617801</c:v>
                </c:pt>
                <c:pt idx="3665">
                  <c:v>0.73821348305500578</c:v>
                </c:pt>
                <c:pt idx="3666">
                  <c:v>0.73827690672442259</c:v>
                </c:pt>
                <c:pt idx="3667">
                  <c:v>0.73842192416213948</c:v>
                </c:pt>
                <c:pt idx="3668">
                  <c:v>0.73844534661839134</c:v>
                </c:pt>
                <c:pt idx="3669">
                  <c:v>0.73847292128903064</c:v>
                </c:pt>
                <c:pt idx="3670">
                  <c:v>0.73850045946619503</c:v>
                </c:pt>
                <c:pt idx="3671">
                  <c:v>0.73891866625763214</c:v>
                </c:pt>
                <c:pt idx="3672">
                  <c:v>0.73913649779842672</c:v>
                </c:pt>
                <c:pt idx="3673">
                  <c:v>0.73982767862435139</c:v>
                </c:pt>
                <c:pt idx="3674">
                  <c:v>0.7403582235065187</c:v>
                </c:pt>
                <c:pt idx="3675">
                  <c:v>0.74062040389617323</c:v>
                </c:pt>
                <c:pt idx="3676">
                  <c:v>0.74064512864515564</c:v>
                </c:pt>
                <c:pt idx="3677">
                  <c:v>0.74066991834388318</c:v>
                </c:pt>
                <c:pt idx="3678">
                  <c:v>0.7407114522811753</c:v>
                </c:pt>
                <c:pt idx="3679">
                  <c:v>0.74073192643754737</c:v>
                </c:pt>
                <c:pt idx="3680">
                  <c:v>0.74078683495372388</c:v>
                </c:pt>
                <c:pt idx="3681">
                  <c:v>0.7409189407244412</c:v>
                </c:pt>
                <c:pt idx="3682">
                  <c:v>0.74103433229447546</c:v>
                </c:pt>
                <c:pt idx="3683">
                  <c:v>0.7410739430324611</c:v>
                </c:pt>
                <c:pt idx="3684">
                  <c:v>0.74132603082398418</c:v>
                </c:pt>
                <c:pt idx="3685">
                  <c:v>0.74136303073009913</c:v>
                </c:pt>
                <c:pt idx="3686">
                  <c:v>0.74164930265487783</c:v>
                </c:pt>
                <c:pt idx="3687">
                  <c:v>0.74167619005220331</c:v>
                </c:pt>
                <c:pt idx="3688">
                  <c:v>0.74173692475596908</c:v>
                </c:pt>
                <c:pt idx="3689">
                  <c:v>0.74177543063342455</c:v>
                </c:pt>
                <c:pt idx="3690">
                  <c:v>0.74188179806060361</c:v>
                </c:pt>
                <c:pt idx="3691">
                  <c:v>0.74276013818689535</c:v>
                </c:pt>
                <c:pt idx="3692">
                  <c:v>0.74307724597747438</c:v>
                </c:pt>
                <c:pt idx="3693">
                  <c:v>0.74314524428882578</c:v>
                </c:pt>
                <c:pt idx="3694">
                  <c:v>0.74334839212042425</c:v>
                </c:pt>
                <c:pt idx="3695">
                  <c:v>0.74364377361598599</c:v>
                </c:pt>
                <c:pt idx="3696">
                  <c:v>0.74380411408674263</c:v>
                </c:pt>
                <c:pt idx="3697">
                  <c:v>0.74405213413592719</c:v>
                </c:pt>
                <c:pt idx="3698">
                  <c:v>0.74421441122285614</c:v>
                </c:pt>
                <c:pt idx="3699">
                  <c:v>0.74440481771398481</c:v>
                </c:pt>
                <c:pt idx="3700">
                  <c:v>0.74448492180272297</c:v>
                </c:pt>
                <c:pt idx="3701">
                  <c:v>0.74451022384982934</c:v>
                </c:pt>
                <c:pt idx="3702">
                  <c:v>0.74485913836178952</c:v>
                </c:pt>
                <c:pt idx="3703">
                  <c:v>0.74507758731397189</c:v>
                </c:pt>
                <c:pt idx="3704">
                  <c:v>0.74537462047010195</c:v>
                </c:pt>
                <c:pt idx="3705">
                  <c:v>0.74539486452158599</c:v>
                </c:pt>
                <c:pt idx="3706">
                  <c:v>0.74549130550258269</c:v>
                </c:pt>
                <c:pt idx="3707">
                  <c:v>0.7458966983067512</c:v>
                </c:pt>
                <c:pt idx="3708">
                  <c:v>0.74607314284730819</c:v>
                </c:pt>
                <c:pt idx="3709">
                  <c:v>0.74621106872564269</c:v>
                </c:pt>
                <c:pt idx="3710">
                  <c:v>0.746420302453771</c:v>
                </c:pt>
                <c:pt idx="3711">
                  <c:v>0.74664819065765187</c:v>
                </c:pt>
                <c:pt idx="3712">
                  <c:v>0.74682650105933135</c:v>
                </c:pt>
                <c:pt idx="3713">
                  <c:v>0.74682862949066475</c:v>
                </c:pt>
                <c:pt idx="3714">
                  <c:v>0.74743922446670652</c:v>
                </c:pt>
                <c:pt idx="3715">
                  <c:v>0.74771378420246037</c:v>
                </c:pt>
                <c:pt idx="3716">
                  <c:v>0.74774000435172638</c:v>
                </c:pt>
                <c:pt idx="3717">
                  <c:v>0.74775105163644184</c:v>
                </c:pt>
                <c:pt idx="3718">
                  <c:v>0.74776940959600324</c:v>
                </c:pt>
                <c:pt idx="3719">
                  <c:v>0.74785678930675203</c:v>
                </c:pt>
                <c:pt idx="3720">
                  <c:v>0.74788369920770492</c:v>
                </c:pt>
                <c:pt idx="3721">
                  <c:v>0.74823986256114949</c:v>
                </c:pt>
                <c:pt idx="3722">
                  <c:v>0.74826623458102404</c:v>
                </c:pt>
                <c:pt idx="3723">
                  <c:v>0.74829718374076037</c:v>
                </c:pt>
                <c:pt idx="3724">
                  <c:v>0.74836533816414885</c:v>
                </c:pt>
                <c:pt idx="3725">
                  <c:v>0.74860699726013991</c:v>
                </c:pt>
                <c:pt idx="3726">
                  <c:v>0.7492220307876778</c:v>
                </c:pt>
                <c:pt idx="3727">
                  <c:v>0.74956709623074858</c:v>
                </c:pt>
                <c:pt idx="3728">
                  <c:v>0.75023815434724384</c:v>
                </c:pt>
                <c:pt idx="3729">
                  <c:v>0.75035119142194162</c:v>
                </c:pt>
                <c:pt idx="3730">
                  <c:v>0.75051992744556628</c:v>
                </c:pt>
                <c:pt idx="3731">
                  <c:v>0.75076856513442181</c:v>
                </c:pt>
                <c:pt idx="3732">
                  <c:v>0.75151030947381514</c:v>
                </c:pt>
                <c:pt idx="3733">
                  <c:v>0.75154745237523457</c:v>
                </c:pt>
                <c:pt idx="3734">
                  <c:v>0.75169046103201254</c:v>
                </c:pt>
                <c:pt idx="3735">
                  <c:v>0.75185345805039105</c:v>
                </c:pt>
                <c:pt idx="3736">
                  <c:v>0.75220046136064411</c:v>
                </c:pt>
                <c:pt idx="3737">
                  <c:v>0.75220107694167382</c:v>
                </c:pt>
                <c:pt idx="3738">
                  <c:v>0.75221285564657592</c:v>
                </c:pt>
                <c:pt idx="3739">
                  <c:v>0.75248331990314909</c:v>
                </c:pt>
                <c:pt idx="3740">
                  <c:v>0.75258039601521887</c:v>
                </c:pt>
                <c:pt idx="3741">
                  <c:v>0.75265095687700523</c:v>
                </c:pt>
                <c:pt idx="3742">
                  <c:v>0.75289125261861045</c:v>
                </c:pt>
                <c:pt idx="3743">
                  <c:v>0.75289352012532618</c:v>
                </c:pt>
                <c:pt idx="3744">
                  <c:v>0.75291186128197296</c:v>
                </c:pt>
                <c:pt idx="3745">
                  <c:v>0.75295228742743348</c:v>
                </c:pt>
                <c:pt idx="3746">
                  <c:v>0.75312790411499009</c:v>
                </c:pt>
                <c:pt idx="3747">
                  <c:v>0.75328054747842543</c:v>
                </c:pt>
                <c:pt idx="3748">
                  <c:v>0.75362739506454091</c:v>
                </c:pt>
                <c:pt idx="3749">
                  <c:v>0.75368944583533448</c:v>
                </c:pt>
                <c:pt idx="3750">
                  <c:v>0.7538527219385287</c:v>
                </c:pt>
                <c:pt idx="3751">
                  <c:v>0.75397384395546396</c:v>
                </c:pt>
                <c:pt idx="3752">
                  <c:v>0.75458175123549154</c:v>
                </c:pt>
                <c:pt idx="3753">
                  <c:v>0.75465417069972318</c:v>
                </c:pt>
                <c:pt idx="3754">
                  <c:v>0.75470550917270884</c:v>
                </c:pt>
                <c:pt idx="3755">
                  <c:v>0.75491745504587016</c:v>
                </c:pt>
                <c:pt idx="3756">
                  <c:v>0.75496183971426944</c:v>
                </c:pt>
                <c:pt idx="3757">
                  <c:v>0.75498525111834169</c:v>
                </c:pt>
                <c:pt idx="3758">
                  <c:v>0.75498993326709751</c:v>
                </c:pt>
                <c:pt idx="3759">
                  <c:v>0.75501451008403819</c:v>
                </c:pt>
                <c:pt idx="3760">
                  <c:v>0.75518134317280783</c:v>
                </c:pt>
                <c:pt idx="3761">
                  <c:v>0.75520683086597273</c:v>
                </c:pt>
                <c:pt idx="3762">
                  <c:v>0.75522892182925716</c:v>
                </c:pt>
                <c:pt idx="3763">
                  <c:v>0.75530526923284924</c:v>
                </c:pt>
                <c:pt idx="3764">
                  <c:v>0.75531331081310782</c:v>
                </c:pt>
                <c:pt idx="3765">
                  <c:v>0.75531519559081062</c:v>
                </c:pt>
                <c:pt idx="3766">
                  <c:v>0.75532082624249597</c:v>
                </c:pt>
                <c:pt idx="3767">
                  <c:v>0.75533788320717576</c:v>
                </c:pt>
                <c:pt idx="3768">
                  <c:v>0.75576526189342985</c:v>
                </c:pt>
                <c:pt idx="3769">
                  <c:v>0.75582380036121322</c:v>
                </c:pt>
                <c:pt idx="3770">
                  <c:v>0.75596857755499514</c:v>
                </c:pt>
                <c:pt idx="3771">
                  <c:v>0.75613261832222634</c:v>
                </c:pt>
                <c:pt idx="3772">
                  <c:v>0.75622236134495324</c:v>
                </c:pt>
                <c:pt idx="3773">
                  <c:v>0.75647357824527717</c:v>
                </c:pt>
                <c:pt idx="3774">
                  <c:v>0.75648464697587769</c:v>
                </c:pt>
                <c:pt idx="3775">
                  <c:v>0.75684413262388262</c:v>
                </c:pt>
                <c:pt idx="3776">
                  <c:v>0.7568710007080881</c:v>
                </c:pt>
                <c:pt idx="3777">
                  <c:v>0.75761489207798149</c:v>
                </c:pt>
                <c:pt idx="3778">
                  <c:v>0.75814369545241789</c:v>
                </c:pt>
                <c:pt idx="3779">
                  <c:v>0.75820542937981372</c:v>
                </c:pt>
                <c:pt idx="3780">
                  <c:v>0.75866497508286557</c:v>
                </c:pt>
                <c:pt idx="3781">
                  <c:v>0.7589761227973213</c:v>
                </c:pt>
                <c:pt idx="3782">
                  <c:v>0.75922390276809892</c:v>
                </c:pt>
                <c:pt idx="3783">
                  <c:v>0.75928454257064004</c:v>
                </c:pt>
                <c:pt idx="3784">
                  <c:v>0.75945945544935967</c:v>
                </c:pt>
                <c:pt idx="3785">
                  <c:v>0.7595158092553902</c:v>
                </c:pt>
                <c:pt idx="3786">
                  <c:v>0.75996182349535957</c:v>
                </c:pt>
                <c:pt idx="3787">
                  <c:v>0.75996989958275663</c:v>
                </c:pt>
                <c:pt idx="3788">
                  <c:v>0.76007727520754997</c:v>
                </c:pt>
                <c:pt idx="3789">
                  <c:v>0.76008039494172408</c:v>
                </c:pt>
                <c:pt idx="3790">
                  <c:v>0.76037375847408839</c:v>
                </c:pt>
                <c:pt idx="3791">
                  <c:v>0.76049666803373839</c:v>
                </c:pt>
                <c:pt idx="3792">
                  <c:v>0.76080733307298942</c:v>
                </c:pt>
                <c:pt idx="3793">
                  <c:v>0.7608380022475103</c:v>
                </c:pt>
                <c:pt idx="3794">
                  <c:v>0.76166952358016715</c:v>
                </c:pt>
                <c:pt idx="3795">
                  <c:v>0.76171877205706551</c:v>
                </c:pt>
                <c:pt idx="3796">
                  <c:v>0.76186305495320994</c:v>
                </c:pt>
                <c:pt idx="3797">
                  <c:v>0.76214592164342321</c:v>
                </c:pt>
                <c:pt idx="3798">
                  <c:v>0.76220971803104476</c:v>
                </c:pt>
                <c:pt idx="3799">
                  <c:v>0.76238812446081283</c:v>
                </c:pt>
                <c:pt idx="3800">
                  <c:v>0.76256158882006275</c:v>
                </c:pt>
                <c:pt idx="3801">
                  <c:v>0.76289744588029862</c:v>
                </c:pt>
                <c:pt idx="3802">
                  <c:v>0.76293088315924251</c:v>
                </c:pt>
                <c:pt idx="3803">
                  <c:v>0.76302257577481214</c:v>
                </c:pt>
                <c:pt idx="3804">
                  <c:v>0.7631528563097163</c:v>
                </c:pt>
                <c:pt idx="3805">
                  <c:v>0.76351387819795491</c:v>
                </c:pt>
                <c:pt idx="3806">
                  <c:v>0.76418885739440157</c:v>
                </c:pt>
                <c:pt idx="3807">
                  <c:v>0.76434075100405607</c:v>
                </c:pt>
                <c:pt idx="3808">
                  <c:v>0.76465209735397366</c:v>
                </c:pt>
                <c:pt idx="3809">
                  <c:v>0.76514676543592941</c:v>
                </c:pt>
                <c:pt idx="3810">
                  <c:v>0.76528382404376316</c:v>
                </c:pt>
                <c:pt idx="3811">
                  <c:v>0.76540862925867259</c:v>
                </c:pt>
                <c:pt idx="3812">
                  <c:v>0.76547507286704786</c:v>
                </c:pt>
                <c:pt idx="3813">
                  <c:v>0.76549479149525723</c:v>
                </c:pt>
                <c:pt idx="3814">
                  <c:v>0.76567726925532043</c:v>
                </c:pt>
                <c:pt idx="3815">
                  <c:v>0.76582884211347846</c:v>
                </c:pt>
                <c:pt idx="3816">
                  <c:v>0.7658984022682489</c:v>
                </c:pt>
                <c:pt idx="3817">
                  <c:v>0.76610798361798516</c:v>
                </c:pt>
                <c:pt idx="3818">
                  <c:v>0.76651005627081759</c:v>
                </c:pt>
                <c:pt idx="3819">
                  <c:v>0.76663006896342267</c:v>
                </c:pt>
                <c:pt idx="3820">
                  <c:v>0.76671000886199181</c:v>
                </c:pt>
                <c:pt idx="3821">
                  <c:v>0.76694435520403204</c:v>
                </c:pt>
                <c:pt idx="3822">
                  <c:v>0.76704524040997057</c:v>
                </c:pt>
                <c:pt idx="3823">
                  <c:v>0.76737729078467964</c:v>
                </c:pt>
                <c:pt idx="3824">
                  <c:v>0.76753290354645287</c:v>
                </c:pt>
                <c:pt idx="3825">
                  <c:v>0.7682098081568256</c:v>
                </c:pt>
                <c:pt idx="3826">
                  <c:v>0.76822643784271349</c:v>
                </c:pt>
                <c:pt idx="3827">
                  <c:v>0.76840715266462212</c:v>
                </c:pt>
                <c:pt idx="3828">
                  <c:v>0.76927048415836907</c:v>
                </c:pt>
                <c:pt idx="3829">
                  <c:v>0.7699153129806291</c:v>
                </c:pt>
                <c:pt idx="3830">
                  <c:v>0.77021547465938056</c:v>
                </c:pt>
                <c:pt idx="3831">
                  <c:v>0.77046584714025812</c:v>
                </c:pt>
                <c:pt idx="3832">
                  <c:v>0.77067927811276604</c:v>
                </c:pt>
                <c:pt idx="3833">
                  <c:v>0.77072505661089963</c:v>
                </c:pt>
                <c:pt idx="3834">
                  <c:v>0.77120013589592418</c:v>
                </c:pt>
                <c:pt idx="3835">
                  <c:v>0.77139522134893923</c:v>
                </c:pt>
                <c:pt idx="3836">
                  <c:v>0.77158892945044499</c:v>
                </c:pt>
                <c:pt idx="3837">
                  <c:v>0.77166560417663277</c:v>
                </c:pt>
                <c:pt idx="3838">
                  <c:v>0.77176604482610855</c:v>
                </c:pt>
                <c:pt idx="3839">
                  <c:v>0.77180531641170091</c:v>
                </c:pt>
                <c:pt idx="3840">
                  <c:v>0.77223259817401413</c:v>
                </c:pt>
                <c:pt idx="3841">
                  <c:v>0.77242809677409241</c:v>
                </c:pt>
                <c:pt idx="3842">
                  <c:v>0.77266757965571742</c:v>
                </c:pt>
                <c:pt idx="3843">
                  <c:v>0.77274794820823445</c:v>
                </c:pt>
                <c:pt idx="3844">
                  <c:v>0.77279062917841657</c:v>
                </c:pt>
                <c:pt idx="3845">
                  <c:v>0.77312738787622948</c:v>
                </c:pt>
                <c:pt idx="3846">
                  <c:v>0.77317304916778085</c:v>
                </c:pt>
                <c:pt idx="3847">
                  <c:v>0.77319913989776978</c:v>
                </c:pt>
                <c:pt idx="3848">
                  <c:v>0.77342275408591377</c:v>
                </c:pt>
                <c:pt idx="3849">
                  <c:v>0.77344200273637398</c:v>
                </c:pt>
                <c:pt idx="3850">
                  <c:v>0.77376866182567028</c:v>
                </c:pt>
                <c:pt idx="3851">
                  <c:v>0.77377583752604551</c:v>
                </c:pt>
                <c:pt idx="3852">
                  <c:v>0.77378907536240149</c:v>
                </c:pt>
                <c:pt idx="3853">
                  <c:v>0.77418455619320525</c:v>
                </c:pt>
                <c:pt idx="3854">
                  <c:v>0.77483196526554821</c:v>
                </c:pt>
                <c:pt idx="3855">
                  <c:v>0.77489471824267753</c:v>
                </c:pt>
                <c:pt idx="3856">
                  <c:v>0.77523585486915181</c:v>
                </c:pt>
                <c:pt idx="3857">
                  <c:v>0.77564759318011056</c:v>
                </c:pt>
                <c:pt idx="3858">
                  <c:v>0.77603293088031933</c:v>
                </c:pt>
                <c:pt idx="3859">
                  <c:v>0.7769954157729444</c:v>
                </c:pt>
                <c:pt idx="3860">
                  <c:v>0.77735503414714913</c:v>
                </c:pt>
                <c:pt idx="3861">
                  <c:v>0.77755773671015049</c:v>
                </c:pt>
                <c:pt idx="3862">
                  <c:v>0.77756286055500823</c:v>
                </c:pt>
                <c:pt idx="3863">
                  <c:v>0.77761261777050095</c:v>
                </c:pt>
                <c:pt idx="3864">
                  <c:v>0.77779003248269873</c:v>
                </c:pt>
                <c:pt idx="3865">
                  <c:v>0.77820413403969724</c:v>
                </c:pt>
                <c:pt idx="3866">
                  <c:v>0.77847245286920952</c:v>
                </c:pt>
                <c:pt idx="3867">
                  <c:v>0.77875466294972284</c:v>
                </c:pt>
                <c:pt idx="3868">
                  <c:v>0.7795428644230924</c:v>
                </c:pt>
                <c:pt idx="3869">
                  <c:v>0.7796802039101749</c:v>
                </c:pt>
                <c:pt idx="3870">
                  <c:v>0.78077918538201629</c:v>
                </c:pt>
                <c:pt idx="3871">
                  <c:v>0.78087622174462012</c:v>
                </c:pt>
                <c:pt idx="3872">
                  <c:v>0.78088553330962895</c:v>
                </c:pt>
                <c:pt idx="3873">
                  <c:v>0.78096616030779842</c:v>
                </c:pt>
                <c:pt idx="3874">
                  <c:v>0.78098578360368265</c:v>
                </c:pt>
                <c:pt idx="3875">
                  <c:v>0.7813111948180449</c:v>
                </c:pt>
                <c:pt idx="3876">
                  <c:v>0.78189674671716602</c:v>
                </c:pt>
                <c:pt idx="3877">
                  <c:v>0.78204687405741424</c:v>
                </c:pt>
                <c:pt idx="3878">
                  <c:v>0.78209427279489319</c:v>
                </c:pt>
                <c:pt idx="3879">
                  <c:v>0.78235572421272082</c:v>
                </c:pt>
                <c:pt idx="3880">
                  <c:v>0.78283246290993702</c:v>
                </c:pt>
                <c:pt idx="3881">
                  <c:v>0.7830225908301145</c:v>
                </c:pt>
                <c:pt idx="3882">
                  <c:v>0.78303907683948637</c:v>
                </c:pt>
                <c:pt idx="3883">
                  <c:v>0.783399599364202</c:v>
                </c:pt>
                <c:pt idx="3884">
                  <c:v>0.78359392833681341</c:v>
                </c:pt>
                <c:pt idx="3885">
                  <c:v>0.78368751094694744</c:v>
                </c:pt>
                <c:pt idx="3886">
                  <c:v>0.78421278231417091</c:v>
                </c:pt>
                <c:pt idx="3887">
                  <c:v>0.78498044653770194</c:v>
                </c:pt>
                <c:pt idx="3888">
                  <c:v>0.78527206249464143</c:v>
                </c:pt>
                <c:pt idx="3889">
                  <c:v>0.78533471484024631</c:v>
                </c:pt>
                <c:pt idx="3890">
                  <c:v>0.78552590161598346</c:v>
                </c:pt>
                <c:pt idx="3891">
                  <c:v>0.78586016905865108</c:v>
                </c:pt>
                <c:pt idx="3892">
                  <c:v>0.78605676230563404</c:v>
                </c:pt>
                <c:pt idx="3893">
                  <c:v>0.78622296661160362</c:v>
                </c:pt>
                <c:pt idx="3894">
                  <c:v>0.78638052758105914</c:v>
                </c:pt>
                <c:pt idx="3895">
                  <c:v>0.78659157601850893</c:v>
                </c:pt>
                <c:pt idx="3896">
                  <c:v>0.78696501590002299</c:v>
                </c:pt>
                <c:pt idx="3897">
                  <c:v>0.78725346983355848</c:v>
                </c:pt>
                <c:pt idx="3898">
                  <c:v>0.78746095725546184</c:v>
                </c:pt>
                <c:pt idx="3899">
                  <c:v>0.787677268558582</c:v>
                </c:pt>
                <c:pt idx="3900">
                  <c:v>0.78769972556438006</c:v>
                </c:pt>
                <c:pt idx="3901">
                  <c:v>0.78782517739819014</c:v>
                </c:pt>
                <c:pt idx="3902">
                  <c:v>0.78788314497796819</c:v>
                </c:pt>
                <c:pt idx="3903">
                  <c:v>0.78796333972240973</c:v>
                </c:pt>
                <c:pt idx="3904">
                  <c:v>0.78805688534339424</c:v>
                </c:pt>
                <c:pt idx="3905">
                  <c:v>0.78810779385457863</c:v>
                </c:pt>
                <c:pt idx="3906">
                  <c:v>0.7881213583496276</c:v>
                </c:pt>
                <c:pt idx="3907">
                  <c:v>0.7883228425453126</c:v>
                </c:pt>
                <c:pt idx="3908">
                  <c:v>0.78868920563309075</c:v>
                </c:pt>
                <c:pt idx="3909">
                  <c:v>0.78874081410685903</c:v>
                </c:pt>
                <c:pt idx="3910">
                  <c:v>0.78879303590292693</c:v>
                </c:pt>
                <c:pt idx="3911">
                  <c:v>0.78883239377864811</c:v>
                </c:pt>
                <c:pt idx="3912">
                  <c:v>0.78883542422317987</c:v>
                </c:pt>
                <c:pt idx="3913">
                  <c:v>0.78944332406990725</c:v>
                </c:pt>
                <c:pt idx="3914">
                  <c:v>0.78975485397859302</c:v>
                </c:pt>
                <c:pt idx="3915">
                  <c:v>0.78988452568592038</c:v>
                </c:pt>
                <c:pt idx="3916">
                  <c:v>0.79050286719302676</c:v>
                </c:pt>
                <c:pt idx="3917">
                  <c:v>0.79080882229027338</c:v>
                </c:pt>
                <c:pt idx="3918">
                  <c:v>0.79084429593967798</c:v>
                </c:pt>
                <c:pt idx="3919">
                  <c:v>0.79087389709184208</c:v>
                </c:pt>
                <c:pt idx="3920">
                  <c:v>0.79102187754233455</c:v>
                </c:pt>
                <c:pt idx="3921">
                  <c:v>0.79123538397107041</c:v>
                </c:pt>
                <c:pt idx="3922">
                  <c:v>0.79140741468927445</c:v>
                </c:pt>
                <c:pt idx="3923">
                  <c:v>0.79141643979892251</c:v>
                </c:pt>
                <c:pt idx="3924">
                  <c:v>0.79171308463355672</c:v>
                </c:pt>
                <c:pt idx="3925">
                  <c:v>0.79189878964736526</c:v>
                </c:pt>
                <c:pt idx="3926">
                  <c:v>0.7925915372234158</c:v>
                </c:pt>
                <c:pt idx="3927">
                  <c:v>0.79326669392867188</c:v>
                </c:pt>
                <c:pt idx="3928">
                  <c:v>0.7932945224119976</c:v>
                </c:pt>
                <c:pt idx="3929">
                  <c:v>0.79344248857796629</c:v>
                </c:pt>
                <c:pt idx="3930">
                  <c:v>0.79405848847454763</c:v>
                </c:pt>
                <c:pt idx="3931">
                  <c:v>0.7941880057205708</c:v>
                </c:pt>
                <c:pt idx="3932">
                  <c:v>0.79470759627474763</c:v>
                </c:pt>
                <c:pt idx="3933">
                  <c:v>0.7950534718866038</c:v>
                </c:pt>
                <c:pt idx="3934">
                  <c:v>0.79517135588594101</c:v>
                </c:pt>
                <c:pt idx="3935">
                  <c:v>0.7952781654548744</c:v>
                </c:pt>
                <c:pt idx="3936">
                  <c:v>0.79550689259849605</c:v>
                </c:pt>
                <c:pt idx="3937">
                  <c:v>0.79560353282613505</c:v>
                </c:pt>
                <c:pt idx="3938">
                  <c:v>0.79566879340109153</c:v>
                </c:pt>
                <c:pt idx="3939">
                  <c:v>0.79568738979196496</c:v>
                </c:pt>
                <c:pt idx="3940">
                  <c:v>0.79591895226258202</c:v>
                </c:pt>
                <c:pt idx="3941">
                  <c:v>0.7959466446445731</c:v>
                </c:pt>
                <c:pt idx="3942">
                  <c:v>0.79596369079899887</c:v>
                </c:pt>
                <c:pt idx="3943">
                  <c:v>0.79614005740950233</c:v>
                </c:pt>
                <c:pt idx="3944">
                  <c:v>0.7961516324958211</c:v>
                </c:pt>
                <c:pt idx="3945">
                  <c:v>0.79617504191355692</c:v>
                </c:pt>
                <c:pt idx="3946">
                  <c:v>0.79650976877292123</c:v>
                </c:pt>
                <c:pt idx="3947">
                  <c:v>0.79653565698754392</c:v>
                </c:pt>
                <c:pt idx="3948">
                  <c:v>0.79664141214652773</c:v>
                </c:pt>
                <c:pt idx="3949">
                  <c:v>0.79685649439397821</c:v>
                </c:pt>
                <c:pt idx="3950">
                  <c:v>0.79701826871951198</c:v>
                </c:pt>
                <c:pt idx="3951">
                  <c:v>0.79741009145072894</c:v>
                </c:pt>
                <c:pt idx="3952">
                  <c:v>0.79797667196180555</c:v>
                </c:pt>
                <c:pt idx="3953">
                  <c:v>0.79802556774939148</c:v>
                </c:pt>
                <c:pt idx="3954">
                  <c:v>0.79831242939053482</c:v>
                </c:pt>
                <c:pt idx="3955">
                  <c:v>0.79839684468424821</c:v>
                </c:pt>
                <c:pt idx="3956">
                  <c:v>0.79846422682749107</c:v>
                </c:pt>
                <c:pt idx="3957">
                  <c:v>0.79847769360367238</c:v>
                </c:pt>
                <c:pt idx="3958">
                  <c:v>0.79850407981757598</c:v>
                </c:pt>
                <c:pt idx="3959">
                  <c:v>0.79881260731690418</c:v>
                </c:pt>
                <c:pt idx="3960">
                  <c:v>0.79908287137277512</c:v>
                </c:pt>
                <c:pt idx="3961">
                  <c:v>0.79919336293187371</c:v>
                </c:pt>
                <c:pt idx="3962">
                  <c:v>0.79933590407472366</c:v>
                </c:pt>
                <c:pt idx="3963">
                  <c:v>0.79965127224022581</c:v>
                </c:pt>
                <c:pt idx="3964">
                  <c:v>0.79976760555382498</c:v>
                </c:pt>
                <c:pt idx="3965">
                  <c:v>0.80041870998502418</c:v>
                </c:pt>
                <c:pt idx="3966">
                  <c:v>0.80064995198699762</c:v>
                </c:pt>
                <c:pt idx="3967">
                  <c:v>0.80080663194348745</c:v>
                </c:pt>
                <c:pt idx="3968">
                  <c:v>0.80088237463860423</c:v>
                </c:pt>
                <c:pt idx="3969">
                  <c:v>0.80159903082585515</c:v>
                </c:pt>
                <c:pt idx="3970">
                  <c:v>0.80161974719794671</c:v>
                </c:pt>
                <c:pt idx="3971">
                  <c:v>0.80214198015073634</c:v>
                </c:pt>
                <c:pt idx="3972">
                  <c:v>0.80240462257188483</c:v>
                </c:pt>
                <c:pt idx="3973">
                  <c:v>0.80252105562203724</c:v>
                </c:pt>
                <c:pt idx="3974">
                  <c:v>0.80267330922106339</c:v>
                </c:pt>
                <c:pt idx="3975">
                  <c:v>0.80327756574206433</c:v>
                </c:pt>
                <c:pt idx="3976">
                  <c:v>0.80328045777696389</c:v>
                </c:pt>
                <c:pt idx="3977">
                  <c:v>0.80328390888826107</c:v>
                </c:pt>
                <c:pt idx="3978">
                  <c:v>0.80337904145835637</c:v>
                </c:pt>
                <c:pt idx="3979">
                  <c:v>0.80385165658572078</c:v>
                </c:pt>
                <c:pt idx="3980">
                  <c:v>0.80410585280515079</c:v>
                </c:pt>
                <c:pt idx="3981">
                  <c:v>0.80418329315398296</c:v>
                </c:pt>
                <c:pt idx="3982">
                  <c:v>0.80422419397200429</c:v>
                </c:pt>
                <c:pt idx="3983">
                  <c:v>0.80427279657760664</c:v>
                </c:pt>
                <c:pt idx="3984">
                  <c:v>0.8050569682764035</c:v>
                </c:pt>
                <c:pt idx="3985">
                  <c:v>0.80510487653373275</c:v>
                </c:pt>
                <c:pt idx="3986">
                  <c:v>0.80526432465740072</c:v>
                </c:pt>
                <c:pt idx="3987">
                  <c:v>0.80535791528836853</c:v>
                </c:pt>
                <c:pt idx="3988">
                  <c:v>0.80540446790109854</c:v>
                </c:pt>
                <c:pt idx="3989">
                  <c:v>0.8055209043186693</c:v>
                </c:pt>
                <c:pt idx="3990">
                  <c:v>0.80557678064633365</c:v>
                </c:pt>
                <c:pt idx="3991">
                  <c:v>0.80567471265658241</c:v>
                </c:pt>
                <c:pt idx="3992">
                  <c:v>0.80570010307746998</c:v>
                </c:pt>
                <c:pt idx="3993">
                  <c:v>0.80577380670183629</c:v>
                </c:pt>
                <c:pt idx="3994">
                  <c:v>0.80637213169487154</c:v>
                </c:pt>
                <c:pt idx="3995">
                  <c:v>0.80658812845831562</c:v>
                </c:pt>
                <c:pt idx="3996">
                  <c:v>0.80680621801093366</c:v>
                </c:pt>
                <c:pt idx="3997">
                  <c:v>0.80681110166734982</c:v>
                </c:pt>
                <c:pt idx="3998">
                  <c:v>0.80692950370666949</c:v>
                </c:pt>
                <c:pt idx="3999">
                  <c:v>0.80707043019356206</c:v>
                </c:pt>
                <c:pt idx="4000">
                  <c:v>0.80727450314202542</c:v>
                </c:pt>
                <c:pt idx="4001">
                  <c:v>0.80747849964973284</c:v>
                </c:pt>
                <c:pt idx="4002">
                  <c:v>0.80748620958183892</c:v>
                </c:pt>
                <c:pt idx="4003">
                  <c:v>0.80752379031582677</c:v>
                </c:pt>
                <c:pt idx="4004">
                  <c:v>0.80756268295590417</c:v>
                </c:pt>
                <c:pt idx="4005">
                  <c:v>0.80804310913526933</c:v>
                </c:pt>
                <c:pt idx="4006">
                  <c:v>0.80810465490412753</c:v>
                </c:pt>
                <c:pt idx="4007">
                  <c:v>0.80832588818702789</c:v>
                </c:pt>
                <c:pt idx="4008">
                  <c:v>0.80834961084929091</c:v>
                </c:pt>
                <c:pt idx="4009">
                  <c:v>0.80863757128736324</c:v>
                </c:pt>
                <c:pt idx="4010">
                  <c:v>0.80863775451871334</c:v>
                </c:pt>
                <c:pt idx="4011">
                  <c:v>0.80901265951342793</c:v>
                </c:pt>
                <c:pt idx="4012">
                  <c:v>0.8091308764714995</c:v>
                </c:pt>
                <c:pt idx="4013">
                  <c:v>0.80927725748551893</c:v>
                </c:pt>
                <c:pt idx="4014">
                  <c:v>0.80931160404725233</c:v>
                </c:pt>
                <c:pt idx="4015">
                  <c:v>0.8093408510185327</c:v>
                </c:pt>
                <c:pt idx="4016">
                  <c:v>0.80941172485927382</c:v>
                </c:pt>
                <c:pt idx="4017">
                  <c:v>0.80960136324210907</c:v>
                </c:pt>
                <c:pt idx="4018">
                  <c:v>0.80976769137123483</c:v>
                </c:pt>
                <c:pt idx="4019">
                  <c:v>0.8098162918631715</c:v>
                </c:pt>
                <c:pt idx="4020">
                  <c:v>0.80990709521302051</c:v>
                </c:pt>
                <c:pt idx="4021">
                  <c:v>0.80998487551642029</c:v>
                </c:pt>
                <c:pt idx="4022">
                  <c:v>0.81012298361747526</c:v>
                </c:pt>
                <c:pt idx="4023">
                  <c:v>0.81066814070527471</c:v>
                </c:pt>
                <c:pt idx="4024">
                  <c:v>0.81073847716288583</c:v>
                </c:pt>
                <c:pt idx="4025">
                  <c:v>0.8109191137682501</c:v>
                </c:pt>
                <c:pt idx="4026">
                  <c:v>0.81096909968164255</c:v>
                </c:pt>
                <c:pt idx="4027">
                  <c:v>0.81104128286369814</c:v>
                </c:pt>
                <c:pt idx="4028">
                  <c:v>0.81132904837249953</c:v>
                </c:pt>
                <c:pt idx="4029">
                  <c:v>0.81144710718675128</c:v>
                </c:pt>
                <c:pt idx="4030">
                  <c:v>0.81156575600925862</c:v>
                </c:pt>
                <c:pt idx="4031">
                  <c:v>0.81177491655307676</c:v>
                </c:pt>
                <c:pt idx="4032">
                  <c:v>0.81190520523068699</c:v>
                </c:pt>
                <c:pt idx="4033">
                  <c:v>0.81201189009061636</c:v>
                </c:pt>
                <c:pt idx="4034">
                  <c:v>0.81229285309656518</c:v>
                </c:pt>
                <c:pt idx="4035">
                  <c:v>0.81239457814263005</c:v>
                </c:pt>
                <c:pt idx="4036">
                  <c:v>0.81253325426226297</c:v>
                </c:pt>
                <c:pt idx="4037">
                  <c:v>0.81263176575521356</c:v>
                </c:pt>
                <c:pt idx="4038">
                  <c:v>0.81280976748257672</c:v>
                </c:pt>
                <c:pt idx="4039">
                  <c:v>0.81281403783123096</c:v>
                </c:pt>
                <c:pt idx="4040">
                  <c:v>0.81284400495860609</c:v>
                </c:pt>
                <c:pt idx="4041">
                  <c:v>0.81328398011646641</c:v>
                </c:pt>
                <c:pt idx="4042">
                  <c:v>0.81384546596655127</c:v>
                </c:pt>
                <c:pt idx="4043">
                  <c:v>0.81396698126536648</c:v>
                </c:pt>
                <c:pt idx="4044">
                  <c:v>0.81416081139559537</c:v>
                </c:pt>
                <c:pt idx="4045">
                  <c:v>0.81419508670569485</c:v>
                </c:pt>
                <c:pt idx="4046">
                  <c:v>0.81487163296060316</c:v>
                </c:pt>
                <c:pt idx="4047">
                  <c:v>0.81490290043620917</c:v>
                </c:pt>
                <c:pt idx="4048">
                  <c:v>0.81495184353843797</c:v>
                </c:pt>
                <c:pt idx="4049">
                  <c:v>0.8154047980424366</c:v>
                </c:pt>
                <c:pt idx="4050">
                  <c:v>0.81543412331393483</c:v>
                </c:pt>
                <c:pt idx="4051">
                  <c:v>0.81543603330101178</c:v>
                </c:pt>
                <c:pt idx="4052">
                  <c:v>0.81543774813508207</c:v>
                </c:pt>
                <c:pt idx="4053">
                  <c:v>0.81577512962758192</c:v>
                </c:pt>
                <c:pt idx="4054">
                  <c:v>0.81587228530952416</c:v>
                </c:pt>
                <c:pt idx="4055">
                  <c:v>0.81601664637219073</c:v>
                </c:pt>
                <c:pt idx="4056">
                  <c:v>0.81621923647799122</c:v>
                </c:pt>
                <c:pt idx="4057">
                  <c:v>0.81623632888840802</c:v>
                </c:pt>
                <c:pt idx="4058">
                  <c:v>0.81628226483098842</c:v>
                </c:pt>
                <c:pt idx="4059">
                  <c:v>0.81630168493396127</c:v>
                </c:pt>
                <c:pt idx="4060">
                  <c:v>0.81648958325331478</c:v>
                </c:pt>
                <c:pt idx="4061">
                  <c:v>0.81652939845298533</c:v>
                </c:pt>
                <c:pt idx="4062">
                  <c:v>0.81679256809820799</c:v>
                </c:pt>
                <c:pt idx="4063">
                  <c:v>0.81710833692795859</c:v>
                </c:pt>
                <c:pt idx="4064">
                  <c:v>0.81765474064286536</c:v>
                </c:pt>
                <c:pt idx="4065">
                  <c:v>0.81772174740035553</c:v>
                </c:pt>
                <c:pt idx="4066">
                  <c:v>0.81796591783404438</c:v>
                </c:pt>
                <c:pt idx="4067">
                  <c:v>0.8180989477186813</c:v>
                </c:pt>
                <c:pt idx="4068">
                  <c:v>0.81832389789997251</c:v>
                </c:pt>
                <c:pt idx="4069">
                  <c:v>0.81850266372293845</c:v>
                </c:pt>
                <c:pt idx="4070">
                  <c:v>0.8185357595602909</c:v>
                </c:pt>
                <c:pt idx="4071">
                  <c:v>0.81871982618213224</c:v>
                </c:pt>
                <c:pt idx="4072">
                  <c:v>0.81879891125754511</c:v>
                </c:pt>
                <c:pt idx="4073">
                  <c:v>0.81894219661990064</c:v>
                </c:pt>
                <c:pt idx="4074">
                  <c:v>0.81914806800978113</c:v>
                </c:pt>
                <c:pt idx="4075">
                  <c:v>0.81944625687265216</c:v>
                </c:pt>
                <c:pt idx="4076">
                  <c:v>0.81966232648574078</c:v>
                </c:pt>
                <c:pt idx="4077">
                  <c:v>0.81977938768432068</c:v>
                </c:pt>
                <c:pt idx="4078">
                  <c:v>0.8204777685168807</c:v>
                </c:pt>
                <c:pt idx="4079">
                  <c:v>0.82097477681782038</c:v>
                </c:pt>
                <c:pt idx="4080">
                  <c:v>0.8210253650759114</c:v>
                </c:pt>
                <c:pt idx="4081">
                  <c:v>0.82111095293839753</c:v>
                </c:pt>
                <c:pt idx="4082">
                  <c:v>0.82122454505952192</c:v>
                </c:pt>
                <c:pt idx="4083">
                  <c:v>0.82141270511874609</c:v>
                </c:pt>
                <c:pt idx="4084">
                  <c:v>0.82141817704814457</c:v>
                </c:pt>
                <c:pt idx="4085">
                  <c:v>0.8215577718710847</c:v>
                </c:pt>
                <c:pt idx="4086">
                  <c:v>0.82189642893354176</c:v>
                </c:pt>
                <c:pt idx="4087">
                  <c:v>0.82260729878362326</c:v>
                </c:pt>
                <c:pt idx="4088">
                  <c:v>0.82301552582521253</c:v>
                </c:pt>
                <c:pt idx="4089">
                  <c:v>0.82323490803173627</c:v>
                </c:pt>
                <c:pt idx="4090">
                  <c:v>0.82329512418436934</c:v>
                </c:pt>
                <c:pt idx="4091">
                  <c:v>0.82352391156018712</c:v>
                </c:pt>
                <c:pt idx="4092">
                  <c:v>0.82380474924502778</c:v>
                </c:pt>
                <c:pt idx="4093">
                  <c:v>0.82387279525391932</c:v>
                </c:pt>
                <c:pt idx="4094">
                  <c:v>0.82395077114051674</c:v>
                </c:pt>
                <c:pt idx="4095">
                  <c:v>0.82406740955775604</c:v>
                </c:pt>
                <c:pt idx="4096">
                  <c:v>0.82431153311244998</c:v>
                </c:pt>
                <c:pt idx="4097">
                  <c:v>0.82440530304484128</c:v>
                </c:pt>
                <c:pt idx="4098">
                  <c:v>0.82527782334636868</c:v>
                </c:pt>
                <c:pt idx="4099">
                  <c:v>0.82533740763710739</c:v>
                </c:pt>
                <c:pt idx="4100">
                  <c:v>0.82541721397319634</c:v>
                </c:pt>
                <c:pt idx="4101">
                  <c:v>0.82545619114171132</c:v>
                </c:pt>
                <c:pt idx="4102">
                  <c:v>0.82614941022984567</c:v>
                </c:pt>
                <c:pt idx="4103">
                  <c:v>0.82678486153236008</c:v>
                </c:pt>
                <c:pt idx="4104">
                  <c:v>0.82682510454378644</c:v>
                </c:pt>
                <c:pt idx="4105">
                  <c:v>0.8268436679009028</c:v>
                </c:pt>
                <c:pt idx="4106">
                  <c:v>0.82706145092106453</c:v>
                </c:pt>
                <c:pt idx="4107">
                  <c:v>0.82707114979348262</c:v>
                </c:pt>
                <c:pt idx="4108">
                  <c:v>0.82707797889906942</c:v>
                </c:pt>
                <c:pt idx="4109">
                  <c:v>0.82708134409313061</c:v>
                </c:pt>
                <c:pt idx="4110">
                  <c:v>0.82715196402386937</c:v>
                </c:pt>
                <c:pt idx="4111">
                  <c:v>0.82730967522002175</c:v>
                </c:pt>
                <c:pt idx="4112">
                  <c:v>0.82735535304163932</c:v>
                </c:pt>
                <c:pt idx="4113">
                  <c:v>0.82742327118467074</c:v>
                </c:pt>
                <c:pt idx="4114">
                  <c:v>0.82748127270770055</c:v>
                </c:pt>
                <c:pt idx="4115">
                  <c:v>0.82756690749738482</c:v>
                </c:pt>
                <c:pt idx="4116">
                  <c:v>0.82757963088261022</c:v>
                </c:pt>
                <c:pt idx="4117">
                  <c:v>0.82772658879275696</c:v>
                </c:pt>
                <c:pt idx="4118">
                  <c:v>0.82777610669836577</c:v>
                </c:pt>
                <c:pt idx="4119">
                  <c:v>0.82780826191992674</c:v>
                </c:pt>
                <c:pt idx="4120">
                  <c:v>0.82794179183292727</c:v>
                </c:pt>
                <c:pt idx="4121">
                  <c:v>0.8279946857401228</c:v>
                </c:pt>
                <c:pt idx="4122">
                  <c:v>0.82848171525802172</c:v>
                </c:pt>
                <c:pt idx="4123">
                  <c:v>0.8290281900053742</c:v>
                </c:pt>
                <c:pt idx="4124">
                  <c:v>0.82924285580429569</c:v>
                </c:pt>
                <c:pt idx="4125">
                  <c:v>0.82943886885368556</c:v>
                </c:pt>
                <c:pt idx="4126">
                  <c:v>0.8294985313223151</c:v>
                </c:pt>
                <c:pt idx="4127">
                  <c:v>0.82956391203424573</c:v>
                </c:pt>
                <c:pt idx="4128">
                  <c:v>0.82978048352015321</c:v>
                </c:pt>
                <c:pt idx="4129">
                  <c:v>0.8303360923218861</c:v>
                </c:pt>
                <c:pt idx="4130">
                  <c:v>0.83035329668564373</c:v>
                </c:pt>
                <c:pt idx="4131">
                  <c:v>0.83047172883561871</c:v>
                </c:pt>
                <c:pt idx="4132">
                  <c:v>0.83059247255641822</c:v>
                </c:pt>
                <c:pt idx="4133">
                  <c:v>0.83080124898424401</c:v>
                </c:pt>
                <c:pt idx="4134">
                  <c:v>0.83088838248659158</c:v>
                </c:pt>
                <c:pt idx="4135">
                  <c:v>0.83121027958986815</c:v>
                </c:pt>
                <c:pt idx="4136">
                  <c:v>0.83129009185995528</c:v>
                </c:pt>
                <c:pt idx="4137">
                  <c:v>0.83140695721522206</c:v>
                </c:pt>
                <c:pt idx="4138">
                  <c:v>0.83149729651358939</c:v>
                </c:pt>
                <c:pt idx="4139">
                  <c:v>0.8315786557368483</c:v>
                </c:pt>
                <c:pt idx="4140">
                  <c:v>0.831654623652895</c:v>
                </c:pt>
                <c:pt idx="4141">
                  <c:v>0.83194607818586519</c:v>
                </c:pt>
                <c:pt idx="4142">
                  <c:v>0.832393945507647</c:v>
                </c:pt>
                <c:pt idx="4143">
                  <c:v>0.83247902237781091</c:v>
                </c:pt>
                <c:pt idx="4144">
                  <c:v>0.83259133739375102</c:v>
                </c:pt>
                <c:pt idx="4145">
                  <c:v>0.83264323955609143</c:v>
                </c:pt>
                <c:pt idx="4146">
                  <c:v>0.83280255303361628</c:v>
                </c:pt>
                <c:pt idx="4147">
                  <c:v>0.83291670212020108</c:v>
                </c:pt>
                <c:pt idx="4148">
                  <c:v>0.83356561381606298</c:v>
                </c:pt>
                <c:pt idx="4149">
                  <c:v>0.83410189056121453</c:v>
                </c:pt>
                <c:pt idx="4150">
                  <c:v>0.83516752677860495</c:v>
                </c:pt>
                <c:pt idx="4151">
                  <c:v>0.83535679986107425</c:v>
                </c:pt>
                <c:pt idx="4152">
                  <c:v>0.83538900804796867</c:v>
                </c:pt>
                <c:pt idx="4153">
                  <c:v>0.83568903816012607</c:v>
                </c:pt>
                <c:pt idx="4154">
                  <c:v>0.83577695041367406</c:v>
                </c:pt>
                <c:pt idx="4155">
                  <c:v>0.8358948034565401</c:v>
                </c:pt>
                <c:pt idx="4156">
                  <c:v>0.83593378235855198</c:v>
                </c:pt>
                <c:pt idx="4157">
                  <c:v>0.83605863508182665</c:v>
                </c:pt>
                <c:pt idx="4158">
                  <c:v>0.83616149690442398</c:v>
                </c:pt>
                <c:pt idx="4159">
                  <c:v>0.83619023958635808</c:v>
                </c:pt>
                <c:pt idx="4160">
                  <c:v>0.83645826751853747</c:v>
                </c:pt>
                <c:pt idx="4161">
                  <c:v>0.83670203026395029</c:v>
                </c:pt>
                <c:pt idx="4162">
                  <c:v>0.83681183140652138</c:v>
                </c:pt>
                <c:pt idx="4163">
                  <c:v>0.8369699159047741</c:v>
                </c:pt>
                <c:pt idx="4164">
                  <c:v>0.83751661712085479</c:v>
                </c:pt>
                <c:pt idx="4165">
                  <c:v>0.83756841460399301</c:v>
                </c:pt>
                <c:pt idx="4166">
                  <c:v>0.83771008544135839</c:v>
                </c:pt>
                <c:pt idx="4167">
                  <c:v>0.83806291178916581</c:v>
                </c:pt>
                <c:pt idx="4168">
                  <c:v>0.83820579910388915</c:v>
                </c:pt>
                <c:pt idx="4169">
                  <c:v>0.83853945005466812</c:v>
                </c:pt>
                <c:pt idx="4170">
                  <c:v>0.8387071060751623</c:v>
                </c:pt>
                <c:pt idx="4171">
                  <c:v>0.83883177297686373</c:v>
                </c:pt>
                <c:pt idx="4172">
                  <c:v>0.83909145598681789</c:v>
                </c:pt>
                <c:pt idx="4173">
                  <c:v>0.83913723873956769</c:v>
                </c:pt>
                <c:pt idx="4174">
                  <c:v>0.83932805337462923</c:v>
                </c:pt>
                <c:pt idx="4175">
                  <c:v>0.84036667978489277</c:v>
                </c:pt>
                <c:pt idx="4176">
                  <c:v>0.84042966000833985</c:v>
                </c:pt>
                <c:pt idx="4177">
                  <c:v>0.84045443789364072</c:v>
                </c:pt>
                <c:pt idx="4178">
                  <c:v>0.8408232176780075</c:v>
                </c:pt>
                <c:pt idx="4179">
                  <c:v>0.84101223196284991</c:v>
                </c:pt>
                <c:pt idx="4180">
                  <c:v>0.8412605366538628</c:v>
                </c:pt>
                <c:pt idx="4181">
                  <c:v>0.84130816804372444</c:v>
                </c:pt>
                <c:pt idx="4182">
                  <c:v>0.84154120806397259</c:v>
                </c:pt>
                <c:pt idx="4183">
                  <c:v>0.84184602736240777</c:v>
                </c:pt>
                <c:pt idx="4184">
                  <c:v>0.84243832431093324</c:v>
                </c:pt>
                <c:pt idx="4185">
                  <c:v>0.84246767210242979</c:v>
                </c:pt>
                <c:pt idx="4186">
                  <c:v>0.84253453450583038</c:v>
                </c:pt>
                <c:pt idx="4187">
                  <c:v>0.84254275113926269</c:v>
                </c:pt>
                <c:pt idx="4188">
                  <c:v>0.84272629845781921</c:v>
                </c:pt>
                <c:pt idx="4189">
                  <c:v>0.84289489120783401</c:v>
                </c:pt>
                <c:pt idx="4190">
                  <c:v>0.84311455673548608</c:v>
                </c:pt>
                <c:pt idx="4191">
                  <c:v>0.84326874787348061</c:v>
                </c:pt>
                <c:pt idx="4192">
                  <c:v>0.84335459873727814</c:v>
                </c:pt>
                <c:pt idx="4193">
                  <c:v>0.84336984366746037</c:v>
                </c:pt>
                <c:pt idx="4194">
                  <c:v>0.84360240882233484</c:v>
                </c:pt>
                <c:pt idx="4195">
                  <c:v>0.84361721246932575</c:v>
                </c:pt>
                <c:pt idx="4196">
                  <c:v>0.84444886689107079</c:v>
                </c:pt>
                <c:pt idx="4197">
                  <c:v>0.84452623004381167</c:v>
                </c:pt>
                <c:pt idx="4198">
                  <c:v>0.84454551428189006</c:v>
                </c:pt>
                <c:pt idx="4199">
                  <c:v>0.84460684304485767</c:v>
                </c:pt>
                <c:pt idx="4200">
                  <c:v>0.84494180622732529</c:v>
                </c:pt>
                <c:pt idx="4201">
                  <c:v>0.84528051895722456</c:v>
                </c:pt>
                <c:pt idx="4202">
                  <c:v>0.84556763327782392</c:v>
                </c:pt>
                <c:pt idx="4203">
                  <c:v>0.84567074999722536</c:v>
                </c:pt>
                <c:pt idx="4204">
                  <c:v>0.84598221747273783</c:v>
                </c:pt>
                <c:pt idx="4205">
                  <c:v>0.84603790404344181</c:v>
                </c:pt>
                <c:pt idx="4206">
                  <c:v>0.84638732048642851</c:v>
                </c:pt>
                <c:pt idx="4207">
                  <c:v>0.84724686191566434</c:v>
                </c:pt>
                <c:pt idx="4208">
                  <c:v>0.84725507671555533</c:v>
                </c:pt>
                <c:pt idx="4209">
                  <c:v>0.84737413446782739</c:v>
                </c:pt>
                <c:pt idx="4210">
                  <c:v>0.84741490670785424</c:v>
                </c:pt>
                <c:pt idx="4211">
                  <c:v>0.84744005429547542</c:v>
                </c:pt>
                <c:pt idx="4212">
                  <c:v>0.84757053323937726</c:v>
                </c:pt>
                <c:pt idx="4213">
                  <c:v>0.84768219169473014</c:v>
                </c:pt>
                <c:pt idx="4214">
                  <c:v>0.84790611543394334</c:v>
                </c:pt>
                <c:pt idx="4215">
                  <c:v>0.84817338058746827</c:v>
                </c:pt>
                <c:pt idx="4216">
                  <c:v>0.84840595332389057</c:v>
                </c:pt>
                <c:pt idx="4217">
                  <c:v>0.84855165228691476</c:v>
                </c:pt>
                <c:pt idx="4218">
                  <c:v>0.84858263298974634</c:v>
                </c:pt>
                <c:pt idx="4219">
                  <c:v>0.84861118892878551</c:v>
                </c:pt>
                <c:pt idx="4220">
                  <c:v>0.8487309645042842</c:v>
                </c:pt>
                <c:pt idx="4221">
                  <c:v>0.84884265935943404</c:v>
                </c:pt>
                <c:pt idx="4222">
                  <c:v>0.84888281657731568</c:v>
                </c:pt>
                <c:pt idx="4223">
                  <c:v>0.84892281750398979</c:v>
                </c:pt>
                <c:pt idx="4224">
                  <c:v>0.84914489076879818</c:v>
                </c:pt>
                <c:pt idx="4225">
                  <c:v>0.84963312773561483</c:v>
                </c:pt>
                <c:pt idx="4226">
                  <c:v>0.8496778687740516</c:v>
                </c:pt>
                <c:pt idx="4227">
                  <c:v>0.8498149866491076</c:v>
                </c:pt>
                <c:pt idx="4228">
                  <c:v>0.8499433243259773</c:v>
                </c:pt>
                <c:pt idx="4229">
                  <c:v>0.85035593413795141</c:v>
                </c:pt>
                <c:pt idx="4230">
                  <c:v>0.8504324844070652</c:v>
                </c:pt>
                <c:pt idx="4231">
                  <c:v>0.85044725059833581</c:v>
                </c:pt>
                <c:pt idx="4232">
                  <c:v>0.85050188982677355</c:v>
                </c:pt>
                <c:pt idx="4233">
                  <c:v>0.85076168462182977</c:v>
                </c:pt>
                <c:pt idx="4234">
                  <c:v>0.85132288051136129</c:v>
                </c:pt>
                <c:pt idx="4235">
                  <c:v>0.85137979396586161</c:v>
                </c:pt>
                <c:pt idx="4236">
                  <c:v>0.85195026377914473</c:v>
                </c:pt>
                <c:pt idx="4237">
                  <c:v>0.85198557835701649</c:v>
                </c:pt>
                <c:pt idx="4238">
                  <c:v>0.85206450388795929</c:v>
                </c:pt>
                <c:pt idx="4239">
                  <c:v>0.85244865417553228</c:v>
                </c:pt>
                <c:pt idx="4240">
                  <c:v>0.85252638020756422</c:v>
                </c:pt>
                <c:pt idx="4241">
                  <c:v>0.85268499981975765</c:v>
                </c:pt>
                <c:pt idx="4242">
                  <c:v>0.85274194134763093</c:v>
                </c:pt>
                <c:pt idx="4243">
                  <c:v>0.85293582927442912</c:v>
                </c:pt>
                <c:pt idx="4244">
                  <c:v>0.85309091949056892</c:v>
                </c:pt>
                <c:pt idx="4245">
                  <c:v>0.85393504105195461</c:v>
                </c:pt>
                <c:pt idx="4246">
                  <c:v>0.85400712046975968</c:v>
                </c:pt>
                <c:pt idx="4247">
                  <c:v>0.85402731882277294</c:v>
                </c:pt>
                <c:pt idx="4248">
                  <c:v>0.85443551759635739</c:v>
                </c:pt>
                <c:pt idx="4249">
                  <c:v>0.85452208716560563</c:v>
                </c:pt>
                <c:pt idx="4250">
                  <c:v>0.85456878819240956</c:v>
                </c:pt>
                <c:pt idx="4251">
                  <c:v>0.85478458176021377</c:v>
                </c:pt>
                <c:pt idx="4252">
                  <c:v>0.85509396687302797</c:v>
                </c:pt>
                <c:pt idx="4253">
                  <c:v>0.8553457206389794</c:v>
                </c:pt>
                <c:pt idx="4254">
                  <c:v>0.85549883446947206</c:v>
                </c:pt>
                <c:pt idx="4255">
                  <c:v>0.85554646585023875</c:v>
                </c:pt>
                <c:pt idx="4256">
                  <c:v>0.85569159127135208</c:v>
                </c:pt>
                <c:pt idx="4257">
                  <c:v>0.85581957237718598</c:v>
                </c:pt>
                <c:pt idx="4258">
                  <c:v>0.85609045155069907</c:v>
                </c:pt>
                <c:pt idx="4259">
                  <c:v>0.8570766070188256</c:v>
                </c:pt>
                <c:pt idx="4260">
                  <c:v>0.85747840415569954</c:v>
                </c:pt>
                <c:pt idx="4261">
                  <c:v>0.85749856090114918</c:v>
                </c:pt>
                <c:pt idx="4262">
                  <c:v>0.85759917017549014</c:v>
                </c:pt>
                <c:pt idx="4263">
                  <c:v>0.85879028708586702</c:v>
                </c:pt>
                <c:pt idx="4264">
                  <c:v>0.85896335194956919</c:v>
                </c:pt>
                <c:pt idx="4265">
                  <c:v>0.85902761086890678</c:v>
                </c:pt>
                <c:pt idx="4266">
                  <c:v>0.85948373909377551</c:v>
                </c:pt>
                <c:pt idx="4267">
                  <c:v>0.85953886917923228</c:v>
                </c:pt>
                <c:pt idx="4268">
                  <c:v>0.86001029524140904</c:v>
                </c:pt>
                <c:pt idx="4269">
                  <c:v>0.86003869965134072</c:v>
                </c:pt>
                <c:pt idx="4270">
                  <c:v>0.86103569592251006</c:v>
                </c:pt>
                <c:pt idx="4271">
                  <c:v>0.86122927623182477</c:v>
                </c:pt>
                <c:pt idx="4272">
                  <c:v>0.8613931194813631</c:v>
                </c:pt>
                <c:pt idx="4273">
                  <c:v>0.86145440060863621</c:v>
                </c:pt>
                <c:pt idx="4274">
                  <c:v>0.86147441789853474</c:v>
                </c:pt>
                <c:pt idx="4275">
                  <c:v>0.861753444637543</c:v>
                </c:pt>
                <c:pt idx="4276">
                  <c:v>0.86193694392295583</c:v>
                </c:pt>
                <c:pt idx="4277">
                  <c:v>0.86215952218844905</c:v>
                </c:pt>
                <c:pt idx="4278">
                  <c:v>0.86220312698151247</c:v>
                </c:pt>
                <c:pt idx="4279">
                  <c:v>0.86221720853882289</c:v>
                </c:pt>
                <c:pt idx="4280">
                  <c:v>0.86224541148658318</c:v>
                </c:pt>
                <c:pt idx="4281">
                  <c:v>0.86242733249218873</c:v>
                </c:pt>
                <c:pt idx="4282">
                  <c:v>0.86262609415098268</c:v>
                </c:pt>
                <c:pt idx="4283">
                  <c:v>0.86264410988951568</c:v>
                </c:pt>
                <c:pt idx="4284">
                  <c:v>0.8629828604262002</c:v>
                </c:pt>
                <c:pt idx="4285">
                  <c:v>0.86299425645211159</c:v>
                </c:pt>
                <c:pt idx="4286">
                  <c:v>0.86320505328740182</c:v>
                </c:pt>
                <c:pt idx="4287">
                  <c:v>0.86383472956185869</c:v>
                </c:pt>
                <c:pt idx="4288">
                  <c:v>0.86401565256437607</c:v>
                </c:pt>
                <c:pt idx="4289">
                  <c:v>0.8644871020123901</c:v>
                </c:pt>
                <c:pt idx="4290">
                  <c:v>0.86458899978970294</c:v>
                </c:pt>
                <c:pt idx="4291">
                  <c:v>0.86510385905421572</c:v>
                </c:pt>
                <c:pt idx="4292">
                  <c:v>0.86527969473718258</c:v>
                </c:pt>
                <c:pt idx="4293">
                  <c:v>0.8655370158057849</c:v>
                </c:pt>
                <c:pt idx="4294">
                  <c:v>0.86557971220099716</c:v>
                </c:pt>
                <c:pt idx="4295">
                  <c:v>0.86560720384386514</c:v>
                </c:pt>
                <c:pt idx="4296">
                  <c:v>0.86562714551655517</c:v>
                </c:pt>
                <c:pt idx="4297">
                  <c:v>0.86616684888213058</c:v>
                </c:pt>
                <c:pt idx="4298">
                  <c:v>0.86628320075396914</c:v>
                </c:pt>
                <c:pt idx="4299">
                  <c:v>0.8663645479527986</c:v>
                </c:pt>
                <c:pt idx="4300">
                  <c:v>0.86684181806958804</c:v>
                </c:pt>
                <c:pt idx="4301">
                  <c:v>0.86705140806225245</c:v>
                </c:pt>
                <c:pt idx="4302">
                  <c:v>0.86736198534345021</c:v>
                </c:pt>
                <c:pt idx="4303">
                  <c:v>0.86771087394848223</c:v>
                </c:pt>
                <c:pt idx="4304">
                  <c:v>0.86774857134514605</c:v>
                </c:pt>
                <c:pt idx="4305">
                  <c:v>0.86787947403990984</c:v>
                </c:pt>
                <c:pt idx="4306">
                  <c:v>0.86799909339879378</c:v>
                </c:pt>
                <c:pt idx="4307">
                  <c:v>0.86828706720552873</c:v>
                </c:pt>
                <c:pt idx="4308">
                  <c:v>0.86841054544765939</c:v>
                </c:pt>
                <c:pt idx="4309">
                  <c:v>0.86862309180014563</c:v>
                </c:pt>
                <c:pt idx="4310">
                  <c:v>0.86871542877815955</c:v>
                </c:pt>
                <c:pt idx="4311">
                  <c:v>0.86882871661873651</c:v>
                </c:pt>
                <c:pt idx="4312">
                  <c:v>0.86899982940758491</c:v>
                </c:pt>
                <c:pt idx="4313">
                  <c:v>0.86914842999613029</c:v>
                </c:pt>
                <c:pt idx="4314">
                  <c:v>0.86918222085478192</c:v>
                </c:pt>
                <c:pt idx="4315">
                  <c:v>0.86920238369839353</c:v>
                </c:pt>
                <c:pt idx="4316">
                  <c:v>0.86949912086765835</c:v>
                </c:pt>
                <c:pt idx="4317">
                  <c:v>0.86968823224833613</c:v>
                </c:pt>
                <c:pt idx="4318">
                  <c:v>0.86968829922443547</c:v>
                </c:pt>
                <c:pt idx="4319">
                  <c:v>0.86975681450621778</c:v>
                </c:pt>
                <c:pt idx="4320">
                  <c:v>0.86988997424850822</c:v>
                </c:pt>
                <c:pt idx="4321">
                  <c:v>0.86993141138100327</c:v>
                </c:pt>
                <c:pt idx="4322">
                  <c:v>0.87014776348132727</c:v>
                </c:pt>
                <c:pt idx="4323">
                  <c:v>0.8702953527936188</c:v>
                </c:pt>
                <c:pt idx="4324">
                  <c:v>0.87068603773515818</c:v>
                </c:pt>
                <c:pt idx="4325">
                  <c:v>0.8708158922227085</c:v>
                </c:pt>
                <c:pt idx="4326">
                  <c:v>0.87084538604540285</c:v>
                </c:pt>
                <c:pt idx="4327">
                  <c:v>0.87133102028747089</c:v>
                </c:pt>
                <c:pt idx="4328">
                  <c:v>0.87138368754222029</c:v>
                </c:pt>
                <c:pt idx="4329">
                  <c:v>0.8713963923864867</c:v>
                </c:pt>
                <c:pt idx="4330">
                  <c:v>0.87185787916314439</c:v>
                </c:pt>
                <c:pt idx="4331">
                  <c:v>0.87212294550408842</c:v>
                </c:pt>
                <c:pt idx="4332">
                  <c:v>0.8722478171766852</c:v>
                </c:pt>
                <c:pt idx="4333">
                  <c:v>0.87254415628285642</c:v>
                </c:pt>
                <c:pt idx="4334">
                  <c:v>0.87273588804782776</c:v>
                </c:pt>
                <c:pt idx="4335">
                  <c:v>0.87359847386505862</c:v>
                </c:pt>
                <c:pt idx="4336">
                  <c:v>0.87365313163445535</c:v>
                </c:pt>
                <c:pt idx="4337">
                  <c:v>0.87379490865441767</c:v>
                </c:pt>
                <c:pt idx="4338">
                  <c:v>0.87383759485328483</c:v>
                </c:pt>
                <c:pt idx="4339">
                  <c:v>0.87391334866879333</c:v>
                </c:pt>
                <c:pt idx="4340">
                  <c:v>0.87403875541531306</c:v>
                </c:pt>
                <c:pt idx="4341">
                  <c:v>0.87404078336658131</c:v>
                </c:pt>
                <c:pt idx="4342">
                  <c:v>0.87426945920924481</c:v>
                </c:pt>
                <c:pt idx="4343">
                  <c:v>0.87429195680125815</c:v>
                </c:pt>
                <c:pt idx="4344">
                  <c:v>0.87430885555113491</c:v>
                </c:pt>
                <c:pt idx="4345">
                  <c:v>0.87439433099552843</c:v>
                </c:pt>
                <c:pt idx="4346">
                  <c:v>0.87449391948211996</c:v>
                </c:pt>
                <c:pt idx="4347">
                  <c:v>0.87464849376010534</c:v>
                </c:pt>
                <c:pt idx="4348">
                  <c:v>0.87491900848181103</c:v>
                </c:pt>
                <c:pt idx="4349">
                  <c:v>0.87493035538500408</c:v>
                </c:pt>
                <c:pt idx="4350">
                  <c:v>0.87507194846784842</c:v>
                </c:pt>
                <c:pt idx="4351">
                  <c:v>0.87511495032231323</c:v>
                </c:pt>
                <c:pt idx="4352">
                  <c:v>0.87514225598079065</c:v>
                </c:pt>
                <c:pt idx="4353">
                  <c:v>0.87532405450838269</c:v>
                </c:pt>
                <c:pt idx="4354">
                  <c:v>0.87534602321193233</c:v>
                </c:pt>
                <c:pt idx="4355">
                  <c:v>0.87559943060114165</c:v>
                </c:pt>
                <c:pt idx="4356">
                  <c:v>0.87603242392833636</c:v>
                </c:pt>
                <c:pt idx="4357">
                  <c:v>0.8761694536815412</c:v>
                </c:pt>
                <c:pt idx="4358">
                  <c:v>0.87635192671768891</c:v>
                </c:pt>
                <c:pt idx="4359">
                  <c:v>0.87655045862811676</c:v>
                </c:pt>
                <c:pt idx="4360">
                  <c:v>0.87669249033299934</c:v>
                </c:pt>
                <c:pt idx="4361">
                  <c:v>0.87686941753599967</c:v>
                </c:pt>
                <c:pt idx="4362">
                  <c:v>0.87696711635726388</c:v>
                </c:pt>
                <c:pt idx="4363">
                  <c:v>0.87711426589521579</c:v>
                </c:pt>
                <c:pt idx="4364">
                  <c:v>0.87728133534164954</c:v>
                </c:pt>
                <c:pt idx="4365">
                  <c:v>0.87737179597934301</c:v>
                </c:pt>
                <c:pt idx="4366">
                  <c:v>0.87766503774400917</c:v>
                </c:pt>
                <c:pt idx="4367">
                  <c:v>0.87777357307186321</c:v>
                </c:pt>
                <c:pt idx="4368">
                  <c:v>0.87799117030954221</c:v>
                </c:pt>
                <c:pt idx="4369">
                  <c:v>0.87801225899966084</c:v>
                </c:pt>
                <c:pt idx="4370">
                  <c:v>0.87810881798395712</c:v>
                </c:pt>
                <c:pt idx="4371">
                  <c:v>0.87823534312155971</c:v>
                </c:pt>
                <c:pt idx="4372">
                  <c:v>0.87862489192684734</c:v>
                </c:pt>
                <c:pt idx="4373">
                  <c:v>0.87862586419214495</c:v>
                </c:pt>
                <c:pt idx="4374">
                  <c:v>0.87882370456009085</c:v>
                </c:pt>
                <c:pt idx="4375">
                  <c:v>0.87887052533551469</c:v>
                </c:pt>
                <c:pt idx="4376">
                  <c:v>0.87894699589287484</c:v>
                </c:pt>
                <c:pt idx="4377">
                  <c:v>0.87903867415661807</c:v>
                </c:pt>
                <c:pt idx="4378">
                  <c:v>0.87911056136817933</c:v>
                </c:pt>
                <c:pt idx="4379">
                  <c:v>0.87941500116994575</c:v>
                </c:pt>
                <c:pt idx="4380">
                  <c:v>0.87943421051932091</c:v>
                </c:pt>
                <c:pt idx="4381">
                  <c:v>0.87952776423207979</c:v>
                </c:pt>
                <c:pt idx="4382">
                  <c:v>0.87958819477717043</c:v>
                </c:pt>
                <c:pt idx="4383">
                  <c:v>0.87996374977412017</c:v>
                </c:pt>
                <c:pt idx="4384">
                  <c:v>0.88009709044217743</c:v>
                </c:pt>
                <c:pt idx="4385">
                  <c:v>0.88014546328759025</c:v>
                </c:pt>
                <c:pt idx="4386">
                  <c:v>0.88027724803305318</c:v>
                </c:pt>
                <c:pt idx="4387">
                  <c:v>0.88044974226068007</c:v>
                </c:pt>
                <c:pt idx="4388">
                  <c:v>0.8804983512727631</c:v>
                </c:pt>
                <c:pt idx="4389">
                  <c:v>0.88057409927661823</c:v>
                </c:pt>
                <c:pt idx="4390">
                  <c:v>0.88109696552055539</c:v>
                </c:pt>
                <c:pt idx="4391">
                  <c:v>0.88125344020136254</c:v>
                </c:pt>
                <c:pt idx="4392">
                  <c:v>0.88131562584658241</c:v>
                </c:pt>
                <c:pt idx="4393">
                  <c:v>0.88155597137574659</c:v>
                </c:pt>
                <c:pt idx="4394">
                  <c:v>0.88166614804595156</c:v>
                </c:pt>
                <c:pt idx="4395">
                  <c:v>0.88171887682619854</c:v>
                </c:pt>
                <c:pt idx="4396">
                  <c:v>0.88196793553015596</c:v>
                </c:pt>
                <c:pt idx="4397">
                  <c:v>0.88214262267774757</c:v>
                </c:pt>
                <c:pt idx="4398">
                  <c:v>0.88230368455606367</c:v>
                </c:pt>
                <c:pt idx="4399">
                  <c:v>0.88241133758856449</c:v>
                </c:pt>
                <c:pt idx="4400">
                  <c:v>0.8824230090567653</c:v>
                </c:pt>
                <c:pt idx="4401">
                  <c:v>0.88243257525209629</c:v>
                </c:pt>
                <c:pt idx="4402">
                  <c:v>0.88253755091318453</c:v>
                </c:pt>
                <c:pt idx="4403">
                  <c:v>0.88254751217664307</c:v>
                </c:pt>
                <c:pt idx="4404">
                  <c:v>0.8825883981617153</c:v>
                </c:pt>
                <c:pt idx="4405">
                  <c:v>0.88284592062245792</c:v>
                </c:pt>
                <c:pt idx="4406">
                  <c:v>0.88309237330759061</c:v>
                </c:pt>
                <c:pt idx="4407">
                  <c:v>0.8831391515705036</c:v>
                </c:pt>
                <c:pt idx="4408">
                  <c:v>0.88336330071342672</c:v>
                </c:pt>
                <c:pt idx="4409">
                  <c:v>0.88385713863317505</c:v>
                </c:pt>
                <c:pt idx="4410">
                  <c:v>0.88411102935242525</c:v>
                </c:pt>
                <c:pt idx="4411">
                  <c:v>0.88443287709287688</c:v>
                </c:pt>
                <c:pt idx="4412">
                  <c:v>0.88447707369959971</c:v>
                </c:pt>
                <c:pt idx="4413">
                  <c:v>0.8852059903447298</c:v>
                </c:pt>
                <c:pt idx="4414">
                  <c:v>0.88532511119592527</c:v>
                </c:pt>
                <c:pt idx="4415">
                  <c:v>0.88539267489159101</c:v>
                </c:pt>
                <c:pt idx="4416">
                  <c:v>0.88573015594192839</c:v>
                </c:pt>
                <c:pt idx="4417">
                  <c:v>0.88573566571176343</c:v>
                </c:pt>
                <c:pt idx="4418">
                  <c:v>0.88596301084089646</c:v>
                </c:pt>
                <c:pt idx="4419">
                  <c:v>0.88648018846379273</c:v>
                </c:pt>
                <c:pt idx="4420">
                  <c:v>0.88682155201513524</c:v>
                </c:pt>
                <c:pt idx="4421">
                  <c:v>0.88694602301802661</c:v>
                </c:pt>
                <c:pt idx="4422">
                  <c:v>0.88729813725694839</c:v>
                </c:pt>
                <c:pt idx="4423">
                  <c:v>0.88754481588875933</c:v>
                </c:pt>
                <c:pt idx="4424">
                  <c:v>0.88787909850816504</c:v>
                </c:pt>
                <c:pt idx="4425">
                  <c:v>0.88794280374895607</c:v>
                </c:pt>
                <c:pt idx="4426">
                  <c:v>0.88820308006961568</c:v>
                </c:pt>
                <c:pt idx="4427">
                  <c:v>0.88820720060175518</c:v>
                </c:pt>
                <c:pt idx="4428">
                  <c:v>0.88886395700137655</c:v>
                </c:pt>
                <c:pt idx="4429">
                  <c:v>0.88918621494485706</c:v>
                </c:pt>
                <c:pt idx="4430">
                  <c:v>0.88918799490238598</c:v>
                </c:pt>
                <c:pt idx="4431">
                  <c:v>0.88941571914710948</c:v>
                </c:pt>
                <c:pt idx="4432">
                  <c:v>0.88942594365926197</c:v>
                </c:pt>
                <c:pt idx="4433">
                  <c:v>0.88949224094903911</c:v>
                </c:pt>
                <c:pt idx="4434">
                  <c:v>0.88990395755536156</c:v>
                </c:pt>
                <c:pt idx="4435">
                  <c:v>0.88996240128471982</c:v>
                </c:pt>
                <c:pt idx="4436">
                  <c:v>0.89040519050558942</c:v>
                </c:pt>
                <c:pt idx="4437">
                  <c:v>0.89065895716066734</c:v>
                </c:pt>
                <c:pt idx="4438">
                  <c:v>0.89068511336245137</c:v>
                </c:pt>
                <c:pt idx="4439">
                  <c:v>0.89104124779714766</c:v>
                </c:pt>
                <c:pt idx="4440">
                  <c:v>0.89141240303797531</c:v>
                </c:pt>
                <c:pt idx="4441">
                  <c:v>0.89148737980940496</c:v>
                </c:pt>
                <c:pt idx="4442">
                  <c:v>0.89150352003525768</c:v>
                </c:pt>
                <c:pt idx="4443">
                  <c:v>0.89183070067429071</c:v>
                </c:pt>
                <c:pt idx="4444">
                  <c:v>0.89235364818159724</c:v>
                </c:pt>
                <c:pt idx="4445">
                  <c:v>0.89245551956082636</c:v>
                </c:pt>
                <c:pt idx="4446">
                  <c:v>0.89283235246875847</c:v>
                </c:pt>
                <c:pt idx="4447">
                  <c:v>0.89284096605751984</c:v>
                </c:pt>
                <c:pt idx="4448">
                  <c:v>0.89351808265928412</c:v>
                </c:pt>
                <c:pt idx="4449">
                  <c:v>0.89399940164366853</c:v>
                </c:pt>
                <c:pt idx="4450">
                  <c:v>0.89401351004198659</c:v>
                </c:pt>
                <c:pt idx="4451">
                  <c:v>0.89402226487345615</c:v>
                </c:pt>
                <c:pt idx="4452">
                  <c:v>0.89434696651642298</c:v>
                </c:pt>
                <c:pt idx="4453">
                  <c:v>0.89450792104616994</c:v>
                </c:pt>
                <c:pt idx="4454">
                  <c:v>0.89454849371486489</c:v>
                </c:pt>
                <c:pt idx="4455">
                  <c:v>0.89462512229783897</c:v>
                </c:pt>
                <c:pt idx="4456">
                  <c:v>0.89489103333198727</c:v>
                </c:pt>
                <c:pt idx="4457">
                  <c:v>0.89503217031051463</c:v>
                </c:pt>
                <c:pt idx="4458">
                  <c:v>0.89510013133440225</c:v>
                </c:pt>
                <c:pt idx="4459">
                  <c:v>0.89519227816617786</c:v>
                </c:pt>
                <c:pt idx="4460">
                  <c:v>0.89520689581149782</c:v>
                </c:pt>
                <c:pt idx="4461">
                  <c:v>0.89523873741836724</c:v>
                </c:pt>
                <c:pt idx="4462">
                  <c:v>0.8954940043431634</c:v>
                </c:pt>
                <c:pt idx="4463">
                  <c:v>0.89566556731369928</c:v>
                </c:pt>
                <c:pt idx="4464">
                  <c:v>0.89572848163879826</c:v>
                </c:pt>
                <c:pt idx="4465">
                  <c:v>0.89573596521222498</c:v>
                </c:pt>
                <c:pt idx="4466">
                  <c:v>0.89583188251799584</c:v>
                </c:pt>
                <c:pt idx="4467">
                  <c:v>0.89596737214742461</c:v>
                </c:pt>
                <c:pt idx="4468">
                  <c:v>0.89625157878435857</c:v>
                </c:pt>
                <c:pt idx="4469">
                  <c:v>0.89676590662838862</c:v>
                </c:pt>
                <c:pt idx="4470">
                  <c:v>0.89708048848842736</c:v>
                </c:pt>
                <c:pt idx="4471">
                  <c:v>0.89742325021870784</c:v>
                </c:pt>
                <c:pt idx="4472">
                  <c:v>0.89763141387538781</c:v>
                </c:pt>
                <c:pt idx="4473">
                  <c:v>0.89764756470958673</c:v>
                </c:pt>
                <c:pt idx="4474">
                  <c:v>0.89818450207803835</c:v>
                </c:pt>
                <c:pt idx="4475">
                  <c:v>0.89833207355877676</c:v>
                </c:pt>
                <c:pt idx="4476">
                  <c:v>0.89855893223921157</c:v>
                </c:pt>
                <c:pt idx="4477">
                  <c:v>0.89862592983081413</c:v>
                </c:pt>
                <c:pt idx="4478">
                  <c:v>0.89933193462820782</c:v>
                </c:pt>
                <c:pt idx="4479">
                  <c:v>0.89935192620851012</c:v>
                </c:pt>
                <c:pt idx="4480">
                  <c:v>0.89967735917161917</c:v>
                </c:pt>
                <c:pt idx="4481">
                  <c:v>0.89999997260474629</c:v>
                </c:pt>
                <c:pt idx="4482">
                  <c:v>0.90016893449683266</c:v>
                </c:pt>
                <c:pt idx="4483">
                  <c:v>0.90021996874656907</c:v>
                </c:pt>
                <c:pt idx="4484">
                  <c:v>0.90027509831998032</c:v>
                </c:pt>
                <c:pt idx="4485">
                  <c:v>0.90105540602507972</c:v>
                </c:pt>
                <c:pt idx="4486">
                  <c:v>0.90113592947727739</c:v>
                </c:pt>
                <c:pt idx="4487">
                  <c:v>0.90130951777337032</c:v>
                </c:pt>
                <c:pt idx="4488">
                  <c:v>0.90150177351824823</c:v>
                </c:pt>
                <c:pt idx="4489">
                  <c:v>0.90155395252622839</c:v>
                </c:pt>
                <c:pt idx="4490">
                  <c:v>0.90224984613632842</c:v>
                </c:pt>
                <c:pt idx="4491">
                  <c:v>0.90238740103359305</c:v>
                </c:pt>
                <c:pt idx="4492">
                  <c:v>0.90248945749681297</c:v>
                </c:pt>
                <c:pt idx="4493">
                  <c:v>0.90252239667825052</c:v>
                </c:pt>
                <c:pt idx="4494">
                  <c:v>0.90292142655653151</c:v>
                </c:pt>
                <c:pt idx="4495">
                  <c:v>0.90318218780703319</c:v>
                </c:pt>
                <c:pt idx="4496">
                  <c:v>0.90353725151453546</c:v>
                </c:pt>
                <c:pt idx="4497">
                  <c:v>0.90360405226238072</c:v>
                </c:pt>
                <c:pt idx="4498">
                  <c:v>0.90363537016128248</c:v>
                </c:pt>
                <c:pt idx="4499">
                  <c:v>0.90374200857331743</c:v>
                </c:pt>
                <c:pt idx="4500">
                  <c:v>0.90414205515298818</c:v>
                </c:pt>
                <c:pt idx="4501">
                  <c:v>0.90443681092801853</c:v>
                </c:pt>
                <c:pt idx="4502">
                  <c:v>0.90479186506763654</c:v>
                </c:pt>
                <c:pt idx="4503">
                  <c:v>0.90479597934972844</c:v>
                </c:pt>
                <c:pt idx="4504">
                  <c:v>0.90482524215349258</c:v>
                </c:pt>
                <c:pt idx="4505">
                  <c:v>0.90486519771820895</c:v>
                </c:pt>
                <c:pt idx="4506">
                  <c:v>0.904865826070818</c:v>
                </c:pt>
                <c:pt idx="4507">
                  <c:v>0.90521601640557492</c:v>
                </c:pt>
                <c:pt idx="4508">
                  <c:v>0.90546598338096373</c:v>
                </c:pt>
                <c:pt idx="4509">
                  <c:v>0.90585237600862456</c:v>
                </c:pt>
                <c:pt idx="4510">
                  <c:v>0.90613333286000852</c:v>
                </c:pt>
                <c:pt idx="4511">
                  <c:v>0.9061474699728933</c:v>
                </c:pt>
                <c:pt idx="4512">
                  <c:v>0.90622363075999601</c:v>
                </c:pt>
                <c:pt idx="4513">
                  <c:v>0.9062540479017116</c:v>
                </c:pt>
                <c:pt idx="4514">
                  <c:v>0.90626606890236872</c:v>
                </c:pt>
                <c:pt idx="4515">
                  <c:v>0.90641666150440869</c:v>
                </c:pt>
                <c:pt idx="4516">
                  <c:v>0.90658020792034222</c:v>
                </c:pt>
                <c:pt idx="4517">
                  <c:v>0.9068860897596096</c:v>
                </c:pt>
                <c:pt idx="4518">
                  <c:v>0.90747985808775411</c:v>
                </c:pt>
                <c:pt idx="4519">
                  <c:v>0.90762163469207735</c:v>
                </c:pt>
                <c:pt idx="4520">
                  <c:v>0.90767952686746867</c:v>
                </c:pt>
                <c:pt idx="4521">
                  <c:v>0.90786609158476494</c:v>
                </c:pt>
                <c:pt idx="4522">
                  <c:v>0.90848906923838513</c:v>
                </c:pt>
                <c:pt idx="4523">
                  <c:v>0.90863461580920557</c:v>
                </c:pt>
                <c:pt idx="4524">
                  <c:v>0.90891859238581674</c:v>
                </c:pt>
                <c:pt idx="4525">
                  <c:v>0.9090011881544342</c:v>
                </c:pt>
                <c:pt idx="4526">
                  <c:v>0.90912773731179186</c:v>
                </c:pt>
                <c:pt idx="4527">
                  <c:v>0.90921413874275459</c:v>
                </c:pt>
                <c:pt idx="4528">
                  <c:v>0.90924961699874984</c:v>
                </c:pt>
                <c:pt idx="4529">
                  <c:v>0.90944080290773854</c:v>
                </c:pt>
                <c:pt idx="4530">
                  <c:v>0.90946217581767996</c:v>
                </c:pt>
                <c:pt idx="4531">
                  <c:v>0.90953220799929113</c:v>
                </c:pt>
                <c:pt idx="4532">
                  <c:v>0.9098326800221912</c:v>
                </c:pt>
                <c:pt idx="4533">
                  <c:v>0.91034748071342619</c:v>
                </c:pt>
                <c:pt idx="4534">
                  <c:v>0.91047988374248234</c:v>
                </c:pt>
                <c:pt idx="4535">
                  <c:v>0.91055817392316385</c:v>
                </c:pt>
                <c:pt idx="4536">
                  <c:v>0.91088191115977679</c:v>
                </c:pt>
                <c:pt idx="4537">
                  <c:v>0.91098921374577913</c:v>
                </c:pt>
                <c:pt idx="4538">
                  <c:v>0.91118276783527108</c:v>
                </c:pt>
                <c:pt idx="4539">
                  <c:v>0.91124609436155879</c:v>
                </c:pt>
                <c:pt idx="4540">
                  <c:v>0.91137371008517221</c:v>
                </c:pt>
                <c:pt idx="4541">
                  <c:v>0.91145514694198937</c:v>
                </c:pt>
                <c:pt idx="4542">
                  <c:v>0.91146562686299148</c:v>
                </c:pt>
                <c:pt idx="4543">
                  <c:v>0.91150198863579135</c:v>
                </c:pt>
                <c:pt idx="4544">
                  <c:v>0.91164632181971683</c:v>
                </c:pt>
                <c:pt idx="4545">
                  <c:v>0.91169574584910151</c:v>
                </c:pt>
                <c:pt idx="4546">
                  <c:v>0.91235208742000395</c:v>
                </c:pt>
                <c:pt idx="4547">
                  <c:v>0.91242268682981376</c:v>
                </c:pt>
                <c:pt idx="4548">
                  <c:v>0.91287334338812798</c:v>
                </c:pt>
                <c:pt idx="4549">
                  <c:v>0.91294890455992572</c:v>
                </c:pt>
                <c:pt idx="4550">
                  <c:v>0.9129741733068073</c:v>
                </c:pt>
                <c:pt idx="4551">
                  <c:v>0.91304027003116062</c:v>
                </c:pt>
                <c:pt idx="4552">
                  <c:v>0.91314125393728318</c:v>
                </c:pt>
                <c:pt idx="4553">
                  <c:v>0.91315528263749002</c:v>
                </c:pt>
                <c:pt idx="4554">
                  <c:v>0.91319929381461407</c:v>
                </c:pt>
                <c:pt idx="4555">
                  <c:v>0.9134083706921956</c:v>
                </c:pt>
                <c:pt idx="4556">
                  <c:v>0.9134604909859263</c:v>
                </c:pt>
                <c:pt idx="4557">
                  <c:v>0.91348769820797315</c:v>
                </c:pt>
                <c:pt idx="4558">
                  <c:v>0.91393451532803738</c:v>
                </c:pt>
                <c:pt idx="4559">
                  <c:v>0.91422184523071337</c:v>
                </c:pt>
                <c:pt idx="4560">
                  <c:v>0.91428970989818481</c:v>
                </c:pt>
                <c:pt idx="4561">
                  <c:v>0.91477725568165624</c:v>
                </c:pt>
                <c:pt idx="4562">
                  <c:v>0.91478275971076073</c:v>
                </c:pt>
                <c:pt idx="4563">
                  <c:v>0.91485166265647422</c:v>
                </c:pt>
                <c:pt idx="4564">
                  <c:v>0.91517486963766714</c:v>
                </c:pt>
                <c:pt idx="4565">
                  <c:v>0.91549046968339098</c:v>
                </c:pt>
                <c:pt idx="4566">
                  <c:v>0.91566038140354067</c:v>
                </c:pt>
                <c:pt idx="4567">
                  <c:v>0.91577884069010906</c:v>
                </c:pt>
                <c:pt idx="4568">
                  <c:v>0.91587587168123719</c:v>
                </c:pt>
                <c:pt idx="4569">
                  <c:v>0.91607516271778877</c:v>
                </c:pt>
                <c:pt idx="4570">
                  <c:v>0.91617319623128424</c:v>
                </c:pt>
                <c:pt idx="4571">
                  <c:v>0.91620726324163115</c:v>
                </c:pt>
                <c:pt idx="4572">
                  <c:v>0.91636371971617336</c:v>
                </c:pt>
                <c:pt idx="4573">
                  <c:v>0.91650596089039027</c:v>
                </c:pt>
                <c:pt idx="4574">
                  <c:v>0.91663805972075352</c:v>
                </c:pt>
                <c:pt idx="4575">
                  <c:v>0.9167138068451095</c:v>
                </c:pt>
                <c:pt idx="4576">
                  <c:v>0.91689152754224779</c:v>
                </c:pt>
                <c:pt idx="4577">
                  <c:v>0.91694710704450699</c:v>
                </c:pt>
                <c:pt idx="4578">
                  <c:v>0.91739043374491303</c:v>
                </c:pt>
                <c:pt idx="4579">
                  <c:v>0.91750920568756555</c:v>
                </c:pt>
                <c:pt idx="4580">
                  <c:v>0.91755487223326782</c:v>
                </c:pt>
                <c:pt idx="4581">
                  <c:v>0.91791208279028069</c:v>
                </c:pt>
                <c:pt idx="4582">
                  <c:v>0.91793824853539263</c:v>
                </c:pt>
                <c:pt idx="4583">
                  <c:v>0.91811398433037539</c:v>
                </c:pt>
                <c:pt idx="4584">
                  <c:v>0.91818803977730568</c:v>
                </c:pt>
                <c:pt idx="4585">
                  <c:v>0.91831666541202139</c:v>
                </c:pt>
                <c:pt idx="4586">
                  <c:v>0.91838518189433671</c:v>
                </c:pt>
                <c:pt idx="4587">
                  <c:v>0.91850926233382779</c:v>
                </c:pt>
                <c:pt idx="4588">
                  <c:v>0.91872037366738368</c:v>
                </c:pt>
                <c:pt idx="4589">
                  <c:v>0.91893678131694401</c:v>
                </c:pt>
                <c:pt idx="4590">
                  <c:v>0.91911262935809646</c:v>
                </c:pt>
                <c:pt idx="4591">
                  <c:v>0.91940570100089758</c:v>
                </c:pt>
                <c:pt idx="4592">
                  <c:v>0.9195796652129502</c:v>
                </c:pt>
                <c:pt idx="4593">
                  <c:v>0.92006910989312019</c:v>
                </c:pt>
                <c:pt idx="4594">
                  <c:v>0.92021526086136873</c:v>
                </c:pt>
                <c:pt idx="4595">
                  <c:v>0.92032179305078898</c:v>
                </c:pt>
                <c:pt idx="4596">
                  <c:v>0.92062994522621011</c:v>
                </c:pt>
                <c:pt idx="4597">
                  <c:v>0.92090573222321837</c:v>
                </c:pt>
                <c:pt idx="4598">
                  <c:v>0.92124886433521169</c:v>
                </c:pt>
                <c:pt idx="4599">
                  <c:v>0.92132885458431701</c:v>
                </c:pt>
                <c:pt idx="4600">
                  <c:v>0.92140371560890344</c:v>
                </c:pt>
                <c:pt idx="4601">
                  <c:v>0.9215244987854021</c:v>
                </c:pt>
                <c:pt idx="4602">
                  <c:v>0.92153950737611012</c:v>
                </c:pt>
                <c:pt idx="4603">
                  <c:v>0.92165896471942688</c:v>
                </c:pt>
                <c:pt idx="4604">
                  <c:v>0.92168031459368649</c:v>
                </c:pt>
                <c:pt idx="4605">
                  <c:v>0.92169742793157639</c:v>
                </c:pt>
                <c:pt idx="4606">
                  <c:v>0.92174221939785639</c:v>
                </c:pt>
                <c:pt idx="4607">
                  <c:v>0.92180288451254455</c:v>
                </c:pt>
                <c:pt idx="4608">
                  <c:v>0.92191735792860641</c:v>
                </c:pt>
                <c:pt idx="4609">
                  <c:v>0.92229978020895942</c:v>
                </c:pt>
                <c:pt idx="4610">
                  <c:v>0.92234016838028765</c:v>
                </c:pt>
                <c:pt idx="4611">
                  <c:v>0.92244090142958157</c:v>
                </c:pt>
                <c:pt idx="4612">
                  <c:v>0.92245341369198286</c:v>
                </c:pt>
                <c:pt idx="4613">
                  <c:v>0.92264048491779249</c:v>
                </c:pt>
                <c:pt idx="4614">
                  <c:v>0.92270697905678389</c:v>
                </c:pt>
                <c:pt idx="4615">
                  <c:v>0.92276118970858079</c:v>
                </c:pt>
                <c:pt idx="4616">
                  <c:v>0.92289148110285169</c:v>
                </c:pt>
                <c:pt idx="4617">
                  <c:v>0.92345080437098659</c:v>
                </c:pt>
                <c:pt idx="4618">
                  <c:v>0.92346504686884145</c:v>
                </c:pt>
                <c:pt idx="4619">
                  <c:v>0.92355583858989121</c:v>
                </c:pt>
                <c:pt idx="4620">
                  <c:v>0.92367581411235733</c:v>
                </c:pt>
                <c:pt idx="4621">
                  <c:v>0.92379457761398953</c:v>
                </c:pt>
                <c:pt idx="4622">
                  <c:v>0.92390188462559308</c:v>
                </c:pt>
                <c:pt idx="4623">
                  <c:v>0.92391204473460675</c:v>
                </c:pt>
                <c:pt idx="4624">
                  <c:v>0.92399954913616966</c:v>
                </c:pt>
                <c:pt idx="4625">
                  <c:v>0.92445271593260259</c:v>
                </c:pt>
                <c:pt idx="4626">
                  <c:v>0.92448104871709802</c:v>
                </c:pt>
                <c:pt idx="4627">
                  <c:v>0.92448649331163324</c:v>
                </c:pt>
                <c:pt idx="4628">
                  <c:v>0.92474623436464753</c:v>
                </c:pt>
                <c:pt idx="4629">
                  <c:v>0.92486207955516875</c:v>
                </c:pt>
                <c:pt idx="4630">
                  <c:v>0.92498997027632868</c:v>
                </c:pt>
                <c:pt idx="4631">
                  <c:v>0.92521699122335122</c:v>
                </c:pt>
                <c:pt idx="4632">
                  <c:v>0.92541010190416273</c:v>
                </c:pt>
                <c:pt idx="4633">
                  <c:v>0.92546130040227581</c:v>
                </c:pt>
                <c:pt idx="4634">
                  <c:v>0.92650761520053493</c:v>
                </c:pt>
                <c:pt idx="4635">
                  <c:v>0.92679467334983201</c:v>
                </c:pt>
                <c:pt idx="4636">
                  <c:v>0.92778578919478605</c:v>
                </c:pt>
                <c:pt idx="4637">
                  <c:v>0.92785463285690639</c:v>
                </c:pt>
                <c:pt idx="4638">
                  <c:v>0.92785915334388847</c:v>
                </c:pt>
                <c:pt idx="4639">
                  <c:v>0.92793725433057261</c:v>
                </c:pt>
                <c:pt idx="4640">
                  <c:v>0.92813822283551417</c:v>
                </c:pt>
                <c:pt idx="4641">
                  <c:v>0.92843104106577812</c:v>
                </c:pt>
                <c:pt idx="4642">
                  <c:v>0.92849317932495978</c:v>
                </c:pt>
                <c:pt idx="4643">
                  <c:v>0.9285573299139287</c:v>
                </c:pt>
                <c:pt idx="4644">
                  <c:v>0.92871554877547169</c:v>
                </c:pt>
                <c:pt idx="4645">
                  <c:v>0.9289162056047644</c:v>
                </c:pt>
                <c:pt idx="4646">
                  <c:v>0.9296635381933811</c:v>
                </c:pt>
                <c:pt idx="4647">
                  <c:v>0.9296821285288388</c:v>
                </c:pt>
                <c:pt idx="4648">
                  <c:v>0.9298975316232827</c:v>
                </c:pt>
                <c:pt idx="4649">
                  <c:v>0.93008448274940747</c:v>
                </c:pt>
                <c:pt idx="4650">
                  <c:v>0.93010849019812558</c:v>
                </c:pt>
                <c:pt idx="4651">
                  <c:v>0.93012893600825919</c:v>
                </c:pt>
                <c:pt idx="4652">
                  <c:v>0.93025321847835585</c:v>
                </c:pt>
                <c:pt idx="4653">
                  <c:v>0.93048064575577882</c:v>
                </c:pt>
                <c:pt idx="4654">
                  <c:v>0.93054824751015985</c:v>
                </c:pt>
                <c:pt idx="4655">
                  <c:v>0.93059701688889618</c:v>
                </c:pt>
                <c:pt idx="4656">
                  <c:v>0.93109565152462892</c:v>
                </c:pt>
                <c:pt idx="4657">
                  <c:v>0.93128904724017048</c:v>
                </c:pt>
                <c:pt idx="4658">
                  <c:v>0.9313499391764708</c:v>
                </c:pt>
                <c:pt idx="4659">
                  <c:v>0.93145537773943943</c:v>
                </c:pt>
                <c:pt idx="4660">
                  <c:v>0.93156448078025278</c:v>
                </c:pt>
                <c:pt idx="4661">
                  <c:v>0.93167931154584949</c:v>
                </c:pt>
                <c:pt idx="4662">
                  <c:v>0.93183663769741543</c:v>
                </c:pt>
                <c:pt idx="4663">
                  <c:v>0.93196484011969005</c:v>
                </c:pt>
                <c:pt idx="4664">
                  <c:v>0.93213885479417513</c:v>
                </c:pt>
                <c:pt idx="4665">
                  <c:v>0.93262082486853615</c:v>
                </c:pt>
                <c:pt idx="4666">
                  <c:v>0.93262770155251928</c:v>
                </c:pt>
                <c:pt idx="4667">
                  <c:v>0.93277750892866607</c:v>
                </c:pt>
                <c:pt idx="4668">
                  <c:v>0.93287618266913341</c:v>
                </c:pt>
                <c:pt idx="4669">
                  <c:v>0.93339185104377975</c:v>
                </c:pt>
                <c:pt idx="4670">
                  <c:v>0.93340673877992231</c:v>
                </c:pt>
                <c:pt idx="4671">
                  <c:v>0.93347210930551228</c:v>
                </c:pt>
                <c:pt idx="4672">
                  <c:v>0.9336961004355544</c:v>
                </c:pt>
                <c:pt idx="4673">
                  <c:v>0.93387955939488165</c:v>
                </c:pt>
                <c:pt idx="4674">
                  <c:v>0.93398482874727051</c:v>
                </c:pt>
                <c:pt idx="4675">
                  <c:v>0.93484028047168977</c:v>
                </c:pt>
                <c:pt idx="4676">
                  <c:v>0.93563045114660781</c:v>
                </c:pt>
                <c:pt idx="4677">
                  <c:v>0.93592703826197976</c:v>
                </c:pt>
                <c:pt idx="4678">
                  <c:v>0.93604358689026412</c:v>
                </c:pt>
                <c:pt idx="4679">
                  <c:v>0.93635227428148937</c:v>
                </c:pt>
                <c:pt idx="4680">
                  <c:v>0.9364472221059259</c:v>
                </c:pt>
                <c:pt idx="4681">
                  <c:v>0.93670118120553525</c:v>
                </c:pt>
                <c:pt idx="4682">
                  <c:v>0.93712119015799544</c:v>
                </c:pt>
                <c:pt idx="4683">
                  <c:v>0.93712527595835127</c:v>
                </c:pt>
                <c:pt idx="4684">
                  <c:v>0.9372484711739304</c:v>
                </c:pt>
                <c:pt idx="4685">
                  <c:v>0.93810119008503534</c:v>
                </c:pt>
                <c:pt idx="4686">
                  <c:v>0.93822240861663886</c:v>
                </c:pt>
                <c:pt idx="4687">
                  <c:v>0.93845931425039453</c:v>
                </c:pt>
                <c:pt idx="4688">
                  <c:v>0.93857140293584962</c:v>
                </c:pt>
                <c:pt idx="4689">
                  <c:v>0.93858909532718826</c:v>
                </c:pt>
                <c:pt idx="4690">
                  <c:v>0.93869184208324441</c:v>
                </c:pt>
                <c:pt idx="4691">
                  <c:v>0.9386971655421803</c:v>
                </c:pt>
                <c:pt idx="4692">
                  <c:v>0.93902733343202271</c:v>
                </c:pt>
                <c:pt idx="4693">
                  <c:v>0.93922080893753446</c:v>
                </c:pt>
                <c:pt idx="4694">
                  <c:v>0.93928469957791094</c:v>
                </c:pt>
                <c:pt idx="4695">
                  <c:v>0.93928907415283902</c:v>
                </c:pt>
                <c:pt idx="4696">
                  <c:v>0.93934744933903858</c:v>
                </c:pt>
                <c:pt idx="4697">
                  <c:v>0.94014367910494911</c:v>
                </c:pt>
                <c:pt idx="4698">
                  <c:v>0.94040468118237186</c:v>
                </c:pt>
                <c:pt idx="4699">
                  <c:v>0.94086414527285456</c:v>
                </c:pt>
                <c:pt idx="4700">
                  <c:v>0.94086769427758554</c:v>
                </c:pt>
                <c:pt idx="4701">
                  <c:v>0.9414461300793846</c:v>
                </c:pt>
                <c:pt idx="4702">
                  <c:v>0.94157917622305831</c:v>
                </c:pt>
                <c:pt idx="4703">
                  <c:v>0.94171630171240395</c:v>
                </c:pt>
                <c:pt idx="4704">
                  <c:v>0.94173529239560594</c:v>
                </c:pt>
                <c:pt idx="4705">
                  <c:v>0.94174165076037752</c:v>
                </c:pt>
                <c:pt idx="4706">
                  <c:v>0.94213654724990192</c:v>
                </c:pt>
                <c:pt idx="4707">
                  <c:v>0.94234666400916467</c:v>
                </c:pt>
                <c:pt idx="4708">
                  <c:v>0.94256741950084688</c:v>
                </c:pt>
                <c:pt idx="4709">
                  <c:v>0.94257724396084086</c:v>
                </c:pt>
                <c:pt idx="4710">
                  <c:v>0.94269419150532485</c:v>
                </c:pt>
                <c:pt idx="4711">
                  <c:v>0.94277473393412947</c:v>
                </c:pt>
                <c:pt idx="4712">
                  <c:v>0.94302221753150661</c:v>
                </c:pt>
                <c:pt idx="4713">
                  <c:v>0.94313792360753723</c:v>
                </c:pt>
                <c:pt idx="4714">
                  <c:v>0.94332003969793732</c:v>
                </c:pt>
                <c:pt idx="4715">
                  <c:v>0.94363444536520547</c:v>
                </c:pt>
                <c:pt idx="4716">
                  <c:v>0.9441647505873334</c:v>
                </c:pt>
                <c:pt idx="4717">
                  <c:v>0.94417518112186372</c:v>
                </c:pt>
                <c:pt idx="4718">
                  <c:v>0.94477838924285606</c:v>
                </c:pt>
                <c:pt idx="4719">
                  <c:v>0.9450111247415407</c:v>
                </c:pt>
                <c:pt idx="4720">
                  <c:v>0.94502472954354744</c:v>
                </c:pt>
                <c:pt idx="4721">
                  <c:v>0.94515879090158705</c:v>
                </c:pt>
                <c:pt idx="4722">
                  <c:v>0.94540443040023092</c:v>
                </c:pt>
                <c:pt idx="4723">
                  <c:v>0.94541763962752157</c:v>
                </c:pt>
                <c:pt idx="4724">
                  <c:v>0.94578847077991668</c:v>
                </c:pt>
                <c:pt idx="4725">
                  <c:v>0.94580312153721025</c:v>
                </c:pt>
                <c:pt idx="4726">
                  <c:v>0.94644313053868245</c:v>
                </c:pt>
                <c:pt idx="4727">
                  <c:v>0.94671164683313691</c:v>
                </c:pt>
                <c:pt idx="4728">
                  <c:v>0.94686615125374374</c:v>
                </c:pt>
                <c:pt idx="4729">
                  <c:v>0.9470329651294378</c:v>
                </c:pt>
                <c:pt idx="4730">
                  <c:v>0.9477987856234904</c:v>
                </c:pt>
                <c:pt idx="4731">
                  <c:v>0.94791112286111456</c:v>
                </c:pt>
                <c:pt idx="4732">
                  <c:v>0.94850561833027314</c:v>
                </c:pt>
                <c:pt idx="4733">
                  <c:v>0.94890940478762786</c:v>
                </c:pt>
                <c:pt idx="4734">
                  <c:v>0.94951775673507655</c:v>
                </c:pt>
                <c:pt idx="4735">
                  <c:v>0.9497367886306165</c:v>
                </c:pt>
                <c:pt idx="4736">
                  <c:v>0.95011442648683442</c:v>
                </c:pt>
                <c:pt idx="4737">
                  <c:v>0.95022031341250113</c:v>
                </c:pt>
                <c:pt idx="4738">
                  <c:v>0.95047535477897327</c:v>
                </c:pt>
                <c:pt idx="4739">
                  <c:v>0.95058711308502097</c:v>
                </c:pt>
                <c:pt idx="4740">
                  <c:v>0.95061762069417455</c:v>
                </c:pt>
                <c:pt idx="4741">
                  <c:v>0.95085922631736253</c:v>
                </c:pt>
                <c:pt idx="4742">
                  <c:v>0.95088524937546026</c:v>
                </c:pt>
                <c:pt idx="4743">
                  <c:v>0.95100714500404138</c:v>
                </c:pt>
                <c:pt idx="4744">
                  <c:v>0.95117100837072144</c:v>
                </c:pt>
                <c:pt idx="4745">
                  <c:v>0.95131329737614578</c:v>
                </c:pt>
                <c:pt idx="4746">
                  <c:v>0.95141011184568924</c:v>
                </c:pt>
                <c:pt idx="4747">
                  <c:v>0.95206475836585014</c:v>
                </c:pt>
                <c:pt idx="4748">
                  <c:v>0.95221114253490668</c:v>
                </c:pt>
                <c:pt idx="4749">
                  <c:v>0.9522953270443395</c:v>
                </c:pt>
                <c:pt idx="4750">
                  <c:v>0.95246021618277155</c:v>
                </c:pt>
                <c:pt idx="4751">
                  <c:v>0.95246794741979102</c:v>
                </c:pt>
                <c:pt idx="4752">
                  <c:v>0.95304294382822263</c:v>
                </c:pt>
                <c:pt idx="4753">
                  <c:v>0.9531654390048061</c:v>
                </c:pt>
                <c:pt idx="4754">
                  <c:v>0.95318408704588364</c:v>
                </c:pt>
                <c:pt idx="4755">
                  <c:v>0.95319390268468851</c:v>
                </c:pt>
                <c:pt idx="4756">
                  <c:v>0.95358607561229292</c:v>
                </c:pt>
                <c:pt idx="4757">
                  <c:v>0.95358668345033948</c:v>
                </c:pt>
                <c:pt idx="4758">
                  <c:v>0.9537883624807364</c:v>
                </c:pt>
                <c:pt idx="4759">
                  <c:v>0.95379067235353432</c:v>
                </c:pt>
                <c:pt idx="4760">
                  <c:v>0.95394730077441636</c:v>
                </c:pt>
                <c:pt idx="4761">
                  <c:v>0.9543049046797023</c:v>
                </c:pt>
                <c:pt idx="4762">
                  <c:v>0.95431412589186948</c:v>
                </c:pt>
                <c:pt idx="4763">
                  <c:v>0.95434787349768158</c:v>
                </c:pt>
                <c:pt idx="4764">
                  <c:v>0.95439907383843092</c:v>
                </c:pt>
                <c:pt idx="4765">
                  <c:v>0.95468194273507834</c:v>
                </c:pt>
                <c:pt idx="4766">
                  <c:v>0.95497739013353566</c:v>
                </c:pt>
                <c:pt idx="4767">
                  <c:v>0.95551331263686734</c:v>
                </c:pt>
                <c:pt idx="4768">
                  <c:v>0.9565152609238794</c:v>
                </c:pt>
                <c:pt idx="4769">
                  <c:v>0.9569246870578354</c:v>
                </c:pt>
                <c:pt idx="4770">
                  <c:v>0.95725048504482402</c:v>
                </c:pt>
                <c:pt idx="4771">
                  <c:v>0.95748066515716346</c:v>
                </c:pt>
                <c:pt idx="4772">
                  <c:v>0.95749701141357946</c:v>
                </c:pt>
                <c:pt idx="4773">
                  <c:v>0.95753953679286496</c:v>
                </c:pt>
                <c:pt idx="4774">
                  <c:v>0.95799198903841898</c:v>
                </c:pt>
                <c:pt idx="4775">
                  <c:v>0.95803528255510173</c:v>
                </c:pt>
                <c:pt idx="4776">
                  <c:v>0.95805466383899329</c:v>
                </c:pt>
                <c:pt idx="4777">
                  <c:v>0.95845887751329428</c:v>
                </c:pt>
                <c:pt idx="4778">
                  <c:v>0.95860883883688075</c:v>
                </c:pt>
                <c:pt idx="4779">
                  <c:v>0.95870249490417336</c:v>
                </c:pt>
                <c:pt idx="4780">
                  <c:v>0.95900652110412921</c:v>
                </c:pt>
                <c:pt idx="4781">
                  <c:v>0.95903842054485722</c:v>
                </c:pt>
                <c:pt idx="4782">
                  <c:v>0.95907045493640908</c:v>
                </c:pt>
                <c:pt idx="4783">
                  <c:v>0.95920269293765159</c:v>
                </c:pt>
                <c:pt idx="4784">
                  <c:v>0.95952994057824981</c:v>
                </c:pt>
                <c:pt idx="4785">
                  <c:v>0.95978418099730334</c:v>
                </c:pt>
                <c:pt idx="4786">
                  <c:v>0.96035695240334462</c:v>
                </c:pt>
                <c:pt idx="4787">
                  <c:v>0.96072016860944132</c:v>
                </c:pt>
                <c:pt idx="4788">
                  <c:v>0.96084086059727269</c:v>
                </c:pt>
                <c:pt idx="4789">
                  <c:v>0.96095736724873859</c:v>
                </c:pt>
                <c:pt idx="4790">
                  <c:v>0.96118520160962362</c:v>
                </c:pt>
                <c:pt idx="4791">
                  <c:v>0.9615134253526918</c:v>
                </c:pt>
                <c:pt idx="4792">
                  <c:v>0.9617500798403853</c:v>
                </c:pt>
                <c:pt idx="4793">
                  <c:v>0.96190767385542131</c:v>
                </c:pt>
                <c:pt idx="4794">
                  <c:v>0.96195933979834081</c:v>
                </c:pt>
                <c:pt idx="4795">
                  <c:v>0.9622238791835116</c:v>
                </c:pt>
                <c:pt idx="4796">
                  <c:v>0.96223042877682019</c:v>
                </c:pt>
                <c:pt idx="4797">
                  <c:v>0.96224905907001812</c:v>
                </c:pt>
                <c:pt idx="4798">
                  <c:v>0.96326649515594909</c:v>
                </c:pt>
                <c:pt idx="4799">
                  <c:v>0.96334437146560958</c:v>
                </c:pt>
                <c:pt idx="4800">
                  <c:v>0.96346384969865539</c:v>
                </c:pt>
                <c:pt idx="4801">
                  <c:v>0.96348631924229267</c:v>
                </c:pt>
                <c:pt idx="4802">
                  <c:v>0.96381943906726519</c:v>
                </c:pt>
                <c:pt idx="4803">
                  <c:v>0.96383154175782693</c:v>
                </c:pt>
                <c:pt idx="4804">
                  <c:v>0.96394711375251063</c:v>
                </c:pt>
                <c:pt idx="4805">
                  <c:v>0.96550213197770063</c:v>
                </c:pt>
                <c:pt idx="4806">
                  <c:v>0.96569497152086115</c:v>
                </c:pt>
                <c:pt idx="4807">
                  <c:v>0.96623306478704762</c:v>
                </c:pt>
                <c:pt idx="4808">
                  <c:v>0.96624247824274789</c:v>
                </c:pt>
                <c:pt idx="4809">
                  <c:v>0.96624398128642497</c:v>
                </c:pt>
                <c:pt idx="4810">
                  <c:v>0.96627509225072572</c:v>
                </c:pt>
                <c:pt idx="4811">
                  <c:v>0.96633301667498017</c:v>
                </c:pt>
                <c:pt idx="4812">
                  <c:v>0.9668349384519388</c:v>
                </c:pt>
                <c:pt idx="4813">
                  <c:v>0.966947789889673</c:v>
                </c:pt>
                <c:pt idx="4814">
                  <c:v>0.96703538763813413</c:v>
                </c:pt>
                <c:pt idx="4815">
                  <c:v>0.96703693738618313</c:v>
                </c:pt>
                <c:pt idx="4816">
                  <c:v>0.96708884952204244</c:v>
                </c:pt>
                <c:pt idx="4817">
                  <c:v>0.96713417420323822</c:v>
                </c:pt>
                <c:pt idx="4818">
                  <c:v>0.96722212058466539</c:v>
                </c:pt>
                <c:pt idx="4819">
                  <c:v>0.96752084687159368</c:v>
                </c:pt>
                <c:pt idx="4820">
                  <c:v>0.96766036362259911</c:v>
                </c:pt>
                <c:pt idx="4821">
                  <c:v>0.9676935066408987</c:v>
                </c:pt>
                <c:pt idx="4822">
                  <c:v>0.96774565449413785</c:v>
                </c:pt>
                <c:pt idx="4823">
                  <c:v>0.96779145267555577</c:v>
                </c:pt>
                <c:pt idx="4824">
                  <c:v>0.96782473598250363</c:v>
                </c:pt>
                <c:pt idx="4825">
                  <c:v>0.968197557746862</c:v>
                </c:pt>
                <c:pt idx="4826">
                  <c:v>0.96830410839538672</c:v>
                </c:pt>
                <c:pt idx="4827">
                  <c:v>0.96859207978650375</c:v>
                </c:pt>
                <c:pt idx="4828">
                  <c:v>0.9686731011415759</c:v>
                </c:pt>
                <c:pt idx="4829">
                  <c:v>0.96897396126860258</c:v>
                </c:pt>
                <c:pt idx="4830">
                  <c:v>0.96913427352319559</c:v>
                </c:pt>
                <c:pt idx="4831">
                  <c:v>0.96917756809489219</c:v>
                </c:pt>
                <c:pt idx="4832">
                  <c:v>0.96919664082179224</c:v>
                </c:pt>
                <c:pt idx="4833">
                  <c:v>0.96921431346072495</c:v>
                </c:pt>
                <c:pt idx="4834">
                  <c:v>0.96931208805472124</c:v>
                </c:pt>
                <c:pt idx="4835">
                  <c:v>0.96943379410549824</c:v>
                </c:pt>
                <c:pt idx="4836">
                  <c:v>0.96984267789957812</c:v>
                </c:pt>
                <c:pt idx="4837">
                  <c:v>0.9699871890443319</c:v>
                </c:pt>
                <c:pt idx="4838">
                  <c:v>0.97010269441125274</c:v>
                </c:pt>
                <c:pt idx="4839">
                  <c:v>0.97017476094697486</c:v>
                </c:pt>
                <c:pt idx="4840">
                  <c:v>0.97036547339939716</c:v>
                </c:pt>
                <c:pt idx="4841">
                  <c:v>0.97059307304789399</c:v>
                </c:pt>
                <c:pt idx="4842">
                  <c:v>0.97166704940445925</c:v>
                </c:pt>
                <c:pt idx="4843">
                  <c:v>0.97168411206348537</c:v>
                </c:pt>
                <c:pt idx="4844">
                  <c:v>0.97173783645121148</c:v>
                </c:pt>
                <c:pt idx="4845">
                  <c:v>0.97195615884538711</c:v>
                </c:pt>
                <c:pt idx="4846">
                  <c:v>0.97214517540760426</c:v>
                </c:pt>
                <c:pt idx="4847">
                  <c:v>0.97217052445557783</c:v>
                </c:pt>
                <c:pt idx="4848">
                  <c:v>0.97238766138525534</c:v>
                </c:pt>
                <c:pt idx="4849">
                  <c:v>0.97246684772017034</c:v>
                </c:pt>
                <c:pt idx="4850">
                  <c:v>0.97247093126952677</c:v>
                </c:pt>
                <c:pt idx="4851">
                  <c:v>0.97252429512627714</c:v>
                </c:pt>
                <c:pt idx="4852">
                  <c:v>0.97264941699540941</c:v>
                </c:pt>
                <c:pt idx="4853">
                  <c:v>0.97270417831441591</c:v>
                </c:pt>
                <c:pt idx="4854">
                  <c:v>0.97280980705727416</c:v>
                </c:pt>
                <c:pt idx="4855">
                  <c:v>0.97299936192393943</c:v>
                </c:pt>
                <c:pt idx="4856">
                  <c:v>0.97318077579529927</c:v>
                </c:pt>
                <c:pt idx="4857">
                  <c:v>0.97322213038660266</c:v>
                </c:pt>
                <c:pt idx="4858">
                  <c:v>0.97390550372983853</c:v>
                </c:pt>
                <c:pt idx="4859">
                  <c:v>0.97438119574690063</c:v>
                </c:pt>
                <c:pt idx="4860">
                  <c:v>0.97454731313973753</c:v>
                </c:pt>
                <c:pt idx="4861">
                  <c:v>0.97463649251585593</c:v>
                </c:pt>
                <c:pt idx="4862">
                  <c:v>0.97467651613533235</c:v>
                </c:pt>
                <c:pt idx="4863">
                  <c:v>0.97473398012334656</c:v>
                </c:pt>
                <c:pt idx="4864">
                  <c:v>0.97491901205285103</c:v>
                </c:pt>
                <c:pt idx="4865">
                  <c:v>0.9750219809848204</c:v>
                </c:pt>
                <c:pt idx="4866">
                  <c:v>0.97505565250867221</c:v>
                </c:pt>
                <c:pt idx="4867">
                  <c:v>0.97527445653304312</c:v>
                </c:pt>
                <c:pt idx="4868">
                  <c:v>0.97551775988449663</c:v>
                </c:pt>
                <c:pt idx="4869">
                  <c:v>0.97579660529208923</c:v>
                </c:pt>
                <c:pt idx="4870">
                  <c:v>0.97602765975989314</c:v>
                </c:pt>
                <c:pt idx="4871">
                  <c:v>0.9761129009857541</c:v>
                </c:pt>
                <c:pt idx="4872">
                  <c:v>0.97634391266728926</c:v>
                </c:pt>
                <c:pt idx="4873">
                  <c:v>0.97661735502970259</c:v>
                </c:pt>
                <c:pt idx="4874">
                  <c:v>0.97678176491535851</c:v>
                </c:pt>
                <c:pt idx="4875">
                  <c:v>0.9767961491479582</c:v>
                </c:pt>
                <c:pt idx="4876">
                  <c:v>0.97683650290491641</c:v>
                </c:pt>
                <c:pt idx="4877">
                  <c:v>0.97708208585936518</c:v>
                </c:pt>
                <c:pt idx="4878">
                  <c:v>0.97711733031064796</c:v>
                </c:pt>
                <c:pt idx="4879">
                  <c:v>0.97768727141556155</c:v>
                </c:pt>
                <c:pt idx="4880">
                  <c:v>0.97772947291923629</c:v>
                </c:pt>
                <c:pt idx="4881">
                  <c:v>0.97788551290068426</c:v>
                </c:pt>
                <c:pt idx="4882">
                  <c:v>0.97797019707286381</c:v>
                </c:pt>
                <c:pt idx="4883">
                  <c:v>0.97807604418451888</c:v>
                </c:pt>
                <c:pt idx="4884">
                  <c:v>0.97835654700793384</c:v>
                </c:pt>
                <c:pt idx="4885">
                  <c:v>0.97860126326122554</c:v>
                </c:pt>
                <c:pt idx="4886">
                  <c:v>0.97883545345302991</c:v>
                </c:pt>
                <c:pt idx="4887">
                  <c:v>0.97887686258218309</c:v>
                </c:pt>
                <c:pt idx="4888">
                  <c:v>0.97906427457837708</c:v>
                </c:pt>
                <c:pt idx="4889">
                  <c:v>0.97917115961172385</c:v>
                </c:pt>
                <c:pt idx="4890">
                  <c:v>0.97919514218847326</c:v>
                </c:pt>
                <c:pt idx="4891">
                  <c:v>0.97947574678346427</c:v>
                </c:pt>
                <c:pt idx="4892">
                  <c:v>0.98010973990221828</c:v>
                </c:pt>
                <c:pt idx="4893">
                  <c:v>0.98075352376872615</c:v>
                </c:pt>
                <c:pt idx="4894">
                  <c:v>0.98082481400888355</c:v>
                </c:pt>
                <c:pt idx="4895">
                  <c:v>0.98090174051776557</c:v>
                </c:pt>
                <c:pt idx="4896">
                  <c:v>0.98140132985827222</c:v>
                </c:pt>
                <c:pt idx="4897">
                  <c:v>0.98155189183671609</c:v>
                </c:pt>
                <c:pt idx="4898">
                  <c:v>0.98158748306650523</c:v>
                </c:pt>
                <c:pt idx="4899">
                  <c:v>0.98167831532464334</c:v>
                </c:pt>
                <c:pt idx="4900">
                  <c:v>0.98183069117931154</c:v>
                </c:pt>
                <c:pt idx="4901">
                  <c:v>0.98193184390038368</c:v>
                </c:pt>
                <c:pt idx="4902">
                  <c:v>0.98199585931342881</c:v>
                </c:pt>
                <c:pt idx="4903">
                  <c:v>0.98204618050112913</c:v>
                </c:pt>
                <c:pt idx="4904">
                  <c:v>0.98205514576147834</c:v>
                </c:pt>
                <c:pt idx="4905">
                  <c:v>0.98234530917397933</c:v>
                </c:pt>
                <c:pt idx="4906">
                  <c:v>0.98246662684505282</c:v>
                </c:pt>
                <c:pt idx="4907">
                  <c:v>0.98255967562909063</c:v>
                </c:pt>
                <c:pt idx="4908">
                  <c:v>0.9826202390868275</c:v>
                </c:pt>
                <c:pt idx="4909">
                  <c:v>0.98275966914297896</c:v>
                </c:pt>
                <c:pt idx="4910">
                  <c:v>0.98289822546212235</c:v>
                </c:pt>
                <c:pt idx="4911">
                  <c:v>0.98294902720317623</c:v>
                </c:pt>
                <c:pt idx="4912">
                  <c:v>0.98300444067808712</c:v>
                </c:pt>
                <c:pt idx="4913">
                  <c:v>0.98320821652214363</c:v>
                </c:pt>
                <c:pt idx="4914">
                  <c:v>0.98341220612928737</c:v>
                </c:pt>
                <c:pt idx="4915">
                  <c:v>0.98350996096633025</c:v>
                </c:pt>
                <c:pt idx="4916">
                  <c:v>0.98373605170127121</c:v>
                </c:pt>
                <c:pt idx="4917">
                  <c:v>0.98391156349225639</c:v>
                </c:pt>
                <c:pt idx="4918">
                  <c:v>0.98420486197846913</c:v>
                </c:pt>
                <c:pt idx="4919">
                  <c:v>0.98427310982606286</c:v>
                </c:pt>
                <c:pt idx="4920">
                  <c:v>0.98450472467993677</c:v>
                </c:pt>
                <c:pt idx="4921">
                  <c:v>0.98473346138689521</c:v>
                </c:pt>
                <c:pt idx="4922">
                  <c:v>0.98483198604481004</c:v>
                </c:pt>
                <c:pt idx="4923">
                  <c:v>0.98483405780734756</c:v>
                </c:pt>
                <c:pt idx="4924">
                  <c:v>0.98487984289295127</c:v>
                </c:pt>
                <c:pt idx="4925">
                  <c:v>0.98509852524421149</c:v>
                </c:pt>
                <c:pt idx="4926">
                  <c:v>0.98513015755088418</c:v>
                </c:pt>
                <c:pt idx="4927">
                  <c:v>0.98595136389212712</c:v>
                </c:pt>
                <c:pt idx="4928">
                  <c:v>0.98601047532883968</c:v>
                </c:pt>
                <c:pt idx="4929">
                  <c:v>0.98662640727343387</c:v>
                </c:pt>
                <c:pt idx="4930">
                  <c:v>0.98677954117283662</c:v>
                </c:pt>
                <c:pt idx="4931">
                  <c:v>0.98686925607944431</c:v>
                </c:pt>
                <c:pt idx="4932">
                  <c:v>0.98701648866699543</c:v>
                </c:pt>
                <c:pt idx="4933">
                  <c:v>0.98717277259220282</c:v>
                </c:pt>
                <c:pt idx="4934">
                  <c:v>0.98728901036702155</c:v>
                </c:pt>
                <c:pt idx="4935">
                  <c:v>0.98772860472581669</c:v>
                </c:pt>
                <c:pt idx="4936">
                  <c:v>0.9877724673042394</c:v>
                </c:pt>
                <c:pt idx="4937">
                  <c:v>0.98802454395536188</c:v>
                </c:pt>
                <c:pt idx="4938">
                  <c:v>0.98805214066396729</c:v>
                </c:pt>
                <c:pt idx="4939">
                  <c:v>0.98839763466003205</c:v>
                </c:pt>
                <c:pt idx="4940">
                  <c:v>0.98847988228953909</c:v>
                </c:pt>
                <c:pt idx="4941">
                  <c:v>0.98850650116219185</c:v>
                </c:pt>
                <c:pt idx="4942">
                  <c:v>0.98927417709546717</c:v>
                </c:pt>
                <c:pt idx="4943">
                  <c:v>0.98935863612406649</c:v>
                </c:pt>
                <c:pt idx="4944">
                  <c:v>0.98950322740438423</c:v>
                </c:pt>
                <c:pt idx="4945">
                  <c:v>0.9896224195308605</c:v>
                </c:pt>
                <c:pt idx="4946">
                  <c:v>0.98970061321688263</c:v>
                </c:pt>
                <c:pt idx="4947">
                  <c:v>0.98996549242929177</c:v>
                </c:pt>
                <c:pt idx="4948">
                  <c:v>0.98999118481970072</c:v>
                </c:pt>
                <c:pt idx="4949">
                  <c:v>0.99009342639783426</c:v>
                </c:pt>
                <c:pt idx="4950">
                  <c:v>0.99012456171567464</c:v>
                </c:pt>
                <c:pt idx="4951">
                  <c:v>0.99056241993730509</c:v>
                </c:pt>
                <c:pt idx="4952">
                  <c:v>0.99067082610145007</c:v>
                </c:pt>
                <c:pt idx="4953">
                  <c:v>0.99072362889637589</c:v>
                </c:pt>
                <c:pt idx="4954">
                  <c:v>0.99090584028454032</c:v>
                </c:pt>
                <c:pt idx="4955">
                  <c:v>0.99111219008409535</c:v>
                </c:pt>
                <c:pt idx="4956">
                  <c:v>0.99111842337879352</c:v>
                </c:pt>
                <c:pt idx="4957">
                  <c:v>0.99164536551506899</c:v>
                </c:pt>
                <c:pt idx="4958">
                  <c:v>0.99230389290636367</c:v>
                </c:pt>
                <c:pt idx="4959">
                  <c:v>0.99264510431294184</c:v>
                </c:pt>
                <c:pt idx="4960">
                  <c:v>0.99295588434779347</c:v>
                </c:pt>
                <c:pt idx="4961">
                  <c:v>0.99297622105314076</c:v>
                </c:pt>
                <c:pt idx="4962">
                  <c:v>0.99298906230342254</c:v>
                </c:pt>
                <c:pt idx="4963">
                  <c:v>0.9930647004448474</c:v>
                </c:pt>
                <c:pt idx="4964">
                  <c:v>0.99315684474368027</c:v>
                </c:pt>
                <c:pt idx="4965">
                  <c:v>0.99341890534014965</c:v>
                </c:pt>
                <c:pt idx="4966">
                  <c:v>0.99360741219970805</c:v>
                </c:pt>
                <c:pt idx="4967">
                  <c:v>0.99371958760002599</c:v>
                </c:pt>
                <c:pt idx="4968">
                  <c:v>0.99441296255918132</c:v>
                </c:pt>
                <c:pt idx="4969">
                  <c:v>0.99453024857393757</c:v>
                </c:pt>
                <c:pt idx="4970">
                  <c:v>0.99473949140428886</c:v>
                </c:pt>
                <c:pt idx="4971">
                  <c:v>0.99482575559250108</c:v>
                </c:pt>
                <c:pt idx="4972">
                  <c:v>0.99513181805468776</c:v>
                </c:pt>
                <c:pt idx="4973">
                  <c:v>0.99513812617806252</c:v>
                </c:pt>
                <c:pt idx="4974">
                  <c:v>0.99529070091375615</c:v>
                </c:pt>
                <c:pt idx="4975">
                  <c:v>0.99529474977407517</c:v>
                </c:pt>
                <c:pt idx="4976">
                  <c:v>0.99534035987471725</c:v>
                </c:pt>
                <c:pt idx="4977">
                  <c:v>0.99548419030088553</c:v>
                </c:pt>
                <c:pt idx="4978">
                  <c:v>0.99557943933450588</c:v>
                </c:pt>
                <c:pt idx="4979">
                  <c:v>0.99625313600699883</c:v>
                </c:pt>
                <c:pt idx="4980">
                  <c:v>0.99628631374616816</c:v>
                </c:pt>
                <c:pt idx="4981">
                  <c:v>0.99644675730905874</c:v>
                </c:pt>
                <c:pt idx="4982">
                  <c:v>0.99652301250807795</c:v>
                </c:pt>
                <c:pt idx="4983">
                  <c:v>0.99658700636427966</c:v>
                </c:pt>
                <c:pt idx="4984">
                  <c:v>0.99684677031473257</c:v>
                </c:pt>
                <c:pt idx="4985">
                  <c:v>0.99685734270772741</c:v>
                </c:pt>
                <c:pt idx="4986">
                  <c:v>0.99705149128476478</c:v>
                </c:pt>
                <c:pt idx="4987">
                  <c:v>0.99708491866113036</c:v>
                </c:pt>
                <c:pt idx="4988">
                  <c:v>0.99722340758853534</c:v>
                </c:pt>
                <c:pt idx="4989">
                  <c:v>0.99722364246918005</c:v>
                </c:pt>
                <c:pt idx="4990">
                  <c:v>0.997656373544487</c:v>
                </c:pt>
                <c:pt idx="4991">
                  <c:v>0.99811727657925076</c:v>
                </c:pt>
                <c:pt idx="4992">
                  <c:v>0.99820745901979535</c:v>
                </c:pt>
                <c:pt idx="4993">
                  <c:v>0.99870365610604495</c:v>
                </c:pt>
                <c:pt idx="4994">
                  <c:v>0.99878585352871596</c:v>
                </c:pt>
                <c:pt idx="4995">
                  <c:v>0.9989028612835682</c:v>
                </c:pt>
                <c:pt idx="4996">
                  <c:v>0.99896067874942673</c:v>
                </c:pt>
                <c:pt idx="4997">
                  <c:v>0.99910192900824768</c:v>
                </c:pt>
                <c:pt idx="4998">
                  <c:v>0.99976388053255505</c:v>
                </c:pt>
                <c:pt idx="4999">
                  <c:v>0.99991806140951667</c:v>
                </c:pt>
              </c:numCache>
            </c:numRef>
          </c:xVal>
          <c:yVal>
            <c:numRef>
              <c:f>SimData5000!$K$5009:$K$10008</c:f>
              <c:numCache>
                <c:formatCode>General</c:formatCode>
                <c:ptCount val="5000"/>
                <c:pt idx="0">
                  <c:v>0</c:v>
                </c:pt>
                <c:pt idx="1">
                  <c:v>2.0004000800160032E-4</c:v>
                </c:pt>
                <c:pt idx="2">
                  <c:v>4.0008001600320064E-4</c:v>
                </c:pt>
                <c:pt idx="3">
                  <c:v>6.0012002400480096E-4</c:v>
                </c:pt>
                <c:pt idx="4">
                  <c:v>8.0016003200640128E-4</c:v>
                </c:pt>
                <c:pt idx="5">
                  <c:v>1.0002000400080016E-3</c:v>
                </c:pt>
                <c:pt idx="6">
                  <c:v>1.2002400480096019E-3</c:v>
                </c:pt>
                <c:pt idx="7">
                  <c:v>1.4002800560112022E-3</c:v>
                </c:pt>
                <c:pt idx="8">
                  <c:v>1.6003200640128026E-3</c:v>
                </c:pt>
                <c:pt idx="9">
                  <c:v>1.8003600720144029E-3</c:v>
                </c:pt>
                <c:pt idx="10">
                  <c:v>2.0004000800160032E-3</c:v>
                </c:pt>
                <c:pt idx="11">
                  <c:v>2.2004400880176033E-3</c:v>
                </c:pt>
                <c:pt idx="12">
                  <c:v>2.4004800960192038E-3</c:v>
                </c:pt>
                <c:pt idx="13">
                  <c:v>2.6005201040208044E-3</c:v>
                </c:pt>
                <c:pt idx="14">
                  <c:v>2.8005601120224049E-3</c:v>
                </c:pt>
                <c:pt idx="15">
                  <c:v>3.0006001200240055E-3</c:v>
                </c:pt>
                <c:pt idx="16">
                  <c:v>3.200640128025606E-3</c:v>
                </c:pt>
                <c:pt idx="17">
                  <c:v>3.4006801360272065E-3</c:v>
                </c:pt>
                <c:pt idx="18">
                  <c:v>3.6007201440288071E-3</c:v>
                </c:pt>
                <c:pt idx="19">
                  <c:v>3.8007601520304076E-3</c:v>
                </c:pt>
                <c:pt idx="20">
                  <c:v>4.0008001600320081E-3</c:v>
                </c:pt>
                <c:pt idx="21">
                  <c:v>4.2008401680336087E-3</c:v>
                </c:pt>
                <c:pt idx="22">
                  <c:v>4.4008801760352092E-3</c:v>
                </c:pt>
                <c:pt idx="23">
                  <c:v>4.6009201840368098E-3</c:v>
                </c:pt>
                <c:pt idx="24">
                  <c:v>4.8009601920384103E-3</c:v>
                </c:pt>
                <c:pt idx="25">
                  <c:v>5.0010002000400108E-3</c:v>
                </c:pt>
                <c:pt idx="26">
                  <c:v>5.2010402080416114E-3</c:v>
                </c:pt>
                <c:pt idx="27">
                  <c:v>5.4010802160432119E-3</c:v>
                </c:pt>
                <c:pt idx="28">
                  <c:v>5.6011202240448124E-3</c:v>
                </c:pt>
                <c:pt idx="29">
                  <c:v>5.801160232046413E-3</c:v>
                </c:pt>
                <c:pt idx="30">
                  <c:v>6.0012002400480135E-3</c:v>
                </c:pt>
                <c:pt idx="31">
                  <c:v>6.2012402480496141E-3</c:v>
                </c:pt>
                <c:pt idx="32">
                  <c:v>6.4012802560512146E-3</c:v>
                </c:pt>
                <c:pt idx="33">
                  <c:v>6.6013202640528151E-3</c:v>
                </c:pt>
                <c:pt idx="34">
                  <c:v>6.8013602720544157E-3</c:v>
                </c:pt>
                <c:pt idx="35">
                  <c:v>7.0014002800560162E-3</c:v>
                </c:pt>
                <c:pt idx="36">
                  <c:v>7.2014402880576167E-3</c:v>
                </c:pt>
                <c:pt idx="37">
                  <c:v>7.4014802960592173E-3</c:v>
                </c:pt>
                <c:pt idx="38">
                  <c:v>7.6015203040608178E-3</c:v>
                </c:pt>
                <c:pt idx="39">
                  <c:v>7.8015603120624184E-3</c:v>
                </c:pt>
                <c:pt idx="40">
                  <c:v>8.001600320064018E-3</c:v>
                </c:pt>
                <c:pt idx="41">
                  <c:v>8.2016403280656177E-3</c:v>
                </c:pt>
                <c:pt idx="42">
                  <c:v>8.4016803360672174E-3</c:v>
                </c:pt>
                <c:pt idx="43">
                  <c:v>8.601720344068817E-3</c:v>
                </c:pt>
                <c:pt idx="44">
                  <c:v>8.8017603520704167E-3</c:v>
                </c:pt>
                <c:pt idx="45">
                  <c:v>9.0018003600720164E-3</c:v>
                </c:pt>
                <c:pt idx="46">
                  <c:v>9.201840368073616E-3</c:v>
                </c:pt>
                <c:pt idx="47">
                  <c:v>9.4018803760752157E-3</c:v>
                </c:pt>
                <c:pt idx="48">
                  <c:v>9.6019203840768154E-3</c:v>
                </c:pt>
                <c:pt idx="49">
                  <c:v>9.8019603920784151E-3</c:v>
                </c:pt>
                <c:pt idx="50">
                  <c:v>1.0002000400080015E-2</c:v>
                </c:pt>
                <c:pt idx="51">
                  <c:v>1.0202040408081614E-2</c:v>
                </c:pt>
                <c:pt idx="52">
                  <c:v>1.0402080416083214E-2</c:v>
                </c:pt>
                <c:pt idx="53">
                  <c:v>1.0602120424084814E-2</c:v>
                </c:pt>
                <c:pt idx="54">
                  <c:v>1.0802160432086413E-2</c:v>
                </c:pt>
                <c:pt idx="55">
                  <c:v>1.1002200440088013E-2</c:v>
                </c:pt>
                <c:pt idx="56">
                  <c:v>1.1202240448089613E-2</c:v>
                </c:pt>
                <c:pt idx="57">
                  <c:v>1.1402280456091212E-2</c:v>
                </c:pt>
                <c:pt idx="58">
                  <c:v>1.1602320464092812E-2</c:v>
                </c:pt>
                <c:pt idx="59">
                  <c:v>1.1802360472094412E-2</c:v>
                </c:pt>
                <c:pt idx="60">
                  <c:v>1.2002400480096011E-2</c:v>
                </c:pt>
                <c:pt idx="61">
                  <c:v>1.2202440488097611E-2</c:v>
                </c:pt>
                <c:pt idx="62">
                  <c:v>1.2402480496099211E-2</c:v>
                </c:pt>
                <c:pt idx="63">
                  <c:v>1.260252050410081E-2</c:v>
                </c:pt>
                <c:pt idx="64">
                  <c:v>1.280256051210241E-2</c:v>
                </c:pt>
                <c:pt idx="65">
                  <c:v>1.300260052010401E-2</c:v>
                </c:pt>
                <c:pt idx="66">
                  <c:v>1.3202640528105609E-2</c:v>
                </c:pt>
                <c:pt idx="67">
                  <c:v>1.3402680536107209E-2</c:v>
                </c:pt>
                <c:pt idx="68">
                  <c:v>1.3602720544108809E-2</c:v>
                </c:pt>
                <c:pt idx="69">
                  <c:v>1.3802760552110408E-2</c:v>
                </c:pt>
                <c:pt idx="70">
                  <c:v>1.4002800560112008E-2</c:v>
                </c:pt>
                <c:pt idx="71">
                  <c:v>1.4202840568113608E-2</c:v>
                </c:pt>
                <c:pt idx="72">
                  <c:v>1.4402880576115207E-2</c:v>
                </c:pt>
                <c:pt idx="73">
                  <c:v>1.4602920584116807E-2</c:v>
                </c:pt>
                <c:pt idx="74">
                  <c:v>1.4802960592118407E-2</c:v>
                </c:pt>
                <c:pt idx="75">
                  <c:v>1.5003000600120006E-2</c:v>
                </c:pt>
                <c:pt idx="76">
                  <c:v>1.5203040608121606E-2</c:v>
                </c:pt>
                <c:pt idx="77">
                  <c:v>1.5403080616123206E-2</c:v>
                </c:pt>
                <c:pt idx="78">
                  <c:v>1.5603120624124805E-2</c:v>
                </c:pt>
                <c:pt idx="79">
                  <c:v>1.5803160632126407E-2</c:v>
                </c:pt>
                <c:pt idx="80">
                  <c:v>1.6003200640128008E-2</c:v>
                </c:pt>
                <c:pt idx="81">
                  <c:v>1.620324064812961E-2</c:v>
                </c:pt>
                <c:pt idx="82">
                  <c:v>1.6403280656131211E-2</c:v>
                </c:pt>
                <c:pt idx="83">
                  <c:v>1.6603320664132813E-2</c:v>
                </c:pt>
                <c:pt idx="84">
                  <c:v>1.6803360672134414E-2</c:v>
                </c:pt>
                <c:pt idx="85">
                  <c:v>1.7003400680136015E-2</c:v>
                </c:pt>
                <c:pt idx="86">
                  <c:v>1.7203440688137617E-2</c:v>
                </c:pt>
                <c:pt idx="87">
                  <c:v>1.7403480696139218E-2</c:v>
                </c:pt>
                <c:pt idx="88">
                  <c:v>1.760352070414082E-2</c:v>
                </c:pt>
                <c:pt idx="89">
                  <c:v>1.7803560712142421E-2</c:v>
                </c:pt>
                <c:pt idx="90">
                  <c:v>1.8003600720144022E-2</c:v>
                </c:pt>
                <c:pt idx="91">
                  <c:v>1.8203640728145624E-2</c:v>
                </c:pt>
                <c:pt idx="92">
                  <c:v>1.8403680736147225E-2</c:v>
                </c:pt>
                <c:pt idx="93">
                  <c:v>1.8603720744148827E-2</c:v>
                </c:pt>
                <c:pt idx="94">
                  <c:v>1.8803760752150428E-2</c:v>
                </c:pt>
                <c:pt idx="95">
                  <c:v>1.9003800760152029E-2</c:v>
                </c:pt>
                <c:pt idx="96">
                  <c:v>1.9203840768153631E-2</c:v>
                </c:pt>
                <c:pt idx="97">
                  <c:v>1.9403880776155232E-2</c:v>
                </c:pt>
                <c:pt idx="98">
                  <c:v>1.9603920784156834E-2</c:v>
                </c:pt>
                <c:pt idx="99">
                  <c:v>1.9803960792158435E-2</c:v>
                </c:pt>
                <c:pt idx="100">
                  <c:v>2.0004000800160036E-2</c:v>
                </c:pt>
                <c:pt idx="101">
                  <c:v>2.0204040808161638E-2</c:v>
                </c:pt>
                <c:pt idx="102">
                  <c:v>2.0404080816163239E-2</c:v>
                </c:pt>
                <c:pt idx="103">
                  <c:v>2.0604120824164841E-2</c:v>
                </c:pt>
                <c:pt idx="104">
                  <c:v>2.0804160832166442E-2</c:v>
                </c:pt>
                <c:pt idx="105">
                  <c:v>2.1004200840168043E-2</c:v>
                </c:pt>
                <c:pt idx="106">
                  <c:v>2.1204240848169645E-2</c:v>
                </c:pt>
                <c:pt idx="107">
                  <c:v>2.1404280856171246E-2</c:v>
                </c:pt>
                <c:pt idx="108">
                  <c:v>2.1604320864172848E-2</c:v>
                </c:pt>
                <c:pt idx="109">
                  <c:v>2.1804360872174449E-2</c:v>
                </c:pt>
                <c:pt idx="110">
                  <c:v>2.200440088017605E-2</c:v>
                </c:pt>
                <c:pt idx="111">
                  <c:v>2.2204440888177652E-2</c:v>
                </c:pt>
                <c:pt idx="112">
                  <c:v>2.2404480896179253E-2</c:v>
                </c:pt>
                <c:pt idx="113">
                  <c:v>2.2604520904180855E-2</c:v>
                </c:pt>
                <c:pt idx="114">
                  <c:v>2.2804560912182456E-2</c:v>
                </c:pt>
                <c:pt idx="115">
                  <c:v>2.3004600920184057E-2</c:v>
                </c:pt>
                <c:pt idx="116">
                  <c:v>2.3204640928185659E-2</c:v>
                </c:pt>
                <c:pt idx="117">
                  <c:v>2.340468093618726E-2</c:v>
                </c:pt>
                <c:pt idx="118">
                  <c:v>2.3604720944188862E-2</c:v>
                </c:pt>
                <c:pt idx="119">
                  <c:v>2.3804760952190463E-2</c:v>
                </c:pt>
                <c:pt idx="120">
                  <c:v>2.4004800960192064E-2</c:v>
                </c:pt>
                <c:pt idx="121">
                  <c:v>2.4204840968193666E-2</c:v>
                </c:pt>
                <c:pt idx="122">
                  <c:v>2.4404880976195267E-2</c:v>
                </c:pt>
                <c:pt idx="123">
                  <c:v>2.4604920984196869E-2</c:v>
                </c:pt>
                <c:pt idx="124">
                  <c:v>2.480496099219847E-2</c:v>
                </c:pt>
                <c:pt idx="125">
                  <c:v>2.5005001000200072E-2</c:v>
                </c:pt>
                <c:pt idx="126">
                  <c:v>2.5205041008201673E-2</c:v>
                </c:pt>
                <c:pt idx="127">
                  <c:v>2.5405081016203274E-2</c:v>
                </c:pt>
                <c:pt idx="128">
                  <c:v>2.5605121024204876E-2</c:v>
                </c:pt>
                <c:pt idx="129">
                  <c:v>2.5805161032206477E-2</c:v>
                </c:pt>
                <c:pt idx="130">
                  <c:v>2.6005201040208079E-2</c:v>
                </c:pt>
                <c:pt idx="131">
                  <c:v>2.620524104820968E-2</c:v>
                </c:pt>
                <c:pt idx="132">
                  <c:v>2.6405281056211281E-2</c:v>
                </c:pt>
                <c:pt idx="133">
                  <c:v>2.6605321064212883E-2</c:v>
                </c:pt>
                <c:pt idx="134">
                  <c:v>2.6805361072214484E-2</c:v>
                </c:pt>
                <c:pt idx="135">
                  <c:v>2.7005401080216086E-2</c:v>
                </c:pt>
                <c:pt idx="136">
                  <c:v>2.7205441088217687E-2</c:v>
                </c:pt>
                <c:pt idx="137">
                  <c:v>2.7405481096219288E-2</c:v>
                </c:pt>
                <c:pt idx="138">
                  <c:v>2.760552110422089E-2</c:v>
                </c:pt>
                <c:pt idx="139">
                  <c:v>2.7805561112222491E-2</c:v>
                </c:pt>
                <c:pt idx="140">
                  <c:v>2.8005601120224093E-2</c:v>
                </c:pt>
                <c:pt idx="141">
                  <c:v>2.8205641128225694E-2</c:v>
                </c:pt>
                <c:pt idx="142">
                  <c:v>2.8405681136227295E-2</c:v>
                </c:pt>
                <c:pt idx="143">
                  <c:v>2.8605721144228897E-2</c:v>
                </c:pt>
                <c:pt idx="144">
                  <c:v>2.8805761152230498E-2</c:v>
                </c:pt>
                <c:pt idx="145">
                  <c:v>2.90058011602321E-2</c:v>
                </c:pt>
                <c:pt idx="146">
                  <c:v>2.9205841168233701E-2</c:v>
                </c:pt>
                <c:pt idx="147">
                  <c:v>2.9405881176235302E-2</c:v>
                </c:pt>
                <c:pt idx="148">
                  <c:v>2.9605921184236904E-2</c:v>
                </c:pt>
                <c:pt idx="149">
                  <c:v>2.9805961192238505E-2</c:v>
                </c:pt>
                <c:pt idx="150">
                  <c:v>3.0006001200240107E-2</c:v>
                </c:pt>
                <c:pt idx="151">
                  <c:v>3.0206041208241708E-2</c:v>
                </c:pt>
                <c:pt idx="152">
                  <c:v>3.0406081216243309E-2</c:v>
                </c:pt>
                <c:pt idx="153">
                  <c:v>3.0606121224244911E-2</c:v>
                </c:pt>
                <c:pt idx="154">
                  <c:v>3.0806161232246512E-2</c:v>
                </c:pt>
                <c:pt idx="155">
                  <c:v>3.1006201240248114E-2</c:v>
                </c:pt>
                <c:pt idx="156">
                  <c:v>3.1206241248249715E-2</c:v>
                </c:pt>
                <c:pt idx="157">
                  <c:v>3.1406281256251313E-2</c:v>
                </c:pt>
                <c:pt idx="158">
                  <c:v>3.1606321264252911E-2</c:v>
                </c:pt>
                <c:pt idx="159">
                  <c:v>3.1806361272254509E-2</c:v>
                </c:pt>
                <c:pt idx="160">
                  <c:v>3.2006401280256107E-2</c:v>
                </c:pt>
                <c:pt idx="161">
                  <c:v>3.2206441288257705E-2</c:v>
                </c:pt>
                <c:pt idx="162">
                  <c:v>3.2406481296259303E-2</c:v>
                </c:pt>
                <c:pt idx="163">
                  <c:v>3.2606521304260901E-2</c:v>
                </c:pt>
                <c:pt idx="164">
                  <c:v>3.2806561312262499E-2</c:v>
                </c:pt>
                <c:pt idx="165">
                  <c:v>3.3006601320264096E-2</c:v>
                </c:pt>
                <c:pt idx="166">
                  <c:v>3.3206641328265694E-2</c:v>
                </c:pt>
                <c:pt idx="167">
                  <c:v>3.3406681336267292E-2</c:v>
                </c:pt>
                <c:pt idx="168">
                  <c:v>3.360672134426889E-2</c:v>
                </c:pt>
                <c:pt idx="169">
                  <c:v>3.3806761352270488E-2</c:v>
                </c:pt>
                <c:pt idx="170">
                  <c:v>3.4006801360272086E-2</c:v>
                </c:pt>
                <c:pt idx="171">
                  <c:v>3.4206841368273684E-2</c:v>
                </c:pt>
                <c:pt idx="172">
                  <c:v>3.4406881376275282E-2</c:v>
                </c:pt>
                <c:pt idx="173">
                  <c:v>3.460692138427688E-2</c:v>
                </c:pt>
                <c:pt idx="174">
                  <c:v>3.4806961392278478E-2</c:v>
                </c:pt>
                <c:pt idx="175">
                  <c:v>3.5007001400280076E-2</c:v>
                </c:pt>
                <c:pt idx="176">
                  <c:v>3.5207041408281674E-2</c:v>
                </c:pt>
                <c:pt idx="177">
                  <c:v>3.5407081416283272E-2</c:v>
                </c:pt>
                <c:pt idx="178">
                  <c:v>3.560712142428487E-2</c:v>
                </c:pt>
                <c:pt idx="179">
                  <c:v>3.5807161432286468E-2</c:v>
                </c:pt>
                <c:pt idx="180">
                  <c:v>3.6007201440288066E-2</c:v>
                </c:pt>
                <c:pt idx="181">
                  <c:v>3.6207241448289663E-2</c:v>
                </c:pt>
                <c:pt idx="182">
                  <c:v>3.6407281456291261E-2</c:v>
                </c:pt>
                <c:pt idx="183">
                  <c:v>3.6607321464292859E-2</c:v>
                </c:pt>
                <c:pt idx="184">
                  <c:v>3.6807361472294457E-2</c:v>
                </c:pt>
                <c:pt idx="185">
                  <c:v>3.7007401480296055E-2</c:v>
                </c:pt>
                <c:pt idx="186">
                  <c:v>3.7207441488297653E-2</c:v>
                </c:pt>
                <c:pt idx="187">
                  <c:v>3.7407481496299251E-2</c:v>
                </c:pt>
                <c:pt idx="188">
                  <c:v>3.7607521504300849E-2</c:v>
                </c:pt>
                <c:pt idx="189">
                  <c:v>3.7807561512302447E-2</c:v>
                </c:pt>
                <c:pt idx="190">
                  <c:v>3.8007601520304045E-2</c:v>
                </c:pt>
                <c:pt idx="191">
                  <c:v>3.8207641528305643E-2</c:v>
                </c:pt>
                <c:pt idx="192">
                  <c:v>3.8407681536307241E-2</c:v>
                </c:pt>
                <c:pt idx="193">
                  <c:v>3.8607721544308839E-2</c:v>
                </c:pt>
                <c:pt idx="194">
                  <c:v>3.8807761552310437E-2</c:v>
                </c:pt>
                <c:pt idx="195">
                  <c:v>3.9007801560312035E-2</c:v>
                </c:pt>
                <c:pt idx="196">
                  <c:v>3.9207841568313632E-2</c:v>
                </c:pt>
                <c:pt idx="197">
                  <c:v>3.940788157631523E-2</c:v>
                </c:pt>
                <c:pt idx="198">
                  <c:v>3.9607921584316828E-2</c:v>
                </c:pt>
                <c:pt idx="199">
                  <c:v>3.9807961592318426E-2</c:v>
                </c:pt>
                <c:pt idx="200">
                  <c:v>4.0008001600320024E-2</c:v>
                </c:pt>
                <c:pt idx="201">
                  <c:v>4.0208041608321622E-2</c:v>
                </c:pt>
                <c:pt idx="202">
                  <c:v>4.040808161632322E-2</c:v>
                </c:pt>
                <c:pt idx="203">
                  <c:v>4.0608121624324818E-2</c:v>
                </c:pt>
                <c:pt idx="204">
                  <c:v>4.0808161632326416E-2</c:v>
                </c:pt>
                <c:pt idx="205">
                  <c:v>4.1008201640328014E-2</c:v>
                </c:pt>
                <c:pt idx="206">
                  <c:v>4.1208241648329612E-2</c:v>
                </c:pt>
                <c:pt idx="207">
                  <c:v>4.140828165633121E-2</c:v>
                </c:pt>
                <c:pt idx="208">
                  <c:v>4.1608321664332808E-2</c:v>
                </c:pt>
                <c:pt idx="209">
                  <c:v>4.1808361672334406E-2</c:v>
                </c:pt>
                <c:pt idx="210">
                  <c:v>4.2008401680336004E-2</c:v>
                </c:pt>
                <c:pt idx="211">
                  <c:v>4.2208441688337602E-2</c:v>
                </c:pt>
                <c:pt idx="212">
                  <c:v>4.2408481696339199E-2</c:v>
                </c:pt>
                <c:pt idx="213">
                  <c:v>4.2608521704340797E-2</c:v>
                </c:pt>
                <c:pt idx="214">
                  <c:v>4.2808561712342395E-2</c:v>
                </c:pt>
                <c:pt idx="215">
                  <c:v>4.3008601720343993E-2</c:v>
                </c:pt>
                <c:pt idx="216">
                  <c:v>4.3208641728345591E-2</c:v>
                </c:pt>
                <c:pt idx="217">
                  <c:v>4.3408681736347189E-2</c:v>
                </c:pt>
                <c:pt idx="218">
                  <c:v>4.3608721744348787E-2</c:v>
                </c:pt>
                <c:pt idx="219">
                  <c:v>4.3808761752350385E-2</c:v>
                </c:pt>
                <c:pt idx="220">
                  <c:v>4.4008801760351983E-2</c:v>
                </c:pt>
                <c:pt idx="221">
                  <c:v>4.4208841768353581E-2</c:v>
                </c:pt>
                <c:pt idx="222">
                  <c:v>4.4408881776355179E-2</c:v>
                </c:pt>
                <c:pt idx="223">
                  <c:v>4.4608921784356777E-2</c:v>
                </c:pt>
                <c:pt idx="224">
                  <c:v>4.4808961792358375E-2</c:v>
                </c:pt>
                <c:pt idx="225">
                  <c:v>4.5009001800359973E-2</c:v>
                </c:pt>
                <c:pt idx="226">
                  <c:v>4.5209041808361571E-2</c:v>
                </c:pt>
                <c:pt idx="227">
                  <c:v>4.5409081816363168E-2</c:v>
                </c:pt>
                <c:pt idx="228">
                  <c:v>4.5609121824364766E-2</c:v>
                </c:pt>
                <c:pt idx="229">
                  <c:v>4.5809161832366364E-2</c:v>
                </c:pt>
                <c:pt idx="230">
                  <c:v>4.6009201840367962E-2</c:v>
                </c:pt>
                <c:pt idx="231">
                  <c:v>4.620924184836956E-2</c:v>
                </c:pt>
                <c:pt idx="232">
                  <c:v>4.6409281856371158E-2</c:v>
                </c:pt>
                <c:pt idx="233">
                  <c:v>4.6609321864372756E-2</c:v>
                </c:pt>
                <c:pt idx="234">
                  <c:v>4.6809361872374354E-2</c:v>
                </c:pt>
                <c:pt idx="235">
                  <c:v>4.7009401880375952E-2</c:v>
                </c:pt>
                <c:pt idx="236">
                  <c:v>4.720944188837755E-2</c:v>
                </c:pt>
                <c:pt idx="237">
                  <c:v>4.7409481896379148E-2</c:v>
                </c:pt>
                <c:pt idx="238">
                  <c:v>4.7609521904380746E-2</c:v>
                </c:pt>
                <c:pt idx="239">
                  <c:v>4.7809561912382344E-2</c:v>
                </c:pt>
                <c:pt idx="240">
                  <c:v>4.8009601920383942E-2</c:v>
                </c:pt>
                <c:pt idx="241">
                  <c:v>4.820964192838554E-2</c:v>
                </c:pt>
                <c:pt idx="242">
                  <c:v>4.8409681936387138E-2</c:v>
                </c:pt>
                <c:pt idx="243">
                  <c:v>4.8609721944388735E-2</c:v>
                </c:pt>
                <c:pt idx="244">
                  <c:v>4.8809761952390333E-2</c:v>
                </c:pt>
                <c:pt idx="245">
                  <c:v>4.9009801960391931E-2</c:v>
                </c:pt>
                <c:pt idx="246">
                  <c:v>4.9209841968393529E-2</c:v>
                </c:pt>
                <c:pt idx="247">
                  <c:v>4.9409881976395127E-2</c:v>
                </c:pt>
                <c:pt idx="248">
                  <c:v>4.9609921984396725E-2</c:v>
                </c:pt>
                <c:pt idx="249">
                  <c:v>4.9809961992398323E-2</c:v>
                </c:pt>
                <c:pt idx="250">
                  <c:v>5.0010002000399921E-2</c:v>
                </c:pt>
                <c:pt idx="251">
                  <c:v>5.0210042008401519E-2</c:v>
                </c:pt>
                <c:pt idx="252">
                  <c:v>5.0410082016403117E-2</c:v>
                </c:pt>
                <c:pt idx="253">
                  <c:v>5.0610122024404715E-2</c:v>
                </c:pt>
                <c:pt idx="254">
                  <c:v>5.0810162032406313E-2</c:v>
                </c:pt>
                <c:pt idx="255">
                  <c:v>5.1010202040407911E-2</c:v>
                </c:pt>
                <c:pt idx="256">
                  <c:v>5.1210242048409509E-2</c:v>
                </c:pt>
                <c:pt idx="257">
                  <c:v>5.1410282056411107E-2</c:v>
                </c:pt>
                <c:pt idx="258">
                  <c:v>5.1610322064412704E-2</c:v>
                </c:pt>
                <c:pt idx="259">
                  <c:v>5.1810362072414302E-2</c:v>
                </c:pt>
                <c:pt idx="260">
                  <c:v>5.20104020804159E-2</c:v>
                </c:pt>
                <c:pt idx="261">
                  <c:v>5.2210442088417498E-2</c:v>
                </c:pt>
                <c:pt idx="262">
                  <c:v>5.2410482096419096E-2</c:v>
                </c:pt>
                <c:pt idx="263">
                  <c:v>5.2610522104420694E-2</c:v>
                </c:pt>
                <c:pt idx="264">
                  <c:v>5.2810562112422292E-2</c:v>
                </c:pt>
                <c:pt idx="265">
                  <c:v>5.301060212042389E-2</c:v>
                </c:pt>
                <c:pt idx="266">
                  <c:v>5.3210642128425488E-2</c:v>
                </c:pt>
                <c:pt idx="267">
                  <c:v>5.3410682136427086E-2</c:v>
                </c:pt>
                <c:pt idx="268">
                  <c:v>5.3610722144428684E-2</c:v>
                </c:pt>
                <c:pt idx="269">
                  <c:v>5.3810762152430282E-2</c:v>
                </c:pt>
                <c:pt idx="270">
                  <c:v>5.401080216043188E-2</c:v>
                </c:pt>
                <c:pt idx="271">
                  <c:v>5.4210842168433478E-2</c:v>
                </c:pt>
                <c:pt idx="272">
                  <c:v>5.4410882176435076E-2</c:v>
                </c:pt>
                <c:pt idx="273">
                  <c:v>5.4610922184436674E-2</c:v>
                </c:pt>
                <c:pt idx="274">
                  <c:v>5.4810962192438271E-2</c:v>
                </c:pt>
                <c:pt idx="275">
                  <c:v>5.5011002200439869E-2</c:v>
                </c:pt>
                <c:pt idx="276">
                  <c:v>5.5211042208441467E-2</c:v>
                </c:pt>
                <c:pt idx="277">
                  <c:v>5.5411082216443065E-2</c:v>
                </c:pt>
                <c:pt idx="278">
                  <c:v>5.5611122224444663E-2</c:v>
                </c:pt>
                <c:pt idx="279">
                  <c:v>5.5811162232446261E-2</c:v>
                </c:pt>
                <c:pt idx="280">
                  <c:v>5.6011202240447859E-2</c:v>
                </c:pt>
                <c:pt idx="281">
                  <c:v>5.6211242248449457E-2</c:v>
                </c:pt>
                <c:pt idx="282">
                  <c:v>5.6411282256451055E-2</c:v>
                </c:pt>
                <c:pt idx="283">
                  <c:v>5.6611322264452653E-2</c:v>
                </c:pt>
                <c:pt idx="284">
                  <c:v>5.6811362272454251E-2</c:v>
                </c:pt>
                <c:pt idx="285">
                  <c:v>5.7011402280455849E-2</c:v>
                </c:pt>
                <c:pt idx="286">
                  <c:v>5.7211442288457447E-2</c:v>
                </c:pt>
                <c:pt idx="287">
                  <c:v>5.7411482296459045E-2</c:v>
                </c:pt>
                <c:pt idx="288">
                  <c:v>5.7611522304460643E-2</c:v>
                </c:pt>
                <c:pt idx="289">
                  <c:v>5.781156231246224E-2</c:v>
                </c:pt>
                <c:pt idx="290">
                  <c:v>5.8011602320463838E-2</c:v>
                </c:pt>
                <c:pt idx="291">
                  <c:v>5.8211642328465436E-2</c:v>
                </c:pt>
                <c:pt idx="292">
                  <c:v>5.8411682336467034E-2</c:v>
                </c:pt>
                <c:pt idx="293">
                  <c:v>5.8611722344468632E-2</c:v>
                </c:pt>
                <c:pt idx="294">
                  <c:v>5.881176235247023E-2</c:v>
                </c:pt>
                <c:pt idx="295">
                  <c:v>5.9011802360471828E-2</c:v>
                </c:pt>
                <c:pt idx="296">
                  <c:v>5.9211842368473426E-2</c:v>
                </c:pt>
                <c:pt idx="297">
                  <c:v>5.9411882376475024E-2</c:v>
                </c:pt>
                <c:pt idx="298">
                  <c:v>5.9611922384476622E-2</c:v>
                </c:pt>
                <c:pt idx="299">
                  <c:v>5.981196239247822E-2</c:v>
                </c:pt>
                <c:pt idx="300">
                  <c:v>6.0012002400479818E-2</c:v>
                </c:pt>
                <c:pt idx="301">
                  <c:v>6.0212042408481416E-2</c:v>
                </c:pt>
                <c:pt idx="302">
                  <c:v>6.0412082416483014E-2</c:v>
                </c:pt>
                <c:pt idx="303">
                  <c:v>6.0612122424484612E-2</c:v>
                </c:pt>
                <c:pt idx="304">
                  <c:v>6.081216243248621E-2</c:v>
                </c:pt>
                <c:pt idx="305">
                  <c:v>6.1012202440487807E-2</c:v>
                </c:pt>
                <c:pt idx="306">
                  <c:v>6.1212242448489405E-2</c:v>
                </c:pt>
                <c:pt idx="307">
                  <c:v>6.1412282456491003E-2</c:v>
                </c:pt>
                <c:pt idx="308">
                  <c:v>6.1612322464492601E-2</c:v>
                </c:pt>
                <c:pt idx="309">
                  <c:v>6.1812362472494199E-2</c:v>
                </c:pt>
                <c:pt idx="310">
                  <c:v>6.2012402480495797E-2</c:v>
                </c:pt>
                <c:pt idx="311">
                  <c:v>6.2212442488497395E-2</c:v>
                </c:pt>
                <c:pt idx="312">
                  <c:v>6.2412482496498993E-2</c:v>
                </c:pt>
                <c:pt idx="313">
                  <c:v>6.2612522504500598E-2</c:v>
                </c:pt>
                <c:pt idx="314">
                  <c:v>6.2812562512502196E-2</c:v>
                </c:pt>
                <c:pt idx="315">
                  <c:v>6.3012602520503794E-2</c:v>
                </c:pt>
                <c:pt idx="316">
                  <c:v>6.3212642528505392E-2</c:v>
                </c:pt>
                <c:pt idx="317">
                  <c:v>6.341268253650699E-2</c:v>
                </c:pt>
                <c:pt idx="318">
                  <c:v>6.3612722544508588E-2</c:v>
                </c:pt>
                <c:pt idx="319">
                  <c:v>6.3812762552510185E-2</c:v>
                </c:pt>
                <c:pt idx="320">
                  <c:v>6.4012802560511783E-2</c:v>
                </c:pt>
                <c:pt idx="321">
                  <c:v>6.4212842568513381E-2</c:v>
                </c:pt>
                <c:pt idx="322">
                  <c:v>6.4412882576514979E-2</c:v>
                </c:pt>
                <c:pt idx="323">
                  <c:v>6.4612922584516577E-2</c:v>
                </c:pt>
                <c:pt idx="324">
                  <c:v>6.4812962592518175E-2</c:v>
                </c:pt>
                <c:pt idx="325">
                  <c:v>6.5013002600519773E-2</c:v>
                </c:pt>
                <c:pt idx="326">
                  <c:v>6.5213042608521371E-2</c:v>
                </c:pt>
                <c:pt idx="327">
                  <c:v>6.5413082616522969E-2</c:v>
                </c:pt>
                <c:pt idx="328">
                  <c:v>6.5613122624524567E-2</c:v>
                </c:pt>
                <c:pt idx="329">
                  <c:v>6.5813162632526165E-2</c:v>
                </c:pt>
                <c:pt idx="330">
                  <c:v>6.6013202640527763E-2</c:v>
                </c:pt>
                <c:pt idx="331">
                  <c:v>6.6213242648529361E-2</c:v>
                </c:pt>
                <c:pt idx="332">
                  <c:v>6.6413282656530959E-2</c:v>
                </c:pt>
                <c:pt idx="333">
                  <c:v>6.6613322664532557E-2</c:v>
                </c:pt>
                <c:pt idx="334">
                  <c:v>6.6813362672534155E-2</c:v>
                </c:pt>
                <c:pt idx="335">
                  <c:v>6.7013402680535752E-2</c:v>
                </c:pt>
                <c:pt idx="336">
                  <c:v>6.721344268853735E-2</c:v>
                </c:pt>
                <c:pt idx="337">
                  <c:v>6.7413482696538948E-2</c:v>
                </c:pt>
                <c:pt idx="338">
                  <c:v>6.7613522704540546E-2</c:v>
                </c:pt>
                <c:pt idx="339">
                  <c:v>6.7813562712542144E-2</c:v>
                </c:pt>
                <c:pt idx="340">
                  <c:v>6.8013602720543742E-2</c:v>
                </c:pt>
                <c:pt idx="341">
                  <c:v>6.821364272854534E-2</c:v>
                </c:pt>
                <c:pt idx="342">
                  <c:v>6.8413682736546938E-2</c:v>
                </c:pt>
                <c:pt idx="343">
                  <c:v>6.8613722744548536E-2</c:v>
                </c:pt>
                <c:pt idx="344">
                  <c:v>6.8813762752550134E-2</c:v>
                </c:pt>
                <c:pt idx="345">
                  <c:v>6.9013802760551732E-2</c:v>
                </c:pt>
                <c:pt idx="346">
                  <c:v>6.921384276855333E-2</c:v>
                </c:pt>
                <c:pt idx="347">
                  <c:v>6.9413882776554928E-2</c:v>
                </c:pt>
                <c:pt idx="348">
                  <c:v>6.9613922784556526E-2</c:v>
                </c:pt>
                <c:pt idx="349">
                  <c:v>6.9813962792558124E-2</c:v>
                </c:pt>
                <c:pt idx="350">
                  <c:v>7.0014002800559721E-2</c:v>
                </c:pt>
                <c:pt idx="351">
                  <c:v>7.0214042808561319E-2</c:v>
                </c:pt>
                <c:pt idx="352">
                  <c:v>7.0414082816562917E-2</c:v>
                </c:pt>
                <c:pt idx="353">
                  <c:v>7.0614122824564515E-2</c:v>
                </c:pt>
                <c:pt idx="354">
                  <c:v>7.0814162832566113E-2</c:v>
                </c:pt>
                <c:pt idx="355">
                  <c:v>7.1014202840567711E-2</c:v>
                </c:pt>
                <c:pt idx="356">
                  <c:v>7.1214242848569309E-2</c:v>
                </c:pt>
                <c:pt idx="357">
                  <c:v>7.1414282856570907E-2</c:v>
                </c:pt>
                <c:pt idx="358">
                  <c:v>7.1614322864572505E-2</c:v>
                </c:pt>
                <c:pt idx="359">
                  <c:v>7.1814362872574103E-2</c:v>
                </c:pt>
                <c:pt idx="360">
                  <c:v>7.2014402880575701E-2</c:v>
                </c:pt>
                <c:pt idx="361">
                  <c:v>7.2214442888577299E-2</c:v>
                </c:pt>
                <c:pt idx="362">
                  <c:v>7.2414482896578897E-2</c:v>
                </c:pt>
                <c:pt idx="363">
                  <c:v>7.2614522904580495E-2</c:v>
                </c:pt>
                <c:pt idx="364">
                  <c:v>7.2814562912582093E-2</c:v>
                </c:pt>
                <c:pt idx="365">
                  <c:v>7.3014602920583691E-2</c:v>
                </c:pt>
                <c:pt idx="366">
                  <c:v>7.3214642928585288E-2</c:v>
                </c:pt>
                <c:pt idx="367">
                  <c:v>7.3414682936586886E-2</c:v>
                </c:pt>
                <c:pt idx="368">
                  <c:v>7.3614722944588484E-2</c:v>
                </c:pt>
                <c:pt idx="369">
                  <c:v>7.3814762952590082E-2</c:v>
                </c:pt>
                <c:pt idx="370">
                  <c:v>7.401480296059168E-2</c:v>
                </c:pt>
                <c:pt idx="371">
                  <c:v>7.4214842968593278E-2</c:v>
                </c:pt>
                <c:pt idx="372">
                  <c:v>7.4414882976594876E-2</c:v>
                </c:pt>
                <c:pt idx="373">
                  <c:v>7.4614922984596474E-2</c:v>
                </c:pt>
                <c:pt idx="374">
                  <c:v>7.4814962992598072E-2</c:v>
                </c:pt>
                <c:pt idx="375">
                  <c:v>7.501500300059967E-2</c:v>
                </c:pt>
                <c:pt idx="376">
                  <c:v>7.5215043008601268E-2</c:v>
                </c:pt>
                <c:pt idx="377">
                  <c:v>7.5415083016602866E-2</c:v>
                </c:pt>
                <c:pt idx="378">
                  <c:v>7.5615123024604464E-2</c:v>
                </c:pt>
                <c:pt idx="379">
                  <c:v>7.5815163032606062E-2</c:v>
                </c:pt>
                <c:pt idx="380">
                  <c:v>7.601520304060766E-2</c:v>
                </c:pt>
                <c:pt idx="381">
                  <c:v>7.6215243048609257E-2</c:v>
                </c:pt>
                <c:pt idx="382">
                  <c:v>7.6415283056610855E-2</c:v>
                </c:pt>
                <c:pt idx="383">
                  <c:v>7.6615323064612453E-2</c:v>
                </c:pt>
                <c:pt idx="384">
                  <c:v>7.6815363072614051E-2</c:v>
                </c:pt>
                <c:pt idx="385">
                  <c:v>7.7015403080615649E-2</c:v>
                </c:pt>
                <c:pt idx="386">
                  <c:v>7.7215443088617247E-2</c:v>
                </c:pt>
                <c:pt idx="387">
                  <c:v>7.7415483096618845E-2</c:v>
                </c:pt>
                <c:pt idx="388">
                  <c:v>7.7615523104620443E-2</c:v>
                </c:pt>
                <c:pt idx="389">
                  <c:v>7.7815563112622041E-2</c:v>
                </c:pt>
                <c:pt idx="390">
                  <c:v>7.8015603120623639E-2</c:v>
                </c:pt>
                <c:pt idx="391">
                  <c:v>7.8215643128625237E-2</c:v>
                </c:pt>
                <c:pt idx="392">
                  <c:v>7.8415683136626835E-2</c:v>
                </c:pt>
                <c:pt idx="393">
                  <c:v>7.8615723144628433E-2</c:v>
                </c:pt>
                <c:pt idx="394">
                  <c:v>7.8815763152630031E-2</c:v>
                </c:pt>
                <c:pt idx="395">
                  <c:v>7.9015803160631629E-2</c:v>
                </c:pt>
                <c:pt idx="396">
                  <c:v>7.9215843168633227E-2</c:v>
                </c:pt>
                <c:pt idx="397">
                  <c:v>7.9415883176634824E-2</c:v>
                </c:pt>
                <c:pt idx="398">
                  <c:v>7.9615923184636422E-2</c:v>
                </c:pt>
                <c:pt idx="399">
                  <c:v>7.981596319263802E-2</c:v>
                </c:pt>
                <c:pt idx="400">
                  <c:v>8.0016003200639618E-2</c:v>
                </c:pt>
                <c:pt idx="401">
                  <c:v>8.0216043208641216E-2</c:v>
                </c:pt>
                <c:pt idx="402">
                  <c:v>8.0416083216642814E-2</c:v>
                </c:pt>
                <c:pt idx="403">
                  <c:v>8.0616123224644412E-2</c:v>
                </c:pt>
                <c:pt idx="404">
                  <c:v>8.081616323264601E-2</c:v>
                </c:pt>
                <c:pt idx="405">
                  <c:v>8.1016203240647608E-2</c:v>
                </c:pt>
                <c:pt idx="406">
                  <c:v>8.1216243248649206E-2</c:v>
                </c:pt>
                <c:pt idx="407">
                  <c:v>8.1416283256650804E-2</c:v>
                </c:pt>
                <c:pt idx="408">
                  <c:v>8.1616323264652402E-2</c:v>
                </c:pt>
                <c:pt idx="409">
                  <c:v>8.1816363272654E-2</c:v>
                </c:pt>
                <c:pt idx="410">
                  <c:v>8.2016403280655598E-2</c:v>
                </c:pt>
                <c:pt idx="411">
                  <c:v>8.2216443288657196E-2</c:v>
                </c:pt>
                <c:pt idx="412">
                  <c:v>8.2416483296658793E-2</c:v>
                </c:pt>
                <c:pt idx="413">
                  <c:v>8.2616523304660391E-2</c:v>
                </c:pt>
                <c:pt idx="414">
                  <c:v>8.2816563312661989E-2</c:v>
                </c:pt>
                <c:pt idx="415">
                  <c:v>8.3016603320663587E-2</c:v>
                </c:pt>
                <c:pt idx="416">
                  <c:v>8.3216643328665185E-2</c:v>
                </c:pt>
                <c:pt idx="417">
                  <c:v>8.3416683336666783E-2</c:v>
                </c:pt>
                <c:pt idx="418">
                  <c:v>8.3616723344668381E-2</c:v>
                </c:pt>
                <c:pt idx="419">
                  <c:v>8.3816763352669979E-2</c:v>
                </c:pt>
                <c:pt idx="420">
                  <c:v>8.4016803360671577E-2</c:v>
                </c:pt>
                <c:pt idx="421">
                  <c:v>8.4216843368673175E-2</c:v>
                </c:pt>
                <c:pt idx="422">
                  <c:v>8.4416883376674773E-2</c:v>
                </c:pt>
                <c:pt idx="423">
                  <c:v>8.4616923384676371E-2</c:v>
                </c:pt>
                <c:pt idx="424">
                  <c:v>8.4816963392677969E-2</c:v>
                </c:pt>
                <c:pt idx="425">
                  <c:v>8.5017003400679567E-2</c:v>
                </c:pt>
                <c:pt idx="426">
                  <c:v>8.5217043408681165E-2</c:v>
                </c:pt>
                <c:pt idx="427">
                  <c:v>8.5417083416682762E-2</c:v>
                </c:pt>
                <c:pt idx="428">
                  <c:v>8.561712342468436E-2</c:v>
                </c:pt>
                <c:pt idx="429">
                  <c:v>8.5817163432685958E-2</c:v>
                </c:pt>
                <c:pt idx="430">
                  <c:v>8.6017203440687556E-2</c:v>
                </c:pt>
                <c:pt idx="431">
                  <c:v>8.6217243448689154E-2</c:v>
                </c:pt>
                <c:pt idx="432">
                  <c:v>8.6417283456690752E-2</c:v>
                </c:pt>
                <c:pt idx="433">
                  <c:v>8.661732346469235E-2</c:v>
                </c:pt>
                <c:pt idx="434">
                  <c:v>8.6817363472693948E-2</c:v>
                </c:pt>
                <c:pt idx="435">
                  <c:v>8.7017403480695546E-2</c:v>
                </c:pt>
                <c:pt idx="436">
                  <c:v>8.7217443488697144E-2</c:v>
                </c:pt>
                <c:pt idx="437">
                  <c:v>8.7417483496698742E-2</c:v>
                </c:pt>
                <c:pt idx="438">
                  <c:v>8.761752350470034E-2</c:v>
                </c:pt>
                <c:pt idx="439">
                  <c:v>8.7817563512701938E-2</c:v>
                </c:pt>
                <c:pt idx="440">
                  <c:v>8.8017603520703536E-2</c:v>
                </c:pt>
                <c:pt idx="441">
                  <c:v>8.8217643528705134E-2</c:v>
                </c:pt>
                <c:pt idx="442">
                  <c:v>8.8417683536706732E-2</c:v>
                </c:pt>
                <c:pt idx="443">
                  <c:v>8.8617723544708329E-2</c:v>
                </c:pt>
                <c:pt idx="444">
                  <c:v>8.8817763552709927E-2</c:v>
                </c:pt>
                <c:pt idx="445">
                  <c:v>8.9017803560711525E-2</c:v>
                </c:pt>
                <c:pt idx="446">
                  <c:v>8.9217843568713123E-2</c:v>
                </c:pt>
                <c:pt idx="447">
                  <c:v>8.9417883576714721E-2</c:v>
                </c:pt>
                <c:pt idx="448">
                  <c:v>8.9617923584716319E-2</c:v>
                </c:pt>
                <c:pt idx="449">
                  <c:v>8.9817963592717917E-2</c:v>
                </c:pt>
                <c:pt idx="450">
                  <c:v>9.0018003600719515E-2</c:v>
                </c:pt>
                <c:pt idx="451">
                  <c:v>9.0218043608721113E-2</c:v>
                </c:pt>
                <c:pt idx="452">
                  <c:v>9.0418083616722711E-2</c:v>
                </c:pt>
                <c:pt idx="453">
                  <c:v>9.0618123624724309E-2</c:v>
                </c:pt>
                <c:pt idx="454">
                  <c:v>9.0818163632725907E-2</c:v>
                </c:pt>
                <c:pt idx="455">
                  <c:v>9.1018203640727505E-2</c:v>
                </c:pt>
                <c:pt idx="456">
                  <c:v>9.1218243648729103E-2</c:v>
                </c:pt>
                <c:pt idx="457">
                  <c:v>9.1418283656730701E-2</c:v>
                </c:pt>
                <c:pt idx="458">
                  <c:v>9.1618323664732298E-2</c:v>
                </c:pt>
                <c:pt idx="459">
                  <c:v>9.1818363672733896E-2</c:v>
                </c:pt>
                <c:pt idx="460">
                  <c:v>9.2018403680735494E-2</c:v>
                </c:pt>
                <c:pt idx="461">
                  <c:v>9.2218443688737092E-2</c:v>
                </c:pt>
                <c:pt idx="462">
                  <c:v>9.241848369673869E-2</c:v>
                </c:pt>
                <c:pt idx="463">
                  <c:v>9.2618523704740288E-2</c:v>
                </c:pt>
                <c:pt idx="464">
                  <c:v>9.2818563712741886E-2</c:v>
                </c:pt>
                <c:pt idx="465">
                  <c:v>9.3018603720743484E-2</c:v>
                </c:pt>
                <c:pt idx="466">
                  <c:v>9.3218643728745082E-2</c:v>
                </c:pt>
                <c:pt idx="467">
                  <c:v>9.341868373674668E-2</c:v>
                </c:pt>
                <c:pt idx="468">
                  <c:v>9.3618723744748278E-2</c:v>
                </c:pt>
                <c:pt idx="469">
                  <c:v>9.3818763752749876E-2</c:v>
                </c:pt>
                <c:pt idx="470">
                  <c:v>9.4018803760751474E-2</c:v>
                </c:pt>
                <c:pt idx="471">
                  <c:v>9.4218843768753072E-2</c:v>
                </c:pt>
                <c:pt idx="472">
                  <c:v>9.441888377675467E-2</c:v>
                </c:pt>
                <c:pt idx="473">
                  <c:v>9.4618923784756268E-2</c:v>
                </c:pt>
                <c:pt idx="474">
                  <c:v>9.4818963792757865E-2</c:v>
                </c:pt>
                <c:pt idx="475">
                  <c:v>9.5019003800759463E-2</c:v>
                </c:pt>
                <c:pt idx="476">
                  <c:v>9.5219043808761061E-2</c:v>
                </c:pt>
                <c:pt idx="477">
                  <c:v>9.5419083816762659E-2</c:v>
                </c:pt>
                <c:pt idx="478">
                  <c:v>9.5619123824764257E-2</c:v>
                </c:pt>
                <c:pt idx="479">
                  <c:v>9.5819163832765855E-2</c:v>
                </c:pt>
                <c:pt idx="480">
                  <c:v>9.6019203840767453E-2</c:v>
                </c:pt>
                <c:pt idx="481">
                  <c:v>9.6219243848769051E-2</c:v>
                </c:pt>
                <c:pt idx="482">
                  <c:v>9.6419283856770649E-2</c:v>
                </c:pt>
                <c:pt idx="483">
                  <c:v>9.6619323864772247E-2</c:v>
                </c:pt>
                <c:pt idx="484">
                  <c:v>9.6819363872773845E-2</c:v>
                </c:pt>
                <c:pt idx="485">
                  <c:v>9.7019403880775443E-2</c:v>
                </c:pt>
                <c:pt idx="486">
                  <c:v>9.7219443888777041E-2</c:v>
                </c:pt>
                <c:pt idx="487">
                  <c:v>9.7419483896778639E-2</c:v>
                </c:pt>
                <c:pt idx="488">
                  <c:v>9.7619523904780237E-2</c:v>
                </c:pt>
                <c:pt idx="489">
                  <c:v>9.7819563912781834E-2</c:v>
                </c:pt>
                <c:pt idx="490">
                  <c:v>9.8019603920783432E-2</c:v>
                </c:pt>
                <c:pt idx="491">
                  <c:v>9.821964392878503E-2</c:v>
                </c:pt>
                <c:pt idx="492">
                  <c:v>9.8419683936786628E-2</c:v>
                </c:pt>
                <c:pt idx="493">
                  <c:v>9.8619723944788226E-2</c:v>
                </c:pt>
                <c:pt idx="494">
                  <c:v>9.8819763952789824E-2</c:v>
                </c:pt>
                <c:pt idx="495">
                  <c:v>9.9019803960791422E-2</c:v>
                </c:pt>
                <c:pt idx="496">
                  <c:v>9.921984396879302E-2</c:v>
                </c:pt>
                <c:pt idx="497">
                  <c:v>9.9419883976794618E-2</c:v>
                </c:pt>
                <c:pt idx="498">
                  <c:v>9.9619923984796216E-2</c:v>
                </c:pt>
                <c:pt idx="499">
                  <c:v>9.9819963992797814E-2</c:v>
                </c:pt>
                <c:pt idx="500">
                  <c:v>0.10002000400079941</c:v>
                </c:pt>
                <c:pt idx="501">
                  <c:v>0.10022004400880101</c:v>
                </c:pt>
                <c:pt idx="502">
                  <c:v>0.10042008401680261</c:v>
                </c:pt>
                <c:pt idx="503">
                  <c:v>0.10062012402480421</c:v>
                </c:pt>
                <c:pt idx="504">
                  <c:v>0.1008201640328058</c:v>
                </c:pt>
                <c:pt idx="505">
                  <c:v>0.1010202040408074</c:v>
                </c:pt>
                <c:pt idx="506">
                  <c:v>0.101220244048809</c:v>
                </c:pt>
                <c:pt idx="507">
                  <c:v>0.1014202840568106</c:v>
                </c:pt>
                <c:pt idx="508">
                  <c:v>0.1016203240648122</c:v>
                </c:pt>
                <c:pt idx="509">
                  <c:v>0.10182036407281379</c:v>
                </c:pt>
                <c:pt idx="510">
                  <c:v>0.10202040408081539</c:v>
                </c:pt>
                <c:pt idx="511">
                  <c:v>0.10222044408881699</c:v>
                </c:pt>
                <c:pt idx="512">
                  <c:v>0.10242048409681859</c:v>
                </c:pt>
                <c:pt idx="513">
                  <c:v>0.10262052410482018</c:v>
                </c:pt>
                <c:pt idx="514">
                  <c:v>0.10282056411282178</c:v>
                </c:pt>
                <c:pt idx="515">
                  <c:v>0.10302060412082338</c:v>
                </c:pt>
                <c:pt idx="516">
                  <c:v>0.10322064412882498</c:v>
                </c:pt>
                <c:pt idx="517">
                  <c:v>0.10342068413682658</c:v>
                </c:pt>
                <c:pt idx="518">
                  <c:v>0.10362072414482817</c:v>
                </c:pt>
                <c:pt idx="519">
                  <c:v>0.10382076415282977</c:v>
                </c:pt>
                <c:pt idx="520">
                  <c:v>0.10402080416083137</c:v>
                </c:pt>
                <c:pt idx="521">
                  <c:v>0.10422084416883297</c:v>
                </c:pt>
                <c:pt idx="522">
                  <c:v>0.10442088417683457</c:v>
                </c:pt>
                <c:pt idx="523">
                  <c:v>0.10462092418483616</c:v>
                </c:pt>
                <c:pt idx="524">
                  <c:v>0.10482096419283776</c:v>
                </c:pt>
                <c:pt idx="525">
                  <c:v>0.10502100420083936</c:v>
                </c:pt>
                <c:pt idx="526">
                  <c:v>0.10522104420884096</c:v>
                </c:pt>
                <c:pt idx="527">
                  <c:v>0.10542108421684256</c:v>
                </c:pt>
                <c:pt idx="528">
                  <c:v>0.10562112422484415</c:v>
                </c:pt>
                <c:pt idx="529">
                  <c:v>0.10582116423284575</c:v>
                </c:pt>
                <c:pt idx="530">
                  <c:v>0.10602120424084735</c:v>
                </c:pt>
                <c:pt idx="531">
                  <c:v>0.10622124424884895</c:v>
                </c:pt>
                <c:pt idx="532">
                  <c:v>0.10642128425685055</c:v>
                </c:pt>
                <c:pt idx="533">
                  <c:v>0.10662132426485214</c:v>
                </c:pt>
                <c:pt idx="534">
                  <c:v>0.10682136427285374</c:v>
                </c:pt>
                <c:pt idx="535">
                  <c:v>0.10702140428085534</c:v>
                </c:pt>
                <c:pt idx="536">
                  <c:v>0.10722144428885694</c:v>
                </c:pt>
                <c:pt idx="537">
                  <c:v>0.10742148429685854</c:v>
                </c:pt>
                <c:pt idx="538">
                  <c:v>0.10762152430486013</c:v>
                </c:pt>
                <c:pt idx="539">
                  <c:v>0.10782156431286173</c:v>
                </c:pt>
                <c:pt idx="540">
                  <c:v>0.10802160432086333</c:v>
                </c:pt>
                <c:pt idx="541">
                  <c:v>0.10822164432886493</c:v>
                </c:pt>
                <c:pt idx="542">
                  <c:v>0.10842168433686653</c:v>
                </c:pt>
                <c:pt idx="543">
                  <c:v>0.10862172434486812</c:v>
                </c:pt>
                <c:pt idx="544">
                  <c:v>0.10882176435286972</c:v>
                </c:pt>
                <c:pt idx="545">
                  <c:v>0.10902180436087132</c:v>
                </c:pt>
                <c:pt idx="546">
                  <c:v>0.10922184436887292</c:v>
                </c:pt>
                <c:pt idx="547">
                  <c:v>0.10942188437687451</c:v>
                </c:pt>
                <c:pt idx="548">
                  <c:v>0.10962192438487611</c:v>
                </c:pt>
                <c:pt idx="549">
                  <c:v>0.10982196439287771</c:v>
                </c:pt>
                <c:pt idx="550">
                  <c:v>0.11002200440087931</c:v>
                </c:pt>
                <c:pt idx="551">
                  <c:v>0.11022204440888091</c:v>
                </c:pt>
                <c:pt idx="552">
                  <c:v>0.1104220844168825</c:v>
                </c:pt>
                <c:pt idx="553">
                  <c:v>0.1106221244248841</c:v>
                </c:pt>
                <c:pt idx="554">
                  <c:v>0.1108221644328857</c:v>
                </c:pt>
                <c:pt idx="555">
                  <c:v>0.1110222044408873</c:v>
                </c:pt>
                <c:pt idx="556">
                  <c:v>0.1112222444488889</c:v>
                </c:pt>
                <c:pt idx="557">
                  <c:v>0.11142228445689049</c:v>
                </c:pt>
                <c:pt idx="558">
                  <c:v>0.11162232446489209</c:v>
                </c:pt>
                <c:pt idx="559">
                  <c:v>0.11182236447289369</c:v>
                </c:pt>
                <c:pt idx="560">
                  <c:v>0.11202240448089529</c:v>
                </c:pt>
                <c:pt idx="561">
                  <c:v>0.11222244448889689</c:v>
                </c:pt>
                <c:pt idx="562">
                  <c:v>0.11242248449689848</c:v>
                </c:pt>
                <c:pt idx="563">
                  <c:v>0.11262252450490008</c:v>
                </c:pt>
                <c:pt idx="564">
                  <c:v>0.11282256451290168</c:v>
                </c:pt>
                <c:pt idx="565">
                  <c:v>0.11302260452090328</c:v>
                </c:pt>
                <c:pt idx="566">
                  <c:v>0.11322264452890488</c:v>
                </c:pt>
                <c:pt idx="567">
                  <c:v>0.11342268453690647</c:v>
                </c:pt>
                <c:pt idx="568">
                  <c:v>0.11362272454490807</c:v>
                </c:pt>
                <c:pt idx="569">
                  <c:v>0.11382276455290967</c:v>
                </c:pt>
                <c:pt idx="570">
                  <c:v>0.11402280456091127</c:v>
                </c:pt>
                <c:pt idx="571">
                  <c:v>0.11422284456891287</c:v>
                </c:pt>
                <c:pt idx="572">
                  <c:v>0.11442288457691446</c:v>
                </c:pt>
                <c:pt idx="573">
                  <c:v>0.11462292458491606</c:v>
                </c:pt>
                <c:pt idx="574">
                  <c:v>0.11482296459291766</c:v>
                </c:pt>
                <c:pt idx="575">
                  <c:v>0.11502300460091926</c:v>
                </c:pt>
                <c:pt idx="576">
                  <c:v>0.11522304460892085</c:v>
                </c:pt>
                <c:pt idx="577">
                  <c:v>0.11542308461692245</c:v>
                </c:pt>
                <c:pt idx="578">
                  <c:v>0.11562312462492405</c:v>
                </c:pt>
                <c:pt idx="579">
                  <c:v>0.11582316463292565</c:v>
                </c:pt>
                <c:pt idx="580">
                  <c:v>0.11602320464092725</c:v>
                </c:pt>
                <c:pt idx="581">
                  <c:v>0.11622324464892884</c:v>
                </c:pt>
                <c:pt idx="582">
                  <c:v>0.11642328465693044</c:v>
                </c:pt>
                <c:pt idx="583">
                  <c:v>0.11662332466493204</c:v>
                </c:pt>
                <c:pt idx="584">
                  <c:v>0.11682336467293364</c:v>
                </c:pt>
                <c:pt idx="585">
                  <c:v>0.11702340468093524</c:v>
                </c:pt>
                <c:pt idx="586">
                  <c:v>0.11722344468893683</c:v>
                </c:pt>
                <c:pt idx="587">
                  <c:v>0.11742348469693843</c:v>
                </c:pt>
                <c:pt idx="588">
                  <c:v>0.11762352470494003</c:v>
                </c:pt>
                <c:pt idx="589">
                  <c:v>0.11782356471294163</c:v>
                </c:pt>
                <c:pt idx="590">
                  <c:v>0.11802360472094323</c:v>
                </c:pt>
                <c:pt idx="591">
                  <c:v>0.11822364472894482</c:v>
                </c:pt>
                <c:pt idx="592">
                  <c:v>0.11842368473694642</c:v>
                </c:pt>
                <c:pt idx="593">
                  <c:v>0.11862372474494802</c:v>
                </c:pt>
                <c:pt idx="594">
                  <c:v>0.11882376475294962</c:v>
                </c:pt>
                <c:pt idx="595">
                  <c:v>0.11902380476095122</c:v>
                </c:pt>
                <c:pt idx="596">
                  <c:v>0.11922384476895281</c:v>
                </c:pt>
                <c:pt idx="597">
                  <c:v>0.11942388477695441</c:v>
                </c:pt>
                <c:pt idx="598">
                  <c:v>0.11962392478495601</c:v>
                </c:pt>
                <c:pt idx="599">
                  <c:v>0.11982396479295761</c:v>
                </c:pt>
                <c:pt idx="600">
                  <c:v>0.12002400480095921</c:v>
                </c:pt>
                <c:pt idx="601">
                  <c:v>0.1202240448089608</c:v>
                </c:pt>
                <c:pt idx="602">
                  <c:v>0.1204240848169624</c:v>
                </c:pt>
                <c:pt idx="603">
                  <c:v>0.120624124824964</c:v>
                </c:pt>
                <c:pt idx="604">
                  <c:v>0.1208241648329656</c:v>
                </c:pt>
                <c:pt idx="605">
                  <c:v>0.12102420484096719</c:v>
                </c:pt>
                <c:pt idx="606">
                  <c:v>0.12122424484896879</c:v>
                </c:pt>
                <c:pt idx="607">
                  <c:v>0.12142428485697039</c:v>
                </c:pt>
                <c:pt idx="608">
                  <c:v>0.12162432486497199</c:v>
                </c:pt>
                <c:pt idx="609">
                  <c:v>0.12182436487297359</c:v>
                </c:pt>
                <c:pt idx="610">
                  <c:v>0.12202440488097518</c:v>
                </c:pt>
                <c:pt idx="611">
                  <c:v>0.12222444488897678</c:v>
                </c:pt>
                <c:pt idx="612">
                  <c:v>0.12242448489697838</c:v>
                </c:pt>
                <c:pt idx="613">
                  <c:v>0.12262452490497998</c:v>
                </c:pt>
                <c:pt idx="614">
                  <c:v>0.12282456491298158</c:v>
                </c:pt>
                <c:pt idx="615">
                  <c:v>0.12302460492098317</c:v>
                </c:pt>
                <c:pt idx="616">
                  <c:v>0.12322464492898477</c:v>
                </c:pt>
                <c:pt idx="617">
                  <c:v>0.12342468493698637</c:v>
                </c:pt>
                <c:pt idx="618">
                  <c:v>0.12362472494498797</c:v>
                </c:pt>
                <c:pt idx="619">
                  <c:v>0.12382476495298957</c:v>
                </c:pt>
                <c:pt idx="620">
                  <c:v>0.12402480496099116</c:v>
                </c:pt>
                <c:pt idx="621">
                  <c:v>0.12422484496899276</c:v>
                </c:pt>
                <c:pt idx="622">
                  <c:v>0.12442488497699436</c:v>
                </c:pt>
                <c:pt idx="623">
                  <c:v>0.12462492498499596</c:v>
                </c:pt>
                <c:pt idx="624">
                  <c:v>0.12482496499299756</c:v>
                </c:pt>
                <c:pt idx="625">
                  <c:v>0.12502500500099917</c:v>
                </c:pt>
                <c:pt idx="626">
                  <c:v>0.12522504500900078</c:v>
                </c:pt>
                <c:pt idx="627">
                  <c:v>0.12542508501700239</c:v>
                </c:pt>
                <c:pt idx="628">
                  <c:v>0.125625125025004</c:v>
                </c:pt>
                <c:pt idx="629">
                  <c:v>0.12582516503300561</c:v>
                </c:pt>
                <c:pt idx="630">
                  <c:v>0.12602520504100723</c:v>
                </c:pt>
                <c:pt idx="631">
                  <c:v>0.12622524504900884</c:v>
                </c:pt>
                <c:pt idx="632">
                  <c:v>0.12642528505701045</c:v>
                </c:pt>
                <c:pt idx="633">
                  <c:v>0.12662532506501206</c:v>
                </c:pt>
                <c:pt idx="634">
                  <c:v>0.12682536507301367</c:v>
                </c:pt>
                <c:pt idx="635">
                  <c:v>0.12702540508101529</c:v>
                </c:pt>
                <c:pt idx="636">
                  <c:v>0.1272254450890169</c:v>
                </c:pt>
                <c:pt idx="637">
                  <c:v>0.12742548509701851</c:v>
                </c:pt>
                <c:pt idx="638">
                  <c:v>0.12762552510502012</c:v>
                </c:pt>
                <c:pt idx="639">
                  <c:v>0.12782556511302173</c:v>
                </c:pt>
                <c:pt idx="640">
                  <c:v>0.12802560512102334</c:v>
                </c:pt>
                <c:pt idx="641">
                  <c:v>0.12822564512902496</c:v>
                </c:pt>
                <c:pt idx="642">
                  <c:v>0.12842568513702657</c:v>
                </c:pt>
                <c:pt idx="643">
                  <c:v>0.12862572514502818</c:v>
                </c:pt>
                <c:pt idx="644">
                  <c:v>0.12882576515302979</c:v>
                </c:pt>
                <c:pt idx="645">
                  <c:v>0.1290258051610314</c:v>
                </c:pt>
                <c:pt idx="646">
                  <c:v>0.12922584516903302</c:v>
                </c:pt>
                <c:pt idx="647">
                  <c:v>0.12942588517703463</c:v>
                </c:pt>
                <c:pt idx="648">
                  <c:v>0.12962592518503624</c:v>
                </c:pt>
                <c:pt idx="649">
                  <c:v>0.12982596519303785</c:v>
                </c:pt>
                <c:pt idx="650">
                  <c:v>0.13002600520103946</c:v>
                </c:pt>
                <c:pt idx="651">
                  <c:v>0.13022604520904107</c:v>
                </c:pt>
                <c:pt idx="652">
                  <c:v>0.13042608521704269</c:v>
                </c:pt>
                <c:pt idx="653">
                  <c:v>0.1306261252250443</c:v>
                </c:pt>
                <c:pt idx="654">
                  <c:v>0.13082616523304591</c:v>
                </c:pt>
                <c:pt idx="655">
                  <c:v>0.13102620524104752</c:v>
                </c:pt>
                <c:pt idx="656">
                  <c:v>0.13122624524904913</c:v>
                </c:pt>
                <c:pt idx="657">
                  <c:v>0.13142628525705075</c:v>
                </c:pt>
                <c:pt idx="658">
                  <c:v>0.13162632526505236</c:v>
                </c:pt>
                <c:pt idx="659">
                  <c:v>0.13182636527305397</c:v>
                </c:pt>
                <c:pt idx="660">
                  <c:v>0.13202640528105558</c:v>
                </c:pt>
                <c:pt idx="661">
                  <c:v>0.13222644528905719</c:v>
                </c:pt>
                <c:pt idx="662">
                  <c:v>0.1324264852970588</c:v>
                </c:pt>
                <c:pt idx="663">
                  <c:v>0.13262652530506042</c:v>
                </c:pt>
                <c:pt idx="664">
                  <c:v>0.13282656531306203</c:v>
                </c:pt>
                <c:pt idx="665">
                  <c:v>0.13302660532106364</c:v>
                </c:pt>
                <c:pt idx="666">
                  <c:v>0.13322664532906525</c:v>
                </c:pt>
                <c:pt idx="667">
                  <c:v>0.13342668533706686</c:v>
                </c:pt>
                <c:pt idx="668">
                  <c:v>0.13362672534506848</c:v>
                </c:pt>
                <c:pt idx="669">
                  <c:v>0.13382676535307009</c:v>
                </c:pt>
                <c:pt idx="670">
                  <c:v>0.1340268053610717</c:v>
                </c:pt>
                <c:pt idx="671">
                  <c:v>0.13422684536907331</c:v>
                </c:pt>
                <c:pt idx="672">
                  <c:v>0.13442688537707492</c:v>
                </c:pt>
                <c:pt idx="673">
                  <c:v>0.13462692538507653</c:v>
                </c:pt>
                <c:pt idx="674">
                  <c:v>0.13482696539307815</c:v>
                </c:pt>
                <c:pt idx="675">
                  <c:v>0.13502700540107976</c:v>
                </c:pt>
                <c:pt idx="676">
                  <c:v>0.13522704540908137</c:v>
                </c:pt>
                <c:pt idx="677">
                  <c:v>0.13542708541708298</c:v>
                </c:pt>
                <c:pt idx="678">
                  <c:v>0.13562712542508459</c:v>
                </c:pt>
                <c:pt idx="679">
                  <c:v>0.13582716543308621</c:v>
                </c:pt>
                <c:pt idx="680">
                  <c:v>0.13602720544108782</c:v>
                </c:pt>
                <c:pt idx="681">
                  <c:v>0.13622724544908943</c:v>
                </c:pt>
                <c:pt idx="682">
                  <c:v>0.13642728545709104</c:v>
                </c:pt>
                <c:pt idx="683">
                  <c:v>0.13662732546509265</c:v>
                </c:pt>
                <c:pt idx="684">
                  <c:v>0.13682736547309426</c:v>
                </c:pt>
                <c:pt idx="685">
                  <c:v>0.13702740548109588</c:v>
                </c:pt>
                <c:pt idx="686">
                  <c:v>0.13722744548909749</c:v>
                </c:pt>
                <c:pt idx="687">
                  <c:v>0.1374274854970991</c:v>
                </c:pt>
                <c:pt idx="688">
                  <c:v>0.13762752550510071</c:v>
                </c:pt>
                <c:pt idx="689">
                  <c:v>0.13782756551310232</c:v>
                </c:pt>
                <c:pt idx="690">
                  <c:v>0.13802760552110394</c:v>
                </c:pt>
                <c:pt idx="691">
                  <c:v>0.13822764552910555</c:v>
                </c:pt>
                <c:pt idx="692">
                  <c:v>0.13842768553710716</c:v>
                </c:pt>
                <c:pt idx="693">
                  <c:v>0.13862772554510877</c:v>
                </c:pt>
                <c:pt idx="694">
                  <c:v>0.13882776555311038</c:v>
                </c:pt>
                <c:pt idx="695">
                  <c:v>0.13902780556111199</c:v>
                </c:pt>
                <c:pt idx="696">
                  <c:v>0.13922784556911361</c:v>
                </c:pt>
                <c:pt idx="697">
                  <c:v>0.13942788557711522</c:v>
                </c:pt>
                <c:pt idx="698">
                  <c:v>0.13962792558511683</c:v>
                </c:pt>
                <c:pt idx="699">
                  <c:v>0.13982796559311844</c:v>
                </c:pt>
                <c:pt idx="700">
                  <c:v>0.14002800560112005</c:v>
                </c:pt>
                <c:pt idx="701">
                  <c:v>0.14022804560912167</c:v>
                </c:pt>
                <c:pt idx="702">
                  <c:v>0.14042808561712328</c:v>
                </c:pt>
                <c:pt idx="703">
                  <c:v>0.14062812562512489</c:v>
                </c:pt>
                <c:pt idx="704">
                  <c:v>0.1408281656331265</c:v>
                </c:pt>
                <c:pt idx="705">
                  <c:v>0.14102820564112811</c:v>
                </c:pt>
                <c:pt idx="706">
                  <c:v>0.14122824564912972</c:v>
                </c:pt>
                <c:pt idx="707">
                  <c:v>0.14142828565713134</c:v>
                </c:pt>
                <c:pt idx="708">
                  <c:v>0.14162832566513295</c:v>
                </c:pt>
                <c:pt idx="709">
                  <c:v>0.14182836567313456</c:v>
                </c:pt>
                <c:pt idx="710">
                  <c:v>0.14202840568113617</c:v>
                </c:pt>
                <c:pt idx="711">
                  <c:v>0.14222844568913778</c:v>
                </c:pt>
                <c:pt idx="712">
                  <c:v>0.1424284856971394</c:v>
                </c:pt>
                <c:pt idx="713">
                  <c:v>0.14262852570514101</c:v>
                </c:pt>
                <c:pt idx="714">
                  <c:v>0.14282856571314262</c:v>
                </c:pt>
                <c:pt idx="715">
                  <c:v>0.14302860572114423</c:v>
                </c:pt>
                <c:pt idx="716">
                  <c:v>0.14322864572914584</c:v>
                </c:pt>
                <c:pt idx="717">
                  <c:v>0.14342868573714745</c:v>
                </c:pt>
                <c:pt idx="718">
                  <c:v>0.14362872574514907</c:v>
                </c:pt>
                <c:pt idx="719">
                  <c:v>0.14382876575315068</c:v>
                </c:pt>
                <c:pt idx="720">
                  <c:v>0.14402880576115229</c:v>
                </c:pt>
                <c:pt idx="721">
                  <c:v>0.1442288457691539</c:v>
                </c:pt>
                <c:pt idx="722">
                  <c:v>0.14442888577715551</c:v>
                </c:pt>
                <c:pt idx="723">
                  <c:v>0.14462892578515713</c:v>
                </c:pt>
                <c:pt idx="724">
                  <c:v>0.14482896579315874</c:v>
                </c:pt>
                <c:pt idx="725">
                  <c:v>0.14502900580116035</c:v>
                </c:pt>
                <c:pt idx="726">
                  <c:v>0.14522904580916196</c:v>
                </c:pt>
                <c:pt idx="727">
                  <c:v>0.14542908581716357</c:v>
                </c:pt>
                <c:pt idx="728">
                  <c:v>0.14562912582516518</c:v>
                </c:pt>
                <c:pt idx="729">
                  <c:v>0.1458291658331668</c:v>
                </c:pt>
                <c:pt idx="730">
                  <c:v>0.14602920584116841</c:v>
                </c:pt>
                <c:pt idx="731">
                  <c:v>0.14622924584917002</c:v>
                </c:pt>
                <c:pt idx="732">
                  <c:v>0.14642928585717163</c:v>
                </c:pt>
                <c:pt idx="733">
                  <c:v>0.14662932586517324</c:v>
                </c:pt>
                <c:pt idx="734">
                  <c:v>0.14682936587317486</c:v>
                </c:pt>
                <c:pt idx="735">
                  <c:v>0.14702940588117647</c:v>
                </c:pt>
                <c:pt idx="736">
                  <c:v>0.14722944588917808</c:v>
                </c:pt>
                <c:pt idx="737">
                  <c:v>0.14742948589717969</c:v>
                </c:pt>
                <c:pt idx="738">
                  <c:v>0.1476295259051813</c:v>
                </c:pt>
                <c:pt idx="739">
                  <c:v>0.14782956591318291</c:v>
                </c:pt>
                <c:pt idx="740">
                  <c:v>0.14802960592118453</c:v>
                </c:pt>
                <c:pt idx="741">
                  <c:v>0.14822964592918614</c:v>
                </c:pt>
                <c:pt idx="742">
                  <c:v>0.14842968593718775</c:v>
                </c:pt>
                <c:pt idx="743">
                  <c:v>0.14862972594518936</c:v>
                </c:pt>
                <c:pt idx="744">
                  <c:v>0.14882976595319097</c:v>
                </c:pt>
                <c:pt idx="745">
                  <c:v>0.14902980596119259</c:v>
                </c:pt>
                <c:pt idx="746">
                  <c:v>0.1492298459691942</c:v>
                </c:pt>
                <c:pt idx="747">
                  <c:v>0.14942988597719581</c:v>
                </c:pt>
                <c:pt idx="748">
                  <c:v>0.14962992598519742</c:v>
                </c:pt>
                <c:pt idx="749">
                  <c:v>0.14982996599319903</c:v>
                </c:pt>
                <c:pt idx="750">
                  <c:v>0.15003000600120064</c:v>
                </c:pt>
                <c:pt idx="751">
                  <c:v>0.15023004600920226</c:v>
                </c:pt>
                <c:pt idx="752">
                  <c:v>0.15043008601720387</c:v>
                </c:pt>
                <c:pt idx="753">
                  <c:v>0.15063012602520548</c:v>
                </c:pt>
                <c:pt idx="754">
                  <c:v>0.15083016603320709</c:v>
                </c:pt>
                <c:pt idx="755">
                  <c:v>0.1510302060412087</c:v>
                </c:pt>
                <c:pt idx="756">
                  <c:v>0.15123024604921032</c:v>
                </c:pt>
                <c:pt idx="757">
                  <c:v>0.15143028605721193</c:v>
                </c:pt>
                <c:pt idx="758">
                  <c:v>0.15163032606521354</c:v>
                </c:pt>
                <c:pt idx="759">
                  <c:v>0.15183036607321515</c:v>
                </c:pt>
                <c:pt idx="760">
                  <c:v>0.15203040608121676</c:v>
                </c:pt>
                <c:pt idx="761">
                  <c:v>0.15223044608921837</c:v>
                </c:pt>
                <c:pt idx="762">
                  <c:v>0.15243048609721999</c:v>
                </c:pt>
                <c:pt idx="763">
                  <c:v>0.1526305261052216</c:v>
                </c:pt>
                <c:pt idx="764">
                  <c:v>0.15283056611322321</c:v>
                </c:pt>
                <c:pt idx="765">
                  <c:v>0.15303060612122482</c:v>
                </c:pt>
                <c:pt idx="766">
                  <c:v>0.15323064612922643</c:v>
                </c:pt>
                <c:pt idx="767">
                  <c:v>0.15343068613722805</c:v>
                </c:pt>
                <c:pt idx="768">
                  <c:v>0.15363072614522966</c:v>
                </c:pt>
                <c:pt idx="769">
                  <c:v>0.15383076615323127</c:v>
                </c:pt>
                <c:pt idx="770">
                  <c:v>0.15403080616123288</c:v>
                </c:pt>
                <c:pt idx="771">
                  <c:v>0.15423084616923449</c:v>
                </c:pt>
                <c:pt idx="772">
                  <c:v>0.1544308861772361</c:v>
                </c:pt>
                <c:pt idx="773">
                  <c:v>0.15463092618523772</c:v>
                </c:pt>
                <c:pt idx="774">
                  <c:v>0.15483096619323933</c:v>
                </c:pt>
                <c:pt idx="775">
                  <c:v>0.15503100620124094</c:v>
                </c:pt>
                <c:pt idx="776">
                  <c:v>0.15523104620924255</c:v>
                </c:pt>
                <c:pt idx="777">
                  <c:v>0.15543108621724416</c:v>
                </c:pt>
                <c:pt idx="778">
                  <c:v>0.15563112622524577</c:v>
                </c:pt>
                <c:pt idx="779">
                  <c:v>0.15583116623324739</c:v>
                </c:pt>
                <c:pt idx="780">
                  <c:v>0.156031206241249</c:v>
                </c:pt>
                <c:pt idx="781">
                  <c:v>0.15623124624925061</c:v>
                </c:pt>
                <c:pt idx="782">
                  <c:v>0.15643128625725222</c:v>
                </c:pt>
                <c:pt idx="783">
                  <c:v>0.15663132626525383</c:v>
                </c:pt>
                <c:pt idx="784">
                  <c:v>0.15683136627325545</c:v>
                </c:pt>
                <c:pt idx="785">
                  <c:v>0.15703140628125706</c:v>
                </c:pt>
                <c:pt idx="786">
                  <c:v>0.15723144628925867</c:v>
                </c:pt>
                <c:pt idx="787">
                  <c:v>0.15743148629726028</c:v>
                </c:pt>
                <c:pt idx="788">
                  <c:v>0.15763152630526189</c:v>
                </c:pt>
                <c:pt idx="789">
                  <c:v>0.1578315663132635</c:v>
                </c:pt>
                <c:pt idx="790">
                  <c:v>0.15803160632126512</c:v>
                </c:pt>
                <c:pt idx="791">
                  <c:v>0.15823164632926673</c:v>
                </c:pt>
                <c:pt idx="792">
                  <c:v>0.15843168633726834</c:v>
                </c:pt>
                <c:pt idx="793">
                  <c:v>0.15863172634526995</c:v>
                </c:pt>
                <c:pt idx="794">
                  <c:v>0.15883176635327156</c:v>
                </c:pt>
                <c:pt idx="795">
                  <c:v>0.15903180636127318</c:v>
                </c:pt>
                <c:pt idx="796">
                  <c:v>0.15923184636927479</c:v>
                </c:pt>
                <c:pt idx="797">
                  <c:v>0.1594318863772764</c:v>
                </c:pt>
                <c:pt idx="798">
                  <c:v>0.15963192638527801</c:v>
                </c:pt>
                <c:pt idx="799">
                  <c:v>0.15983196639327962</c:v>
                </c:pt>
                <c:pt idx="800">
                  <c:v>0.16003200640128123</c:v>
                </c:pt>
                <c:pt idx="801">
                  <c:v>0.16023204640928285</c:v>
                </c:pt>
                <c:pt idx="802">
                  <c:v>0.16043208641728446</c:v>
                </c:pt>
                <c:pt idx="803">
                  <c:v>0.16063212642528607</c:v>
                </c:pt>
                <c:pt idx="804">
                  <c:v>0.16083216643328768</c:v>
                </c:pt>
                <c:pt idx="805">
                  <c:v>0.16103220644128929</c:v>
                </c:pt>
                <c:pt idx="806">
                  <c:v>0.16123224644929091</c:v>
                </c:pt>
                <c:pt idx="807">
                  <c:v>0.16143228645729252</c:v>
                </c:pt>
                <c:pt idx="808">
                  <c:v>0.16163232646529413</c:v>
                </c:pt>
                <c:pt idx="809">
                  <c:v>0.16183236647329574</c:v>
                </c:pt>
                <c:pt idx="810">
                  <c:v>0.16203240648129735</c:v>
                </c:pt>
                <c:pt idx="811">
                  <c:v>0.16223244648929896</c:v>
                </c:pt>
                <c:pt idx="812">
                  <c:v>0.16243248649730058</c:v>
                </c:pt>
                <c:pt idx="813">
                  <c:v>0.16263252650530219</c:v>
                </c:pt>
                <c:pt idx="814">
                  <c:v>0.1628325665133038</c:v>
                </c:pt>
                <c:pt idx="815">
                  <c:v>0.16303260652130541</c:v>
                </c:pt>
                <c:pt idx="816">
                  <c:v>0.16323264652930702</c:v>
                </c:pt>
                <c:pt idx="817">
                  <c:v>0.16343268653730864</c:v>
                </c:pt>
                <c:pt idx="818">
                  <c:v>0.16363272654531025</c:v>
                </c:pt>
                <c:pt idx="819">
                  <c:v>0.16383276655331186</c:v>
                </c:pt>
                <c:pt idx="820">
                  <c:v>0.16403280656131347</c:v>
                </c:pt>
                <c:pt idx="821">
                  <c:v>0.16423284656931508</c:v>
                </c:pt>
                <c:pt idx="822">
                  <c:v>0.16443288657731669</c:v>
                </c:pt>
                <c:pt idx="823">
                  <c:v>0.16463292658531831</c:v>
                </c:pt>
                <c:pt idx="824">
                  <c:v>0.16483296659331992</c:v>
                </c:pt>
                <c:pt idx="825">
                  <c:v>0.16503300660132153</c:v>
                </c:pt>
                <c:pt idx="826">
                  <c:v>0.16523304660932314</c:v>
                </c:pt>
                <c:pt idx="827">
                  <c:v>0.16543308661732475</c:v>
                </c:pt>
                <c:pt idx="828">
                  <c:v>0.16563312662532637</c:v>
                </c:pt>
                <c:pt idx="829">
                  <c:v>0.16583316663332798</c:v>
                </c:pt>
                <c:pt idx="830">
                  <c:v>0.16603320664132959</c:v>
                </c:pt>
                <c:pt idx="831">
                  <c:v>0.1662332466493312</c:v>
                </c:pt>
                <c:pt idx="832">
                  <c:v>0.16643328665733281</c:v>
                </c:pt>
                <c:pt idx="833">
                  <c:v>0.16663332666533442</c:v>
                </c:pt>
                <c:pt idx="834">
                  <c:v>0.16683336667333604</c:v>
                </c:pt>
                <c:pt idx="835">
                  <c:v>0.16703340668133765</c:v>
                </c:pt>
                <c:pt idx="836">
                  <c:v>0.16723344668933926</c:v>
                </c:pt>
                <c:pt idx="837">
                  <c:v>0.16743348669734087</c:v>
                </c:pt>
                <c:pt idx="838">
                  <c:v>0.16763352670534248</c:v>
                </c:pt>
                <c:pt idx="839">
                  <c:v>0.1678335667133441</c:v>
                </c:pt>
                <c:pt idx="840">
                  <c:v>0.16803360672134571</c:v>
                </c:pt>
                <c:pt idx="841">
                  <c:v>0.16823364672934732</c:v>
                </c:pt>
                <c:pt idx="842">
                  <c:v>0.16843368673734893</c:v>
                </c:pt>
                <c:pt idx="843">
                  <c:v>0.16863372674535054</c:v>
                </c:pt>
                <c:pt idx="844">
                  <c:v>0.16883376675335215</c:v>
                </c:pt>
                <c:pt idx="845">
                  <c:v>0.16903380676135377</c:v>
                </c:pt>
                <c:pt idx="846">
                  <c:v>0.16923384676935538</c:v>
                </c:pt>
                <c:pt idx="847">
                  <c:v>0.16943388677735699</c:v>
                </c:pt>
                <c:pt idx="848">
                  <c:v>0.1696339267853586</c:v>
                </c:pt>
                <c:pt idx="849">
                  <c:v>0.16983396679336021</c:v>
                </c:pt>
                <c:pt idx="850">
                  <c:v>0.17003400680136183</c:v>
                </c:pt>
                <c:pt idx="851">
                  <c:v>0.17023404680936344</c:v>
                </c:pt>
                <c:pt idx="852">
                  <c:v>0.17043408681736505</c:v>
                </c:pt>
                <c:pt idx="853">
                  <c:v>0.17063412682536666</c:v>
                </c:pt>
                <c:pt idx="854">
                  <c:v>0.17083416683336827</c:v>
                </c:pt>
                <c:pt idx="855">
                  <c:v>0.17103420684136988</c:v>
                </c:pt>
                <c:pt idx="856">
                  <c:v>0.1712342468493715</c:v>
                </c:pt>
                <c:pt idx="857">
                  <c:v>0.17143428685737311</c:v>
                </c:pt>
                <c:pt idx="858">
                  <c:v>0.17163432686537472</c:v>
                </c:pt>
                <c:pt idx="859">
                  <c:v>0.17183436687337633</c:v>
                </c:pt>
                <c:pt idx="860">
                  <c:v>0.17203440688137794</c:v>
                </c:pt>
                <c:pt idx="861">
                  <c:v>0.17223444688937956</c:v>
                </c:pt>
                <c:pt idx="862">
                  <c:v>0.17243448689738117</c:v>
                </c:pt>
                <c:pt idx="863">
                  <c:v>0.17263452690538278</c:v>
                </c:pt>
                <c:pt idx="864">
                  <c:v>0.17283456691338439</c:v>
                </c:pt>
                <c:pt idx="865">
                  <c:v>0.173034606921386</c:v>
                </c:pt>
                <c:pt idx="866">
                  <c:v>0.17323464692938761</c:v>
                </c:pt>
                <c:pt idx="867">
                  <c:v>0.17343468693738923</c:v>
                </c:pt>
                <c:pt idx="868">
                  <c:v>0.17363472694539084</c:v>
                </c:pt>
                <c:pt idx="869">
                  <c:v>0.17383476695339245</c:v>
                </c:pt>
                <c:pt idx="870">
                  <c:v>0.17403480696139406</c:v>
                </c:pt>
                <c:pt idx="871">
                  <c:v>0.17423484696939567</c:v>
                </c:pt>
                <c:pt idx="872">
                  <c:v>0.17443488697739729</c:v>
                </c:pt>
                <c:pt idx="873">
                  <c:v>0.1746349269853989</c:v>
                </c:pt>
                <c:pt idx="874">
                  <c:v>0.17483496699340051</c:v>
                </c:pt>
                <c:pt idx="875">
                  <c:v>0.17503500700140212</c:v>
                </c:pt>
                <c:pt idx="876">
                  <c:v>0.17523504700940373</c:v>
                </c:pt>
                <c:pt idx="877">
                  <c:v>0.17543508701740534</c:v>
                </c:pt>
                <c:pt idx="878">
                  <c:v>0.17563512702540696</c:v>
                </c:pt>
                <c:pt idx="879">
                  <c:v>0.17583516703340857</c:v>
                </c:pt>
                <c:pt idx="880">
                  <c:v>0.17603520704141018</c:v>
                </c:pt>
                <c:pt idx="881">
                  <c:v>0.17623524704941179</c:v>
                </c:pt>
                <c:pt idx="882">
                  <c:v>0.1764352870574134</c:v>
                </c:pt>
                <c:pt idx="883">
                  <c:v>0.17663532706541502</c:v>
                </c:pt>
                <c:pt idx="884">
                  <c:v>0.17683536707341663</c:v>
                </c:pt>
                <c:pt idx="885">
                  <c:v>0.17703540708141824</c:v>
                </c:pt>
                <c:pt idx="886">
                  <c:v>0.17723544708941985</c:v>
                </c:pt>
                <c:pt idx="887">
                  <c:v>0.17743548709742146</c:v>
                </c:pt>
                <c:pt idx="888">
                  <c:v>0.17763552710542307</c:v>
                </c:pt>
                <c:pt idx="889">
                  <c:v>0.17783556711342469</c:v>
                </c:pt>
                <c:pt idx="890">
                  <c:v>0.1780356071214263</c:v>
                </c:pt>
                <c:pt idx="891">
                  <c:v>0.17823564712942791</c:v>
                </c:pt>
                <c:pt idx="892">
                  <c:v>0.17843568713742952</c:v>
                </c:pt>
                <c:pt idx="893">
                  <c:v>0.17863572714543113</c:v>
                </c:pt>
                <c:pt idx="894">
                  <c:v>0.17883576715343275</c:v>
                </c:pt>
                <c:pt idx="895">
                  <c:v>0.17903580716143436</c:v>
                </c:pt>
                <c:pt idx="896">
                  <c:v>0.17923584716943597</c:v>
                </c:pt>
                <c:pt idx="897">
                  <c:v>0.17943588717743758</c:v>
                </c:pt>
                <c:pt idx="898">
                  <c:v>0.17963592718543919</c:v>
                </c:pt>
                <c:pt idx="899">
                  <c:v>0.1798359671934408</c:v>
                </c:pt>
                <c:pt idx="900">
                  <c:v>0.18003600720144242</c:v>
                </c:pt>
                <c:pt idx="901">
                  <c:v>0.18023604720944403</c:v>
                </c:pt>
                <c:pt idx="902">
                  <c:v>0.18043608721744564</c:v>
                </c:pt>
                <c:pt idx="903">
                  <c:v>0.18063612722544725</c:v>
                </c:pt>
                <c:pt idx="904">
                  <c:v>0.18083616723344886</c:v>
                </c:pt>
                <c:pt idx="905">
                  <c:v>0.18103620724145048</c:v>
                </c:pt>
                <c:pt idx="906">
                  <c:v>0.18123624724945209</c:v>
                </c:pt>
                <c:pt idx="907">
                  <c:v>0.1814362872574537</c:v>
                </c:pt>
                <c:pt idx="908">
                  <c:v>0.18163632726545531</c:v>
                </c:pt>
                <c:pt idx="909">
                  <c:v>0.18183636727345692</c:v>
                </c:pt>
                <c:pt idx="910">
                  <c:v>0.18203640728145853</c:v>
                </c:pt>
                <c:pt idx="911">
                  <c:v>0.18223644728946015</c:v>
                </c:pt>
                <c:pt idx="912">
                  <c:v>0.18243648729746176</c:v>
                </c:pt>
                <c:pt idx="913">
                  <c:v>0.18263652730546337</c:v>
                </c:pt>
                <c:pt idx="914">
                  <c:v>0.18283656731346498</c:v>
                </c:pt>
                <c:pt idx="915">
                  <c:v>0.18303660732146659</c:v>
                </c:pt>
                <c:pt idx="916">
                  <c:v>0.18323664732946821</c:v>
                </c:pt>
                <c:pt idx="917">
                  <c:v>0.18343668733746982</c:v>
                </c:pt>
                <c:pt idx="918">
                  <c:v>0.18363672734547143</c:v>
                </c:pt>
                <c:pt idx="919">
                  <c:v>0.18383676735347304</c:v>
                </c:pt>
                <c:pt idx="920">
                  <c:v>0.18403680736147465</c:v>
                </c:pt>
                <c:pt idx="921">
                  <c:v>0.18423684736947626</c:v>
                </c:pt>
                <c:pt idx="922">
                  <c:v>0.18443688737747788</c:v>
                </c:pt>
                <c:pt idx="923">
                  <c:v>0.18463692738547949</c:v>
                </c:pt>
                <c:pt idx="924">
                  <c:v>0.1848369673934811</c:v>
                </c:pt>
                <c:pt idx="925">
                  <c:v>0.18503700740148271</c:v>
                </c:pt>
                <c:pt idx="926">
                  <c:v>0.18523704740948432</c:v>
                </c:pt>
                <c:pt idx="927">
                  <c:v>0.18543708741748594</c:v>
                </c:pt>
                <c:pt idx="928">
                  <c:v>0.18563712742548755</c:v>
                </c:pt>
                <c:pt idx="929">
                  <c:v>0.18583716743348916</c:v>
                </c:pt>
                <c:pt idx="930">
                  <c:v>0.18603720744149077</c:v>
                </c:pt>
                <c:pt idx="931">
                  <c:v>0.18623724744949238</c:v>
                </c:pt>
                <c:pt idx="932">
                  <c:v>0.18643728745749399</c:v>
                </c:pt>
                <c:pt idx="933">
                  <c:v>0.18663732746549561</c:v>
                </c:pt>
                <c:pt idx="934">
                  <c:v>0.18683736747349722</c:v>
                </c:pt>
                <c:pt idx="935">
                  <c:v>0.18703740748149883</c:v>
                </c:pt>
                <c:pt idx="936">
                  <c:v>0.18723744748950044</c:v>
                </c:pt>
                <c:pt idx="937">
                  <c:v>0.18743748749750205</c:v>
                </c:pt>
                <c:pt idx="938">
                  <c:v>0.18763752750550367</c:v>
                </c:pt>
                <c:pt idx="939">
                  <c:v>0.18783756751350528</c:v>
                </c:pt>
                <c:pt idx="940">
                  <c:v>0.18803760752150689</c:v>
                </c:pt>
                <c:pt idx="941">
                  <c:v>0.1882376475295085</c:v>
                </c:pt>
                <c:pt idx="942">
                  <c:v>0.18843768753751011</c:v>
                </c:pt>
                <c:pt idx="943">
                  <c:v>0.18863772754551172</c:v>
                </c:pt>
                <c:pt idx="944">
                  <c:v>0.18883776755351334</c:v>
                </c:pt>
                <c:pt idx="945">
                  <c:v>0.18903780756151495</c:v>
                </c:pt>
                <c:pt idx="946">
                  <c:v>0.18923784756951656</c:v>
                </c:pt>
                <c:pt idx="947">
                  <c:v>0.18943788757751817</c:v>
                </c:pt>
                <c:pt idx="948">
                  <c:v>0.18963792758551978</c:v>
                </c:pt>
                <c:pt idx="949">
                  <c:v>0.1898379675935214</c:v>
                </c:pt>
                <c:pt idx="950">
                  <c:v>0.19003800760152301</c:v>
                </c:pt>
                <c:pt idx="951">
                  <c:v>0.19023804760952462</c:v>
                </c:pt>
                <c:pt idx="952">
                  <c:v>0.19043808761752623</c:v>
                </c:pt>
                <c:pt idx="953">
                  <c:v>0.19063812762552784</c:v>
                </c:pt>
                <c:pt idx="954">
                  <c:v>0.19083816763352945</c:v>
                </c:pt>
                <c:pt idx="955">
                  <c:v>0.19103820764153107</c:v>
                </c:pt>
                <c:pt idx="956">
                  <c:v>0.19123824764953268</c:v>
                </c:pt>
                <c:pt idx="957">
                  <c:v>0.19143828765753429</c:v>
                </c:pt>
                <c:pt idx="958">
                  <c:v>0.1916383276655359</c:v>
                </c:pt>
                <c:pt idx="959">
                  <c:v>0.19183836767353751</c:v>
                </c:pt>
                <c:pt idx="960">
                  <c:v>0.19203840768153912</c:v>
                </c:pt>
                <c:pt idx="961">
                  <c:v>0.19223844768954074</c:v>
                </c:pt>
                <c:pt idx="962">
                  <c:v>0.19243848769754235</c:v>
                </c:pt>
                <c:pt idx="963">
                  <c:v>0.19263852770554396</c:v>
                </c:pt>
                <c:pt idx="964">
                  <c:v>0.19283856771354557</c:v>
                </c:pt>
                <c:pt idx="965">
                  <c:v>0.19303860772154718</c:v>
                </c:pt>
                <c:pt idx="966">
                  <c:v>0.1932386477295488</c:v>
                </c:pt>
                <c:pt idx="967">
                  <c:v>0.19343868773755041</c:v>
                </c:pt>
                <c:pt idx="968">
                  <c:v>0.19363872774555202</c:v>
                </c:pt>
                <c:pt idx="969">
                  <c:v>0.19383876775355363</c:v>
                </c:pt>
                <c:pt idx="970">
                  <c:v>0.19403880776155524</c:v>
                </c:pt>
                <c:pt idx="971">
                  <c:v>0.19423884776955685</c:v>
                </c:pt>
                <c:pt idx="972">
                  <c:v>0.19443888777755847</c:v>
                </c:pt>
                <c:pt idx="973">
                  <c:v>0.19463892778556008</c:v>
                </c:pt>
                <c:pt idx="974">
                  <c:v>0.19483896779356169</c:v>
                </c:pt>
                <c:pt idx="975">
                  <c:v>0.1950390078015633</c:v>
                </c:pt>
                <c:pt idx="976">
                  <c:v>0.19523904780956491</c:v>
                </c:pt>
                <c:pt idx="977">
                  <c:v>0.19543908781756653</c:v>
                </c:pt>
                <c:pt idx="978">
                  <c:v>0.19563912782556814</c:v>
                </c:pt>
                <c:pt idx="979">
                  <c:v>0.19583916783356975</c:v>
                </c:pt>
                <c:pt idx="980">
                  <c:v>0.19603920784157136</c:v>
                </c:pt>
                <c:pt idx="981">
                  <c:v>0.19623924784957297</c:v>
                </c:pt>
                <c:pt idx="982">
                  <c:v>0.19643928785757458</c:v>
                </c:pt>
                <c:pt idx="983">
                  <c:v>0.1966393278655762</c:v>
                </c:pt>
                <c:pt idx="984">
                  <c:v>0.19683936787357781</c:v>
                </c:pt>
                <c:pt idx="985">
                  <c:v>0.19703940788157942</c:v>
                </c:pt>
                <c:pt idx="986">
                  <c:v>0.19723944788958103</c:v>
                </c:pt>
                <c:pt idx="987">
                  <c:v>0.19743948789758264</c:v>
                </c:pt>
                <c:pt idx="988">
                  <c:v>0.19763952790558426</c:v>
                </c:pt>
                <c:pt idx="989">
                  <c:v>0.19783956791358587</c:v>
                </c:pt>
                <c:pt idx="990">
                  <c:v>0.19803960792158748</c:v>
                </c:pt>
                <c:pt idx="991">
                  <c:v>0.19823964792958909</c:v>
                </c:pt>
                <c:pt idx="992">
                  <c:v>0.1984396879375907</c:v>
                </c:pt>
                <c:pt idx="993">
                  <c:v>0.19863972794559231</c:v>
                </c:pt>
                <c:pt idx="994">
                  <c:v>0.19883976795359393</c:v>
                </c:pt>
                <c:pt idx="995">
                  <c:v>0.19903980796159554</c:v>
                </c:pt>
                <c:pt idx="996">
                  <c:v>0.19923984796959715</c:v>
                </c:pt>
                <c:pt idx="997">
                  <c:v>0.19943988797759876</c:v>
                </c:pt>
                <c:pt idx="998">
                  <c:v>0.19963992798560037</c:v>
                </c:pt>
                <c:pt idx="999">
                  <c:v>0.19983996799360199</c:v>
                </c:pt>
                <c:pt idx="1000">
                  <c:v>0.2000400080016036</c:v>
                </c:pt>
                <c:pt idx="1001">
                  <c:v>0.20024004800960521</c:v>
                </c:pt>
                <c:pt idx="1002">
                  <c:v>0.20044008801760682</c:v>
                </c:pt>
                <c:pt idx="1003">
                  <c:v>0.20064012802560843</c:v>
                </c:pt>
                <c:pt idx="1004">
                  <c:v>0.20084016803361004</c:v>
                </c:pt>
                <c:pt idx="1005">
                  <c:v>0.20104020804161166</c:v>
                </c:pt>
                <c:pt idx="1006">
                  <c:v>0.20124024804961327</c:v>
                </c:pt>
                <c:pt idx="1007">
                  <c:v>0.20144028805761488</c:v>
                </c:pt>
                <c:pt idx="1008">
                  <c:v>0.20164032806561649</c:v>
                </c:pt>
                <c:pt idx="1009">
                  <c:v>0.2018403680736181</c:v>
                </c:pt>
                <c:pt idx="1010">
                  <c:v>0.20204040808161972</c:v>
                </c:pt>
                <c:pt idx="1011">
                  <c:v>0.20224044808962133</c:v>
                </c:pt>
                <c:pt idx="1012">
                  <c:v>0.20244048809762294</c:v>
                </c:pt>
                <c:pt idx="1013">
                  <c:v>0.20264052810562455</c:v>
                </c:pt>
                <c:pt idx="1014">
                  <c:v>0.20284056811362616</c:v>
                </c:pt>
                <c:pt idx="1015">
                  <c:v>0.20304060812162777</c:v>
                </c:pt>
                <c:pt idx="1016">
                  <c:v>0.20324064812962939</c:v>
                </c:pt>
                <c:pt idx="1017">
                  <c:v>0.203440688137631</c:v>
                </c:pt>
                <c:pt idx="1018">
                  <c:v>0.20364072814563261</c:v>
                </c:pt>
                <c:pt idx="1019">
                  <c:v>0.20384076815363422</c:v>
                </c:pt>
                <c:pt idx="1020">
                  <c:v>0.20404080816163583</c:v>
                </c:pt>
                <c:pt idx="1021">
                  <c:v>0.20424084816963745</c:v>
                </c:pt>
                <c:pt idx="1022">
                  <c:v>0.20444088817763906</c:v>
                </c:pt>
                <c:pt idx="1023">
                  <c:v>0.20464092818564067</c:v>
                </c:pt>
                <c:pt idx="1024">
                  <c:v>0.20484096819364228</c:v>
                </c:pt>
                <c:pt idx="1025">
                  <c:v>0.20504100820164389</c:v>
                </c:pt>
                <c:pt idx="1026">
                  <c:v>0.2052410482096455</c:v>
                </c:pt>
                <c:pt idx="1027">
                  <c:v>0.20544108821764712</c:v>
                </c:pt>
                <c:pt idx="1028">
                  <c:v>0.20564112822564873</c:v>
                </c:pt>
                <c:pt idx="1029">
                  <c:v>0.20584116823365034</c:v>
                </c:pt>
                <c:pt idx="1030">
                  <c:v>0.20604120824165195</c:v>
                </c:pt>
                <c:pt idx="1031">
                  <c:v>0.20624124824965356</c:v>
                </c:pt>
                <c:pt idx="1032">
                  <c:v>0.20644128825765518</c:v>
                </c:pt>
                <c:pt idx="1033">
                  <c:v>0.20664132826565679</c:v>
                </c:pt>
                <c:pt idx="1034">
                  <c:v>0.2068413682736584</c:v>
                </c:pt>
                <c:pt idx="1035">
                  <c:v>0.20704140828166001</c:v>
                </c:pt>
                <c:pt idx="1036">
                  <c:v>0.20724144828966162</c:v>
                </c:pt>
                <c:pt idx="1037">
                  <c:v>0.20744148829766323</c:v>
                </c:pt>
                <c:pt idx="1038">
                  <c:v>0.20764152830566485</c:v>
                </c:pt>
                <c:pt idx="1039">
                  <c:v>0.20784156831366646</c:v>
                </c:pt>
                <c:pt idx="1040">
                  <c:v>0.20804160832166807</c:v>
                </c:pt>
                <c:pt idx="1041">
                  <c:v>0.20824164832966968</c:v>
                </c:pt>
                <c:pt idx="1042">
                  <c:v>0.20844168833767129</c:v>
                </c:pt>
                <c:pt idx="1043">
                  <c:v>0.20864172834567291</c:v>
                </c:pt>
                <c:pt idx="1044">
                  <c:v>0.20884176835367452</c:v>
                </c:pt>
                <c:pt idx="1045">
                  <c:v>0.20904180836167613</c:v>
                </c:pt>
                <c:pt idx="1046">
                  <c:v>0.20924184836967774</c:v>
                </c:pt>
                <c:pt idx="1047">
                  <c:v>0.20944188837767935</c:v>
                </c:pt>
                <c:pt idx="1048">
                  <c:v>0.20964192838568096</c:v>
                </c:pt>
                <c:pt idx="1049">
                  <c:v>0.20984196839368258</c:v>
                </c:pt>
                <c:pt idx="1050">
                  <c:v>0.21004200840168419</c:v>
                </c:pt>
                <c:pt idx="1051">
                  <c:v>0.2102420484096858</c:v>
                </c:pt>
                <c:pt idx="1052">
                  <c:v>0.21044208841768741</c:v>
                </c:pt>
                <c:pt idx="1053">
                  <c:v>0.21064212842568902</c:v>
                </c:pt>
                <c:pt idx="1054">
                  <c:v>0.21084216843369064</c:v>
                </c:pt>
                <c:pt idx="1055">
                  <c:v>0.21104220844169225</c:v>
                </c:pt>
                <c:pt idx="1056">
                  <c:v>0.21124224844969386</c:v>
                </c:pt>
                <c:pt idx="1057">
                  <c:v>0.21144228845769547</c:v>
                </c:pt>
                <c:pt idx="1058">
                  <c:v>0.21164232846569708</c:v>
                </c:pt>
                <c:pt idx="1059">
                  <c:v>0.21184236847369869</c:v>
                </c:pt>
                <c:pt idx="1060">
                  <c:v>0.21204240848170031</c:v>
                </c:pt>
                <c:pt idx="1061">
                  <c:v>0.21224244848970192</c:v>
                </c:pt>
                <c:pt idx="1062">
                  <c:v>0.21244248849770353</c:v>
                </c:pt>
                <c:pt idx="1063">
                  <c:v>0.21264252850570514</c:v>
                </c:pt>
                <c:pt idx="1064">
                  <c:v>0.21284256851370675</c:v>
                </c:pt>
                <c:pt idx="1065">
                  <c:v>0.21304260852170837</c:v>
                </c:pt>
                <c:pt idx="1066">
                  <c:v>0.21324264852970998</c:v>
                </c:pt>
                <c:pt idx="1067">
                  <c:v>0.21344268853771159</c:v>
                </c:pt>
                <c:pt idx="1068">
                  <c:v>0.2136427285457132</c:v>
                </c:pt>
                <c:pt idx="1069">
                  <c:v>0.21384276855371481</c:v>
                </c:pt>
                <c:pt idx="1070">
                  <c:v>0.21404280856171642</c:v>
                </c:pt>
                <c:pt idx="1071">
                  <c:v>0.21424284856971804</c:v>
                </c:pt>
                <c:pt idx="1072">
                  <c:v>0.21444288857771965</c:v>
                </c:pt>
                <c:pt idx="1073">
                  <c:v>0.21464292858572126</c:v>
                </c:pt>
                <c:pt idx="1074">
                  <c:v>0.21484296859372287</c:v>
                </c:pt>
                <c:pt idx="1075">
                  <c:v>0.21504300860172448</c:v>
                </c:pt>
                <c:pt idx="1076">
                  <c:v>0.2152430486097261</c:v>
                </c:pt>
                <c:pt idx="1077">
                  <c:v>0.21544308861772771</c:v>
                </c:pt>
                <c:pt idx="1078">
                  <c:v>0.21564312862572932</c:v>
                </c:pt>
                <c:pt idx="1079">
                  <c:v>0.21584316863373093</c:v>
                </c:pt>
                <c:pt idx="1080">
                  <c:v>0.21604320864173254</c:v>
                </c:pt>
                <c:pt idx="1081">
                  <c:v>0.21624324864973415</c:v>
                </c:pt>
                <c:pt idx="1082">
                  <c:v>0.21644328865773577</c:v>
                </c:pt>
                <c:pt idx="1083">
                  <c:v>0.21664332866573738</c:v>
                </c:pt>
                <c:pt idx="1084">
                  <c:v>0.21684336867373899</c:v>
                </c:pt>
                <c:pt idx="1085">
                  <c:v>0.2170434086817406</c:v>
                </c:pt>
                <c:pt idx="1086">
                  <c:v>0.21724344868974221</c:v>
                </c:pt>
                <c:pt idx="1087">
                  <c:v>0.21744348869774383</c:v>
                </c:pt>
                <c:pt idx="1088">
                  <c:v>0.21764352870574544</c:v>
                </c:pt>
                <c:pt idx="1089">
                  <c:v>0.21784356871374705</c:v>
                </c:pt>
                <c:pt idx="1090">
                  <c:v>0.21804360872174866</c:v>
                </c:pt>
                <c:pt idx="1091">
                  <c:v>0.21824364872975027</c:v>
                </c:pt>
                <c:pt idx="1092">
                  <c:v>0.21844368873775188</c:v>
                </c:pt>
                <c:pt idx="1093">
                  <c:v>0.2186437287457535</c:v>
                </c:pt>
                <c:pt idx="1094">
                  <c:v>0.21884376875375511</c:v>
                </c:pt>
                <c:pt idx="1095">
                  <c:v>0.21904380876175672</c:v>
                </c:pt>
                <c:pt idx="1096">
                  <c:v>0.21924384876975833</c:v>
                </c:pt>
                <c:pt idx="1097">
                  <c:v>0.21944388877775994</c:v>
                </c:pt>
                <c:pt idx="1098">
                  <c:v>0.21964392878576156</c:v>
                </c:pt>
                <c:pt idx="1099">
                  <c:v>0.21984396879376317</c:v>
                </c:pt>
                <c:pt idx="1100">
                  <c:v>0.22004400880176478</c:v>
                </c:pt>
                <c:pt idx="1101">
                  <c:v>0.22024404880976639</c:v>
                </c:pt>
                <c:pt idx="1102">
                  <c:v>0.220444088817768</c:v>
                </c:pt>
                <c:pt idx="1103">
                  <c:v>0.22064412882576961</c:v>
                </c:pt>
                <c:pt idx="1104">
                  <c:v>0.22084416883377123</c:v>
                </c:pt>
                <c:pt idx="1105">
                  <c:v>0.22104420884177284</c:v>
                </c:pt>
                <c:pt idx="1106">
                  <c:v>0.22124424884977445</c:v>
                </c:pt>
                <c:pt idx="1107">
                  <c:v>0.22144428885777606</c:v>
                </c:pt>
                <c:pt idx="1108">
                  <c:v>0.22164432886577767</c:v>
                </c:pt>
                <c:pt idx="1109">
                  <c:v>0.22184436887377929</c:v>
                </c:pt>
                <c:pt idx="1110">
                  <c:v>0.2220444088817809</c:v>
                </c:pt>
                <c:pt idx="1111">
                  <c:v>0.22224444888978251</c:v>
                </c:pt>
                <c:pt idx="1112">
                  <c:v>0.22244448889778412</c:v>
                </c:pt>
                <c:pt idx="1113">
                  <c:v>0.22264452890578573</c:v>
                </c:pt>
                <c:pt idx="1114">
                  <c:v>0.22284456891378734</c:v>
                </c:pt>
                <c:pt idx="1115">
                  <c:v>0.22304460892178896</c:v>
                </c:pt>
                <c:pt idx="1116">
                  <c:v>0.22324464892979057</c:v>
                </c:pt>
                <c:pt idx="1117">
                  <c:v>0.22344468893779218</c:v>
                </c:pt>
                <c:pt idx="1118">
                  <c:v>0.22364472894579379</c:v>
                </c:pt>
                <c:pt idx="1119">
                  <c:v>0.2238447689537954</c:v>
                </c:pt>
                <c:pt idx="1120">
                  <c:v>0.22404480896179702</c:v>
                </c:pt>
                <c:pt idx="1121">
                  <c:v>0.22424484896979863</c:v>
                </c:pt>
                <c:pt idx="1122">
                  <c:v>0.22444488897780024</c:v>
                </c:pt>
                <c:pt idx="1123">
                  <c:v>0.22464492898580185</c:v>
                </c:pt>
                <c:pt idx="1124">
                  <c:v>0.22484496899380346</c:v>
                </c:pt>
                <c:pt idx="1125">
                  <c:v>0.22504500900180507</c:v>
                </c:pt>
                <c:pt idx="1126">
                  <c:v>0.22524504900980669</c:v>
                </c:pt>
                <c:pt idx="1127">
                  <c:v>0.2254450890178083</c:v>
                </c:pt>
                <c:pt idx="1128">
                  <c:v>0.22564512902580991</c:v>
                </c:pt>
                <c:pt idx="1129">
                  <c:v>0.22584516903381152</c:v>
                </c:pt>
                <c:pt idx="1130">
                  <c:v>0.22604520904181313</c:v>
                </c:pt>
                <c:pt idx="1131">
                  <c:v>0.22624524904981475</c:v>
                </c:pt>
                <c:pt idx="1132">
                  <c:v>0.22644528905781636</c:v>
                </c:pt>
                <c:pt idx="1133">
                  <c:v>0.22664532906581797</c:v>
                </c:pt>
                <c:pt idx="1134">
                  <c:v>0.22684536907381958</c:v>
                </c:pt>
                <c:pt idx="1135">
                  <c:v>0.22704540908182119</c:v>
                </c:pt>
                <c:pt idx="1136">
                  <c:v>0.2272454490898228</c:v>
                </c:pt>
                <c:pt idx="1137">
                  <c:v>0.22744548909782442</c:v>
                </c:pt>
                <c:pt idx="1138">
                  <c:v>0.22764552910582603</c:v>
                </c:pt>
                <c:pt idx="1139">
                  <c:v>0.22784556911382764</c:v>
                </c:pt>
                <c:pt idx="1140">
                  <c:v>0.22804560912182925</c:v>
                </c:pt>
                <c:pt idx="1141">
                  <c:v>0.22824564912983086</c:v>
                </c:pt>
                <c:pt idx="1142">
                  <c:v>0.22844568913783247</c:v>
                </c:pt>
                <c:pt idx="1143">
                  <c:v>0.22864572914583409</c:v>
                </c:pt>
                <c:pt idx="1144">
                  <c:v>0.2288457691538357</c:v>
                </c:pt>
                <c:pt idx="1145">
                  <c:v>0.22904580916183731</c:v>
                </c:pt>
                <c:pt idx="1146">
                  <c:v>0.22924584916983892</c:v>
                </c:pt>
                <c:pt idx="1147">
                  <c:v>0.22944588917784053</c:v>
                </c:pt>
                <c:pt idx="1148">
                  <c:v>0.22964592918584215</c:v>
                </c:pt>
                <c:pt idx="1149">
                  <c:v>0.22984596919384376</c:v>
                </c:pt>
                <c:pt idx="1150">
                  <c:v>0.23004600920184537</c:v>
                </c:pt>
                <c:pt idx="1151">
                  <c:v>0.23024604920984698</c:v>
                </c:pt>
                <c:pt idx="1152">
                  <c:v>0.23044608921784859</c:v>
                </c:pt>
                <c:pt idx="1153">
                  <c:v>0.2306461292258502</c:v>
                </c:pt>
                <c:pt idx="1154">
                  <c:v>0.23084616923385182</c:v>
                </c:pt>
                <c:pt idx="1155">
                  <c:v>0.23104620924185343</c:v>
                </c:pt>
                <c:pt idx="1156">
                  <c:v>0.23124624924985504</c:v>
                </c:pt>
                <c:pt idx="1157">
                  <c:v>0.23144628925785665</c:v>
                </c:pt>
                <c:pt idx="1158">
                  <c:v>0.23164632926585826</c:v>
                </c:pt>
                <c:pt idx="1159">
                  <c:v>0.23184636927385988</c:v>
                </c:pt>
                <c:pt idx="1160">
                  <c:v>0.23204640928186149</c:v>
                </c:pt>
                <c:pt idx="1161">
                  <c:v>0.2322464492898631</c:v>
                </c:pt>
                <c:pt idx="1162">
                  <c:v>0.23244648929786471</c:v>
                </c:pt>
                <c:pt idx="1163">
                  <c:v>0.23264652930586632</c:v>
                </c:pt>
                <c:pt idx="1164">
                  <c:v>0.23284656931386793</c:v>
                </c:pt>
                <c:pt idx="1165">
                  <c:v>0.23304660932186955</c:v>
                </c:pt>
                <c:pt idx="1166">
                  <c:v>0.23324664932987116</c:v>
                </c:pt>
                <c:pt idx="1167">
                  <c:v>0.23344668933787277</c:v>
                </c:pt>
                <c:pt idx="1168">
                  <c:v>0.23364672934587438</c:v>
                </c:pt>
                <c:pt idx="1169">
                  <c:v>0.23384676935387599</c:v>
                </c:pt>
                <c:pt idx="1170">
                  <c:v>0.23404680936187761</c:v>
                </c:pt>
                <c:pt idx="1171">
                  <c:v>0.23424684936987922</c:v>
                </c:pt>
                <c:pt idx="1172">
                  <c:v>0.23444688937788083</c:v>
                </c:pt>
                <c:pt idx="1173">
                  <c:v>0.23464692938588244</c:v>
                </c:pt>
                <c:pt idx="1174">
                  <c:v>0.23484696939388405</c:v>
                </c:pt>
                <c:pt idx="1175">
                  <c:v>0.23504700940188566</c:v>
                </c:pt>
                <c:pt idx="1176">
                  <c:v>0.23524704940988728</c:v>
                </c:pt>
                <c:pt idx="1177">
                  <c:v>0.23544708941788889</c:v>
                </c:pt>
                <c:pt idx="1178">
                  <c:v>0.2356471294258905</c:v>
                </c:pt>
                <c:pt idx="1179">
                  <c:v>0.23584716943389211</c:v>
                </c:pt>
                <c:pt idx="1180">
                  <c:v>0.23604720944189372</c:v>
                </c:pt>
                <c:pt idx="1181">
                  <c:v>0.23624724944989534</c:v>
                </c:pt>
                <c:pt idx="1182">
                  <c:v>0.23644728945789695</c:v>
                </c:pt>
                <c:pt idx="1183">
                  <c:v>0.23664732946589856</c:v>
                </c:pt>
                <c:pt idx="1184">
                  <c:v>0.23684736947390017</c:v>
                </c:pt>
                <c:pt idx="1185">
                  <c:v>0.23704740948190178</c:v>
                </c:pt>
                <c:pt idx="1186">
                  <c:v>0.23724744948990339</c:v>
                </c:pt>
                <c:pt idx="1187">
                  <c:v>0.23744748949790501</c:v>
                </c:pt>
                <c:pt idx="1188">
                  <c:v>0.23764752950590662</c:v>
                </c:pt>
                <c:pt idx="1189">
                  <c:v>0.23784756951390823</c:v>
                </c:pt>
                <c:pt idx="1190">
                  <c:v>0.23804760952190984</c:v>
                </c:pt>
                <c:pt idx="1191">
                  <c:v>0.23824764952991145</c:v>
                </c:pt>
                <c:pt idx="1192">
                  <c:v>0.23844768953791307</c:v>
                </c:pt>
                <c:pt idx="1193">
                  <c:v>0.23864772954591468</c:v>
                </c:pt>
                <c:pt idx="1194">
                  <c:v>0.23884776955391629</c:v>
                </c:pt>
                <c:pt idx="1195">
                  <c:v>0.2390478095619179</c:v>
                </c:pt>
                <c:pt idx="1196">
                  <c:v>0.23924784956991951</c:v>
                </c:pt>
                <c:pt idx="1197">
                  <c:v>0.23944788957792112</c:v>
                </c:pt>
                <c:pt idx="1198">
                  <c:v>0.23964792958592274</c:v>
                </c:pt>
                <c:pt idx="1199">
                  <c:v>0.23984796959392435</c:v>
                </c:pt>
                <c:pt idx="1200">
                  <c:v>0.24004800960192596</c:v>
                </c:pt>
                <c:pt idx="1201">
                  <c:v>0.24024804960992757</c:v>
                </c:pt>
                <c:pt idx="1202">
                  <c:v>0.24044808961792918</c:v>
                </c:pt>
                <c:pt idx="1203">
                  <c:v>0.2406481296259308</c:v>
                </c:pt>
                <c:pt idx="1204">
                  <c:v>0.24084816963393241</c:v>
                </c:pt>
                <c:pt idx="1205">
                  <c:v>0.24104820964193402</c:v>
                </c:pt>
                <c:pt idx="1206">
                  <c:v>0.24124824964993563</c:v>
                </c:pt>
                <c:pt idx="1207">
                  <c:v>0.24144828965793724</c:v>
                </c:pt>
                <c:pt idx="1208">
                  <c:v>0.24164832966593885</c:v>
                </c:pt>
                <c:pt idx="1209">
                  <c:v>0.24184836967394047</c:v>
                </c:pt>
                <c:pt idx="1210">
                  <c:v>0.24204840968194208</c:v>
                </c:pt>
                <c:pt idx="1211">
                  <c:v>0.24224844968994369</c:v>
                </c:pt>
                <c:pt idx="1212">
                  <c:v>0.2424484896979453</c:v>
                </c:pt>
                <c:pt idx="1213">
                  <c:v>0.24264852970594691</c:v>
                </c:pt>
                <c:pt idx="1214">
                  <c:v>0.24284856971394853</c:v>
                </c:pt>
                <c:pt idx="1215">
                  <c:v>0.24304860972195014</c:v>
                </c:pt>
                <c:pt idx="1216">
                  <c:v>0.24324864972995175</c:v>
                </c:pt>
                <c:pt idx="1217">
                  <c:v>0.24344868973795336</c:v>
                </c:pt>
                <c:pt idx="1218">
                  <c:v>0.24364872974595497</c:v>
                </c:pt>
                <c:pt idx="1219">
                  <c:v>0.24384876975395658</c:v>
                </c:pt>
                <c:pt idx="1220">
                  <c:v>0.2440488097619582</c:v>
                </c:pt>
                <c:pt idx="1221">
                  <c:v>0.24424884976995981</c:v>
                </c:pt>
                <c:pt idx="1222">
                  <c:v>0.24444888977796142</c:v>
                </c:pt>
                <c:pt idx="1223">
                  <c:v>0.24464892978596303</c:v>
                </c:pt>
                <c:pt idx="1224">
                  <c:v>0.24484896979396464</c:v>
                </c:pt>
                <c:pt idx="1225">
                  <c:v>0.24504900980196626</c:v>
                </c:pt>
                <c:pt idx="1226">
                  <c:v>0.24524904980996787</c:v>
                </c:pt>
                <c:pt idx="1227">
                  <c:v>0.24544908981796948</c:v>
                </c:pt>
                <c:pt idx="1228">
                  <c:v>0.24564912982597109</c:v>
                </c:pt>
                <c:pt idx="1229">
                  <c:v>0.2458491698339727</c:v>
                </c:pt>
                <c:pt idx="1230">
                  <c:v>0.24604920984197431</c:v>
                </c:pt>
                <c:pt idx="1231">
                  <c:v>0.24624924984997593</c:v>
                </c:pt>
                <c:pt idx="1232">
                  <c:v>0.24644928985797754</c:v>
                </c:pt>
                <c:pt idx="1233">
                  <c:v>0.24664932986597915</c:v>
                </c:pt>
                <c:pt idx="1234">
                  <c:v>0.24684936987398076</c:v>
                </c:pt>
                <c:pt idx="1235">
                  <c:v>0.24704940988198237</c:v>
                </c:pt>
                <c:pt idx="1236">
                  <c:v>0.24724944988998399</c:v>
                </c:pt>
                <c:pt idx="1237">
                  <c:v>0.2474494898979856</c:v>
                </c:pt>
                <c:pt idx="1238">
                  <c:v>0.24764952990598721</c:v>
                </c:pt>
                <c:pt idx="1239">
                  <c:v>0.24784956991398882</c:v>
                </c:pt>
                <c:pt idx="1240">
                  <c:v>0.24804960992199043</c:v>
                </c:pt>
                <c:pt idx="1241">
                  <c:v>0.24824964992999204</c:v>
                </c:pt>
                <c:pt idx="1242">
                  <c:v>0.24844968993799366</c:v>
                </c:pt>
                <c:pt idx="1243">
                  <c:v>0.24864972994599527</c:v>
                </c:pt>
                <c:pt idx="1244">
                  <c:v>0.24884976995399688</c:v>
                </c:pt>
                <c:pt idx="1245">
                  <c:v>0.24904980996199849</c:v>
                </c:pt>
                <c:pt idx="1246">
                  <c:v>0.2492498499700001</c:v>
                </c:pt>
                <c:pt idx="1247">
                  <c:v>0.24944988997800172</c:v>
                </c:pt>
                <c:pt idx="1248">
                  <c:v>0.24964992998600333</c:v>
                </c:pt>
                <c:pt idx="1249">
                  <c:v>0.24984996999400494</c:v>
                </c:pt>
                <c:pt idx="1250">
                  <c:v>0.25005001000200655</c:v>
                </c:pt>
                <c:pt idx="1251">
                  <c:v>0.25025005001000816</c:v>
                </c:pt>
                <c:pt idx="1252">
                  <c:v>0.25045009001800977</c:v>
                </c:pt>
                <c:pt idx="1253">
                  <c:v>0.25065013002601139</c:v>
                </c:pt>
                <c:pt idx="1254">
                  <c:v>0.250850170034013</c:v>
                </c:pt>
                <c:pt idx="1255">
                  <c:v>0.25105021004201461</c:v>
                </c:pt>
                <c:pt idx="1256">
                  <c:v>0.25125025005001622</c:v>
                </c:pt>
                <c:pt idx="1257">
                  <c:v>0.25145029005801783</c:v>
                </c:pt>
                <c:pt idx="1258">
                  <c:v>0.25165033006601945</c:v>
                </c:pt>
                <c:pt idx="1259">
                  <c:v>0.25185037007402106</c:v>
                </c:pt>
                <c:pt idx="1260">
                  <c:v>0.25205041008202267</c:v>
                </c:pt>
                <c:pt idx="1261">
                  <c:v>0.25225045009002428</c:v>
                </c:pt>
                <c:pt idx="1262">
                  <c:v>0.25245049009802589</c:v>
                </c:pt>
                <c:pt idx="1263">
                  <c:v>0.2526505301060275</c:v>
                </c:pt>
                <c:pt idx="1264">
                  <c:v>0.25285057011402912</c:v>
                </c:pt>
                <c:pt idx="1265">
                  <c:v>0.25305061012203073</c:v>
                </c:pt>
                <c:pt idx="1266">
                  <c:v>0.25325065013003234</c:v>
                </c:pt>
                <c:pt idx="1267">
                  <c:v>0.25345069013803395</c:v>
                </c:pt>
                <c:pt idx="1268">
                  <c:v>0.25365073014603556</c:v>
                </c:pt>
                <c:pt idx="1269">
                  <c:v>0.25385077015403718</c:v>
                </c:pt>
                <c:pt idx="1270">
                  <c:v>0.25405081016203879</c:v>
                </c:pt>
                <c:pt idx="1271">
                  <c:v>0.2542508501700404</c:v>
                </c:pt>
                <c:pt idx="1272">
                  <c:v>0.25445089017804201</c:v>
                </c:pt>
                <c:pt idx="1273">
                  <c:v>0.25465093018604362</c:v>
                </c:pt>
                <c:pt idx="1274">
                  <c:v>0.25485097019404523</c:v>
                </c:pt>
                <c:pt idx="1275">
                  <c:v>0.25505101020204685</c:v>
                </c:pt>
                <c:pt idx="1276">
                  <c:v>0.25525105021004846</c:v>
                </c:pt>
                <c:pt idx="1277">
                  <c:v>0.25545109021805007</c:v>
                </c:pt>
                <c:pt idx="1278">
                  <c:v>0.25565113022605168</c:v>
                </c:pt>
                <c:pt idx="1279">
                  <c:v>0.25585117023405329</c:v>
                </c:pt>
                <c:pt idx="1280">
                  <c:v>0.25605121024205491</c:v>
                </c:pt>
                <c:pt idx="1281">
                  <c:v>0.25625125025005652</c:v>
                </c:pt>
                <c:pt idx="1282">
                  <c:v>0.25645129025805813</c:v>
                </c:pt>
                <c:pt idx="1283">
                  <c:v>0.25665133026605974</c:v>
                </c:pt>
                <c:pt idx="1284">
                  <c:v>0.25685137027406135</c:v>
                </c:pt>
                <c:pt idx="1285">
                  <c:v>0.25705141028206296</c:v>
                </c:pt>
                <c:pt idx="1286">
                  <c:v>0.25725145029006458</c:v>
                </c:pt>
                <c:pt idx="1287">
                  <c:v>0.25745149029806619</c:v>
                </c:pt>
                <c:pt idx="1288">
                  <c:v>0.2576515303060678</c:v>
                </c:pt>
                <c:pt idx="1289">
                  <c:v>0.25785157031406941</c:v>
                </c:pt>
                <c:pt idx="1290">
                  <c:v>0.25805161032207102</c:v>
                </c:pt>
                <c:pt idx="1291">
                  <c:v>0.25825165033007264</c:v>
                </c:pt>
                <c:pt idx="1292">
                  <c:v>0.25845169033807425</c:v>
                </c:pt>
                <c:pt idx="1293">
                  <c:v>0.25865173034607586</c:v>
                </c:pt>
                <c:pt idx="1294">
                  <c:v>0.25885177035407747</c:v>
                </c:pt>
                <c:pt idx="1295">
                  <c:v>0.25905181036207908</c:v>
                </c:pt>
                <c:pt idx="1296">
                  <c:v>0.25925185037008069</c:v>
                </c:pt>
                <c:pt idx="1297">
                  <c:v>0.25945189037808231</c:v>
                </c:pt>
                <c:pt idx="1298">
                  <c:v>0.25965193038608392</c:v>
                </c:pt>
                <c:pt idx="1299">
                  <c:v>0.25985197039408553</c:v>
                </c:pt>
                <c:pt idx="1300">
                  <c:v>0.26005201040208714</c:v>
                </c:pt>
                <c:pt idx="1301">
                  <c:v>0.26025205041008875</c:v>
                </c:pt>
                <c:pt idx="1302">
                  <c:v>0.26045209041809037</c:v>
                </c:pt>
                <c:pt idx="1303">
                  <c:v>0.26065213042609198</c:v>
                </c:pt>
                <c:pt idx="1304">
                  <c:v>0.26085217043409359</c:v>
                </c:pt>
                <c:pt idx="1305">
                  <c:v>0.2610522104420952</c:v>
                </c:pt>
                <c:pt idx="1306">
                  <c:v>0.26125225045009681</c:v>
                </c:pt>
                <c:pt idx="1307">
                  <c:v>0.26145229045809842</c:v>
                </c:pt>
                <c:pt idx="1308">
                  <c:v>0.26165233046610004</c:v>
                </c:pt>
                <c:pt idx="1309">
                  <c:v>0.26185237047410165</c:v>
                </c:pt>
                <c:pt idx="1310">
                  <c:v>0.26205241048210326</c:v>
                </c:pt>
                <c:pt idx="1311">
                  <c:v>0.26225245049010487</c:v>
                </c:pt>
                <c:pt idx="1312">
                  <c:v>0.26245249049810648</c:v>
                </c:pt>
                <c:pt idx="1313">
                  <c:v>0.2626525305061081</c:v>
                </c:pt>
                <c:pt idx="1314">
                  <c:v>0.26285257051410971</c:v>
                </c:pt>
                <c:pt idx="1315">
                  <c:v>0.26305261052211132</c:v>
                </c:pt>
                <c:pt idx="1316">
                  <c:v>0.26325265053011293</c:v>
                </c:pt>
                <c:pt idx="1317">
                  <c:v>0.26345269053811454</c:v>
                </c:pt>
                <c:pt idx="1318">
                  <c:v>0.26365273054611615</c:v>
                </c:pt>
                <c:pt idx="1319">
                  <c:v>0.26385277055411777</c:v>
                </c:pt>
                <c:pt idx="1320">
                  <c:v>0.26405281056211938</c:v>
                </c:pt>
                <c:pt idx="1321">
                  <c:v>0.26425285057012099</c:v>
                </c:pt>
                <c:pt idx="1322">
                  <c:v>0.2644528905781226</c:v>
                </c:pt>
                <c:pt idx="1323">
                  <c:v>0.26465293058612421</c:v>
                </c:pt>
                <c:pt idx="1324">
                  <c:v>0.26485297059412582</c:v>
                </c:pt>
                <c:pt idx="1325">
                  <c:v>0.26505301060212744</c:v>
                </c:pt>
                <c:pt idx="1326">
                  <c:v>0.26525305061012905</c:v>
                </c:pt>
                <c:pt idx="1327">
                  <c:v>0.26545309061813066</c:v>
                </c:pt>
                <c:pt idx="1328">
                  <c:v>0.26565313062613227</c:v>
                </c:pt>
                <c:pt idx="1329">
                  <c:v>0.26585317063413388</c:v>
                </c:pt>
                <c:pt idx="1330">
                  <c:v>0.2660532106421355</c:v>
                </c:pt>
                <c:pt idx="1331">
                  <c:v>0.26625325065013711</c:v>
                </c:pt>
                <c:pt idx="1332">
                  <c:v>0.26645329065813872</c:v>
                </c:pt>
                <c:pt idx="1333">
                  <c:v>0.26665333066614033</c:v>
                </c:pt>
                <c:pt idx="1334">
                  <c:v>0.26685337067414194</c:v>
                </c:pt>
                <c:pt idx="1335">
                  <c:v>0.26705341068214355</c:v>
                </c:pt>
                <c:pt idx="1336">
                  <c:v>0.26725345069014517</c:v>
                </c:pt>
                <c:pt idx="1337">
                  <c:v>0.26745349069814678</c:v>
                </c:pt>
                <c:pt idx="1338">
                  <c:v>0.26765353070614839</c:v>
                </c:pt>
                <c:pt idx="1339">
                  <c:v>0.26785357071415</c:v>
                </c:pt>
                <c:pt idx="1340">
                  <c:v>0.26805361072215161</c:v>
                </c:pt>
                <c:pt idx="1341">
                  <c:v>0.26825365073015323</c:v>
                </c:pt>
                <c:pt idx="1342">
                  <c:v>0.26845369073815484</c:v>
                </c:pt>
                <c:pt idx="1343">
                  <c:v>0.26865373074615645</c:v>
                </c:pt>
                <c:pt idx="1344">
                  <c:v>0.26885377075415806</c:v>
                </c:pt>
                <c:pt idx="1345">
                  <c:v>0.26905381076215967</c:v>
                </c:pt>
                <c:pt idx="1346">
                  <c:v>0.26925385077016128</c:v>
                </c:pt>
                <c:pt idx="1347">
                  <c:v>0.2694538907781629</c:v>
                </c:pt>
                <c:pt idx="1348">
                  <c:v>0.26965393078616451</c:v>
                </c:pt>
                <c:pt idx="1349">
                  <c:v>0.26985397079416612</c:v>
                </c:pt>
                <c:pt idx="1350">
                  <c:v>0.27005401080216773</c:v>
                </c:pt>
                <c:pt idx="1351">
                  <c:v>0.27025405081016934</c:v>
                </c:pt>
                <c:pt idx="1352">
                  <c:v>0.27045409081817096</c:v>
                </c:pt>
                <c:pt idx="1353">
                  <c:v>0.27065413082617257</c:v>
                </c:pt>
                <c:pt idx="1354">
                  <c:v>0.27085417083417418</c:v>
                </c:pt>
                <c:pt idx="1355">
                  <c:v>0.27105421084217579</c:v>
                </c:pt>
                <c:pt idx="1356">
                  <c:v>0.2712542508501774</c:v>
                </c:pt>
                <c:pt idx="1357">
                  <c:v>0.27145429085817901</c:v>
                </c:pt>
                <c:pt idx="1358">
                  <c:v>0.27165433086618063</c:v>
                </c:pt>
                <c:pt idx="1359">
                  <c:v>0.27185437087418224</c:v>
                </c:pt>
                <c:pt idx="1360">
                  <c:v>0.27205441088218385</c:v>
                </c:pt>
                <c:pt idx="1361">
                  <c:v>0.27225445089018546</c:v>
                </c:pt>
                <c:pt idx="1362">
                  <c:v>0.27245449089818707</c:v>
                </c:pt>
                <c:pt idx="1363">
                  <c:v>0.27265453090618869</c:v>
                </c:pt>
                <c:pt idx="1364">
                  <c:v>0.2728545709141903</c:v>
                </c:pt>
                <c:pt idx="1365">
                  <c:v>0.27305461092219191</c:v>
                </c:pt>
                <c:pt idx="1366">
                  <c:v>0.27325465093019352</c:v>
                </c:pt>
                <c:pt idx="1367">
                  <c:v>0.27345469093819513</c:v>
                </c:pt>
                <c:pt idx="1368">
                  <c:v>0.27365473094619674</c:v>
                </c:pt>
                <c:pt idx="1369">
                  <c:v>0.27385477095419836</c:v>
                </c:pt>
                <c:pt idx="1370">
                  <c:v>0.27405481096219997</c:v>
                </c:pt>
                <c:pt idx="1371">
                  <c:v>0.27425485097020158</c:v>
                </c:pt>
                <c:pt idx="1372">
                  <c:v>0.27445489097820319</c:v>
                </c:pt>
                <c:pt idx="1373">
                  <c:v>0.2746549309862048</c:v>
                </c:pt>
                <c:pt idx="1374">
                  <c:v>0.27485497099420642</c:v>
                </c:pt>
                <c:pt idx="1375">
                  <c:v>0.27505501100220803</c:v>
                </c:pt>
                <c:pt idx="1376">
                  <c:v>0.27525505101020964</c:v>
                </c:pt>
                <c:pt idx="1377">
                  <c:v>0.27545509101821125</c:v>
                </c:pt>
                <c:pt idx="1378">
                  <c:v>0.27565513102621286</c:v>
                </c:pt>
                <c:pt idx="1379">
                  <c:v>0.27585517103421447</c:v>
                </c:pt>
                <c:pt idx="1380">
                  <c:v>0.27605521104221609</c:v>
                </c:pt>
                <c:pt idx="1381">
                  <c:v>0.2762552510502177</c:v>
                </c:pt>
                <c:pt idx="1382">
                  <c:v>0.27645529105821931</c:v>
                </c:pt>
                <c:pt idx="1383">
                  <c:v>0.27665533106622092</c:v>
                </c:pt>
                <c:pt idx="1384">
                  <c:v>0.27685537107422253</c:v>
                </c:pt>
                <c:pt idx="1385">
                  <c:v>0.27705541108222415</c:v>
                </c:pt>
                <c:pt idx="1386">
                  <c:v>0.27725545109022576</c:v>
                </c:pt>
                <c:pt idx="1387">
                  <c:v>0.27745549109822737</c:v>
                </c:pt>
                <c:pt idx="1388">
                  <c:v>0.27765553110622898</c:v>
                </c:pt>
                <c:pt idx="1389">
                  <c:v>0.27785557111423059</c:v>
                </c:pt>
                <c:pt idx="1390">
                  <c:v>0.2780556111222322</c:v>
                </c:pt>
                <c:pt idx="1391">
                  <c:v>0.27825565113023382</c:v>
                </c:pt>
                <c:pt idx="1392">
                  <c:v>0.27845569113823543</c:v>
                </c:pt>
                <c:pt idx="1393">
                  <c:v>0.27865573114623704</c:v>
                </c:pt>
                <c:pt idx="1394">
                  <c:v>0.27885577115423865</c:v>
                </c:pt>
                <c:pt idx="1395">
                  <c:v>0.27905581116224026</c:v>
                </c:pt>
                <c:pt idx="1396">
                  <c:v>0.27925585117024188</c:v>
                </c:pt>
                <c:pt idx="1397">
                  <c:v>0.27945589117824349</c:v>
                </c:pt>
                <c:pt idx="1398">
                  <c:v>0.2796559311862451</c:v>
                </c:pt>
                <c:pt idx="1399">
                  <c:v>0.27985597119424671</c:v>
                </c:pt>
                <c:pt idx="1400">
                  <c:v>0.28005601120224832</c:v>
                </c:pt>
                <c:pt idx="1401">
                  <c:v>0.28025605121024993</c:v>
                </c:pt>
                <c:pt idx="1402">
                  <c:v>0.28045609121825155</c:v>
                </c:pt>
                <c:pt idx="1403">
                  <c:v>0.28065613122625316</c:v>
                </c:pt>
                <c:pt idx="1404">
                  <c:v>0.28085617123425477</c:v>
                </c:pt>
                <c:pt idx="1405">
                  <c:v>0.28105621124225638</c:v>
                </c:pt>
                <c:pt idx="1406">
                  <c:v>0.28125625125025799</c:v>
                </c:pt>
                <c:pt idx="1407">
                  <c:v>0.28145629125825961</c:v>
                </c:pt>
                <c:pt idx="1408">
                  <c:v>0.28165633126626122</c:v>
                </c:pt>
                <c:pt idx="1409">
                  <c:v>0.28185637127426283</c:v>
                </c:pt>
                <c:pt idx="1410">
                  <c:v>0.28205641128226444</c:v>
                </c:pt>
                <c:pt idx="1411">
                  <c:v>0.28225645129026605</c:v>
                </c:pt>
                <c:pt idx="1412">
                  <c:v>0.28245649129826766</c:v>
                </c:pt>
                <c:pt idx="1413">
                  <c:v>0.28265653130626928</c:v>
                </c:pt>
                <c:pt idx="1414">
                  <c:v>0.28285657131427089</c:v>
                </c:pt>
                <c:pt idx="1415">
                  <c:v>0.2830566113222725</c:v>
                </c:pt>
                <c:pt idx="1416">
                  <c:v>0.28325665133027411</c:v>
                </c:pt>
                <c:pt idx="1417">
                  <c:v>0.28345669133827572</c:v>
                </c:pt>
                <c:pt idx="1418">
                  <c:v>0.28365673134627734</c:v>
                </c:pt>
                <c:pt idx="1419">
                  <c:v>0.28385677135427895</c:v>
                </c:pt>
                <c:pt idx="1420">
                  <c:v>0.28405681136228056</c:v>
                </c:pt>
                <c:pt idx="1421">
                  <c:v>0.28425685137028217</c:v>
                </c:pt>
                <c:pt idx="1422">
                  <c:v>0.28445689137828378</c:v>
                </c:pt>
                <c:pt idx="1423">
                  <c:v>0.28465693138628539</c:v>
                </c:pt>
                <c:pt idx="1424">
                  <c:v>0.28485697139428701</c:v>
                </c:pt>
                <c:pt idx="1425">
                  <c:v>0.28505701140228862</c:v>
                </c:pt>
                <c:pt idx="1426">
                  <c:v>0.28525705141029023</c:v>
                </c:pt>
                <c:pt idx="1427">
                  <c:v>0.28545709141829184</c:v>
                </c:pt>
                <c:pt idx="1428">
                  <c:v>0.28565713142629345</c:v>
                </c:pt>
                <c:pt idx="1429">
                  <c:v>0.28585717143429507</c:v>
                </c:pt>
                <c:pt idx="1430">
                  <c:v>0.28605721144229668</c:v>
                </c:pt>
                <c:pt idx="1431">
                  <c:v>0.28625725145029829</c:v>
                </c:pt>
                <c:pt idx="1432">
                  <c:v>0.2864572914582999</c:v>
                </c:pt>
                <c:pt idx="1433">
                  <c:v>0.28665733146630151</c:v>
                </c:pt>
                <c:pt idx="1434">
                  <c:v>0.28685737147430312</c:v>
                </c:pt>
                <c:pt idx="1435">
                  <c:v>0.28705741148230474</c:v>
                </c:pt>
                <c:pt idx="1436">
                  <c:v>0.28725745149030635</c:v>
                </c:pt>
                <c:pt idx="1437">
                  <c:v>0.28745749149830796</c:v>
                </c:pt>
                <c:pt idx="1438">
                  <c:v>0.28765753150630957</c:v>
                </c:pt>
                <c:pt idx="1439">
                  <c:v>0.28785757151431118</c:v>
                </c:pt>
                <c:pt idx="1440">
                  <c:v>0.2880576115223128</c:v>
                </c:pt>
                <c:pt idx="1441">
                  <c:v>0.28825765153031441</c:v>
                </c:pt>
                <c:pt idx="1442">
                  <c:v>0.28845769153831602</c:v>
                </c:pt>
                <c:pt idx="1443">
                  <c:v>0.28865773154631763</c:v>
                </c:pt>
                <c:pt idx="1444">
                  <c:v>0.28885777155431924</c:v>
                </c:pt>
                <c:pt idx="1445">
                  <c:v>0.28905781156232085</c:v>
                </c:pt>
                <c:pt idx="1446">
                  <c:v>0.28925785157032247</c:v>
                </c:pt>
                <c:pt idx="1447">
                  <c:v>0.28945789157832408</c:v>
                </c:pt>
                <c:pt idx="1448">
                  <c:v>0.28965793158632569</c:v>
                </c:pt>
                <c:pt idx="1449">
                  <c:v>0.2898579715943273</c:v>
                </c:pt>
                <c:pt idx="1450">
                  <c:v>0.29005801160232891</c:v>
                </c:pt>
                <c:pt idx="1451">
                  <c:v>0.29025805161033053</c:v>
                </c:pt>
                <c:pt idx="1452">
                  <c:v>0.29045809161833214</c:v>
                </c:pt>
                <c:pt idx="1453">
                  <c:v>0.29065813162633375</c:v>
                </c:pt>
                <c:pt idx="1454">
                  <c:v>0.29085817163433536</c:v>
                </c:pt>
                <c:pt idx="1455">
                  <c:v>0.29105821164233697</c:v>
                </c:pt>
                <c:pt idx="1456">
                  <c:v>0.29125825165033858</c:v>
                </c:pt>
                <c:pt idx="1457">
                  <c:v>0.2914582916583402</c:v>
                </c:pt>
                <c:pt idx="1458">
                  <c:v>0.29165833166634181</c:v>
                </c:pt>
                <c:pt idx="1459">
                  <c:v>0.29185837167434342</c:v>
                </c:pt>
                <c:pt idx="1460">
                  <c:v>0.29205841168234503</c:v>
                </c:pt>
                <c:pt idx="1461">
                  <c:v>0.29225845169034664</c:v>
                </c:pt>
                <c:pt idx="1462">
                  <c:v>0.29245849169834826</c:v>
                </c:pt>
                <c:pt idx="1463">
                  <c:v>0.29265853170634987</c:v>
                </c:pt>
                <c:pt idx="1464">
                  <c:v>0.29285857171435148</c:v>
                </c:pt>
                <c:pt idx="1465">
                  <c:v>0.29305861172235309</c:v>
                </c:pt>
                <c:pt idx="1466">
                  <c:v>0.2932586517303547</c:v>
                </c:pt>
                <c:pt idx="1467">
                  <c:v>0.29345869173835631</c:v>
                </c:pt>
                <c:pt idx="1468">
                  <c:v>0.29365873174635793</c:v>
                </c:pt>
                <c:pt idx="1469">
                  <c:v>0.29385877175435954</c:v>
                </c:pt>
                <c:pt idx="1470">
                  <c:v>0.29405881176236115</c:v>
                </c:pt>
                <c:pt idx="1471">
                  <c:v>0.29425885177036276</c:v>
                </c:pt>
                <c:pt idx="1472">
                  <c:v>0.29445889177836437</c:v>
                </c:pt>
                <c:pt idx="1473">
                  <c:v>0.29465893178636599</c:v>
                </c:pt>
                <c:pt idx="1474">
                  <c:v>0.2948589717943676</c:v>
                </c:pt>
                <c:pt idx="1475">
                  <c:v>0.29505901180236921</c:v>
                </c:pt>
                <c:pt idx="1476">
                  <c:v>0.29525905181037082</c:v>
                </c:pt>
                <c:pt idx="1477">
                  <c:v>0.29545909181837243</c:v>
                </c:pt>
                <c:pt idx="1478">
                  <c:v>0.29565913182637404</c:v>
                </c:pt>
                <c:pt idx="1479">
                  <c:v>0.29585917183437566</c:v>
                </c:pt>
                <c:pt idx="1480">
                  <c:v>0.29605921184237727</c:v>
                </c:pt>
                <c:pt idx="1481">
                  <c:v>0.29625925185037888</c:v>
                </c:pt>
                <c:pt idx="1482">
                  <c:v>0.29645929185838049</c:v>
                </c:pt>
                <c:pt idx="1483">
                  <c:v>0.2966593318663821</c:v>
                </c:pt>
                <c:pt idx="1484">
                  <c:v>0.29685937187438372</c:v>
                </c:pt>
                <c:pt idx="1485">
                  <c:v>0.29705941188238533</c:v>
                </c:pt>
                <c:pt idx="1486">
                  <c:v>0.29725945189038694</c:v>
                </c:pt>
                <c:pt idx="1487">
                  <c:v>0.29745949189838855</c:v>
                </c:pt>
                <c:pt idx="1488">
                  <c:v>0.29765953190639016</c:v>
                </c:pt>
                <c:pt idx="1489">
                  <c:v>0.29785957191439177</c:v>
                </c:pt>
                <c:pt idx="1490">
                  <c:v>0.29805961192239339</c:v>
                </c:pt>
                <c:pt idx="1491">
                  <c:v>0.298259651930395</c:v>
                </c:pt>
                <c:pt idx="1492">
                  <c:v>0.29845969193839661</c:v>
                </c:pt>
                <c:pt idx="1493">
                  <c:v>0.29865973194639822</c:v>
                </c:pt>
                <c:pt idx="1494">
                  <c:v>0.29885977195439983</c:v>
                </c:pt>
                <c:pt idx="1495">
                  <c:v>0.29905981196240145</c:v>
                </c:pt>
                <c:pt idx="1496">
                  <c:v>0.29925985197040306</c:v>
                </c:pt>
                <c:pt idx="1497">
                  <c:v>0.29945989197840467</c:v>
                </c:pt>
                <c:pt idx="1498">
                  <c:v>0.29965993198640628</c:v>
                </c:pt>
                <c:pt idx="1499">
                  <c:v>0.29985997199440789</c:v>
                </c:pt>
                <c:pt idx="1500">
                  <c:v>0.3000600120024095</c:v>
                </c:pt>
                <c:pt idx="1501">
                  <c:v>0.30026005201041112</c:v>
                </c:pt>
                <c:pt idx="1502">
                  <c:v>0.30046009201841273</c:v>
                </c:pt>
                <c:pt idx="1503">
                  <c:v>0.30066013202641434</c:v>
                </c:pt>
                <c:pt idx="1504">
                  <c:v>0.30086017203441595</c:v>
                </c:pt>
                <c:pt idx="1505">
                  <c:v>0.30106021204241756</c:v>
                </c:pt>
                <c:pt idx="1506">
                  <c:v>0.30126025205041917</c:v>
                </c:pt>
                <c:pt idx="1507">
                  <c:v>0.30146029205842079</c:v>
                </c:pt>
                <c:pt idx="1508">
                  <c:v>0.3016603320664224</c:v>
                </c:pt>
                <c:pt idx="1509">
                  <c:v>0.30186037207442401</c:v>
                </c:pt>
                <c:pt idx="1510">
                  <c:v>0.30206041208242562</c:v>
                </c:pt>
                <c:pt idx="1511">
                  <c:v>0.30226045209042723</c:v>
                </c:pt>
                <c:pt idx="1512">
                  <c:v>0.30246049209842885</c:v>
                </c:pt>
                <c:pt idx="1513">
                  <c:v>0.30266053210643046</c:v>
                </c:pt>
                <c:pt idx="1514">
                  <c:v>0.30286057211443207</c:v>
                </c:pt>
                <c:pt idx="1515">
                  <c:v>0.30306061212243368</c:v>
                </c:pt>
                <c:pt idx="1516">
                  <c:v>0.30326065213043529</c:v>
                </c:pt>
                <c:pt idx="1517">
                  <c:v>0.3034606921384369</c:v>
                </c:pt>
                <c:pt idx="1518">
                  <c:v>0.30366073214643852</c:v>
                </c:pt>
                <c:pt idx="1519">
                  <c:v>0.30386077215444013</c:v>
                </c:pt>
                <c:pt idx="1520">
                  <c:v>0.30406081216244174</c:v>
                </c:pt>
                <c:pt idx="1521">
                  <c:v>0.30426085217044335</c:v>
                </c:pt>
                <c:pt idx="1522">
                  <c:v>0.30446089217844496</c:v>
                </c:pt>
                <c:pt idx="1523">
                  <c:v>0.30466093218644658</c:v>
                </c:pt>
                <c:pt idx="1524">
                  <c:v>0.30486097219444819</c:v>
                </c:pt>
                <c:pt idx="1525">
                  <c:v>0.3050610122024498</c:v>
                </c:pt>
                <c:pt idx="1526">
                  <c:v>0.30526105221045141</c:v>
                </c:pt>
                <c:pt idx="1527">
                  <c:v>0.30546109221845302</c:v>
                </c:pt>
                <c:pt idx="1528">
                  <c:v>0.30566113222645463</c:v>
                </c:pt>
                <c:pt idx="1529">
                  <c:v>0.30586117223445625</c:v>
                </c:pt>
                <c:pt idx="1530">
                  <c:v>0.30606121224245786</c:v>
                </c:pt>
                <c:pt idx="1531">
                  <c:v>0.30626125225045947</c:v>
                </c:pt>
                <c:pt idx="1532">
                  <c:v>0.30646129225846108</c:v>
                </c:pt>
                <c:pt idx="1533">
                  <c:v>0.30666133226646269</c:v>
                </c:pt>
                <c:pt idx="1534">
                  <c:v>0.30686137227446431</c:v>
                </c:pt>
                <c:pt idx="1535">
                  <c:v>0.30706141228246592</c:v>
                </c:pt>
                <c:pt idx="1536">
                  <c:v>0.30726145229046753</c:v>
                </c:pt>
                <c:pt idx="1537">
                  <c:v>0.30746149229846914</c:v>
                </c:pt>
                <c:pt idx="1538">
                  <c:v>0.30766153230647075</c:v>
                </c:pt>
                <c:pt idx="1539">
                  <c:v>0.30786157231447236</c:v>
                </c:pt>
                <c:pt idx="1540">
                  <c:v>0.30806161232247398</c:v>
                </c:pt>
                <c:pt idx="1541">
                  <c:v>0.30826165233047559</c:v>
                </c:pt>
                <c:pt idx="1542">
                  <c:v>0.3084616923384772</c:v>
                </c:pt>
                <c:pt idx="1543">
                  <c:v>0.30866173234647881</c:v>
                </c:pt>
                <c:pt idx="1544">
                  <c:v>0.30886177235448042</c:v>
                </c:pt>
                <c:pt idx="1545">
                  <c:v>0.30906181236248204</c:v>
                </c:pt>
                <c:pt idx="1546">
                  <c:v>0.30926185237048365</c:v>
                </c:pt>
                <c:pt idx="1547">
                  <c:v>0.30946189237848526</c:v>
                </c:pt>
                <c:pt idx="1548">
                  <c:v>0.30966193238648687</c:v>
                </c:pt>
                <c:pt idx="1549">
                  <c:v>0.30986197239448848</c:v>
                </c:pt>
                <c:pt idx="1550">
                  <c:v>0.31006201240249009</c:v>
                </c:pt>
                <c:pt idx="1551">
                  <c:v>0.31026205241049171</c:v>
                </c:pt>
                <c:pt idx="1552">
                  <c:v>0.31046209241849332</c:v>
                </c:pt>
                <c:pt idx="1553">
                  <c:v>0.31066213242649493</c:v>
                </c:pt>
                <c:pt idx="1554">
                  <c:v>0.31086217243449654</c:v>
                </c:pt>
                <c:pt idx="1555">
                  <c:v>0.31106221244249815</c:v>
                </c:pt>
                <c:pt idx="1556">
                  <c:v>0.31126225245049977</c:v>
                </c:pt>
                <c:pt idx="1557">
                  <c:v>0.31146229245850138</c:v>
                </c:pt>
                <c:pt idx="1558">
                  <c:v>0.31166233246650299</c:v>
                </c:pt>
                <c:pt idx="1559">
                  <c:v>0.3118623724745046</c:v>
                </c:pt>
                <c:pt idx="1560">
                  <c:v>0.31206241248250621</c:v>
                </c:pt>
                <c:pt idx="1561">
                  <c:v>0.31226245249050782</c:v>
                </c:pt>
                <c:pt idx="1562">
                  <c:v>0.31246249249850944</c:v>
                </c:pt>
                <c:pt idx="1563">
                  <c:v>0.31266253250651105</c:v>
                </c:pt>
                <c:pt idx="1564">
                  <c:v>0.31286257251451266</c:v>
                </c:pt>
                <c:pt idx="1565">
                  <c:v>0.31306261252251427</c:v>
                </c:pt>
                <c:pt idx="1566">
                  <c:v>0.31326265253051588</c:v>
                </c:pt>
                <c:pt idx="1567">
                  <c:v>0.3134626925385175</c:v>
                </c:pt>
                <c:pt idx="1568">
                  <c:v>0.31366273254651911</c:v>
                </c:pt>
                <c:pt idx="1569">
                  <c:v>0.31386277255452072</c:v>
                </c:pt>
                <c:pt idx="1570">
                  <c:v>0.31406281256252233</c:v>
                </c:pt>
                <c:pt idx="1571">
                  <c:v>0.31426285257052394</c:v>
                </c:pt>
                <c:pt idx="1572">
                  <c:v>0.31446289257852555</c:v>
                </c:pt>
                <c:pt idx="1573">
                  <c:v>0.31466293258652717</c:v>
                </c:pt>
                <c:pt idx="1574">
                  <c:v>0.31486297259452878</c:v>
                </c:pt>
                <c:pt idx="1575">
                  <c:v>0.31506301260253039</c:v>
                </c:pt>
                <c:pt idx="1576">
                  <c:v>0.315263052610532</c:v>
                </c:pt>
                <c:pt idx="1577">
                  <c:v>0.31546309261853361</c:v>
                </c:pt>
                <c:pt idx="1578">
                  <c:v>0.31566313262653523</c:v>
                </c:pt>
                <c:pt idx="1579">
                  <c:v>0.31586317263453684</c:v>
                </c:pt>
                <c:pt idx="1580">
                  <c:v>0.31606321264253845</c:v>
                </c:pt>
                <c:pt idx="1581">
                  <c:v>0.31626325265054006</c:v>
                </c:pt>
                <c:pt idx="1582">
                  <c:v>0.31646329265854167</c:v>
                </c:pt>
                <c:pt idx="1583">
                  <c:v>0.31666333266654328</c:v>
                </c:pt>
                <c:pt idx="1584">
                  <c:v>0.3168633726745449</c:v>
                </c:pt>
                <c:pt idx="1585">
                  <c:v>0.31706341268254651</c:v>
                </c:pt>
                <c:pt idx="1586">
                  <c:v>0.31726345269054812</c:v>
                </c:pt>
                <c:pt idx="1587">
                  <c:v>0.31746349269854973</c:v>
                </c:pt>
                <c:pt idx="1588">
                  <c:v>0.31766353270655134</c:v>
                </c:pt>
                <c:pt idx="1589">
                  <c:v>0.31786357271455296</c:v>
                </c:pt>
                <c:pt idx="1590">
                  <c:v>0.31806361272255457</c:v>
                </c:pt>
                <c:pt idx="1591">
                  <c:v>0.31826365273055618</c:v>
                </c:pt>
                <c:pt idx="1592">
                  <c:v>0.31846369273855779</c:v>
                </c:pt>
                <c:pt idx="1593">
                  <c:v>0.3186637327465594</c:v>
                </c:pt>
                <c:pt idx="1594">
                  <c:v>0.31886377275456101</c:v>
                </c:pt>
                <c:pt idx="1595">
                  <c:v>0.31906381276256263</c:v>
                </c:pt>
                <c:pt idx="1596">
                  <c:v>0.31926385277056424</c:v>
                </c:pt>
                <c:pt idx="1597">
                  <c:v>0.31946389277856585</c:v>
                </c:pt>
                <c:pt idx="1598">
                  <c:v>0.31966393278656746</c:v>
                </c:pt>
                <c:pt idx="1599">
                  <c:v>0.31986397279456907</c:v>
                </c:pt>
                <c:pt idx="1600">
                  <c:v>0.32006401280257069</c:v>
                </c:pt>
                <c:pt idx="1601">
                  <c:v>0.3202640528105723</c:v>
                </c:pt>
                <c:pt idx="1602">
                  <c:v>0.32046409281857391</c:v>
                </c:pt>
                <c:pt idx="1603">
                  <c:v>0.32066413282657552</c:v>
                </c:pt>
                <c:pt idx="1604">
                  <c:v>0.32086417283457713</c:v>
                </c:pt>
                <c:pt idx="1605">
                  <c:v>0.32106421284257874</c:v>
                </c:pt>
                <c:pt idx="1606">
                  <c:v>0.32126425285058036</c:v>
                </c:pt>
                <c:pt idx="1607">
                  <c:v>0.32146429285858197</c:v>
                </c:pt>
                <c:pt idx="1608">
                  <c:v>0.32166433286658358</c:v>
                </c:pt>
                <c:pt idx="1609">
                  <c:v>0.32186437287458519</c:v>
                </c:pt>
                <c:pt idx="1610">
                  <c:v>0.3220644128825868</c:v>
                </c:pt>
                <c:pt idx="1611">
                  <c:v>0.32226445289058842</c:v>
                </c:pt>
                <c:pt idx="1612">
                  <c:v>0.32246449289859003</c:v>
                </c:pt>
                <c:pt idx="1613">
                  <c:v>0.32266453290659164</c:v>
                </c:pt>
                <c:pt idx="1614">
                  <c:v>0.32286457291459325</c:v>
                </c:pt>
                <c:pt idx="1615">
                  <c:v>0.32306461292259486</c:v>
                </c:pt>
                <c:pt idx="1616">
                  <c:v>0.32326465293059647</c:v>
                </c:pt>
                <c:pt idx="1617">
                  <c:v>0.32346469293859809</c:v>
                </c:pt>
                <c:pt idx="1618">
                  <c:v>0.3236647329465997</c:v>
                </c:pt>
                <c:pt idx="1619">
                  <c:v>0.32386477295460131</c:v>
                </c:pt>
                <c:pt idx="1620">
                  <c:v>0.32406481296260292</c:v>
                </c:pt>
                <c:pt idx="1621">
                  <c:v>0.32426485297060453</c:v>
                </c:pt>
                <c:pt idx="1622">
                  <c:v>0.32446489297860615</c:v>
                </c:pt>
                <c:pt idx="1623">
                  <c:v>0.32466493298660776</c:v>
                </c:pt>
                <c:pt idx="1624">
                  <c:v>0.32486497299460937</c:v>
                </c:pt>
                <c:pt idx="1625">
                  <c:v>0.32506501300261098</c:v>
                </c:pt>
                <c:pt idx="1626">
                  <c:v>0.32526505301061259</c:v>
                </c:pt>
                <c:pt idx="1627">
                  <c:v>0.3254650930186142</c:v>
                </c:pt>
                <c:pt idx="1628">
                  <c:v>0.32566513302661582</c:v>
                </c:pt>
                <c:pt idx="1629">
                  <c:v>0.32586517303461743</c:v>
                </c:pt>
                <c:pt idx="1630">
                  <c:v>0.32606521304261904</c:v>
                </c:pt>
                <c:pt idx="1631">
                  <c:v>0.32626525305062065</c:v>
                </c:pt>
                <c:pt idx="1632">
                  <c:v>0.32646529305862226</c:v>
                </c:pt>
                <c:pt idx="1633">
                  <c:v>0.32666533306662388</c:v>
                </c:pt>
                <c:pt idx="1634">
                  <c:v>0.32686537307462549</c:v>
                </c:pt>
                <c:pt idx="1635">
                  <c:v>0.3270654130826271</c:v>
                </c:pt>
                <c:pt idx="1636">
                  <c:v>0.32726545309062871</c:v>
                </c:pt>
                <c:pt idx="1637">
                  <c:v>0.32746549309863032</c:v>
                </c:pt>
                <c:pt idx="1638">
                  <c:v>0.32766553310663193</c:v>
                </c:pt>
                <c:pt idx="1639">
                  <c:v>0.32786557311463355</c:v>
                </c:pt>
                <c:pt idx="1640">
                  <c:v>0.32806561312263516</c:v>
                </c:pt>
                <c:pt idx="1641">
                  <c:v>0.32826565313063677</c:v>
                </c:pt>
                <c:pt idx="1642">
                  <c:v>0.32846569313863838</c:v>
                </c:pt>
                <c:pt idx="1643">
                  <c:v>0.32866573314663999</c:v>
                </c:pt>
                <c:pt idx="1644">
                  <c:v>0.32886577315464161</c:v>
                </c:pt>
                <c:pt idx="1645">
                  <c:v>0.32906581316264322</c:v>
                </c:pt>
                <c:pt idx="1646">
                  <c:v>0.32926585317064483</c:v>
                </c:pt>
                <c:pt idx="1647">
                  <c:v>0.32946589317864644</c:v>
                </c:pt>
                <c:pt idx="1648">
                  <c:v>0.32966593318664805</c:v>
                </c:pt>
                <c:pt idx="1649">
                  <c:v>0.32986597319464966</c:v>
                </c:pt>
                <c:pt idx="1650">
                  <c:v>0.33006601320265128</c:v>
                </c:pt>
                <c:pt idx="1651">
                  <c:v>0.33026605321065289</c:v>
                </c:pt>
                <c:pt idx="1652">
                  <c:v>0.3304660932186545</c:v>
                </c:pt>
                <c:pt idx="1653">
                  <c:v>0.33066613322665611</c:v>
                </c:pt>
                <c:pt idx="1654">
                  <c:v>0.33086617323465772</c:v>
                </c:pt>
                <c:pt idx="1655">
                  <c:v>0.33106621324265934</c:v>
                </c:pt>
                <c:pt idx="1656">
                  <c:v>0.33126625325066095</c:v>
                </c:pt>
                <c:pt idx="1657">
                  <c:v>0.33146629325866256</c:v>
                </c:pt>
                <c:pt idx="1658">
                  <c:v>0.33166633326666417</c:v>
                </c:pt>
                <c:pt idx="1659">
                  <c:v>0.33186637327466578</c:v>
                </c:pt>
                <c:pt idx="1660">
                  <c:v>0.33206641328266739</c:v>
                </c:pt>
                <c:pt idx="1661">
                  <c:v>0.33226645329066901</c:v>
                </c:pt>
                <c:pt idx="1662">
                  <c:v>0.33246649329867062</c:v>
                </c:pt>
                <c:pt idx="1663">
                  <c:v>0.33266653330667223</c:v>
                </c:pt>
                <c:pt idx="1664">
                  <c:v>0.33286657331467384</c:v>
                </c:pt>
                <c:pt idx="1665">
                  <c:v>0.33306661332267545</c:v>
                </c:pt>
                <c:pt idx="1666">
                  <c:v>0.33326665333067707</c:v>
                </c:pt>
                <c:pt idx="1667">
                  <c:v>0.33346669333867868</c:v>
                </c:pt>
                <c:pt idx="1668">
                  <c:v>0.33366673334668029</c:v>
                </c:pt>
                <c:pt idx="1669">
                  <c:v>0.3338667733546819</c:v>
                </c:pt>
                <c:pt idx="1670">
                  <c:v>0.33406681336268351</c:v>
                </c:pt>
                <c:pt idx="1671">
                  <c:v>0.33426685337068512</c:v>
                </c:pt>
                <c:pt idx="1672">
                  <c:v>0.33446689337868674</c:v>
                </c:pt>
                <c:pt idx="1673">
                  <c:v>0.33466693338668835</c:v>
                </c:pt>
                <c:pt idx="1674">
                  <c:v>0.33486697339468996</c:v>
                </c:pt>
                <c:pt idx="1675">
                  <c:v>0.33506701340269157</c:v>
                </c:pt>
                <c:pt idx="1676">
                  <c:v>0.33526705341069318</c:v>
                </c:pt>
                <c:pt idx="1677">
                  <c:v>0.3354670934186948</c:v>
                </c:pt>
                <c:pt idx="1678">
                  <c:v>0.33566713342669641</c:v>
                </c:pt>
                <c:pt idx="1679">
                  <c:v>0.33586717343469802</c:v>
                </c:pt>
                <c:pt idx="1680">
                  <c:v>0.33606721344269963</c:v>
                </c:pt>
                <c:pt idx="1681">
                  <c:v>0.33626725345070124</c:v>
                </c:pt>
                <c:pt idx="1682">
                  <c:v>0.33646729345870285</c:v>
                </c:pt>
                <c:pt idx="1683">
                  <c:v>0.33666733346670447</c:v>
                </c:pt>
                <c:pt idx="1684">
                  <c:v>0.33686737347470608</c:v>
                </c:pt>
                <c:pt idx="1685">
                  <c:v>0.33706741348270769</c:v>
                </c:pt>
                <c:pt idx="1686">
                  <c:v>0.3372674534907093</c:v>
                </c:pt>
                <c:pt idx="1687">
                  <c:v>0.33746749349871091</c:v>
                </c:pt>
                <c:pt idx="1688">
                  <c:v>0.33766753350671252</c:v>
                </c:pt>
                <c:pt idx="1689">
                  <c:v>0.33786757351471414</c:v>
                </c:pt>
                <c:pt idx="1690">
                  <c:v>0.33806761352271575</c:v>
                </c:pt>
                <c:pt idx="1691">
                  <c:v>0.33826765353071736</c:v>
                </c:pt>
                <c:pt idx="1692">
                  <c:v>0.33846769353871897</c:v>
                </c:pt>
                <c:pt idx="1693">
                  <c:v>0.33866773354672058</c:v>
                </c:pt>
                <c:pt idx="1694">
                  <c:v>0.3388677735547222</c:v>
                </c:pt>
                <c:pt idx="1695">
                  <c:v>0.33906781356272381</c:v>
                </c:pt>
                <c:pt idx="1696">
                  <c:v>0.33926785357072542</c:v>
                </c:pt>
                <c:pt idx="1697">
                  <c:v>0.33946789357872703</c:v>
                </c:pt>
                <c:pt idx="1698">
                  <c:v>0.33966793358672864</c:v>
                </c:pt>
                <c:pt idx="1699">
                  <c:v>0.33986797359473025</c:v>
                </c:pt>
                <c:pt idx="1700">
                  <c:v>0.34006801360273187</c:v>
                </c:pt>
                <c:pt idx="1701">
                  <c:v>0.34026805361073348</c:v>
                </c:pt>
                <c:pt idx="1702">
                  <c:v>0.34046809361873509</c:v>
                </c:pt>
                <c:pt idx="1703">
                  <c:v>0.3406681336267367</c:v>
                </c:pt>
                <c:pt idx="1704">
                  <c:v>0.34086817363473831</c:v>
                </c:pt>
                <c:pt idx="1705">
                  <c:v>0.34106821364273993</c:v>
                </c:pt>
                <c:pt idx="1706">
                  <c:v>0.34126825365074154</c:v>
                </c:pt>
                <c:pt idx="1707">
                  <c:v>0.34146829365874315</c:v>
                </c:pt>
                <c:pt idx="1708">
                  <c:v>0.34166833366674476</c:v>
                </c:pt>
                <c:pt idx="1709">
                  <c:v>0.34186837367474637</c:v>
                </c:pt>
                <c:pt idx="1710">
                  <c:v>0.34206841368274798</c:v>
                </c:pt>
                <c:pt idx="1711">
                  <c:v>0.3422684536907496</c:v>
                </c:pt>
                <c:pt idx="1712">
                  <c:v>0.34246849369875121</c:v>
                </c:pt>
                <c:pt idx="1713">
                  <c:v>0.34266853370675282</c:v>
                </c:pt>
                <c:pt idx="1714">
                  <c:v>0.34286857371475443</c:v>
                </c:pt>
                <c:pt idx="1715">
                  <c:v>0.34306861372275604</c:v>
                </c:pt>
                <c:pt idx="1716">
                  <c:v>0.34326865373075766</c:v>
                </c:pt>
                <c:pt idx="1717">
                  <c:v>0.34346869373875927</c:v>
                </c:pt>
                <c:pt idx="1718">
                  <c:v>0.34366873374676088</c:v>
                </c:pt>
                <c:pt idx="1719">
                  <c:v>0.34386877375476249</c:v>
                </c:pt>
                <c:pt idx="1720">
                  <c:v>0.3440688137627641</c:v>
                </c:pt>
                <c:pt idx="1721">
                  <c:v>0.34426885377076571</c:v>
                </c:pt>
                <c:pt idx="1722">
                  <c:v>0.34446889377876733</c:v>
                </c:pt>
                <c:pt idx="1723">
                  <c:v>0.34466893378676894</c:v>
                </c:pt>
                <c:pt idx="1724">
                  <c:v>0.34486897379477055</c:v>
                </c:pt>
                <c:pt idx="1725">
                  <c:v>0.34506901380277216</c:v>
                </c:pt>
                <c:pt idx="1726">
                  <c:v>0.34526905381077377</c:v>
                </c:pt>
                <c:pt idx="1727">
                  <c:v>0.34546909381877539</c:v>
                </c:pt>
                <c:pt idx="1728">
                  <c:v>0.345669133826777</c:v>
                </c:pt>
                <c:pt idx="1729">
                  <c:v>0.34586917383477861</c:v>
                </c:pt>
                <c:pt idx="1730">
                  <c:v>0.34606921384278022</c:v>
                </c:pt>
                <c:pt idx="1731">
                  <c:v>0.34626925385078183</c:v>
                </c:pt>
                <c:pt idx="1732">
                  <c:v>0.34646929385878344</c:v>
                </c:pt>
                <c:pt idx="1733">
                  <c:v>0.34666933386678506</c:v>
                </c:pt>
                <c:pt idx="1734">
                  <c:v>0.34686937387478667</c:v>
                </c:pt>
                <c:pt idx="1735">
                  <c:v>0.34706941388278828</c:v>
                </c:pt>
                <c:pt idx="1736">
                  <c:v>0.34726945389078989</c:v>
                </c:pt>
                <c:pt idx="1737">
                  <c:v>0.3474694938987915</c:v>
                </c:pt>
                <c:pt idx="1738">
                  <c:v>0.34766953390679312</c:v>
                </c:pt>
                <c:pt idx="1739">
                  <c:v>0.34786957391479473</c:v>
                </c:pt>
                <c:pt idx="1740">
                  <c:v>0.34806961392279634</c:v>
                </c:pt>
                <c:pt idx="1741">
                  <c:v>0.34826965393079795</c:v>
                </c:pt>
                <c:pt idx="1742">
                  <c:v>0.34846969393879956</c:v>
                </c:pt>
                <c:pt idx="1743">
                  <c:v>0.34866973394680117</c:v>
                </c:pt>
                <c:pt idx="1744">
                  <c:v>0.34886977395480279</c:v>
                </c:pt>
                <c:pt idx="1745">
                  <c:v>0.3490698139628044</c:v>
                </c:pt>
                <c:pt idx="1746">
                  <c:v>0.34926985397080601</c:v>
                </c:pt>
                <c:pt idx="1747">
                  <c:v>0.34946989397880762</c:v>
                </c:pt>
                <c:pt idx="1748">
                  <c:v>0.34966993398680923</c:v>
                </c:pt>
                <c:pt idx="1749">
                  <c:v>0.34986997399481085</c:v>
                </c:pt>
                <c:pt idx="1750">
                  <c:v>0.35007001400281246</c:v>
                </c:pt>
                <c:pt idx="1751">
                  <c:v>0.35027005401081407</c:v>
                </c:pt>
                <c:pt idx="1752">
                  <c:v>0.35047009401881568</c:v>
                </c:pt>
                <c:pt idx="1753">
                  <c:v>0.35067013402681729</c:v>
                </c:pt>
                <c:pt idx="1754">
                  <c:v>0.3508701740348189</c:v>
                </c:pt>
                <c:pt idx="1755">
                  <c:v>0.35107021404282052</c:v>
                </c:pt>
                <c:pt idx="1756">
                  <c:v>0.35127025405082213</c:v>
                </c:pt>
                <c:pt idx="1757">
                  <c:v>0.35147029405882374</c:v>
                </c:pt>
                <c:pt idx="1758">
                  <c:v>0.35167033406682535</c:v>
                </c:pt>
                <c:pt idx="1759">
                  <c:v>0.35187037407482696</c:v>
                </c:pt>
                <c:pt idx="1760">
                  <c:v>0.35207041408282858</c:v>
                </c:pt>
                <c:pt idx="1761">
                  <c:v>0.35227045409083019</c:v>
                </c:pt>
                <c:pt idx="1762">
                  <c:v>0.3524704940988318</c:v>
                </c:pt>
                <c:pt idx="1763">
                  <c:v>0.35267053410683341</c:v>
                </c:pt>
                <c:pt idx="1764">
                  <c:v>0.35287057411483502</c:v>
                </c:pt>
                <c:pt idx="1765">
                  <c:v>0.35307061412283663</c:v>
                </c:pt>
                <c:pt idx="1766">
                  <c:v>0.35327065413083825</c:v>
                </c:pt>
                <c:pt idx="1767">
                  <c:v>0.35347069413883986</c:v>
                </c:pt>
                <c:pt idx="1768">
                  <c:v>0.35367073414684147</c:v>
                </c:pt>
                <c:pt idx="1769">
                  <c:v>0.35387077415484308</c:v>
                </c:pt>
                <c:pt idx="1770">
                  <c:v>0.35407081416284469</c:v>
                </c:pt>
                <c:pt idx="1771">
                  <c:v>0.35427085417084631</c:v>
                </c:pt>
                <c:pt idx="1772">
                  <c:v>0.35447089417884792</c:v>
                </c:pt>
                <c:pt idx="1773">
                  <c:v>0.35467093418684953</c:v>
                </c:pt>
                <c:pt idx="1774">
                  <c:v>0.35487097419485114</c:v>
                </c:pt>
                <c:pt idx="1775">
                  <c:v>0.35507101420285275</c:v>
                </c:pt>
                <c:pt idx="1776">
                  <c:v>0.35527105421085436</c:v>
                </c:pt>
                <c:pt idx="1777">
                  <c:v>0.35547109421885598</c:v>
                </c:pt>
                <c:pt idx="1778">
                  <c:v>0.35567113422685759</c:v>
                </c:pt>
                <c:pt idx="1779">
                  <c:v>0.3558711742348592</c:v>
                </c:pt>
                <c:pt idx="1780">
                  <c:v>0.35607121424286081</c:v>
                </c:pt>
                <c:pt idx="1781">
                  <c:v>0.35627125425086242</c:v>
                </c:pt>
                <c:pt idx="1782">
                  <c:v>0.35647129425886404</c:v>
                </c:pt>
                <c:pt idx="1783">
                  <c:v>0.35667133426686565</c:v>
                </c:pt>
                <c:pt idx="1784">
                  <c:v>0.35687137427486726</c:v>
                </c:pt>
                <c:pt idx="1785">
                  <c:v>0.35707141428286887</c:v>
                </c:pt>
                <c:pt idx="1786">
                  <c:v>0.35727145429087048</c:v>
                </c:pt>
                <c:pt idx="1787">
                  <c:v>0.35747149429887209</c:v>
                </c:pt>
                <c:pt idx="1788">
                  <c:v>0.35767153430687371</c:v>
                </c:pt>
                <c:pt idx="1789">
                  <c:v>0.35787157431487532</c:v>
                </c:pt>
                <c:pt idx="1790">
                  <c:v>0.35807161432287693</c:v>
                </c:pt>
                <c:pt idx="1791">
                  <c:v>0.35827165433087854</c:v>
                </c:pt>
                <c:pt idx="1792">
                  <c:v>0.35847169433888015</c:v>
                </c:pt>
                <c:pt idx="1793">
                  <c:v>0.35867173434688177</c:v>
                </c:pt>
                <c:pt idx="1794">
                  <c:v>0.35887177435488338</c:v>
                </c:pt>
                <c:pt idx="1795">
                  <c:v>0.35907181436288499</c:v>
                </c:pt>
                <c:pt idx="1796">
                  <c:v>0.3592718543708866</c:v>
                </c:pt>
                <c:pt idx="1797">
                  <c:v>0.35947189437888821</c:v>
                </c:pt>
                <c:pt idx="1798">
                  <c:v>0.35967193438688982</c:v>
                </c:pt>
                <c:pt idx="1799">
                  <c:v>0.35987197439489144</c:v>
                </c:pt>
                <c:pt idx="1800">
                  <c:v>0.36007201440289305</c:v>
                </c:pt>
                <c:pt idx="1801">
                  <c:v>0.36027205441089466</c:v>
                </c:pt>
                <c:pt idx="1802">
                  <c:v>0.36047209441889627</c:v>
                </c:pt>
                <c:pt idx="1803">
                  <c:v>0.36067213442689788</c:v>
                </c:pt>
                <c:pt idx="1804">
                  <c:v>0.3608721744348995</c:v>
                </c:pt>
                <c:pt idx="1805">
                  <c:v>0.36107221444290111</c:v>
                </c:pt>
                <c:pt idx="1806">
                  <c:v>0.36127225445090272</c:v>
                </c:pt>
                <c:pt idx="1807">
                  <c:v>0.36147229445890433</c:v>
                </c:pt>
                <c:pt idx="1808">
                  <c:v>0.36167233446690594</c:v>
                </c:pt>
                <c:pt idx="1809">
                  <c:v>0.36187237447490755</c:v>
                </c:pt>
                <c:pt idx="1810">
                  <c:v>0.36207241448290917</c:v>
                </c:pt>
                <c:pt idx="1811">
                  <c:v>0.36227245449091078</c:v>
                </c:pt>
                <c:pt idx="1812">
                  <c:v>0.36247249449891239</c:v>
                </c:pt>
                <c:pt idx="1813">
                  <c:v>0.362672534506914</c:v>
                </c:pt>
                <c:pt idx="1814">
                  <c:v>0.36287257451491561</c:v>
                </c:pt>
                <c:pt idx="1815">
                  <c:v>0.36307261452291723</c:v>
                </c:pt>
                <c:pt idx="1816">
                  <c:v>0.36327265453091884</c:v>
                </c:pt>
                <c:pt idx="1817">
                  <c:v>0.36347269453892045</c:v>
                </c:pt>
                <c:pt idx="1818">
                  <c:v>0.36367273454692206</c:v>
                </c:pt>
                <c:pt idx="1819">
                  <c:v>0.36387277455492367</c:v>
                </c:pt>
                <c:pt idx="1820">
                  <c:v>0.36407281456292528</c:v>
                </c:pt>
                <c:pt idx="1821">
                  <c:v>0.3642728545709269</c:v>
                </c:pt>
                <c:pt idx="1822">
                  <c:v>0.36447289457892851</c:v>
                </c:pt>
                <c:pt idx="1823">
                  <c:v>0.36467293458693012</c:v>
                </c:pt>
                <c:pt idx="1824">
                  <c:v>0.36487297459493173</c:v>
                </c:pt>
                <c:pt idx="1825">
                  <c:v>0.36507301460293334</c:v>
                </c:pt>
                <c:pt idx="1826">
                  <c:v>0.36527305461093496</c:v>
                </c:pt>
                <c:pt idx="1827">
                  <c:v>0.36547309461893657</c:v>
                </c:pt>
                <c:pt idx="1828">
                  <c:v>0.36567313462693818</c:v>
                </c:pt>
                <c:pt idx="1829">
                  <c:v>0.36587317463493979</c:v>
                </c:pt>
                <c:pt idx="1830">
                  <c:v>0.3660732146429414</c:v>
                </c:pt>
                <c:pt idx="1831">
                  <c:v>0.36627325465094301</c:v>
                </c:pt>
                <c:pt idx="1832">
                  <c:v>0.36647329465894463</c:v>
                </c:pt>
                <c:pt idx="1833">
                  <c:v>0.36667333466694624</c:v>
                </c:pt>
                <c:pt idx="1834">
                  <c:v>0.36687337467494785</c:v>
                </c:pt>
                <c:pt idx="1835">
                  <c:v>0.36707341468294946</c:v>
                </c:pt>
                <c:pt idx="1836">
                  <c:v>0.36727345469095107</c:v>
                </c:pt>
                <c:pt idx="1837">
                  <c:v>0.36747349469895269</c:v>
                </c:pt>
                <c:pt idx="1838">
                  <c:v>0.3676735347069543</c:v>
                </c:pt>
                <c:pt idx="1839">
                  <c:v>0.36787357471495591</c:v>
                </c:pt>
                <c:pt idx="1840">
                  <c:v>0.36807361472295752</c:v>
                </c:pt>
                <c:pt idx="1841">
                  <c:v>0.36827365473095913</c:v>
                </c:pt>
                <c:pt idx="1842">
                  <c:v>0.36847369473896074</c:v>
                </c:pt>
                <c:pt idx="1843">
                  <c:v>0.36867373474696236</c:v>
                </c:pt>
                <c:pt idx="1844">
                  <c:v>0.36887377475496397</c:v>
                </c:pt>
                <c:pt idx="1845">
                  <c:v>0.36907381476296558</c:v>
                </c:pt>
                <c:pt idx="1846">
                  <c:v>0.36927385477096719</c:v>
                </c:pt>
                <c:pt idx="1847">
                  <c:v>0.3694738947789688</c:v>
                </c:pt>
                <c:pt idx="1848">
                  <c:v>0.36967393478697042</c:v>
                </c:pt>
                <c:pt idx="1849">
                  <c:v>0.36987397479497203</c:v>
                </c:pt>
                <c:pt idx="1850">
                  <c:v>0.37007401480297364</c:v>
                </c:pt>
                <c:pt idx="1851">
                  <c:v>0.37027405481097525</c:v>
                </c:pt>
                <c:pt idx="1852">
                  <c:v>0.37047409481897686</c:v>
                </c:pt>
                <c:pt idx="1853">
                  <c:v>0.37067413482697847</c:v>
                </c:pt>
                <c:pt idx="1854">
                  <c:v>0.37087417483498009</c:v>
                </c:pt>
                <c:pt idx="1855">
                  <c:v>0.3710742148429817</c:v>
                </c:pt>
                <c:pt idx="1856">
                  <c:v>0.37127425485098331</c:v>
                </c:pt>
                <c:pt idx="1857">
                  <c:v>0.37147429485898492</c:v>
                </c:pt>
                <c:pt idx="1858">
                  <c:v>0.37167433486698653</c:v>
                </c:pt>
                <c:pt idx="1859">
                  <c:v>0.37187437487498815</c:v>
                </c:pt>
                <c:pt idx="1860">
                  <c:v>0.37207441488298976</c:v>
                </c:pt>
                <c:pt idx="1861">
                  <c:v>0.37227445489099137</c:v>
                </c:pt>
                <c:pt idx="1862">
                  <c:v>0.37247449489899298</c:v>
                </c:pt>
                <c:pt idx="1863">
                  <c:v>0.37267453490699459</c:v>
                </c:pt>
                <c:pt idx="1864">
                  <c:v>0.3728745749149962</c:v>
                </c:pt>
                <c:pt idx="1865">
                  <c:v>0.37307461492299782</c:v>
                </c:pt>
                <c:pt idx="1866">
                  <c:v>0.37327465493099943</c:v>
                </c:pt>
                <c:pt idx="1867">
                  <c:v>0.37347469493900104</c:v>
                </c:pt>
                <c:pt idx="1868">
                  <c:v>0.37367473494700265</c:v>
                </c:pt>
                <c:pt idx="1869">
                  <c:v>0.37387477495500426</c:v>
                </c:pt>
                <c:pt idx="1870">
                  <c:v>0.37407481496300587</c:v>
                </c:pt>
                <c:pt idx="1871">
                  <c:v>0.37427485497100749</c:v>
                </c:pt>
                <c:pt idx="1872">
                  <c:v>0.3744748949790091</c:v>
                </c:pt>
                <c:pt idx="1873">
                  <c:v>0.37467493498701071</c:v>
                </c:pt>
                <c:pt idx="1874">
                  <c:v>0.37487497499501232</c:v>
                </c:pt>
                <c:pt idx="1875">
                  <c:v>0.37507501500301393</c:v>
                </c:pt>
                <c:pt idx="1876">
                  <c:v>0.37527505501101555</c:v>
                </c:pt>
                <c:pt idx="1877">
                  <c:v>0.37547509501901716</c:v>
                </c:pt>
                <c:pt idx="1878">
                  <c:v>0.37567513502701877</c:v>
                </c:pt>
                <c:pt idx="1879">
                  <c:v>0.37587517503502038</c:v>
                </c:pt>
                <c:pt idx="1880">
                  <c:v>0.37607521504302199</c:v>
                </c:pt>
                <c:pt idx="1881">
                  <c:v>0.3762752550510236</c:v>
                </c:pt>
                <c:pt idx="1882">
                  <c:v>0.37647529505902522</c:v>
                </c:pt>
                <c:pt idx="1883">
                  <c:v>0.37667533506702683</c:v>
                </c:pt>
                <c:pt idx="1884">
                  <c:v>0.37687537507502844</c:v>
                </c:pt>
                <c:pt idx="1885">
                  <c:v>0.37707541508303005</c:v>
                </c:pt>
                <c:pt idx="1886">
                  <c:v>0.37727545509103166</c:v>
                </c:pt>
                <c:pt idx="1887">
                  <c:v>0.37747549509903328</c:v>
                </c:pt>
                <c:pt idx="1888">
                  <c:v>0.37767553510703489</c:v>
                </c:pt>
                <c:pt idx="1889">
                  <c:v>0.3778755751150365</c:v>
                </c:pt>
                <c:pt idx="1890">
                  <c:v>0.37807561512303811</c:v>
                </c:pt>
                <c:pt idx="1891">
                  <c:v>0.37827565513103972</c:v>
                </c:pt>
                <c:pt idx="1892">
                  <c:v>0.37847569513904133</c:v>
                </c:pt>
                <c:pt idx="1893">
                  <c:v>0.37867573514704295</c:v>
                </c:pt>
                <c:pt idx="1894">
                  <c:v>0.37887577515504456</c:v>
                </c:pt>
                <c:pt idx="1895">
                  <c:v>0.37907581516304617</c:v>
                </c:pt>
                <c:pt idx="1896">
                  <c:v>0.37927585517104778</c:v>
                </c:pt>
                <c:pt idx="1897">
                  <c:v>0.37947589517904939</c:v>
                </c:pt>
                <c:pt idx="1898">
                  <c:v>0.37967593518705101</c:v>
                </c:pt>
                <c:pt idx="1899">
                  <c:v>0.37987597519505262</c:v>
                </c:pt>
                <c:pt idx="1900">
                  <c:v>0.38007601520305423</c:v>
                </c:pt>
                <c:pt idx="1901">
                  <c:v>0.38027605521105584</c:v>
                </c:pt>
                <c:pt idx="1902">
                  <c:v>0.38047609521905745</c:v>
                </c:pt>
                <c:pt idx="1903">
                  <c:v>0.38067613522705906</c:v>
                </c:pt>
                <c:pt idx="1904">
                  <c:v>0.38087617523506068</c:v>
                </c:pt>
                <c:pt idx="1905">
                  <c:v>0.38107621524306229</c:v>
                </c:pt>
                <c:pt idx="1906">
                  <c:v>0.3812762552510639</c:v>
                </c:pt>
                <c:pt idx="1907">
                  <c:v>0.38147629525906551</c:v>
                </c:pt>
                <c:pt idx="1908">
                  <c:v>0.38167633526706712</c:v>
                </c:pt>
                <c:pt idx="1909">
                  <c:v>0.38187637527506874</c:v>
                </c:pt>
                <c:pt idx="1910">
                  <c:v>0.38207641528307035</c:v>
                </c:pt>
                <c:pt idx="1911">
                  <c:v>0.38227645529107196</c:v>
                </c:pt>
                <c:pt idx="1912">
                  <c:v>0.38247649529907357</c:v>
                </c:pt>
                <c:pt idx="1913">
                  <c:v>0.38267653530707518</c:v>
                </c:pt>
                <c:pt idx="1914">
                  <c:v>0.38287657531507679</c:v>
                </c:pt>
                <c:pt idx="1915">
                  <c:v>0.38307661532307841</c:v>
                </c:pt>
                <c:pt idx="1916">
                  <c:v>0.38327665533108002</c:v>
                </c:pt>
                <c:pt idx="1917">
                  <c:v>0.38347669533908163</c:v>
                </c:pt>
                <c:pt idx="1918">
                  <c:v>0.38367673534708324</c:v>
                </c:pt>
                <c:pt idx="1919">
                  <c:v>0.38387677535508485</c:v>
                </c:pt>
                <c:pt idx="1920">
                  <c:v>0.38407681536308647</c:v>
                </c:pt>
                <c:pt idx="1921">
                  <c:v>0.38427685537108808</c:v>
                </c:pt>
                <c:pt idx="1922">
                  <c:v>0.38447689537908969</c:v>
                </c:pt>
                <c:pt idx="1923">
                  <c:v>0.3846769353870913</c:v>
                </c:pt>
                <c:pt idx="1924">
                  <c:v>0.38487697539509291</c:v>
                </c:pt>
                <c:pt idx="1925">
                  <c:v>0.38507701540309452</c:v>
                </c:pt>
                <c:pt idx="1926">
                  <c:v>0.38527705541109614</c:v>
                </c:pt>
                <c:pt idx="1927">
                  <c:v>0.38547709541909775</c:v>
                </c:pt>
                <c:pt idx="1928">
                  <c:v>0.38567713542709936</c:v>
                </c:pt>
                <c:pt idx="1929">
                  <c:v>0.38587717543510097</c:v>
                </c:pt>
                <c:pt idx="1930">
                  <c:v>0.38607721544310258</c:v>
                </c:pt>
                <c:pt idx="1931">
                  <c:v>0.3862772554511042</c:v>
                </c:pt>
                <c:pt idx="1932">
                  <c:v>0.38647729545910581</c:v>
                </c:pt>
                <c:pt idx="1933">
                  <c:v>0.38667733546710742</c:v>
                </c:pt>
                <c:pt idx="1934">
                  <c:v>0.38687737547510903</c:v>
                </c:pt>
                <c:pt idx="1935">
                  <c:v>0.38707741548311064</c:v>
                </c:pt>
                <c:pt idx="1936">
                  <c:v>0.38727745549111225</c:v>
                </c:pt>
                <c:pt idx="1937">
                  <c:v>0.38747749549911387</c:v>
                </c:pt>
                <c:pt idx="1938">
                  <c:v>0.38767753550711548</c:v>
                </c:pt>
                <c:pt idx="1939">
                  <c:v>0.38787757551511709</c:v>
                </c:pt>
                <c:pt idx="1940">
                  <c:v>0.3880776155231187</c:v>
                </c:pt>
                <c:pt idx="1941">
                  <c:v>0.38827765553112031</c:v>
                </c:pt>
                <c:pt idx="1942">
                  <c:v>0.38847769553912193</c:v>
                </c:pt>
                <c:pt idx="1943">
                  <c:v>0.38867773554712354</c:v>
                </c:pt>
                <c:pt idx="1944">
                  <c:v>0.38887777555512515</c:v>
                </c:pt>
                <c:pt idx="1945">
                  <c:v>0.38907781556312676</c:v>
                </c:pt>
                <c:pt idx="1946">
                  <c:v>0.38927785557112837</c:v>
                </c:pt>
                <c:pt idx="1947">
                  <c:v>0.38947789557912998</c:v>
                </c:pt>
                <c:pt idx="1948">
                  <c:v>0.3896779355871316</c:v>
                </c:pt>
                <c:pt idx="1949">
                  <c:v>0.38987797559513321</c:v>
                </c:pt>
                <c:pt idx="1950">
                  <c:v>0.39007801560313482</c:v>
                </c:pt>
                <c:pt idx="1951">
                  <c:v>0.39027805561113643</c:v>
                </c:pt>
                <c:pt idx="1952">
                  <c:v>0.39047809561913804</c:v>
                </c:pt>
                <c:pt idx="1953">
                  <c:v>0.39067813562713966</c:v>
                </c:pt>
                <c:pt idx="1954">
                  <c:v>0.39087817563514127</c:v>
                </c:pt>
                <c:pt idx="1955">
                  <c:v>0.39107821564314288</c:v>
                </c:pt>
                <c:pt idx="1956">
                  <c:v>0.39127825565114449</c:v>
                </c:pt>
                <c:pt idx="1957">
                  <c:v>0.3914782956591461</c:v>
                </c:pt>
                <c:pt idx="1958">
                  <c:v>0.39167833566714771</c:v>
                </c:pt>
                <c:pt idx="1959">
                  <c:v>0.39187837567514933</c:v>
                </c:pt>
                <c:pt idx="1960">
                  <c:v>0.39207841568315094</c:v>
                </c:pt>
                <c:pt idx="1961">
                  <c:v>0.39227845569115255</c:v>
                </c:pt>
                <c:pt idx="1962">
                  <c:v>0.39247849569915416</c:v>
                </c:pt>
                <c:pt idx="1963">
                  <c:v>0.39267853570715577</c:v>
                </c:pt>
                <c:pt idx="1964">
                  <c:v>0.39287857571515739</c:v>
                </c:pt>
                <c:pt idx="1965">
                  <c:v>0.393078615723159</c:v>
                </c:pt>
                <c:pt idx="1966">
                  <c:v>0.39327865573116061</c:v>
                </c:pt>
                <c:pt idx="1967">
                  <c:v>0.39347869573916222</c:v>
                </c:pt>
                <c:pt idx="1968">
                  <c:v>0.39367873574716383</c:v>
                </c:pt>
                <c:pt idx="1969">
                  <c:v>0.39387877575516544</c:v>
                </c:pt>
                <c:pt idx="1970">
                  <c:v>0.39407881576316706</c:v>
                </c:pt>
                <c:pt idx="1971">
                  <c:v>0.39427885577116867</c:v>
                </c:pt>
                <c:pt idx="1972">
                  <c:v>0.39447889577917028</c:v>
                </c:pt>
                <c:pt idx="1973">
                  <c:v>0.39467893578717189</c:v>
                </c:pt>
                <c:pt idx="1974">
                  <c:v>0.3948789757951735</c:v>
                </c:pt>
                <c:pt idx="1975">
                  <c:v>0.39507901580317512</c:v>
                </c:pt>
                <c:pt idx="1976">
                  <c:v>0.39527905581117673</c:v>
                </c:pt>
                <c:pt idx="1977">
                  <c:v>0.39547909581917834</c:v>
                </c:pt>
                <c:pt idx="1978">
                  <c:v>0.39567913582717995</c:v>
                </c:pt>
                <c:pt idx="1979">
                  <c:v>0.39587917583518156</c:v>
                </c:pt>
                <c:pt idx="1980">
                  <c:v>0.39607921584318317</c:v>
                </c:pt>
                <c:pt idx="1981">
                  <c:v>0.39627925585118479</c:v>
                </c:pt>
                <c:pt idx="1982">
                  <c:v>0.3964792958591864</c:v>
                </c:pt>
                <c:pt idx="1983">
                  <c:v>0.39667933586718801</c:v>
                </c:pt>
                <c:pt idx="1984">
                  <c:v>0.39687937587518962</c:v>
                </c:pt>
                <c:pt idx="1985">
                  <c:v>0.39707941588319123</c:v>
                </c:pt>
                <c:pt idx="1986">
                  <c:v>0.39727945589119285</c:v>
                </c:pt>
                <c:pt idx="1987">
                  <c:v>0.39747949589919446</c:v>
                </c:pt>
                <c:pt idx="1988">
                  <c:v>0.39767953590719607</c:v>
                </c:pt>
                <c:pt idx="1989">
                  <c:v>0.39787957591519768</c:v>
                </c:pt>
                <c:pt idx="1990">
                  <c:v>0.39807961592319929</c:v>
                </c:pt>
                <c:pt idx="1991">
                  <c:v>0.3982796559312009</c:v>
                </c:pt>
                <c:pt idx="1992">
                  <c:v>0.39847969593920252</c:v>
                </c:pt>
                <c:pt idx="1993">
                  <c:v>0.39867973594720413</c:v>
                </c:pt>
                <c:pt idx="1994">
                  <c:v>0.39887977595520574</c:v>
                </c:pt>
                <c:pt idx="1995">
                  <c:v>0.39907981596320735</c:v>
                </c:pt>
                <c:pt idx="1996">
                  <c:v>0.39927985597120896</c:v>
                </c:pt>
                <c:pt idx="1997">
                  <c:v>0.39947989597921058</c:v>
                </c:pt>
                <c:pt idx="1998">
                  <c:v>0.39967993598721219</c:v>
                </c:pt>
                <c:pt idx="1999">
                  <c:v>0.3998799759952138</c:v>
                </c:pt>
                <c:pt idx="2000">
                  <c:v>0.40008001600321541</c:v>
                </c:pt>
                <c:pt idx="2001">
                  <c:v>0.40028005601121702</c:v>
                </c:pt>
                <c:pt idx="2002">
                  <c:v>0.40048009601921863</c:v>
                </c:pt>
                <c:pt idx="2003">
                  <c:v>0.40068013602722025</c:v>
                </c:pt>
                <c:pt idx="2004">
                  <c:v>0.40088017603522186</c:v>
                </c:pt>
                <c:pt idx="2005">
                  <c:v>0.40108021604322347</c:v>
                </c:pt>
                <c:pt idx="2006">
                  <c:v>0.40128025605122508</c:v>
                </c:pt>
                <c:pt idx="2007">
                  <c:v>0.40148029605922669</c:v>
                </c:pt>
                <c:pt idx="2008">
                  <c:v>0.40168033606722831</c:v>
                </c:pt>
                <c:pt idx="2009">
                  <c:v>0.40188037607522992</c:v>
                </c:pt>
                <c:pt idx="2010">
                  <c:v>0.40208041608323153</c:v>
                </c:pt>
                <c:pt idx="2011">
                  <c:v>0.40228045609123314</c:v>
                </c:pt>
                <c:pt idx="2012">
                  <c:v>0.40248049609923475</c:v>
                </c:pt>
                <c:pt idx="2013">
                  <c:v>0.40268053610723636</c:v>
                </c:pt>
                <c:pt idx="2014">
                  <c:v>0.40288057611523798</c:v>
                </c:pt>
                <c:pt idx="2015">
                  <c:v>0.40308061612323959</c:v>
                </c:pt>
                <c:pt idx="2016">
                  <c:v>0.4032806561312412</c:v>
                </c:pt>
                <c:pt idx="2017">
                  <c:v>0.40348069613924281</c:v>
                </c:pt>
                <c:pt idx="2018">
                  <c:v>0.40368073614724442</c:v>
                </c:pt>
                <c:pt idx="2019">
                  <c:v>0.40388077615524604</c:v>
                </c:pt>
                <c:pt idx="2020">
                  <c:v>0.40408081616324765</c:v>
                </c:pt>
                <c:pt idx="2021">
                  <c:v>0.40428085617124926</c:v>
                </c:pt>
                <c:pt idx="2022">
                  <c:v>0.40448089617925087</c:v>
                </c:pt>
                <c:pt idx="2023">
                  <c:v>0.40468093618725248</c:v>
                </c:pt>
                <c:pt idx="2024">
                  <c:v>0.40488097619525409</c:v>
                </c:pt>
                <c:pt idx="2025">
                  <c:v>0.40508101620325571</c:v>
                </c:pt>
                <c:pt idx="2026">
                  <c:v>0.40528105621125732</c:v>
                </c:pt>
                <c:pt idx="2027">
                  <c:v>0.40548109621925893</c:v>
                </c:pt>
                <c:pt idx="2028">
                  <c:v>0.40568113622726054</c:v>
                </c:pt>
                <c:pt idx="2029">
                  <c:v>0.40588117623526215</c:v>
                </c:pt>
                <c:pt idx="2030">
                  <c:v>0.40608121624326377</c:v>
                </c:pt>
                <c:pt idx="2031">
                  <c:v>0.40628125625126538</c:v>
                </c:pt>
                <c:pt idx="2032">
                  <c:v>0.40648129625926699</c:v>
                </c:pt>
                <c:pt idx="2033">
                  <c:v>0.4066813362672686</c:v>
                </c:pt>
                <c:pt idx="2034">
                  <c:v>0.40688137627527021</c:v>
                </c:pt>
                <c:pt idx="2035">
                  <c:v>0.40708141628327182</c:v>
                </c:pt>
                <c:pt idx="2036">
                  <c:v>0.40728145629127344</c:v>
                </c:pt>
                <c:pt idx="2037">
                  <c:v>0.40748149629927505</c:v>
                </c:pt>
                <c:pt idx="2038">
                  <c:v>0.40768153630727666</c:v>
                </c:pt>
                <c:pt idx="2039">
                  <c:v>0.40788157631527827</c:v>
                </c:pt>
                <c:pt idx="2040">
                  <c:v>0.40808161632327988</c:v>
                </c:pt>
                <c:pt idx="2041">
                  <c:v>0.4082816563312815</c:v>
                </c:pt>
                <c:pt idx="2042">
                  <c:v>0.40848169633928311</c:v>
                </c:pt>
                <c:pt idx="2043">
                  <c:v>0.40868173634728472</c:v>
                </c:pt>
                <c:pt idx="2044">
                  <c:v>0.40888177635528633</c:v>
                </c:pt>
                <c:pt idx="2045">
                  <c:v>0.40908181636328794</c:v>
                </c:pt>
                <c:pt idx="2046">
                  <c:v>0.40928185637128955</c:v>
                </c:pt>
                <c:pt idx="2047">
                  <c:v>0.40948189637929117</c:v>
                </c:pt>
                <c:pt idx="2048">
                  <c:v>0.40968193638729278</c:v>
                </c:pt>
                <c:pt idx="2049">
                  <c:v>0.40988197639529439</c:v>
                </c:pt>
                <c:pt idx="2050">
                  <c:v>0.410082016403296</c:v>
                </c:pt>
                <c:pt idx="2051">
                  <c:v>0.41028205641129761</c:v>
                </c:pt>
                <c:pt idx="2052">
                  <c:v>0.41048209641929922</c:v>
                </c:pt>
                <c:pt idx="2053">
                  <c:v>0.41068213642730084</c:v>
                </c:pt>
                <c:pt idx="2054">
                  <c:v>0.41088217643530245</c:v>
                </c:pt>
                <c:pt idx="2055">
                  <c:v>0.41108221644330406</c:v>
                </c:pt>
                <c:pt idx="2056">
                  <c:v>0.41128225645130567</c:v>
                </c:pt>
                <c:pt idx="2057">
                  <c:v>0.41148229645930728</c:v>
                </c:pt>
                <c:pt idx="2058">
                  <c:v>0.4116823364673089</c:v>
                </c:pt>
                <c:pt idx="2059">
                  <c:v>0.41188237647531051</c:v>
                </c:pt>
                <c:pt idx="2060">
                  <c:v>0.41208241648331212</c:v>
                </c:pt>
                <c:pt idx="2061">
                  <c:v>0.41228245649131373</c:v>
                </c:pt>
                <c:pt idx="2062">
                  <c:v>0.41248249649931534</c:v>
                </c:pt>
                <c:pt idx="2063">
                  <c:v>0.41268253650731695</c:v>
                </c:pt>
                <c:pt idx="2064">
                  <c:v>0.41288257651531857</c:v>
                </c:pt>
                <c:pt idx="2065">
                  <c:v>0.41308261652332018</c:v>
                </c:pt>
                <c:pt idx="2066">
                  <c:v>0.41328265653132179</c:v>
                </c:pt>
                <c:pt idx="2067">
                  <c:v>0.4134826965393234</c:v>
                </c:pt>
                <c:pt idx="2068">
                  <c:v>0.41368273654732501</c:v>
                </c:pt>
                <c:pt idx="2069">
                  <c:v>0.41388277655532663</c:v>
                </c:pt>
                <c:pt idx="2070">
                  <c:v>0.41408281656332824</c:v>
                </c:pt>
                <c:pt idx="2071">
                  <c:v>0.41428285657132985</c:v>
                </c:pt>
                <c:pt idx="2072">
                  <c:v>0.41448289657933146</c:v>
                </c:pt>
                <c:pt idx="2073">
                  <c:v>0.41468293658733307</c:v>
                </c:pt>
                <c:pt idx="2074">
                  <c:v>0.41488297659533468</c:v>
                </c:pt>
                <c:pt idx="2075">
                  <c:v>0.4150830166033363</c:v>
                </c:pt>
                <c:pt idx="2076">
                  <c:v>0.41528305661133791</c:v>
                </c:pt>
                <c:pt idx="2077">
                  <c:v>0.41548309661933952</c:v>
                </c:pt>
                <c:pt idx="2078">
                  <c:v>0.41568313662734113</c:v>
                </c:pt>
                <c:pt idx="2079">
                  <c:v>0.41588317663534274</c:v>
                </c:pt>
                <c:pt idx="2080">
                  <c:v>0.41608321664334436</c:v>
                </c:pt>
                <c:pt idx="2081">
                  <c:v>0.41628325665134597</c:v>
                </c:pt>
                <c:pt idx="2082">
                  <c:v>0.41648329665934758</c:v>
                </c:pt>
                <c:pt idx="2083">
                  <c:v>0.41668333666734919</c:v>
                </c:pt>
                <c:pt idx="2084">
                  <c:v>0.4168833766753508</c:v>
                </c:pt>
                <c:pt idx="2085">
                  <c:v>0.41708341668335241</c:v>
                </c:pt>
                <c:pt idx="2086">
                  <c:v>0.41728345669135403</c:v>
                </c:pt>
                <c:pt idx="2087">
                  <c:v>0.41748349669935564</c:v>
                </c:pt>
                <c:pt idx="2088">
                  <c:v>0.41768353670735725</c:v>
                </c:pt>
                <c:pt idx="2089">
                  <c:v>0.41788357671535886</c:v>
                </c:pt>
                <c:pt idx="2090">
                  <c:v>0.41808361672336047</c:v>
                </c:pt>
                <c:pt idx="2091">
                  <c:v>0.41828365673136209</c:v>
                </c:pt>
                <c:pt idx="2092">
                  <c:v>0.4184836967393637</c:v>
                </c:pt>
                <c:pt idx="2093">
                  <c:v>0.41868373674736531</c:v>
                </c:pt>
                <c:pt idx="2094">
                  <c:v>0.41888377675536692</c:v>
                </c:pt>
                <c:pt idx="2095">
                  <c:v>0.41908381676336853</c:v>
                </c:pt>
                <c:pt idx="2096">
                  <c:v>0.41928385677137014</c:v>
                </c:pt>
                <c:pt idx="2097">
                  <c:v>0.41948389677937176</c:v>
                </c:pt>
                <c:pt idx="2098">
                  <c:v>0.41968393678737337</c:v>
                </c:pt>
                <c:pt idx="2099">
                  <c:v>0.41988397679537498</c:v>
                </c:pt>
                <c:pt idx="2100">
                  <c:v>0.42008401680337659</c:v>
                </c:pt>
                <c:pt idx="2101">
                  <c:v>0.4202840568113782</c:v>
                </c:pt>
                <c:pt idx="2102">
                  <c:v>0.42048409681937982</c:v>
                </c:pt>
                <c:pt idx="2103">
                  <c:v>0.42068413682738143</c:v>
                </c:pt>
                <c:pt idx="2104">
                  <c:v>0.42088417683538304</c:v>
                </c:pt>
                <c:pt idx="2105">
                  <c:v>0.42108421684338465</c:v>
                </c:pt>
                <c:pt idx="2106">
                  <c:v>0.42128425685138626</c:v>
                </c:pt>
                <c:pt idx="2107">
                  <c:v>0.42148429685938787</c:v>
                </c:pt>
                <c:pt idx="2108">
                  <c:v>0.42168433686738949</c:v>
                </c:pt>
                <c:pt idx="2109">
                  <c:v>0.4218843768753911</c:v>
                </c:pt>
                <c:pt idx="2110">
                  <c:v>0.42208441688339271</c:v>
                </c:pt>
                <c:pt idx="2111">
                  <c:v>0.42228445689139432</c:v>
                </c:pt>
                <c:pt idx="2112">
                  <c:v>0.42248449689939593</c:v>
                </c:pt>
                <c:pt idx="2113">
                  <c:v>0.42268453690739755</c:v>
                </c:pt>
                <c:pt idx="2114">
                  <c:v>0.42288457691539916</c:v>
                </c:pt>
                <c:pt idx="2115">
                  <c:v>0.42308461692340077</c:v>
                </c:pt>
                <c:pt idx="2116">
                  <c:v>0.42328465693140238</c:v>
                </c:pt>
                <c:pt idx="2117">
                  <c:v>0.42348469693940399</c:v>
                </c:pt>
                <c:pt idx="2118">
                  <c:v>0.4236847369474056</c:v>
                </c:pt>
                <c:pt idx="2119">
                  <c:v>0.42388477695540722</c:v>
                </c:pt>
                <c:pt idx="2120">
                  <c:v>0.42408481696340883</c:v>
                </c:pt>
                <c:pt idx="2121">
                  <c:v>0.42428485697141044</c:v>
                </c:pt>
                <c:pt idx="2122">
                  <c:v>0.42448489697941205</c:v>
                </c:pt>
                <c:pt idx="2123">
                  <c:v>0.42468493698741366</c:v>
                </c:pt>
                <c:pt idx="2124">
                  <c:v>0.42488497699541528</c:v>
                </c:pt>
                <c:pt idx="2125">
                  <c:v>0.42508501700341689</c:v>
                </c:pt>
                <c:pt idx="2126">
                  <c:v>0.4252850570114185</c:v>
                </c:pt>
                <c:pt idx="2127">
                  <c:v>0.42548509701942011</c:v>
                </c:pt>
                <c:pt idx="2128">
                  <c:v>0.42568513702742172</c:v>
                </c:pt>
                <c:pt idx="2129">
                  <c:v>0.42588517703542333</c:v>
                </c:pt>
                <c:pt idx="2130">
                  <c:v>0.42608521704342495</c:v>
                </c:pt>
                <c:pt idx="2131">
                  <c:v>0.42628525705142656</c:v>
                </c:pt>
                <c:pt idx="2132">
                  <c:v>0.42648529705942817</c:v>
                </c:pt>
                <c:pt idx="2133">
                  <c:v>0.42668533706742978</c:v>
                </c:pt>
                <c:pt idx="2134">
                  <c:v>0.42688537707543139</c:v>
                </c:pt>
                <c:pt idx="2135">
                  <c:v>0.42708541708343301</c:v>
                </c:pt>
                <c:pt idx="2136">
                  <c:v>0.42728545709143462</c:v>
                </c:pt>
                <c:pt idx="2137">
                  <c:v>0.42748549709943623</c:v>
                </c:pt>
                <c:pt idx="2138">
                  <c:v>0.42768553710743784</c:v>
                </c:pt>
                <c:pt idx="2139">
                  <c:v>0.42788557711543945</c:v>
                </c:pt>
                <c:pt idx="2140">
                  <c:v>0.42808561712344106</c:v>
                </c:pt>
                <c:pt idx="2141">
                  <c:v>0.42828565713144268</c:v>
                </c:pt>
                <c:pt idx="2142">
                  <c:v>0.42848569713944429</c:v>
                </c:pt>
                <c:pt idx="2143">
                  <c:v>0.4286857371474459</c:v>
                </c:pt>
                <c:pt idx="2144">
                  <c:v>0.42888577715544751</c:v>
                </c:pt>
                <c:pt idx="2145">
                  <c:v>0.42908581716344912</c:v>
                </c:pt>
                <c:pt idx="2146">
                  <c:v>0.42928585717145074</c:v>
                </c:pt>
                <c:pt idx="2147">
                  <c:v>0.42948589717945235</c:v>
                </c:pt>
                <c:pt idx="2148">
                  <c:v>0.42968593718745396</c:v>
                </c:pt>
                <c:pt idx="2149">
                  <c:v>0.42988597719545557</c:v>
                </c:pt>
                <c:pt idx="2150">
                  <c:v>0.43008601720345718</c:v>
                </c:pt>
                <c:pt idx="2151">
                  <c:v>0.43028605721145879</c:v>
                </c:pt>
                <c:pt idx="2152">
                  <c:v>0.43048609721946041</c:v>
                </c:pt>
                <c:pt idx="2153">
                  <c:v>0.43068613722746202</c:v>
                </c:pt>
                <c:pt idx="2154">
                  <c:v>0.43088617723546363</c:v>
                </c:pt>
                <c:pt idx="2155">
                  <c:v>0.43108621724346524</c:v>
                </c:pt>
                <c:pt idx="2156">
                  <c:v>0.43128625725146685</c:v>
                </c:pt>
                <c:pt idx="2157">
                  <c:v>0.43148629725946847</c:v>
                </c:pt>
                <c:pt idx="2158">
                  <c:v>0.43168633726747008</c:v>
                </c:pt>
                <c:pt idx="2159">
                  <c:v>0.43188637727547169</c:v>
                </c:pt>
                <c:pt idx="2160">
                  <c:v>0.4320864172834733</c:v>
                </c:pt>
                <c:pt idx="2161">
                  <c:v>0.43228645729147491</c:v>
                </c:pt>
                <c:pt idx="2162">
                  <c:v>0.43248649729947652</c:v>
                </c:pt>
                <c:pt idx="2163">
                  <c:v>0.43268653730747814</c:v>
                </c:pt>
                <c:pt idx="2164">
                  <c:v>0.43288657731547975</c:v>
                </c:pt>
                <c:pt idx="2165">
                  <c:v>0.43308661732348136</c:v>
                </c:pt>
                <c:pt idx="2166">
                  <c:v>0.43328665733148297</c:v>
                </c:pt>
                <c:pt idx="2167">
                  <c:v>0.43348669733948458</c:v>
                </c:pt>
                <c:pt idx="2168">
                  <c:v>0.4336867373474862</c:v>
                </c:pt>
                <c:pt idx="2169">
                  <c:v>0.43388677735548781</c:v>
                </c:pt>
                <c:pt idx="2170">
                  <c:v>0.43408681736348942</c:v>
                </c:pt>
                <c:pt idx="2171">
                  <c:v>0.43428685737149103</c:v>
                </c:pt>
                <c:pt idx="2172">
                  <c:v>0.43448689737949264</c:v>
                </c:pt>
                <c:pt idx="2173">
                  <c:v>0.43468693738749425</c:v>
                </c:pt>
                <c:pt idx="2174">
                  <c:v>0.43488697739549587</c:v>
                </c:pt>
                <c:pt idx="2175">
                  <c:v>0.43508701740349748</c:v>
                </c:pt>
                <c:pt idx="2176">
                  <c:v>0.43528705741149909</c:v>
                </c:pt>
                <c:pt idx="2177">
                  <c:v>0.4354870974195007</c:v>
                </c:pt>
                <c:pt idx="2178">
                  <c:v>0.43568713742750231</c:v>
                </c:pt>
                <c:pt idx="2179">
                  <c:v>0.43588717743550393</c:v>
                </c:pt>
                <c:pt idx="2180">
                  <c:v>0.43608721744350554</c:v>
                </c:pt>
                <c:pt idx="2181">
                  <c:v>0.43628725745150715</c:v>
                </c:pt>
                <c:pt idx="2182">
                  <c:v>0.43648729745950876</c:v>
                </c:pt>
                <c:pt idx="2183">
                  <c:v>0.43668733746751037</c:v>
                </c:pt>
                <c:pt idx="2184">
                  <c:v>0.43688737747551198</c:v>
                </c:pt>
                <c:pt idx="2185">
                  <c:v>0.4370874174835136</c:v>
                </c:pt>
                <c:pt idx="2186">
                  <c:v>0.43728745749151521</c:v>
                </c:pt>
                <c:pt idx="2187">
                  <c:v>0.43748749749951682</c:v>
                </c:pt>
                <c:pt idx="2188">
                  <c:v>0.43768753750751843</c:v>
                </c:pt>
                <c:pt idx="2189">
                  <c:v>0.43788757751552004</c:v>
                </c:pt>
                <c:pt idx="2190">
                  <c:v>0.43808761752352166</c:v>
                </c:pt>
                <c:pt idx="2191">
                  <c:v>0.43828765753152327</c:v>
                </c:pt>
                <c:pt idx="2192">
                  <c:v>0.43848769753952488</c:v>
                </c:pt>
                <c:pt idx="2193">
                  <c:v>0.43868773754752649</c:v>
                </c:pt>
                <c:pt idx="2194">
                  <c:v>0.4388877775555281</c:v>
                </c:pt>
                <c:pt idx="2195">
                  <c:v>0.43908781756352971</c:v>
                </c:pt>
                <c:pt idx="2196">
                  <c:v>0.43928785757153133</c:v>
                </c:pt>
                <c:pt idx="2197">
                  <c:v>0.43948789757953294</c:v>
                </c:pt>
                <c:pt idx="2198">
                  <c:v>0.43968793758753455</c:v>
                </c:pt>
                <c:pt idx="2199">
                  <c:v>0.43988797759553616</c:v>
                </c:pt>
                <c:pt idx="2200">
                  <c:v>0.44008801760353777</c:v>
                </c:pt>
                <c:pt idx="2201">
                  <c:v>0.44028805761153939</c:v>
                </c:pt>
                <c:pt idx="2202">
                  <c:v>0.440488097619541</c:v>
                </c:pt>
                <c:pt idx="2203">
                  <c:v>0.44068813762754261</c:v>
                </c:pt>
                <c:pt idx="2204">
                  <c:v>0.44088817763554422</c:v>
                </c:pt>
                <c:pt idx="2205">
                  <c:v>0.44108821764354583</c:v>
                </c:pt>
                <c:pt idx="2206">
                  <c:v>0.44128825765154744</c:v>
                </c:pt>
                <c:pt idx="2207">
                  <c:v>0.44148829765954906</c:v>
                </c:pt>
                <c:pt idx="2208">
                  <c:v>0.44168833766755067</c:v>
                </c:pt>
                <c:pt idx="2209">
                  <c:v>0.44188837767555228</c:v>
                </c:pt>
                <c:pt idx="2210">
                  <c:v>0.44208841768355389</c:v>
                </c:pt>
                <c:pt idx="2211">
                  <c:v>0.4422884576915555</c:v>
                </c:pt>
                <c:pt idx="2212">
                  <c:v>0.44248849769955712</c:v>
                </c:pt>
                <c:pt idx="2213">
                  <c:v>0.44268853770755873</c:v>
                </c:pt>
                <c:pt idx="2214">
                  <c:v>0.44288857771556034</c:v>
                </c:pt>
                <c:pt idx="2215">
                  <c:v>0.44308861772356195</c:v>
                </c:pt>
                <c:pt idx="2216">
                  <c:v>0.44328865773156356</c:v>
                </c:pt>
                <c:pt idx="2217">
                  <c:v>0.44348869773956517</c:v>
                </c:pt>
                <c:pt idx="2218">
                  <c:v>0.44368873774756679</c:v>
                </c:pt>
                <c:pt idx="2219">
                  <c:v>0.4438887777555684</c:v>
                </c:pt>
                <c:pt idx="2220">
                  <c:v>0.44408881776357001</c:v>
                </c:pt>
                <c:pt idx="2221">
                  <c:v>0.44428885777157162</c:v>
                </c:pt>
                <c:pt idx="2222">
                  <c:v>0.44448889777957323</c:v>
                </c:pt>
                <c:pt idx="2223">
                  <c:v>0.44468893778757485</c:v>
                </c:pt>
                <c:pt idx="2224">
                  <c:v>0.44488897779557646</c:v>
                </c:pt>
                <c:pt idx="2225">
                  <c:v>0.44508901780357807</c:v>
                </c:pt>
                <c:pt idx="2226">
                  <c:v>0.44528905781157968</c:v>
                </c:pt>
                <c:pt idx="2227">
                  <c:v>0.44548909781958129</c:v>
                </c:pt>
                <c:pt idx="2228">
                  <c:v>0.4456891378275829</c:v>
                </c:pt>
                <c:pt idx="2229">
                  <c:v>0.44588917783558452</c:v>
                </c:pt>
                <c:pt idx="2230">
                  <c:v>0.44608921784358613</c:v>
                </c:pt>
                <c:pt idx="2231">
                  <c:v>0.44628925785158774</c:v>
                </c:pt>
                <c:pt idx="2232">
                  <c:v>0.44648929785958935</c:v>
                </c:pt>
                <c:pt idx="2233">
                  <c:v>0.44668933786759096</c:v>
                </c:pt>
                <c:pt idx="2234">
                  <c:v>0.44688937787559257</c:v>
                </c:pt>
                <c:pt idx="2235">
                  <c:v>0.44708941788359419</c:v>
                </c:pt>
                <c:pt idx="2236">
                  <c:v>0.4472894578915958</c:v>
                </c:pt>
                <c:pt idx="2237">
                  <c:v>0.44748949789959741</c:v>
                </c:pt>
                <c:pt idx="2238">
                  <c:v>0.44768953790759902</c:v>
                </c:pt>
                <c:pt idx="2239">
                  <c:v>0.44788957791560063</c:v>
                </c:pt>
                <c:pt idx="2240">
                  <c:v>0.44808961792360225</c:v>
                </c:pt>
                <c:pt idx="2241">
                  <c:v>0.44828965793160386</c:v>
                </c:pt>
                <c:pt idx="2242">
                  <c:v>0.44848969793960547</c:v>
                </c:pt>
                <c:pt idx="2243">
                  <c:v>0.44868973794760708</c:v>
                </c:pt>
                <c:pt idx="2244">
                  <c:v>0.44888977795560869</c:v>
                </c:pt>
                <c:pt idx="2245">
                  <c:v>0.4490898179636103</c:v>
                </c:pt>
                <c:pt idx="2246">
                  <c:v>0.44928985797161192</c:v>
                </c:pt>
                <c:pt idx="2247">
                  <c:v>0.44948989797961353</c:v>
                </c:pt>
                <c:pt idx="2248">
                  <c:v>0.44968993798761514</c:v>
                </c:pt>
                <c:pt idx="2249">
                  <c:v>0.44988997799561675</c:v>
                </c:pt>
                <c:pt idx="2250">
                  <c:v>0.45009001800361836</c:v>
                </c:pt>
                <c:pt idx="2251">
                  <c:v>0.45029005801161998</c:v>
                </c:pt>
                <c:pt idx="2252">
                  <c:v>0.45049009801962159</c:v>
                </c:pt>
                <c:pt idx="2253">
                  <c:v>0.4506901380276232</c:v>
                </c:pt>
                <c:pt idx="2254">
                  <c:v>0.45089017803562481</c:v>
                </c:pt>
                <c:pt idx="2255">
                  <c:v>0.45109021804362642</c:v>
                </c:pt>
                <c:pt idx="2256">
                  <c:v>0.45129025805162803</c:v>
                </c:pt>
                <c:pt idx="2257">
                  <c:v>0.45149029805962965</c:v>
                </c:pt>
                <c:pt idx="2258">
                  <c:v>0.45169033806763126</c:v>
                </c:pt>
                <c:pt idx="2259">
                  <c:v>0.45189037807563287</c:v>
                </c:pt>
                <c:pt idx="2260">
                  <c:v>0.45209041808363448</c:v>
                </c:pt>
                <c:pt idx="2261">
                  <c:v>0.45229045809163609</c:v>
                </c:pt>
                <c:pt idx="2262">
                  <c:v>0.45249049809963771</c:v>
                </c:pt>
                <c:pt idx="2263">
                  <c:v>0.45269053810763932</c:v>
                </c:pt>
                <c:pt idx="2264">
                  <c:v>0.45289057811564093</c:v>
                </c:pt>
                <c:pt idx="2265">
                  <c:v>0.45309061812364254</c:v>
                </c:pt>
                <c:pt idx="2266">
                  <c:v>0.45329065813164415</c:v>
                </c:pt>
                <c:pt idx="2267">
                  <c:v>0.45349069813964576</c:v>
                </c:pt>
                <c:pt idx="2268">
                  <c:v>0.45369073814764738</c:v>
                </c:pt>
                <c:pt idx="2269">
                  <c:v>0.45389077815564899</c:v>
                </c:pt>
                <c:pt idx="2270">
                  <c:v>0.4540908181636506</c:v>
                </c:pt>
                <c:pt idx="2271">
                  <c:v>0.45429085817165221</c:v>
                </c:pt>
                <c:pt idx="2272">
                  <c:v>0.45449089817965382</c:v>
                </c:pt>
                <c:pt idx="2273">
                  <c:v>0.45469093818765544</c:v>
                </c:pt>
                <c:pt idx="2274">
                  <c:v>0.45489097819565705</c:v>
                </c:pt>
                <c:pt idx="2275">
                  <c:v>0.45509101820365866</c:v>
                </c:pt>
                <c:pt idx="2276">
                  <c:v>0.45529105821166027</c:v>
                </c:pt>
                <c:pt idx="2277">
                  <c:v>0.45549109821966188</c:v>
                </c:pt>
                <c:pt idx="2278">
                  <c:v>0.45569113822766349</c:v>
                </c:pt>
                <c:pt idx="2279">
                  <c:v>0.45589117823566511</c:v>
                </c:pt>
                <c:pt idx="2280">
                  <c:v>0.45609121824366672</c:v>
                </c:pt>
                <c:pt idx="2281">
                  <c:v>0.45629125825166833</c:v>
                </c:pt>
                <c:pt idx="2282">
                  <c:v>0.45649129825966994</c:v>
                </c:pt>
                <c:pt idx="2283">
                  <c:v>0.45669133826767155</c:v>
                </c:pt>
                <c:pt idx="2284">
                  <c:v>0.45689137827567317</c:v>
                </c:pt>
                <c:pt idx="2285">
                  <c:v>0.45709141828367478</c:v>
                </c:pt>
                <c:pt idx="2286">
                  <c:v>0.45729145829167639</c:v>
                </c:pt>
                <c:pt idx="2287">
                  <c:v>0.457491498299678</c:v>
                </c:pt>
                <c:pt idx="2288">
                  <c:v>0.45769153830767961</c:v>
                </c:pt>
                <c:pt idx="2289">
                  <c:v>0.45789157831568122</c:v>
                </c:pt>
                <c:pt idx="2290">
                  <c:v>0.45809161832368284</c:v>
                </c:pt>
                <c:pt idx="2291">
                  <c:v>0.45829165833168445</c:v>
                </c:pt>
                <c:pt idx="2292">
                  <c:v>0.45849169833968606</c:v>
                </c:pt>
                <c:pt idx="2293">
                  <c:v>0.45869173834768767</c:v>
                </c:pt>
                <c:pt idx="2294">
                  <c:v>0.45889177835568928</c:v>
                </c:pt>
                <c:pt idx="2295">
                  <c:v>0.4590918183636909</c:v>
                </c:pt>
                <c:pt idx="2296">
                  <c:v>0.45929185837169251</c:v>
                </c:pt>
                <c:pt idx="2297">
                  <c:v>0.45949189837969412</c:v>
                </c:pt>
                <c:pt idx="2298">
                  <c:v>0.45969193838769573</c:v>
                </c:pt>
                <c:pt idx="2299">
                  <c:v>0.45989197839569734</c:v>
                </c:pt>
                <c:pt idx="2300">
                  <c:v>0.46009201840369895</c:v>
                </c:pt>
                <c:pt idx="2301">
                  <c:v>0.46029205841170057</c:v>
                </c:pt>
                <c:pt idx="2302">
                  <c:v>0.46049209841970218</c:v>
                </c:pt>
                <c:pt idx="2303">
                  <c:v>0.46069213842770379</c:v>
                </c:pt>
                <c:pt idx="2304">
                  <c:v>0.4608921784357054</c:v>
                </c:pt>
                <c:pt idx="2305">
                  <c:v>0.46109221844370701</c:v>
                </c:pt>
                <c:pt idx="2306">
                  <c:v>0.46129225845170863</c:v>
                </c:pt>
                <c:pt idx="2307">
                  <c:v>0.46149229845971024</c:v>
                </c:pt>
                <c:pt idx="2308">
                  <c:v>0.46169233846771185</c:v>
                </c:pt>
                <c:pt idx="2309">
                  <c:v>0.46189237847571346</c:v>
                </c:pt>
                <c:pt idx="2310">
                  <c:v>0.46209241848371507</c:v>
                </c:pt>
                <c:pt idx="2311">
                  <c:v>0.46229245849171668</c:v>
                </c:pt>
                <c:pt idx="2312">
                  <c:v>0.4624924984997183</c:v>
                </c:pt>
                <c:pt idx="2313">
                  <c:v>0.46269253850771991</c:v>
                </c:pt>
                <c:pt idx="2314">
                  <c:v>0.46289257851572152</c:v>
                </c:pt>
                <c:pt idx="2315">
                  <c:v>0.46309261852372313</c:v>
                </c:pt>
                <c:pt idx="2316">
                  <c:v>0.46329265853172474</c:v>
                </c:pt>
                <c:pt idx="2317">
                  <c:v>0.46349269853972636</c:v>
                </c:pt>
                <c:pt idx="2318">
                  <c:v>0.46369273854772797</c:v>
                </c:pt>
                <c:pt idx="2319">
                  <c:v>0.46389277855572958</c:v>
                </c:pt>
                <c:pt idx="2320">
                  <c:v>0.46409281856373119</c:v>
                </c:pt>
                <c:pt idx="2321">
                  <c:v>0.4642928585717328</c:v>
                </c:pt>
                <c:pt idx="2322">
                  <c:v>0.46449289857973441</c:v>
                </c:pt>
                <c:pt idx="2323">
                  <c:v>0.46469293858773603</c:v>
                </c:pt>
                <c:pt idx="2324">
                  <c:v>0.46489297859573764</c:v>
                </c:pt>
                <c:pt idx="2325">
                  <c:v>0.46509301860373925</c:v>
                </c:pt>
                <c:pt idx="2326">
                  <c:v>0.46529305861174086</c:v>
                </c:pt>
                <c:pt idx="2327">
                  <c:v>0.46549309861974247</c:v>
                </c:pt>
                <c:pt idx="2328">
                  <c:v>0.46569313862774409</c:v>
                </c:pt>
                <c:pt idx="2329">
                  <c:v>0.4658931786357457</c:v>
                </c:pt>
                <c:pt idx="2330">
                  <c:v>0.46609321864374731</c:v>
                </c:pt>
                <c:pt idx="2331">
                  <c:v>0.46629325865174892</c:v>
                </c:pt>
                <c:pt idx="2332">
                  <c:v>0.46649329865975053</c:v>
                </c:pt>
                <c:pt idx="2333">
                  <c:v>0.46669333866775214</c:v>
                </c:pt>
                <c:pt idx="2334">
                  <c:v>0.46689337867575376</c:v>
                </c:pt>
                <c:pt idx="2335">
                  <c:v>0.46709341868375537</c:v>
                </c:pt>
                <c:pt idx="2336">
                  <c:v>0.46729345869175698</c:v>
                </c:pt>
                <c:pt idx="2337">
                  <c:v>0.46749349869975859</c:v>
                </c:pt>
                <c:pt idx="2338">
                  <c:v>0.4676935387077602</c:v>
                </c:pt>
                <c:pt idx="2339">
                  <c:v>0.46789357871576182</c:v>
                </c:pt>
                <c:pt idx="2340">
                  <c:v>0.46809361872376343</c:v>
                </c:pt>
                <c:pt idx="2341">
                  <c:v>0.46829365873176504</c:v>
                </c:pt>
                <c:pt idx="2342">
                  <c:v>0.46849369873976665</c:v>
                </c:pt>
                <c:pt idx="2343">
                  <c:v>0.46869373874776826</c:v>
                </c:pt>
                <c:pt idx="2344">
                  <c:v>0.46889377875576987</c:v>
                </c:pt>
                <c:pt idx="2345">
                  <c:v>0.46909381876377149</c:v>
                </c:pt>
                <c:pt idx="2346">
                  <c:v>0.4692938587717731</c:v>
                </c:pt>
                <c:pt idx="2347">
                  <c:v>0.46949389877977471</c:v>
                </c:pt>
                <c:pt idx="2348">
                  <c:v>0.46969393878777632</c:v>
                </c:pt>
                <c:pt idx="2349">
                  <c:v>0.46989397879577793</c:v>
                </c:pt>
                <c:pt idx="2350">
                  <c:v>0.47009401880377955</c:v>
                </c:pt>
                <c:pt idx="2351">
                  <c:v>0.47029405881178116</c:v>
                </c:pt>
                <c:pt idx="2352">
                  <c:v>0.47049409881978277</c:v>
                </c:pt>
                <c:pt idx="2353">
                  <c:v>0.47069413882778438</c:v>
                </c:pt>
                <c:pt idx="2354">
                  <c:v>0.47089417883578599</c:v>
                </c:pt>
                <c:pt idx="2355">
                  <c:v>0.4710942188437876</c:v>
                </c:pt>
                <c:pt idx="2356">
                  <c:v>0.47129425885178922</c:v>
                </c:pt>
                <c:pt idx="2357">
                  <c:v>0.47149429885979083</c:v>
                </c:pt>
                <c:pt idx="2358">
                  <c:v>0.47169433886779244</c:v>
                </c:pt>
                <c:pt idx="2359">
                  <c:v>0.47189437887579405</c:v>
                </c:pt>
                <c:pt idx="2360">
                  <c:v>0.47209441888379566</c:v>
                </c:pt>
                <c:pt idx="2361">
                  <c:v>0.47229445889179728</c:v>
                </c:pt>
                <c:pt idx="2362">
                  <c:v>0.47249449889979889</c:v>
                </c:pt>
                <c:pt idx="2363">
                  <c:v>0.4726945389078005</c:v>
                </c:pt>
                <c:pt idx="2364">
                  <c:v>0.47289457891580211</c:v>
                </c:pt>
                <c:pt idx="2365">
                  <c:v>0.47309461892380372</c:v>
                </c:pt>
                <c:pt idx="2366">
                  <c:v>0.47329465893180533</c:v>
                </c:pt>
                <c:pt idx="2367">
                  <c:v>0.47349469893980695</c:v>
                </c:pt>
                <c:pt idx="2368">
                  <c:v>0.47369473894780856</c:v>
                </c:pt>
                <c:pt idx="2369">
                  <c:v>0.47389477895581017</c:v>
                </c:pt>
                <c:pt idx="2370">
                  <c:v>0.47409481896381178</c:v>
                </c:pt>
                <c:pt idx="2371">
                  <c:v>0.47429485897181339</c:v>
                </c:pt>
                <c:pt idx="2372">
                  <c:v>0.47449489897981501</c:v>
                </c:pt>
                <c:pt idx="2373">
                  <c:v>0.47469493898781662</c:v>
                </c:pt>
                <c:pt idx="2374">
                  <c:v>0.47489497899581823</c:v>
                </c:pt>
                <c:pt idx="2375">
                  <c:v>0.47509501900381984</c:v>
                </c:pt>
                <c:pt idx="2376">
                  <c:v>0.47529505901182145</c:v>
                </c:pt>
                <c:pt idx="2377">
                  <c:v>0.47549509901982306</c:v>
                </c:pt>
                <c:pt idx="2378">
                  <c:v>0.47569513902782468</c:v>
                </c:pt>
                <c:pt idx="2379">
                  <c:v>0.47589517903582629</c:v>
                </c:pt>
                <c:pt idx="2380">
                  <c:v>0.4760952190438279</c:v>
                </c:pt>
                <c:pt idx="2381">
                  <c:v>0.47629525905182951</c:v>
                </c:pt>
                <c:pt idx="2382">
                  <c:v>0.47649529905983112</c:v>
                </c:pt>
                <c:pt idx="2383">
                  <c:v>0.47669533906783274</c:v>
                </c:pt>
                <c:pt idx="2384">
                  <c:v>0.47689537907583435</c:v>
                </c:pt>
                <c:pt idx="2385">
                  <c:v>0.47709541908383596</c:v>
                </c:pt>
                <c:pt idx="2386">
                  <c:v>0.47729545909183757</c:v>
                </c:pt>
                <c:pt idx="2387">
                  <c:v>0.47749549909983918</c:v>
                </c:pt>
                <c:pt idx="2388">
                  <c:v>0.47769553910784079</c:v>
                </c:pt>
                <c:pt idx="2389">
                  <c:v>0.47789557911584241</c:v>
                </c:pt>
                <c:pt idx="2390">
                  <c:v>0.47809561912384402</c:v>
                </c:pt>
                <c:pt idx="2391">
                  <c:v>0.47829565913184563</c:v>
                </c:pt>
                <c:pt idx="2392">
                  <c:v>0.47849569913984724</c:v>
                </c:pt>
                <c:pt idx="2393">
                  <c:v>0.47869573914784885</c:v>
                </c:pt>
                <c:pt idx="2394">
                  <c:v>0.47889577915585047</c:v>
                </c:pt>
                <c:pt idx="2395">
                  <c:v>0.47909581916385208</c:v>
                </c:pt>
                <c:pt idx="2396">
                  <c:v>0.47929585917185369</c:v>
                </c:pt>
                <c:pt idx="2397">
                  <c:v>0.4794958991798553</c:v>
                </c:pt>
                <c:pt idx="2398">
                  <c:v>0.47969593918785691</c:v>
                </c:pt>
                <c:pt idx="2399">
                  <c:v>0.47989597919585852</c:v>
                </c:pt>
                <c:pt idx="2400">
                  <c:v>0.48009601920386014</c:v>
                </c:pt>
                <c:pt idx="2401">
                  <c:v>0.48029605921186175</c:v>
                </c:pt>
                <c:pt idx="2402">
                  <c:v>0.48049609921986336</c:v>
                </c:pt>
                <c:pt idx="2403">
                  <c:v>0.48069613922786497</c:v>
                </c:pt>
                <c:pt idx="2404">
                  <c:v>0.48089617923586658</c:v>
                </c:pt>
                <c:pt idx="2405">
                  <c:v>0.4810962192438682</c:v>
                </c:pt>
                <c:pt idx="2406">
                  <c:v>0.48129625925186981</c:v>
                </c:pt>
                <c:pt idx="2407">
                  <c:v>0.48149629925987142</c:v>
                </c:pt>
                <c:pt idx="2408">
                  <c:v>0.48169633926787303</c:v>
                </c:pt>
                <c:pt idx="2409">
                  <c:v>0.48189637927587464</c:v>
                </c:pt>
                <c:pt idx="2410">
                  <c:v>0.48209641928387625</c:v>
                </c:pt>
                <c:pt idx="2411">
                  <c:v>0.48229645929187787</c:v>
                </c:pt>
                <c:pt idx="2412">
                  <c:v>0.48249649929987948</c:v>
                </c:pt>
                <c:pt idx="2413">
                  <c:v>0.48269653930788109</c:v>
                </c:pt>
                <c:pt idx="2414">
                  <c:v>0.4828965793158827</c:v>
                </c:pt>
                <c:pt idx="2415">
                  <c:v>0.48309661932388431</c:v>
                </c:pt>
                <c:pt idx="2416">
                  <c:v>0.48329665933188592</c:v>
                </c:pt>
                <c:pt idx="2417">
                  <c:v>0.48349669933988754</c:v>
                </c:pt>
                <c:pt idx="2418">
                  <c:v>0.48369673934788915</c:v>
                </c:pt>
                <c:pt idx="2419">
                  <c:v>0.48389677935589076</c:v>
                </c:pt>
                <c:pt idx="2420">
                  <c:v>0.48409681936389237</c:v>
                </c:pt>
                <c:pt idx="2421">
                  <c:v>0.48429685937189398</c:v>
                </c:pt>
                <c:pt idx="2422">
                  <c:v>0.4844968993798956</c:v>
                </c:pt>
                <c:pt idx="2423">
                  <c:v>0.48469693938789721</c:v>
                </c:pt>
                <c:pt idx="2424">
                  <c:v>0.48489697939589882</c:v>
                </c:pt>
                <c:pt idx="2425">
                  <c:v>0.48509701940390043</c:v>
                </c:pt>
                <c:pt idx="2426">
                  <c:v>0.48529705941190204</c:v>
                </c:pt>
                <c:pt idx="2427">
                  <c:v>0.48549709941990365</c:v>
                </c:pt>
                <c:pt idx="2428">
                  <c:v>0.48569713942790527</c:v>
                </c:pt>
                <c:pt idx="2429">
                  <c:v>0.48589717943590688</c:v>
                </c:pt>
                <c:pt idx="2430">
                  <c:v>0.48609721944390849</c:v>
                </c:pt>
                <c:pt idx="2431">
                  <c:v>0.4862972594519101</c:v>
                </c:pt>
                <c:pt idx="2432">
                  <c:v>0.48649729945991171</c:v>
                </c:pt>
                <c:pt idx="2433">
                  <c:v>0.48669733946791333</c:v>
                </c:pt>
                <c:pt idx="2434">
                  <c:v>0.48689737947591494</c:v>
                </c:pt>
                <c:pt idx="2435">
                  <c:v>0.48709741948391655</c:v>
                </c:pt>
                <c:pt idx="2436">
                  <c:v>0.48729745949191816</c:v>
                </c:pt>
                <c:pt idx="2437">
                  <c:v>0.48749749949991977</c:v>
                </c:pt>
                <c:pt idx="2438">
                  <c:v>0.48769753950792138</c:v>
                </c:pt>
                <c:pt idx="2439">
                  <c:v>0.487897579515923</c:v>
                </c:pt>
                <c:pt idx="2440">
                  <c:v>0.48809761952392461</c:v>
                </c:pt>
                <c:pt idx="2441">
                  <c:v>0.48829765953192622</c:v>
                </c:pt>
                <c:pt idx="2442">
                  <c:v>0.48849769953992783</c:v>
                </c:pt>
                <c:pt idx="2443">
                  <c:v>0.48869773954792944</c:v>
                </c:pt>
                <c:pt idx="2444">
                  <c:v>0.48889777955593106</c:v>
                </c:pt>
                <c:pt idx="2445">
                  <c:v>0.48909781956393267</c:v>
                </c:pt>
                <c:pt idx="2446">
                  <c:v>0.48929785957193428</c:v>
                </c:pt>
                <c:pt idx="2447">
                  <c:v>0.48949789957993589</c:v>
                </c:pt>
                <c:pt idx="2448">
                  <c:v>0.4896979395879375</c:v>
                </c:pt>
                <c:pt idx="2449">
                  <c:v>0.48989797959593911</c:v>
                </c:pt>
                <c:pt idx="2450">
                  <c:v>0.49009801960394073</c:v>
                </c:pt>
                <c:pt idx="2451">
                  <c:v>0.49029805961194234</c:v>
                </c:pt>
                <c:pt idx="2452">
                  <c:v>0.49049809961994395</c:v>
                </c:pt>
                <c:pt idx="2453">
                  <c:v>0.49069813962794556</c:v>
                </c:pt>
                <c:pt idx="2454">
                  <c:v>0.49089817963594717</c:v>
                </c:pt>
                <c:pt idx="2455">
                  <c:v>0.49109821964394879</c:v>
                </c:pt>
                <c:pt idx="2456">
                  <c:v>0.4912982596519504</c:v>
                </c:pt>
                <c:pt idx="2457">
                  <c:v>0.49149829965995201</c:v>
                </c:pt>
                <c:pt idx="2458">
                  <c:v>0.49169833966795362</c:v>
                </c:pt>
                <c:pt idx="2459">
                  <c:v>0.49189837967595523</c:v>
                </c:pt>
                <c:pt idx="2460">
                  <c:v>0.49209841968395684</c:v>
                </c:pt>
                <c:pt idx="2461">
                  <c:v>0.49229845969195846</c:v>
                </c:pt>
                <c:pt idx="2462">
                  <c:v>0.49249849969996007</c:v>
                </c:pt>
                <c:pt idx="2463">
                  <c:v>0.49269853970796168</c:v>
                </c:pt>
                <c:pt idx="2464">
                  <c:v>0.49289857971596329</c:v>
                </c:pt>
                <c:pt idx="2465">
                  <c:v>0.4930986197239649</c:v>
                </c:pt>
                <c:pt idx="2466">
                  <c:v>0.49329865973196652</c:v>
                </c:pt>
                <c:pt idx="2467">
                  <c:v>0.49349869973996813</c:v>
                </c:pt>
                <c:pt idx="2468">
                  <c:v>0.49369873974796974</c:v>
                </c:pt>
                <c:pt idx="2469">
                  <c:v>0.49389877975597135</c:v>
                </c:pt>
                <c:pt idx="2470">
                  <c:v>0.49409881976397296</c:v>
                </c:pt>
                <c:pt idx="2471">
                  <c:v>0.49429885977197457</c:v>
                </c:pt>
                <c:pt idx="2472">
                  <c:v>0.49449889977997619</c:v>
                </c:pt>
                <c:pt idx="2473">
                  <c:v>0.4946989397879778</c:v>
                </c:pt>
                <c:pt idx="2474">
                  <c:v>0.49489897979597941</c:v>
                </c:pt>
                <c:pt idx="2475">
                  <c:v>0.49509901980398102</c:v>
                </c:pt>
                <c:pt idx="2476">
                  <c:v>0.49529905981198263</c:v>
                </c:pt>
                <c:pt idx="2477">
                  <c:v>0.49549909981998425</c:v>
                </c:pt>
                <c:pt idx="2478">
                  <c:v>0.49569913982798586</c:v>
                </c:pt>
                <c:pt idx="2479">
                  <c:v>0.49589917983598747</c:v>
                </c:pt>
                <c:pt idx="2480">
                  <c:v>0.49609921984398908</c:v>
                </c:pt>
                <c:pt idx="2481">
                  <c:v>0.49629925985199069</c:v>
                </c:pt>
                <c:pt idx="2482">
                  <c:v>0.4964992998599923</c:v>
                </c:pt>
                <c:pt idx="2483">
                  <c:v>0.49669933986799392</c:v>
                </c:pt>
                <c:pt idx="2484">
                  <c:v>0.49689937987599553</c:v>
                </c:pt>
                <c:pt idx="2485">
                  <c:v>0.49709941988399714</c:v>
                </c:pt>
                <c:pt idx="2486">
                  <c:v>0.49729945989199875</c:v>
                </c:pt>
                <c:pt idx="2487">
                  <c:v>0.49749949990000036</c:v>
                </c:pt>
                <c:pt idx="2488">
                  <c:v>0.49769953990800198</c:v>
                </c:pt>
                <c:pt idx="2489">
                  <c:v>0.49789957991600359</c:v>
                </c:pt>
                <c:pt idx="2490">
                  <c:v>0.4980996199240052</c:v>
                </c:pt>
                <c:pt idx="2491">
                  <c:v>0.49829965993200681</c:v>
                </c:pt>
                <c:pt idx="2492">
                  <c:v>0.49849969994000842</c:v>
                </c:pt>
                <c:pt idx="2493">
                  <c:v>0.49869973994801003</c:v>
                </c:pt>
                <c:pt idx="2494">
                  <c:v>0.49889977995601165</c:v>
                </c:pt>
                <c:pt idx="2495">
                  <c:v>0.49909981996401326</c:v>
                </c:pt>
                <c:pt idx="2496">
                  <c:v>0.49929985997201487</c:v>
                </c:pt>
                <c:pt idx="2497">
                  <c:v>0.49949989998001648</c:v>
                </c:pt>
                <c:pt idx="2498">
                  <c:v>0.49969993998801809</c:v>
                </c:pt>
                <c:pt idx="2499">
                  <c:v>0.49989997999601971</c:v>
                </c:pt>
                <c:pt idx="2500">
                  <c:v>0.50010002000402132</c:v>
                </c:pt>
                <c:pt idx="2501">
                  <c:v>0.50030006001202287</c:v>
                </c:pt>
                <c:pt idx="2502">
                  <c:v>0.50050010002002443</c:v>
                </c:pt>
                <c:pt idx="2503">
                  <c:v>0.50070014002802599</c:v>
                </c:pt>
                <c:pt idx="2504">
                  <c:v>0.50090018003602754</c:v>
                </c:pt>
                <c:pt idx="2505">
                  <c:v>0.5011002200440291</c:v>
                </c:pt>
                <c:pt idx="2506">
                  <c:v>0.50130026005203066</c:v>
                </c:pt>
                <c:pt idx="2507">
                  <c:v>0.50150030006003221</c:v>
                </c:pt>
                <c:pt idx="2508">
                  <c:v>0.50170034006803377</c:v>
                </c:pt>
                <c:pt idx="2509">
                  <c:v>0.50190038007603532</c:v>
                </c:pt>
                <c:pt idx="2510">
                  <c:v>0.50210042008403688</c:v>
                </c:pt>
                <c:pt idx="2511">
                  <c:v>0.50230046009203844</c:v>
                </c:pt>
                <c:pt idx="2512">
                  <c:v>0.50250050010003999</c:v>
                </c:pt>
                <c:pt idx="2513">
                  <c:v>0.50270054010804155</c:v>
                </c:pt>
                <c:pt idx="2514">
                  <c:v>0.50290058011604311</c:v>
                </c:pt>
                <c:pt idx="2515">
                  <c:v>0.50310062012404466</c:v>
                </c:pt>
                <c:pt idx="2516">
                  <c:v>0.50330066013204622</c:v>
                </c:pt>
                <c:pt idx="2517">
                  <c:v>0.50350070014004777</c:v>
                </c:pt>
                <c:pt idx="2518">
                  <c:v>0.50370074014804933</c:v>
                </c:pt>
                <c:pt idx="2519">
                  <c:v>0.50390078015605089</c:v>
                </c:pt>
                <c:pt idx="2520">
                  <c:v>0.50410082016405244</c:v>
                </c:pt>
                <c:pt idx="2521">
                  <c:v>0.504300860172054</c:v>
                </c:pt>
                <c:pt idx="2522">
                  <c:v>0.50450090018005556</c:v>
                </c:pt>
                <c:pt idx="2523">
                  <c:v>0.50470094018805711</c:v>
                </c:pt>
                <c:pt idx="2524">
                  <c:v>0.50490098019605867</c:v>
                </c:pt>
                <c:pt idx="2525">
                  <c:v>0.50510102020406022</c:v>
                </c:pt>
                <c:pt idx="2526">
                  <c:v>0.50530106021206178</c:v>
                </c:pt>
                <c:pt idx="2527">
                  <c:v>0.50550110022006334</c:v>
                </c:pt>
                <c:pt idx="2528">
                  <c:v>0.50570114022806489</c:v>
                </c:pt>
                <c:pt idx="2529">
                  <c:v>0.50590118023606645</c:v>
                </c:pt>
                <c:pt idx="2530">
                  <c:v>0.50610122024406801</c:v>
                </c:pt>
                <c:pt idx="2531">
                  <c:v>0.50630126025206956</c:v>
                </c:pt>
                <c:pt idx="2532">
                  <c:v>0.50650130026007112</c:v>
                </c:pt>
                <c:pt idx="2533">
                  <c:v>0.50670134026807268</c:v>
                </c:pt>
                <c:pt idx="2534">
                  <c:v>0.50690138027607423</c:v>
                </c:pt>
                <c:pt idx="2535">
                  <c:v>0.50710142028407579</c:v>
                </c:pt>
                <c:pt idx="2536">
                  <c:v>0.50730146029207734</c:v>
                </c:pt>
                <c:pt idx="2537">
                  <c:v>0.5075015003000789</c:v>
                </c:pt>
                <c:pt idx="2538">
                  <c:v>0.50770154030808046</c:v>
                </c:pt>
                <c:pt idx="2539">
                  <c:v>0.50790158031608201</c:v>
                </c:pt>
                <c:pt idx="2540">
                  <c:v>0.50810162032408357</c:v>
                </c:pt>
                <c:pt idx="2541">
                  <c:v>0.50830166033208513</c:v>
                </c:pt>
                <c:pt idx="2542">
                  <c:v>0.50850170034008668</c:v>
                </c:pt>
                <c:pt idx="2543">
                  <c:v>0.50870174034808824</c:v>
                </c:pt>
                <c:pt idx="2544">
                  <c:v>0.50890178035608979</c:v>
                </c:pt>
                <c:pt idx="2545">
                  <c:v>0.50910182036409135</c:v>
                </c:pt>
                <c:pt idx="2546">
                  <c:v>0.50930186037209291</c:v>
                </c:pt>
                <c:pt idx="2547">
                  <c:v>0.50950190038009446</c:v>
                </c:pt>
                <c:pt idx="2548">
                  <c:v>0.50970194038809602</c:v>
                </c:pt>
                <c:pt idx="2549">
                  <c:v>0.50990198039609758</c:v>
                </c:pt>
                <c:pt idx="2550">
                  <c:v>0.51010202040409913</c:v>
                </c:pt>
                <c:pt idx="2551">
                  <c:v>0.51030206041210069</c:v>
                </c:pt>
                <c:pt idx="2552">
                  <c:v>0.51050210042010224</c:v>
                </c:pt>
                <c:pt idx="2553">
                  <c:v>0.5107021404281038</c:v>
                </c:pt>
                <c:pt idx="2554">
                  <c:v>0.51090218043610536</c:v>
                </c:pt>
                <c:pt idx="2555">
                  <c:v>0.51110222044410691</c:v>
                </c:pt>
                <c:pt idx="2556">
                  <c:v>0.51130226045210847</c:v>
                </c:pt>
                <c:pt idx="2557">
                  <c:v>0.51150230046011003</c:v>
                </c:pt>
                <c:pt idx="2558">
                  <c:v>0.51170234046811158</c:v>
                </c:pt>
                <c:pt idx="2559">
                  <c:v>0.51190238047611314</c:v>
                </c:pt>
                <c:pt idx="2560">
                  <c:v>0.5121024204841147</c:v>
                </c:pt>
                <c:pt idx="2561">
                  <c:v>0.51230246049211625</c:v>
                </c:pt>
                <c:pt idx="2562">
                  <c:v>0.51250250050011781</c:v>
                </c:pt>
                <c:pt idx="2563">
                  <c:v>0.51270254050811936</c:v>
                </c:pt>
                <c:pt idx="2564">
                  <c:v>0.51290258051612092</c:v>
                </c:pt>
                <c:pt idx="2565">
                  <c:v>0.51310262052412248</c:v>
                </c:pt>
                <c:pt idx="2566">
                  <c:v>0.51330266053212403</c:v>
                </c:pt>
                <c:pt idx="2567">
                  <c:v>0.51350270054012559</c:v>
                </c:pt>
                <c:pt idx="2568">
                  <c:v>0.51370274054812715</c:v>
                </c:pt>
                <c:pt idx="2569">
                  <c:v>0.5139027805561287</c:v>
                </c:pt>
                <c:pt idx="2570">
                  <c:v>0.51410282056413026</c:v>
                </c:pt>
                <c:pt idx="2571">
                  <c:v>0.51430286057213181</c:v>
                </c:pt>
                <c:pt idx="2572">
                  <c:v>0.51450290058013337</c:v>
                </c:pt>
                <c:pt idx="2573">
                  <c:v>0.51470294058813493</c:v>
                </c:pt>
                <c:pt idx="2574">
                  <c:v>0.51490298059613648</c:v>
                </c:pt>
                <c:pt idx="2575">
                  <c:v>0.51510302060413804</c:v>
                </c:pt>
                <c:pt idx="2576">
                  <c:v>0.5153030606121396</c:v>
                </c:pt>
                <c:pt idx="2577">
                  <c:v>0.51550310062014115</c:v>
                </c:pt>
                <c:pt idx="2578">
                  <c:v>0.51570314062814271</c:v>
                </c:pt>
                <c:pt idx="2579">
                  <c:v>0.51590318063614427</c:v>
                </c:pt>
                <c:pt idx="2580">
                  <c:v>0.51610322064414582</c:v>
                </c:pt>
                <c:pt idx="2581">
                  <c:v>0.51630326065214738</c:v>
                </c:pt>
                <c:pt idx="2582">
                  <c:v>0.51650330066014893</c:v>
                </c:pt>
                <c:pt idx="2583">
                  <c:v>0.51670334066815049</c:v>
                </c:pt>
                <c:pt idx="2584">
                  <c:v>0.51690338067615205</c:v>
                </c:pt>
                <c:pt idx="2585">
                  <c:v>0.5171034206841536</c:v>
                </c:pt>
                <c:pt idx="2586">
                  <c:v>0.51730346069215516</c:v>
                </c:pt>
                <c:pt idx="2587">
                  <c:v>0.51750350070015672</c:v>
                </c:pt>
                <c:pt idx="2588">
                  <c:v>0.51770354070815827</c:v>
                </c:pt>
                <c:pt idx="2589">
                  <c:v>0.51790358071615983</c:v>
                </c:pt>
                <c:pt idx="2590">
                  <c:v>0.51810362072416138</c:v>
                </c:pt>
                <c:pt idx="2591">
                  <c:v>0.51830366073216294</c:v>
                </c:pt>
                <c:pt idx="2592">
                  <c:v>0.5185037007401645</c:v>
                </c:pt>
                <c:pt idx="2593">
                  <c:v>0.51870374074816605</c:v>
                </c:pt>
                <c:pt idx="2594">
                  <c:v>0.51890378075616761</c:v>
                </c:pt>
                <c:pt idx="2595">
                  <c:v>0.51910382076416917</c:v>
                </c:pt>
                <c:pt idx="2596">
                  <c:v>0.51930386077217072</c:v>
                </c:pt>
                <c:pt idx="2597">
                  <c:v>0.51950390078017228</c:v>
                </c:pt>
                <c:pt idx="2598">
                  <c:v>0.51970394078817383</c:v>
                </c:pt>
                <c:pt idx="2599">
                  <c:v>0.51990398079617539</c:v>
                </c:pt>
                <c:pt idx="2600">
                  <c:v>0.52010402080417695</c:v>
                </c:pt>
                <c:pt idx="2601">
                  <c:v>0.5203040608121785</c:v>
                </c:pt>
                <c:pt idx="2602">
                  <c:v>0.52050410082018006</c:v>
                </c:pt>
                <c:pt idx="2603">
                  <c:v>0.52070414082818162</c:v>
                </c:pt>
                <c:pt idx="2604">
                  <c:v>0.52090418083618317</c:v>
                </c:pt>
                <c:pt idx="2605">
                  <c:v>0.52110422084418473</c:v>
                </c:pt>
                <c:pt idx="2606">
                  <c:v>0.52130426085218629</c:v>
                </c:pt>
                <c:pt idx="2607">
                  <c:v>0.52150430086018784</c:v>
                </c:pt>
                <c:pt idx="2608">
                  <c:v>0.5217043408681894</c:v>
                </c:pt>
                <c:pt idx="2609">
                  <c:v>0.52190438087619095</c:v>
                </c:pt>
                <c:pt idx="2610">
                  <c:v>0.52210442088419251</c:v>
                </c:pt>
                <c:pt idx="2611">
                  <c:v>0.52230446089219407</c:v>
                </c:pt>
                <c:pt idx="2612">
                  <c:v>0.52250450090019562</c:v>
                </c:pt>
                <c:pt idx="2613">
                  <c:v>0.52270454090819718</c:v>
                </c:pt>
                <c:pt idx="2614">
                  <c:v>0.52290458091619874</c:v>
                </c:pt>
                <c:pt idx="2615">
                  <c:v>0.52310462092420029</c:v>
                </c:pt>
                <c:pt idx="2616">
                  <c:v>0.52330466093220185</c:v>
                </c:pt>
                <c:pt idx="2617">
                  <c:v>0.5235047009402034</c:v>
                </c:pt>
                <c:pt idx="2618">
                  <c:v>0.52370474094820496</c:v>
                </c:pt>
                <c:pt idx="2619">
                  <c:v>0.52390478095620652</c:v>
                </c:pt>
                <c:pt idx="2620">
                  <c:v>0.52410482096420807</c:v>
                </c:pt>
                <c:pt idx="2621">
                  <c:v>0.52430486097220963</c:v>
                </c:pt>
                <c:pt idx="2622">
                  <c:v>0.52450490098021119</c:v>
                </c:pt>
                <c:pt idx="2623">
                  <c:v>0.52470494098821274</c:v>
                </c:pt>
                <c:pt idx="2624">
                  <c:v>0.5249049809962143</c:v>
                </c:pt>
                <c:pt idx="2625">
                  <c:v>0.52510502100421586</c:v>
                </c:pt>
                <c:pt idx="2626">
                  <c:v>0.52530506101221741</c:v>
                </c:pt>
                <c:pt idx="2627">
                  <c:v>0.52550510102021897</c:v>
                </c:pt>
                <c:pt idx="2628">
                  <c:v>0.52570514102822052</c:v>
                </c:pt>
                <c:pt idx="2629">
                  <c:v>0.52590518103622208</c:v>
                </c:pt>
                <c:pt idx="2630">
                  <c:v>0.52610522104422364</c:v>
                </c:pt>
                <c:pt idx="2631">
                  <c:v>0.52630526105222519</c:v>
                </c:pt>
                <c:pt idx="2632">
                  <c:v>0.52650530106022675</c:v>
                </c:pt>
                <c:pt idx="2633">
                  <c:v>0.52670534106822831</c:v>
                </c:pt>
                <c:pt idx="2634">
                  <c:v>0.52690538107622986</c:v>
                </c:pt>
                <c:pt idx="2635">
                  <c:v>0.52710542108423142</c:v>
                </c:pt>
                <c:pt idx="2636">
                  <c:v>0.52730546109223297</c:v>
                </c:pt>
                <c:pt idx="2637">
                  <c:v>0.52750550110023453</c:v>
                </c:pt>
                <c:pt idx="2638">
                  <c:v>0.52770554110823609</c:v>
                </c:pt>
                <c:pt idx="2639">
                  <c:v>0.52790558111623764</c:v>
                </c:pt>
                <c:pt idx="2640">
                  <c:v>0.5281056211242392</c:v>
                </c:pt>
                <c:pt idx="2641">
                  <c:v>0.52830566113224076</c:v>
                </c:pt>
                <c:pt idx="2642">
                  <c:v>0.52850570114024231</c:v>
                </c:pt>
                <c:pt idx="2643">
                  <c:v>0.52870574114824387</c:v>
                </c:pt>
                <c:pt idx="2644">
                  <c:v>0.52890578115624542</c:v>
                </c:pt>
                <c:pt idx="2645">
                  <c:v>0.52910582116424698</c:v>
                </c:pt>
                <c:pt idx="2646">
                  <c:v>0.52930586117224854</c:v>
                </c:pt>
                <c:pt idx="2647">
                  <c:v>0.52950590118025009</c:v>
                </c:pt>
                <c:pt idx="2648">
                  <c:v>0.52970594118825165</c:v>
                </c:pt>
                <c:pt idx="2649">
                  <c:v>0.52990598119625321</c:v>
                </c:pt>
                <c:pt idx="2650">
                  <c:v>0.53010602120425476</c:v>
                </c:pt>
                <c:pt idx="2651">
                  <c:v>0.53030606121225632</c:v>
                </c:pt>
                <c:pt idx="2652">
                  <c:v>0.53050610122025788</c:v>
                </c:pt>
                <c:pt idx="2653">
                  <c:v>0.53070614122825943</c:v>
                </c:pt>
                <c:pt idx="2654">
                  <c:v>0.53090618123626099</c:v>
                </c:pt>
                <c:pt idx="2655">
                  <c:v>0.53110622124426254</c:v>
                </c:pt>
                <c:pt idx="2656">
                  <c:v>0.5313062612522641</c:v>
                </c:pt>
                <c:pt idx="2657">
                  <c:v>0.53150630126026566</c:v>
                </c:pt>
                <c:pt idx="2658">
                  <c:v>0.53170634126826721</c:v>
                </c:pt>
                <c:pt idx="2659">
                  <c:v>0.53190638127626877</c:v>
                </c:pt>
                <c:pt idx="2660">
                  <c:v>0.53210642128427033</c:v>
                </c:pt>
                <c:pt idx="2661">
                  <c:v>0.53230646129227188</c:v>
                </c:pt>
                <c:pt idx="2662">
                  <c:v>0.53250650130027344</c:v>
                </c:pt>
                <c:pt idx="2663">
                  <c:v>0.53270654130827499</c:v>
                </c:pt>
                <c:pt idx="2664">
                  <c:v>0.53290658131627655</c:v>
                </c:pt>
                <c:pt idx="2665">
                  <c:v>0.53310662132427811</c:v>
                </c:pt>
                <c:pt idx="2666">
                  <c:v>0.53330666133227966</c:v>
                </c:pt>
                <c:pt idx="2667">
                  <c:v>0.53350670134028122</c:v>
                </c:pt>
                <c:pt idx="2668">
                  <c:v>0.53370674134828278</c:v>
                </c:pt>
                <c:pt idx="2669">
                  <c:v>0.53390678135628433</c:v>
                </c:pt>
                <c:pt idx="2670">
                  <c:v>0.53410682136428589</c:v>
                </c:pt>
                <c:pt idx="2671">
                  <c:v>0.53430686137228744</c:v>
                </c:pt>
                <c:pt idx="2672">
                  <c:v>0.534506901380289</c:v>
                </c:pt>
                <c:pt idx="2673">
                  <c:v>0.53470694138829056</c:v>
                </c:pt>
                <c:pt idx="2674">
                  <c:v>0.53490698139629211</c:v>
                </c:pt>
                <c:pt idx="2675">
                  <c:v>0.53510702140429367</c:v>
                </c:pt>
                <c:pt idx="2676">
                  <c:v>0.53530706141229523</c:v>
                </c:pt>
                <c:pt idx="2677">
                  <c:v>0.53550710142029678</c:v>
                </c:pt>
                <c:pt idx="2678">
                  <c:v>0.53570714142829834</c:v>
                </c:pt>
                <c:pt idx="2679">
                  <c:v>0.5359071814362999</c:v>
                </c:pt>
                <c:pt idx="2680">
                  <c:v>0.53610722144430145</c:v>
                </c:pt>
                <c:pt idx="2681">
                  <c:v>0.53630726145230301</c:v>
                </c:pt>
                <c:pt idx="2682">
                  <c:v>0.53650730146030456</c:v>
                </c:pt>
                <c:pt idx="2683">
                  <c:v>0.53670734146830612</c:v>
                </c:pt>
                <c:pt idx="2684">
                  <c:v>0.53690738147630768</c:v>
                </c:pt>
                <c:pt idx="2685">
                  <c:v>0.53710742148430923</c:v>
                </c:pt>
                <c:pt idx="2686">
                  <c:v>0.53730746149231079</c:v>
                </c:pt>
                <c:pt idx="2687">
                  <c:v>0.53750750150031235</c:v>
                </c:pt>
                <c:pt idx="2688">
                  <c:v>0.5377075415083139</c:v>
                </c:pt>
                <c:pt idx="2689">
                  <c:v>0.53790758151631546</c:v>
                </c:pt>
                <c:pt idx="2690">
                  <c:v>0.53810762152431701</c:v>
                </c:pt>
                <c:pt idx="2691">
                  <c:v>0.53830766153231857</c:v>
                </c:pt>
                <c:pt idx="2692">
                  <c:v>0.53850770154032013</c:v>
                </c:pt>
                <c:pt idx="2693">
                  <c:v>0.53870774154832168</c:v>
                </c:pt>
                <c:pt idx="2694">
                  <c:v>0.53890778155632324</c:v>
                </c:pt>
                <c:pt idx="2695">
                  <c:v>0.5391078215643248</c:v>
                </c:pt>
                <c:pt idx="2696">
                  <c:v>0.53930786157232635</c:v>
                </c:pt>
                <c:pt idx="2697">
                  <c:v>0.53950790158032791</c:v>
                </c:pt>
                <c:pt idx="2698">
                  <c:v>0.53970794158832947</c:v>
                </c:pt>
                <c:pt idx="2699">
                  <c:v>0.53990798159633102</c:v>
                </c:pt>
                <c:pt idx="2700">
                  <c:v>0.54010802160433258</c:v>
                </c:pt>
                <c:pt idx="2701">
                  <c:v>0.54030806161233413</c:v>
                </c:pt>
                <c:pt idx="2702">
                  <c:v>0.54050810162033569</c:v>
                </c:pt>
                <c:pt idx="2703">
                  <c:v>0.54070814162833725</c:v>
                </c:pt>
                <c:pt idx="2704">
                  <c:v>0.5409081816363388</c:v>
                </c:pt>
                <c:pt idx="2705">
                  <c:v>0.54110822164434036</c:v>
                </c:pt>
                <c:pt idx="2706">
                  <c:v>0.54130826165234192</c:v>
                </c:pt>
                <c:pt idx="2707">
                  <c:v>0.54150830166034347</c:v>
                </c:pt>
                <c:pt idx="2708">
                  <c:v>0.54170834166834503</c:v>
                </c:pt>
                <c:pt idx="2709">
                  <c:v>0.54190838167634658</c:v>
                </c:pt>
                <c:pt idx="2710">
                  <c:v>0.54210842168434814</c:v>
                </c:pt>
                <c:pt idx="2711">
                  <c:v>0.5423084616923497</c:v>
                </c:pt>
                <c:pt idx="2712">
                  <c:v>0.54250850170035125</c:v>
                </c:pt>
                <c:pt idx="2713">
                  <c:v>0.54270854170835281</c:v>
                </c:pt>
                <c:pt idx="2714">
                  <c:v>0.54290858171635437</c:v>
                </c:pt>
                <c:pt idx="2715">
                  <c:v>0.54310862172435592</c:v>
                </c:pt>
                <c:pt idx="2716">
                  <c:v>0.54330866173235748</c:v>
                </c:pt>
                <c:pt idx="2717">
                  <c:v>0.54350870174035903</c:v>
                </c:pt>
                <c:pt idx="2718">
                  <c:v>0.54370874174836059</c:v>
                </c:pt>
                <c:pt idx="2719">
                  <c:v>0.54390878175636215</c:v>
                </c:pt>
                <c:pt idx="2720">
                  <c:v>0.5441088217643637</c:v>
                </c:pt>
                <c:pt idx="2721">
                  <c:v>0.54430886177236526</c:v>
                </c:pt>
                <c:pt idx="2722">
                  <c:v>0.54450890178036682</c:v>
                </c:pt>
                <c:pt idx="2723">
                  <c:v>0.54470894178836837</c:v>
                </c:pt>
                <c:pt idx="2724">
                  <c:v>0.54490898179636993</c:v>
                </c:pt>
                <c:pt idx="2725">
                  <c:v>0.54510902180437149</c:v>
                </c:pt>
                <c:pt idx="2726">
                  <c:v>0.54530906181237304</c:v>
                </c:pt>
                <c:pt idx="2727">
                  <c:v>0.5455091018203746</c:v>
                </c:pt>
                <c:pt idx="2728">
                  <c:v>0.54570914182837615</c:v>
                </c:pt>
                <c:pt idx="2729">
                  <c:v>0.54590918183637771</c:v>
                </c:pt>
                <c:pt idx="2730">
                  <c:v>0.54610922184437927</c:v>
                </c:pt>
                <c:pt idx="2731">
                  <c:v>0.54630926185238082</c:v>
                </c:pt>
                <c:pt idx="2732">
                  <c:v>0.54650930186038238</c:v>
                </c:pt>
                <c:pt idx="2733">
                  <c:v>0.54670934186838394</c:v>
                </c:pt>
                <c:pt idx="2734">
                  <c:v>0.54690938187638549</c:v>
                </c:pt>
                <c:pt idx="2735">
                  <c:v>0.54710942188438705</c:v>
                </c:pt>
                <c:pt idx="2736">
                  <c:v>0.5473094618923886</c:v>
                </c:pt>
                <c:pt idx="2737">
                  <c:v>0.54750950190039016</c:v>
                </c:pt>
                <c:pt idx="2738">
                  <c:v>0.54770954190839172</c:v>
                </c:pt>
                <c:pt idx="2739">
                  <c:v>0.54790958191639327</c:v>
                </c:pt>
                <c:pt idx="2740">
                  <c:v>0.54810962192439483</c:v>
                </c:pt>
                <c:pt idx="2741">
                  <c:v>0.54830966193239639</c:v>
                </c:pt>
                <c:pt idx="2742">
                  <c:v>0.54850970194039794</c:v>
                </c:pt>
                <c:pt idx="2743">
                  <c:v>0.5487097419483995</c:v>
                </c:pt>
                <c:pt idx="2744">
                  <c:v>0.54890978195640105</c:v>
                </c:pt>
                <c:pt idx="2745">
                  <c:v>0.54910982196440261</c:v>
                </c:pt>
                <c:pt idx="2746">
                  <c:v>0.54930986197240417</c:v>
                </c:pt>
                <c:pt idx="2747">
                  <c:v>0.54950990198040572</c:v>
                </c:pt>
                <c:pt idx="2748">
                  <c:v>0.54970994198840728</c:v>
                </c:pt>
                <c:pt idx="2749">
                  <c:v>0.54990998199640884</c:v>
                </c:pt>
                <c:pt idx="2750">
                  <c:v>0.55011002200441039</c:v>
                </c:pt>
                <c:pt idx="2751">
                  <c:v>0.55031006201241195</c:v>
                </c:pt>
                <c:pt idx="2752">
                  <c:v>0.55051010202041351</c:v>
                </c:pt>
                <c:pt idx="2753">
                  <c:v>0.55071014202841506</c:v>
                </c:pt>
                <c:pt idx="2754">
                  <c:v>0.55091018203641662</c:v>
                </c:pt>
                <c:pt idx="2755">
                  <c:v>0.55111022204441817</c:v>
                </c:pt>
                <c:pt idx="2756">
                  <c:v>0.55131026205241973</c:v>
                </c:pt>
                <c:pt idx="2757">
                  <c:v>0.55151030206042129</c:v>
                </c:pt>
                <c:pt idx="2758">
                  <c:v>0.55171034206842284</c:v>
                </c:pt>
                <c:pt idx="2759">
                  <c:v>0.5519103820764244</c:v>
                </c:pt>
                <c:pt idx="2760">
                  <c:v>0.55211042208442596</c:v>
                </c:pt>
                <c:pt idx="2761">
                  <c:v>0.55231046209242751</c:v>
                </c:pt>
                <c:pt idx="2762">
                  <c:v>0.55251050210042907</c:v>
                </c:pt>
                <c:pt idx="2763">
                  <c:v>0.55271054210843062</c:v>
                </c:pt>
                <c:pt idx="2764">
                  <c:v>0.55291058211643218</c:v>
                </c:pt>
                <c:pt idx="2765">
                  <c:v>0.55311062212443374</c:v>
                </c:pt>
                <c:pt idx="2766">
                  <c:v>0.55331066213243529</c:v>
                </c:pt>
                <c:pt idx="2767">
                  <c:v>0.55351070214043685</c:v>
                </c:pt>
                <c:pt idx="2768">
                  <c:v>0.55371074214843841</c:v>
                </c:pt>
                <c:pt idx="2769">
                  <c:v>0.55391078215643996</c:v>
                </c:pt>
                <c:pt idx="2770">
                  <c:v>0.55411082216444152</c:v>
                </c:pt>
                <c:pt idx="2771">
                  <c:v>0.55431086217244308</c:v>
                </c:pt>
                <c:pt idx="2772">
                  <c:v>0.55451090218044463</c:v>
                </c:pt>
                <c:pt idx="2773">
                  <c:v>0.55471094218844619</c:v>
                </c:pt>
                <c:pt idx="2774">
                  <c:v>0.55491098219644774</c:v>
                </c:pt>
                <c:pt idx="2775">
                  <c:v>0.5551110222044493</c:v>
                </c:pt>
                <c:pt idx="2776">
                  <c:v>0.55531106221245086</c:v>
                </c:pt>
                <c:pt idx="2777">
                  <c:v>0.55551110222045241</c:v>
                </c:pt>
                <c:pt idx="2778">
                  <c:v>0.55571114222845397</c:v>
                </c:pt>
                <c:pt idx="2779">
                  <c:v>0.55591118223645553</c:v>
                </c:pt>
                <c:pt idx="2780">
                  <c:v>0.55611122224445708</c:v>
                </c:pt>
                <c:pt idx="2781">
                  <c:v>0.55631126225245864</c:v>
                </c:pt>
                <c:pt idx="2782">
                  <c:v>0.55651130226046019</c:v>
                </c:pt>
                <c:pt idx="2783">
                  <c:v>0.55671134226846175</c:v>
                </c:pt>
                <c:pt idx="2784">
                  <c:v>0.55691138227646331</c:v>
                </c:pt>
                <c:pt idx="2785">
                  <c:v>0.55711142228446486</c:v>
                </c:pt>
                <c:pt idx="2786">
                  <c:v>0.55731146229246642</c:v>
                </c:pt>
                <c:pt idx="2787">
                  <c:v>0.55751150230046798</c:v>
                </c:pt>
                <c:pt idx="2788">
                  <c:v>0.55771154230846953</c:v>
                </c:pt>
                <c:pt idx="2789">
                  <c:v>0.55791158231647109</c:v>
                </c:pt>
                <c:pt idx="2790">
                  <c:v>0.55811162232447264</c:v>
                </c:pt>
                <c:pt idx="2791">
                  <c:v>0.5583116623324742</c:v>
                </c:pt>
                <c:pt idx="2792">
                  <c:v>0.55851170234047576</c:v>
                </c:pt>
                <c:pt idx="2793">
                  <c:v>0.55871174234847731</c:v>
                </c:pt>
                <c:pt idx="2794">
                  <c:v>0.55891178235647887</c:v>
                </c:pt>
                <c:pt idx="2795">
                  <c:v>0.55911182236448043</c:v>
                </c:pt>
                <c:pt idx="2796">
                  <c:v>0.55931186237248198</c:v>
                </c:pt>
                <c:pt idx="2797">
                  <c:v>0.55951190238048354</c:v>
                </c:pt>
                <c:pt idx="2798">
                  <c:v>0.5597119423884851</c:v>
                </c:pt>
                <c:pt idx="2799">
                  <c:v>0.55991198239648665</c:v>
                </c:pt>
                <c:pt idx="2800">
                  <c:v>0.56011202240448821</c:v>
                </c:pt>
                <c:pt idx="2801">
                  <c:v>0.56031206241248976</c:v>
                </c:pt>
                <c:pt idx="2802">
                  <c:v>0.56051210242049132</c:v>
                </c:pt>
                <c:pt idx="2803">
                  <c:v>0.56071214242849288</c:v>
                </c:pt>
                <c:pt idx="2804">
                  <c:v>0.56091218243649443</c:v>
                </c:pt>
                <c:pt idx="2805">
                  <c:v>0.56111222244449599</c:v>
                </c:pt>
                <c:pt idx="2806">
                  <c:v>0.56131226245249755</c:v>
                </c:pt>
                <c:pt idx="2807">
                  <c:v>0.5615123024604991</c:v>
                </c:pt>
                <c:pt idx="2808">
                  <c:v>0.56171234246850066</c:v>
                </c:pt>
                <c:pt idx="2809">
                  <c:v>0.56191238247650221</c:v>
                </c:pt>
                <c:pt idx="2810">
                  <c:v>0.56211242248450377</c:v>
                </c:pt>
                <c:pt idx="2811">
                  <c:v>0.56231246249250533</c:v>
                </c:pt>
                <c:pt idx="2812">
                  <c:v>0.56251250250050688</c:v>
                </c:pt>
                <c:pt idx="2813">
                  <c:v>0.56271254250850844</c:v>
                </c:pt>
                <c:pt idx="2814">
                  <c:v>0.56291258251651</c:v>
                </c:pt>
                <c:pt idx="2815">
                  <c:v>0.56311262252451155</c:v>
                </c:pt>
                <c:pt idx="2816">
                  <c:v>0.56331266253251311</c:v>
                </c:pt>
                <c:pt idx="2817">
                  <c:v>0.56351270254051467</c:v>
                </c:pt>
                <c:pt idx="2818">
                  <c:v>0.56371274254851622</c:v>
                </c:pt>
                <c:pt idx="2819">
                  <c:v>0.56391278255651778</c:v>
                </c:pt>
                <c:pt idx="2820">
                  <c:v>0.56411282256451933</c:v>
                </c:pt>
                <c:pt idx="2821">
                  <c:v>0.56431286257252089</c:v>
                </c:pt>
                <c:pt idx="2822">
                  <c:v>0.56451290258052245</c:v>
                </c:pt>
                <c:pt idx="2823">
                  <c:v>0.564712942588524</c:v>
                </c:pt>
                <c:pt idx="2824">
                  <c:v>0.56491298259652556</c:v>
                </c:pt>
                <c:pt idx="2825">
                  <c:v>0.56511302260452712</c:v>
                </c:pt>
                <c:pt idx="2826">
                  <c:v>0.56531306261252867</c:v>
                </c:pt>
                <c:pt idx="2827">
                  <c:v>0.56551310262053023</c:v>
                </c:pt>
                <c:pt idx="2828">
                  <c:v>0.56571314262853178</c:v>
                </c:pt>
                <c:pt idx="2829">
                  <c:v>0.56591318263653334</c:v>
                </c:pt>
                <c:pt idx="2830">
                  <c:v>0.5661132226445349</c:v>
                </c:pt>
                <c:pt idx="2831">
                  <c:v>0.56631326265253645</c:v>
                </c:pt>
                <c:pt idx="2832">
                  <c:v>0.56651330266053801</c:v>
                </c:pt>
                <c:pt idx="2833">
                  <c:v>0.56671334266853957</c:v>
                </c:pt>
                <c:pt idx="2834">
                  <c:v>0.56691338267654112</c:v>
                </c:pt>
                <c:pt idx="2835">
                  <c:v>0.56711342268454268</c:v>
                </c:pt>
                <c:pt idx="2836">
                  <c:v>0.56731346269254423</c:v>
                </c:pt>
                <c:pt idx="2837">
                  <c:v>0.56751350270054579</c:v>
                </c:pt>
                <c:pt idx="2838">
                  <c:v>0.56771354270854735</c:v>
                </c:pt>
                <c:pt idx="2839">
                  <c:v>0.5679135827165489</c:v>
                </c:pt>
                <c:pt idx="2840">
                  <c:v>0.56811362272455046</c:v>
                </c:pt>
                <c:pt idx="2841">
                  <c:v>0.56831366273255202</c:v>
                </c:pt>
                <c:pt idx="2842">
                  <c:v>0.56851370274055357</c:v>
                </c:pt>
                <c:pt idx="2843">
                  <c:v>0.56871374274855513</c:v>
                </c:pt>
                <c:pt idx="2844">
                  <c:v>0.56891378275655669</c:v>
                </c:pt>
                <c:pt idx="2845">
                  <c:v>0.56911382276455824</c:v>
                </c:pt>
                <c:pt idx="2846">
                  <c:v>0.5693138627725598</c:v>
                </c:pt>
                <c:pt idx="2847">
                  <c:v>0.56951390278056135</c:v>
                </c:pt>
                <c:pt idx="2848">
                  <c:v>0.56971394278856291</c:v>
                </c:pt>
                <c:pt idx="2849">
                  <c:v>0.56991398279656447</c:v>
                </c:pt>
                <c:pt idx="2850">
                  <c:v>0.57011402280456602</c:v>
                </c:pt>
                <c:pt idx="2851">
                  <c:v>0.57031406281256758</c:v>
                </c:pt>
                <c:pt idx="2852">
                  <c:v>0.57051410282056914</c:v>
                </c:pt>
                <c:pt idx="2853">
                  <c:v>0.57071414282857069</c:v>
                </c:pt>
                <c:pt idx="2854">
                  <c:v>0.57091418283657225</c:v>
                </c:pt>
                <c:pt idx="2855">
                  <c:v>0.5711142228445738</c:v>
                </c:pt>
                <c:pt idx="2856">
                  <c:v>0.57131426285257536</c:v>
                </c:pt>
                <c:pt idx="2857">
                  <c:v>0.57151430286057692</c:v>
                </c:pt>
                <c:pt idx="2858">
                  <c:v>0.57171434286857847</c:v>
                </c:pt>
                <c:pt idx="2859">
                  <c:v>0.57191438287658003</c:v>
                </c:pt>
                <c:pt idx="2860">
                  <c:v>0.57211442288458159</c:v>
                </c:pt>
                <c:pt idx="2861">
                  <c:v>0.57231446289258314</c:v>
                </c:pt>
                <c:pt idx="2862">
                  <c:v>0.5725145029005847</c:v>
                </c:pt>
                <c:pt idx="2863">
                  <c:v>0.57271454290858625</c:v>
                </c:pt>
                <c:pt idx="2864">
                  <c:v>0.57291458291658781</c:v>
                </c:pt>
                <c:pt idx="2865">
                  <c:v>0.57311462292458937</c:v>
                </c:pt>
                <c:pt idx="2866">
                  <c:v>0.57331466293259092</c:v>
                </c:pt>
                <c:pt idx="2867">
                  <c:v>0.57351470294059248</c:v>
                </c:pt>
                <c:pt idx="2868">
                  <c:v>0.57371474294859404</c:v>
                </c:pt>
                <c:pt idx="2869">
                  <c:v>0.57391478295659559</c:v>
                </c:pt>
                <c:pt idx="2870">
                  <c:v>0.57411482296459715</c:v>
                </c:pt>
                <c:pt idx="2871">
                  <c:v>0.57431486297259871</c:v>
                </c:pt>
                <c:pt idx="2872">
                  <c:v>0.57451490298060026</c:v>
                </c:pt>
                <c:pt idx="2873">
                  <c:v>0.57471494298860182</c:v>
                </c:pt>
                <c:pt idx="2874">
                  <c:v>0.57491498299660337</c:v>
                </c:pt>
                <c:pt idx="2875">
                  <c:v>0.57511502300460493</c:v>
                </c:pt>
                <c:pt idx="2876">
                  <c:v>0.57531506301260649</c:v>
                </c:pt>
                <c:pt idx="2877">
                  <c:v>0.57551510302060804</c:v>
                </c:pt>
                <c:pt idx="2878">
                  <c:v>0.5757151430286096</c:v>
                </c:pt>
                <c:pt idx="2879">
                  <c:v>0.57591518303661116</c:v>
                </c:pt>
                <c:pt idx="2880">
                  <c:v>0.57611522304461271</c:v>
                </c:pt>
                <c:pt idx="2881">
                  <c:v>0.57631526305261427</c:v>
                </c:pt>
                <c:pt idx="2882">
                  <c:v>0.57651530306061582</c:v>
                </c:pt>
                <c:pt idx="2883">
                  <c:v>0.57671534306861738</c:v>
                </c:pt>
                <c:pt idx="2884">
                  <c:v>0.57691538307661894</c:v>
                </c:pt>
                <c:pt idx="2885">
                  <c:v>0.57711542308462049</c:v>
                </c:pt>
                <c:pt idx="2886">
                  <c:v>0.57731546309262205</c:v>
                </c:pt>
                <c:pt idx="2887">
                  <c:v>0.57751550310062361</c:v>
                </c:pt>
                <c:pt idx="2888">
                  <c:v>0.57771554310862516</c:v>
                </c:pt>
                <c:pt idx="2889">
                  <c:v>0.57791558311662672</c:v>
                </c:pt>
                <c:pt idx="2890">
                  <c:v>0.57811562312462828</c:v>
                </c:pt>
                <c:pt idx="2891">
                  <c:v>0.57831566313262983</c:v>
                </c:pt>
                <c:pt idx="2892">
                  <c:v>0.57851570314063139</c:v>
                </c:pt>
                <c:pt idx="2893">
                  <c:v>0.57871574314863294</c:v>
                </c:pt>
                <c:pt idx="2894">
                  <c:v>0.5789157831566345</c:v>
                </c:pt>
                <c:pt idx="2895">
                  <c:v>0.57911582316463606</c:v>
                </c:pt>
                <c:pt idx="2896">
                  <c:v>0.57931586317263761</c:v>
                </c:pt>
                <c:pt idx="2897">
                  <c:v>0.57951590318063917</c:v>
                </c:pt>
                <c:pt idx="2898">
                  <c:v>0.57971594318864073</c:v>
                </c:pt>
                <c:pt idx="2899">
                  <c:v>0.57991598319664228</c:v>
                </c:pt>
                <c:pt idx="2900">
                  <c:v>0.58011602320464384</c:v>
                </c:pt>
                <c:pt idx="2901">
                  <c:v>0.58031606321264539</c:v>
                </c:pt>
                <c:pt idx="2902">
                  <c:v>0.58051610322064695</c:v>
                </c:pt>
                <c:pt idx="2903">
                  <c:v>0.58071614322864851</c:v>
                </c:pt>
                <c:pt idx="2904">
                  <c:v>0.58091618323665006</c:v>
                </c:pt>
                <c:pt idx="2905">
                  <c:v>0.58111622324465162</c:v>
                </c:pt>
                <c:pt idx="2906">
                  <c:v>0.58131626325265318</c:v>
                </c:pt>
                <c:pt idx="2907">
                  <c:v>0.58151630326065473</c:v>
                </c:pt>
                <c:pt idx="2908">
                  <c:v>0.58171634326865629</c:v>
                </c:pt>
                <c:pt idx="2909">
                  <c:v>0.58191638327665784</c:v>
                </c:pt>
                <c:pt idx="2910">
                  <c:v>0.5821164232846594</c:v>
                </c:pt>
                <c:pt idx="2911">
                  <c:v>0.58231646329266096</c:v>
                </c:pt>
                <c:pt idx="2912">
                  <c:v>0.58251650330066251</c:v>
                </c:pt>
                <c:pt idx="2913">
                  <c:v>0.58271654330866407</c:v>
                </c:pt>
                <c:pt idx="2914">
                  <c:v>0.58291658331666563</c:v>
                </c:pt>
                <c:pt idx="2915">
                  <c:v>0.58311662332466718</c:v>
                </c:pt>
                <c:pt idx="2916">
                  <c:v>0.58331666333266874</c:v>
                </c:pt>
                <c:pt idx="2917">
                  <c:v>0.5835167033406703</c:v>
                </c:pt>
                <c:pt idx="2918">
                  <c:v>0.58371674334867185</c:v>
                </c:pt>
                <c:pt idx="2919">
                  <c:v>0.58391678335667341</c:v>
                </c:pt>
                <c:pt idx="2920">
                  <c:v>0.58411682336467496</c:v>
                </c:pt>
                <c:pt idx="2921">
                  <c:v>0.58431686337267652</c:v>
                </c:pt>
                <c:pt idx="2922">
                  <c:v>0.58451690338067808</c:v>
                </c:pt>
                <c:pt idx="2923">
                  <c:v>0.58471694338867963</c:v>
                </c:pt>
                <c:pt idx="2924">
                  <c:v>0.58491698339668119</c:v>
                </c:pt>
                <c:pt idx="2925">
                  <c:v>0.58511702340468275</c:v>
                </c:pt>
                <c:pt idx="2926">
                  <c:v>0.5853170634126843</c:v>
                </c:pt>
                <c:pt idx="2927">
                  <c:v>0.58551710342068586</c:v>
                </c:pt>
                <c:pt idx="2928">
                  <c:v>0.58571714342868741</c:v>
                </c:pt>
                <c:pt idx="2929">
                  <c:v>0.58591718343668897</c:v>
                </c:pt>
                <c:pt idx="2930">
                  <c:v>0.58611722344469053</c:v>
                </c:pt>
                <c:pt idx="2931">
                  <c:v>0.58631726345269208</c:v>
                </c:pt>
                <c:pt idx="2932">
                  <c:v>0.58651730346069364</c:v>
                </c:pt>
                <c:pt idx="2933">
                  <c:v>0.5867173434686952</c:v>
                </c:pt>
                <c:pt idx="2934">
                  <c:v>0.58691738347669675</c:v>
                </c:pt>
                <c:pt idx="2935">
                  <c:v>0.58711742348469831</c:v>
                </c:pt>
                <c:pt idx="2936">
                  <c:v>0.58731746349269986</c:v>
                </c:pt>
                <c:pt idx="2937">
                  <c:v>0.58751750350070142</c:v>
                </c:pt>
                <c:pt idx="2938">
                  <c:v>0.58771754350870298</c:v>
                </c:pt>
                <c:pt idx="2939">
                  <c:v>0.58791758351670453</c:v>
                </c:pt>
                <c:pt idx="2940">
                  <c:v>0.58811762352470609</c:v>
                </c:pt>
                <c:pt idx="2941">
                  <c:v>0.58831766353270765</c:v>
                </c:pt>
                <c:pt idx="2942">
                  <c:v>0.5885177035407092</c:v>
                </c:pt>
                <c:pt idx="2943">
                  <c:v>0.58871774354871076</c:v>
                </c:pt>
                <c:pt idx="2944">
                  <c:v>0.58891778355671232</c:v>
                </c:pt>
                <c:pt idx="2945">
                  <c:v>0.58911782356471387</c:v>
                </c:pt>
                <c:pt idx="2946">
                  <c:v>0.58931786357271543</c:v>
                </c:pt>
                <c:pt idx="2947">
                  <c:v>0.58951790358071698</c:v>
                </c:pt>
                <c:pt idx="2948">
                  <c:v>0.58971794358871854</c:v>
                </c:pt>
                <c:pt idx="2949">
                  <c:v>0.5899179835967201</c:v>
                </c:pt>
                <c:pt idx="2950">
                  <c:v>0.59011802360472165</c:v>
                </c:pt>
                <c:pt idx="2951">
                  <c:v>0.59031806361272321</c:v>
                </c:pt>
                <c:pt idx="2952">
                  <c:v>0.59051810362072477</c:v>
                </c:pt>
                <c:pt idx="2953">
                  <c:v>0.59071814362872632</c:v>
                </c:pt>
                <c:pt idx="2954">
                  <c:v>0.59091818363672788</c:v>
                </c:pt>
                <c:pt idx="2955">
                  <c:v>0.59111822364472943</c:v>
                </c:pt>
                <c:pt idx="2956">
                  <c:v>0.59131826365273099</c:v>
                </c:pt>
                <c:pt idx="2957">
                  <c:v>0.59151830366073255</c:v>
                </c:pt>
                <c:pt idx="2958">
                  <c:v>0.5917183436687341</c:v>
                </c:pt>
                <c:pt idx="2959">
                  <c:v>0.59191838367673566</c:v>
                </c:pt>
                <c:pt idx="2960">
                  <c:v>0.59211842368473722</c:v>
                </c:pt>
                <c:pt idx="2961">
                  <c:v>0.59231846369273877</c:v>
                </c:pt>
                <c:pt idx="2962">
                  <c:v>0.59251850370074033</c:v>
                </c:pt>
                <c:pt idx="2963">
                  <c:v>0.59271854370874189</c:v>
                </c:pt>
                <c:pt idx="2964">
                  <c:v>0.59291858371674344</c:v>
                </c:pt>
                <c:pt idx="2965">
                  <c:v>0.593118623724745</c:v>
                </c:pt>
                <c:pt idx="2966">
                  <c:v>0.59331866373274655</c:v>
                </c:pt>
                <c:pt idx="2967">
                  <c:v>0.59351870374074811</c:v>
                </c:pt>
                <c:pt idx="2968">
                  <c:v>0.59371874374874967</c:v>
                </c:pt>
                <c:pt idx="2969">
                  <c:v>0.59391878375675122</c:v>
                </c:pt>
                <c:pt idx="2970">
                  <c:v>0.59411882376475278</c:v>
                </c:pt>
                <c:pt idx="2971">
                  <c:v>0.59431886377275434</c:v>
                </c:pt>
                <c:pt idx="2972">
                  <c:v>0.59451890378075589</c:v>
                </c:pt>
                <c:pt idx="2973">
                  <c:v>0.59471894378875745</c:v>
                </c:pt>
                <c:pt idx="2974">
                  <c:v>0.594918983796759</c:v>
                </c:pt>
                <c:pt idx="2975">
                  <c:v>0.59511902380476056</c:v>
                </c:pt>
                <c:pt idx="2976">
                  <c:v>0.59531906381276212</c:v>
                </c:pt>
                <c:pt idx="2977">
                  <c:v>0.59551910382076367</c:v>
                </c:pt>
                <c:pt idx="2978">
                  <c:v>0.59571914382876523</c:v>
                </c:pt>
                <c:pt idx="2979">
                  <c:v>0.59591918383676679</c:v>
                </c:pt>
                <c:pt idx="2980">
                  <c:v>0.59611922384476834</c:v>
                </c:pt>
                <c:pt idx="2981">
                  <c:v>0.5963192638527699</c:v>
                </c:pt>
                <c:pt idx="2982">
                  <c:v>0.59651930386077145</c:v>
                </c:pt>
                <c:pt idx="2983">
                  <c:v>0.59671934386877301</c:v>
                </c:pt>
                <c:pt idx="2984">
                  <c:v>0.59691938387677457</c:v>
                </c:pt>
                <c:pt idx="2985">
                  <c:v>0.59711942388477612</c:v>
                </c:pt>
                <c:pt idx="2986">
                  <c:v>0.59731946389277768</c:v>
                </c:pt>
                <c:pt idx="2987">
                  <c:v>0.59751950390077924</c:v>
                </c:pt>
                <c:pt idx="2988">
                  <c:v>0.59771954390878079</c:v>
                </c:pt>
                <c:pt idx="2989">
                  <c:v>0.59791958391678235</c:v>
                </c:pt>
                <c:pt idx="2990">
                  <c:v>0.59811962392478391</c:v>
                </c:pt>
                <c:pt idx="2991">
                  <c:v>0.59831966393278546</c:v>
                </c:pt>
                <c:pt idx="2992">
                  <c:v>0.59851970394078702</c:v>
                </c:pt>
                <c:pt idx="2993">
                  <c:v>0.59871974394878857</c:v>
                </c:pt>
                <c:pt idx="2994">
                  <c:v>0.59891978395679013</c:v>
                </c:pt>
                <c:pt idx="2995">
                  <c:v>0.59911982396479169</c:v>
                </c:pt>
                <c:pt idx="2996">
                  <c:v>0.59931986397279324</c:v>
                </c:pt>
                <c:pt idx="2997">
                  <c:v>0.5995199039807948</c:v>
                </c:pt>
                <c:pt idx="2998">
                  <c:v>0.59971994398879636</c:v>
                </c:pt>
                <c:pt idx="2999">
                  <c:v>0.59991998399679791</c:v>
                </c:pt>
                <c:pt idx="3000">
                  <c:v>0.60012002400479947</c:v>
                </c:pt>
                <c:pt idx="3001">
                  <c:v>0.60032006401280102</c:v>
                </c:pt>
                <c:pt idx="3002">
                  <c:v>0.60052010402080258</c:v>
                </c:pt>
                <c:pt idx="3003">
                  <c:v>0.60072014402880414</c:v>
                </c:pt>
                <c:pt idx="3004">
                  <c:v>0.60092018403680569</c:v>
                </c:pt>
                <c:pt idx="3005">
                  <c:v>0.60112022404480725</c:v>
                </c:pt>
                <c:pt idx="3006">
                  <c:v>0.60132026405280881</c:v>
                </c:pt>
                <c:pt idx="3007">
                  <c:v>0.60152030406081036</c:v>
                </c:pt>
                <c:pt idx="3008">
                  <c:v>0.60172034406881192</c:v>
                </c:pt>
                <c:pt idx="3009">
                  <c:v>0.60192038407681348</c:v>
                </c:pt>
                <c:pt idx="3010">
                  <c:v>0.60212042408481503</c:v>
                </c:pt>
                <c:pt idx="3011">
                  <c:v>0.60232046409281659</c:v>
                </c:pt>
                <c:pt idx="3012">
                  <c:v>0.60252050410081814</c:v>
                </c:pt>
                <c:pt idx="3013">
                  <c:v>0.6027205441088197</c:v>
                </c:pt>
                <c:pt idx="3014">
                  <c:v>0.60292058411682126</c:v>
                </c:pt>
                <c:pt idx="3015">
                  <c:v>0.60312062412482281</c:v>
                </c:pt>
                <c:pt idx="3016">
                  <c:v>0.60332066413282437</c:v>
                </c:pt>
                <c:pt idx="3017">
                  <c:v>0.60352070414082593</c:v>
                </c:pt>
                <c:pt idx="3018">
                  <c:v>0.60372074414882748</c:v>
                </c:pt>
                <c:pt idx="3019">
                  <c:v>0.60392078415682904</c:v>
                </c:pt>
                <c:pt idx="3020">
                  <c:v>0.60412082416483059</c:v>
                </c:pt>
                <c:pt idx="3021">
                  <c:v>0.60432086417283215</c:v>
                </c:pt>
                <c:pt idx="3022">
                  <c:v>0.60452090418083371</c:v>
                </c:pt>
                <c:pt idx="3023">
                  <c:v>0.60472094418883526</c:v>
                </c:pt>
                <c:pt idx="3024">
                  <c:v>0.60492098419683682</c:v>
                </c:pt>
                <c:pt idx="3025">
                  <c:v>0.60512102420483838</c:v>
                </c:pt>
                <c:pt idx="3026">
                  <c:v>0.60532106421283993</c:v>
                </c:pt>
                <c:pt idx="3027">
                  <c:v>0.60552110422084149</c:v>
                </c:pt>
                <c:pt idx="3028">
                  <c:v>0.60572114422884304</c:v>
                </c:pt>
                <c:pt idx="3029">
                  <c:v>0.6059211842368446</c:v>
                </c:pt>
                <c:pt idx="3030">
                  <c:v>0.60612122424484616</c:v>
                </c:pt>
                <c:pt idx="3031">
                  <c:v>0.60632126425284771</c:v>
                </c:pt>
                <c:pt idx="3032">
                  <c:v>0.60652130426084927</c:v>
                </c:pt>
                <c:pt idx="3033">
                  <c:v>0.60672134426885083</c:v>
                </c:pt>
                <c:pt idx="3034">
                  <c:v>0.60692138427685238</c:v>
                </c:pt>
                <c:pt idx="3035">
                  <c:v>0.60712142428485394</c:v>
                </c:pt>
                <c:pt idx="3036">
                  <c:v>0.6073214642928555</c:v>
                </c:pt>
                <c:pt idx="3037">
                  <c:v>0.60752150430085705</c:v>
                </c:pt>
                <c:pt idx="3038">
                  <c:v>0.60772154430885861</c:v>
                </c:pt>
                <c:pt idx="3039">
                  <c:v>0.60792158431686016</c:v>
                </c:pt>
                <c:pt idx="3040">
                  <c:v>0.60812162432486172</c:v>
                </c:pt>
                <c:pt idx="3041">
                  <c:v>0.60832166433286328</c:v>
                </c:pt>
                <c:pt idx="3042">
                  <c:v>0.60852170434086483</c:v>
                </c:pt>
                <c:pt idx="3043">
                  <c:v>0.60872174434886639</c:v>
                </c:pt>
                <c:pt idx="3044">
                  <c:v>0.60892178435686795</c:v>
                </c:pt>
                <c:pt idx="3045">
                  <c:v>0.6091218243648695</c:v>
                </c:pt>
                <c:pt idx="3046">
                  <c:v>0.60932186437287106</c:v>
                </c:pt>
                <c:pt idx="3047">
                  <c:v>0.60952190438087261</c:v>
                </c:pt>
                <c:pt idx="3048">
                  <c:v>0.60972194438887417</c:v>
                </c:pt>
                <c:pt idx="3049">
                  <c:v>0.60992198439687573</c:v>
                </c:pt>
                <c:pt idx="3050">
                  <c:v>0.61012202440487728</c:v>
                </c:pt>
                <c:pt idx="3051">
                  <c:v>0.61032206441287884</c:v>
                </c:pt>
                <c:pt idx="3052">
                  <c:v>0.6105221044208804</c:v>
                </c:pt>
                <c:pt idx="3053">
                  <c:v>0.61072214442888195</c:v>
                </c:pt>
                <c:pt idx="3054">
                  <c:v>0.61092218443688351</c:v>
                </c:pt>
                <c:pt idx="3055">
                  <c:v>0.61112222444488506</c:v>
                </c:pt>
                <c:pt idx="3056">
                  <c:v>0.61132226445288662</c:v>
                </c:pt>
                <c:pt idx="3057">
                  <c:v>0.61152230446088818</c:v>
                </c:pt>
                <c:pt idx="3058">
                  <c:v>0.61172234446888973</c:v>
                </c:pt>
                <c:pt idx="3059">
                  <c:v>0.61192238447689129</c:v>
                </c:pt>
                <c:pt idx="3060">
                  <c:v>0.61212242448489285</c:v>
                </c:pt>
                <c:pt idx="3061">
                  <c:v>0.6123224644928944</c:v>
                </c:pt>
                <c:pt idx="3062">
                  <c:v>0.61252250450089596</c:v>
                </c:pt>
                <c:pt idx="3063">
                  <c:v>0.61272254450889752</c:v>
                </c:pt>
                <c:pt idx="3064">
                  <c:v>0.61292258451689907</c:v>
                </c:pt>
                <c:pt idx="3065">
                  <c:v>0.61312262452490063</c:v>
                </c:pt>
                <c:pt idx="3066">
                  <c:v>0.61332266453290218</c:v>
                </c:pt>
                <c:pt idx="3067">
                  <c:v>0.61352270454090374</c:v>
                </c:pt>
                <c:pt idx="3068">
                  <c:v>0.6137227445489053</c:v>
                </c:pt>
                <c:pt idx="3069">
                  <c:v>0.61392278455690685</c:v>
                </c:pt>
                <c:pt idx="3070">
                  <c:v>0.61412282456490841</c:v>
                </c:pt>
                <c:pt idx="3071">
                  <c:v>0.61432286457290997</c:v>
                </c:pt>
                <c:pt idx="3072">
                  <c:v>0.61452290458091152</c:v>
                </c:pt>
                <c:pt idx="3073">
                  <c:v>0.61472294458891308</c:v>
                </c:pt>
                <c:pt idx="3074">
                  <c:v>0.61492298459691463</c:v>
                </c:pt>
                <c:pt idx="3075">
                  <c:v>0.61512302460491619</c:v>
                </c:pt>
                <c:pt idx="3076">
                  <c:v>0.61532306461291775</c:v>
                </c:pt>
                <c:pt idx="3077">
                  <c:v>0.6155231046209193</c:v>
                </c:pt>
                <c:pt idx="3078">
                  <c:v>0.61572314462892086</c:v>
                </c:pt>
                <c:pt idx="3079">
                  <c:v>0.61592318463692242</c:v>
                </c:pt>
                <c:pt idx="3080">
                  <c:v>0.61612322464492397</c:v>
                </c:pt>
                <c:pt idx="3081">
                  <c:v>0.61632326465292553</c:v>
                </c:pt>
                <c:pt idx="3082">
                  <c:v>0.61652330466092709</c:v>
                </c:pt>
                <c:pt idx="3083">
                  <c:v>0.61672334466892864</c:v>
                </c:pt>
                <c:pt idx="3084">
                  <c:v>0.6169233846769302</c:v>
                </c:pt>
                <c:pt idx="3085">
                  <c:v>0.61712342468493175</c:v>
                </c:pt>
                <c:pt idx="3086">
                  <c:v>0.61732346469293331</c:v>
                </c:pt>
                <c:pt idx="3087">
                  <c:v>0.61752350470093487</c:v>
                </c:pt>
                <c:pt idx="3088">
                  <c:v>0.61772354470893642</c:v>
                </c:pt>
                <c:pt idx="3089">
                  <c:v>0.61792358471693798</c:v>
                </c:pt>
                <c:pt idx="3090">
                  <c:v>0.61812362472493954</c:v>
                </c:pt>
                <c:pt idx="3091">
                  <c:v>0.61832366473294109</c:v>
                </c:pt>
                <c:pt idx="3092">
                  <c:v>0.61852370474094265</c:v>
                </c:pt>
                <c:pt idx="3093">
                  <c:v>0.6187237447489442</c:v>
                </c:pt>
                <c:pt idx="3094">
                  <c:v>0.61892378475694576</c:v>
                </c:pt>
                <c:pt idx="3095">
                  <c:v>0.61912382476494732</c:v>
                </c:pt>
                <c:pt idx="3096">
                  <c:v>0.61932386477294887</c:v>
                </c:pt>
                <c:pt idx="3097">
                  <c:v>0.61952390478095043</c:v>
                </c:pt>
                <c:pt idx="3098">
                  <c:v>0.61972394478895199</c:v>
                </c:pt>
                <c:pt idx="3099">
                  <c:v>0.61992398479695354</c:v>
                </c:pt>
                <c:pt idx="3100">
                  <c:v>0.6201240248049551</c:v>
                </c:pt>
                <c:pt idx="3101">
                  <c:v>0.62032406481295665</c:v>
                </c:pt>
                <c:pt idx="3102">
                  <c:v>0.62052410482095821</c:v>
                </c:pt>
                <c:pt idx="3103">
                  <c:v>0.62072414482895977</c:v>
                </c:pt>
                <c:pt idx="3104">
                  <c:v>0.62092418483696132</c:v>
                </c:pt>
                <c:pt idx="3105">
                  <c:v>0.62112422484496288</c:v>
                </c:pt>
                <c:pt idx="3106">
                  <c:v>0.62132426485296444</c:v>
                </c:pt>
                <c:pt idx="3107">
                  <c:v>0.62152430486096599</c:v>
                </c:pt>
                <c:pt idx="3108">
                  <c:v>0.62172434486896755</c:v>
                </c:pt>
                <c:pt idx="3109">
                  <c:v>0.62192438487696911</c:v>
                </c:pt>
                <c:pt idx="3110">
                  <c:v>0.62212442488497066</c:v>
                </c:pt>
                <c:pt idx="3111">
                  <c:v>0.62232446489297222</c:v>
                </c:pt>
                <c:pt idx="3112">
                  <c:v>0.62252450490097377</c:v>
                </c:pt>
                <c:pt idx="3113">
                  <c:v>0.62272454490897533</c:v>
                </c:pt>
                <c:pt idx="3114">
                  <c:v>0.62292458491697689</c:v>
                </c:pt>
                <c:pt idx="3115">
                  <c:v>0.62312462492497844</c:v>
                </c:pt>
                <c:pt idx="3116">
                  <c:v>0.62332466493298</c:v>
                </c:pt>
                <c:pt idx="3117">
                  <c:v>0.62352470494098156</c:v>
                </c:pt>
                <c:pt idx="3118">
                  <c:v>0.62372474494898311</c:v>
                </c:pt>
                <c:pt idx="3119">
                  <c:v>0.62392478495698467</c:v>
                </c:pt>
                <c:pt idx="3120">
                  <c:v>0.62412482496498622</c:v>
                </c:pt>
                <c:pt idx="3121">
                  <c:v>0.62432486497298778</c:v>
                </c:pt>
                <c:pt idx="3122">
                  <c:v>0.62452490498098934</c:v>
                </c:pt>
                <c:pt idx="3123">
                  <c:v>0.62472494498899089</c:v>
                </c:pt>
                <c:pt idx="3124">
                  <c:v>0.62492498499699245</c:v>
                </c:pt>
                <c:pt idx="3125">
                  <c:v>0.62512502500499401</c:v>
                </c:pt>
                <c:pt idx="3126">
                  <c:v>0.62532506501299556</c:v>
                </c:pt>
                <c:pt idx="3127">
                  <c:v>0.62552510502099712</c:v>
                </c:pt>
                <c:pt idx="3128">
                  <c:v>0.62572514502899867</c:v>
                </c:pt>
                <c:pt idx="3129">
                  <c:v>0.62592518503700023</c:v>
                </c:pt>
                <c:pt idx="3130">
                  <c:v>0.62612522504500179</c:v>
                </c:pt>
                <c:pt idx="3131">
                  <c:v>0.62632526505300334</c:v>
                </c:pt>
                <c:pt idx="3132">
                  <c:v>0.6265253050610049</c:v>
                </c:pt>
                <c:pt idx="3133">
                  <c:v>0.62672534506900646</c:v>
                </c:pt>
                <c:pt idx="3134">
                  <c:v>0.62692538507700801</c:v>
                </c:pt>
                <c:pt idx="3135">
                  <c:v>0.62712542508500957</c:v>
                </c:pt>
                <c:pt idx="3136">
                  <c:v>0.62732546509301113</c:v>
                </c:pt>
                <c:pt idx="3137">
                  <c:v>0.62752550510101268</c:v>
                </c:pt>
                <c:pt idx="3138">
                  <c:v>0.62772554510901424</c:v>
                </c:pt>
                <c:pt idx="3139">
                  <c:v>0.62792558511701579</c:v>
                </c:pt>
                <c:pt idx="3140">
                  <c:v>0.62812562512501735</c:v>
                </c:pt>
                <c:pt idx="3141">
                  <c:v>0.62832566513301891</c:v>
                </c:pt>
                <c:pt idx="3142">
                  <c:v>0.62852570514102046</c:v>
                </c:pt>
                <c:pt idx="3143">
                  <c:v>0.62872574514902202</c:v>
                </c:pt>
                <c:pt idx="3144">
                  <c:v>0.62892578515702358</c:v>
                </c:pt>
                <c:pt idx="3145">
                  <c:v>0.62912582516502513</c:v>
                </c:pt>
                <c:pt idx="3146">
                  <c:v>0.62932586517302669</c:v>
                </c:pt>
                <c:pt idx="3147">
                  <c:v>0.62952590518102824</c:v>
                </c:pt>
                <c:pt idx="3148">
                  <c:v>0.6297259451890298</c:v>
                </c:pt>
                <c:pt idx="3149">
                  <c:v>0.62992598519703136</c:v>
                </c:pt>
                <c:pt idx="3150">
                  <c:v>0.63012602520503291</c:v>
                </c:pt>
                <c:pt idx="3151">
                  <c:v>0.63032606521303447</c:v>
                </c:pt>
                <c:pt idx="3152">
                  <c:v>0.63052610522103603</c:v>
                </c:pt>
                <c:pt idx="3153">
                  <c:v>0.63072614522903758</c:v>
                </c:pt>
                <c:pt idx="3154">
                  <c:v>0.63092618523703914</c:v>
                </c:pt>
                <c:pt idx="3155">
                  <c:v>0.6311262252450407</c:v>
                </c:pt>
                <c:pt idx="3156">
                  <c:v>0.63132626525304225</c:v>
                </c:pt>
                <c:pt idx="3157">
                  <c:v>0.63152630526104381</c:v>
                </c:pt>
                <c:pt idx="3158">
                  <c:v>0.63172634526904536</c:v>
                </c:pt>
                <c:pt idx="3159">
                  <c:v>0.63192638527704692</c:v>
                </c:pt>
                <c:pt idx="3160">
                  <c:v>0.63212642528504848</c:v>
                </c:pt>
                <c:pt idx="3161">
                  <c:v>0.63232646529305003</c:v>
                </c:pt>
                <c:pt idx="3162">
                  <c:v>0.63252650530105159</c:v>
                </c:pt>
                <c:pt idx="3163">
                  <c:v>0.63272654530905315</c:v>
                </c:pt>
                <c:pt idx="3164">
                  <c:v>0.6329265853170547</c:v>
                </c:pt>
                <c:pt idx="3165">
                  <c:v>0.63312662532505626</c:v>
                </c:pt>
                <c:pt idx="3166">
                  <c:v>0.63332666533305781</c:v>
                </c:pt>
                <c:pt idx="3167">
                  <c:v>0.63352670534105937</c:v>
                </c:pt>
                <c:pt idx="3168">
                  <c:v>0.63372674534906093</c:v>
                </c:pt>
                <c:pt idx="3169">
                  <c:v>0.63392678535706248</c:v>
                </c:pt>
                <c:pt idx="3170">
                  <c:v>0.63412682536506404</c:v>
                </c:pt>
                <c:pt idx="3171">
                  <c:v>0.6343268653730656</c:v>
                </c:pt>
                <c:pt idx="3172">
                  <c:v>0.63452690538106715</c:v>
                </c:pt>
                <c:pt idx="3173">
                  <c:v>0.63472694538906871</c:v>
                </c:pt>
                <c:pt idx="3174">
                  <c:v>0.63492698539707026</c:v>
                </c:pt>
                <c:pt idx="3175">
                  <c:v>0.63512702540507182</c:v>
                </c:pt>
                <c:pt idx="3176">
                  <c:v>0.63532706541307338</c:v>
                </c:pt>
                <c:pt idx="3177">
                  <c:v>0.63552710542107493</c:v>
                </c:pt>
                <c:pt idx="3178">
                  <c:v>0.63572714542907649</c:v>
                </c:pt>
                <c:pt idx="3179">
                  <c:v>0.63592718543707805</c:v>
                </c:pt>
                <c:pt idx="3180">
                  <c:v>0.6361272254450796</c:v>
                </c:pt>
                <c:pt idx="3181">
                  <c:v>0.63632726545308116</c:v>
                </c:pt>
                <c:pt idx="3182">
                  <c:v>0.63652730546108272</c:v>
                </c:pt>
                <c:pt idx="3183">
                  <c:v>0.63672734546908427</c:v>
                </c:pt>
                <c:pt idx="3184">
                  <c:v>0.63692738547708583</c:v>
                </c:pt>
                <c:pt idx="3185">
                  <c:v>0.63712742548508738</c:v>
                </c:pt>
                <c:pt idx="3186">
                  <c:v>0.63732746549308894</c:v>
                </c:pt>
                <c:pt idx="3187">
                  <c:v>0.6375275055010905</c:v>
                </c:pt>
                <c:pt idx="3188">
                  <c:v>0.63772754550909205</c:v>
                </c:pt>
                <c:pt idx="3189">
                  <c:v>0.63792758551709361</c:v>
                </c:pt>
                <c:pt idx="3190">
                  <c:v>0.63812762552509517</c:v>
                </c:pt>
                <c:pt idx="3191">
                  <c:v>0.63832766553309672</c:v>
                </c:pt>
                <c:pt idx="3192">
                  <c:v>0.63852770554109828</c:v>
                </c:pt>
                <c:pt idx="3193">
                  <c:v>0.63872774554909983</c:v>
                </c:pt>
                <c:pt idx="3194">
                  <c:v>0.63892778555710139</c:v>
                </c:pt>
                <c:pt idx="3195">
                  <c:v>0.63912782556510295</c:v>
                </c:pt>
                <c:pt idx="3196">
                  <c:v>0.6393278655731045</c:v>
                </c:pt>
                <c:pt idx="3197">
                  <c:v>0.63952790558110606</c:v>
                </c:pt>
                <c:pt idx="3198">
                  <c:v>0.63972794558910762</c:v>
                </c:pt>
                <c:pt idx="3199">
                  <c:v>0.63992798559710917</c:v>
                </c:pt>
                <c:pt idx="3200">
                  <c:v>0.64012802560511073</c:v>
                </c:pt>
                <c:pt idx="3201">
                  <c:v>0.64032806561311228</c:v>
                </c:pt>
                <c:pt idx="3202">
                  <c:v>0.64052810562111384</c:v>
                </c:pt>
                <c:pt idx="3203">
                  <c:v>0.6407281456291154</c:v>
                </c:pt>
                <c:pt idx="3204">
                  <c:v>0.64092818563711695</c:v>
                </c:pt>
                <c:pt idx="3205">
                  <c:v>0.64112822564511851</c:v>
                </c:pt>
                <c:pt idx="3206">
                  <c:v>0.64132826565312007</c:v>
                </c:pt>
                <c:pt idx="3207">
                  <c:v>0.64152830566112162</c:v>
                </c:pt>
                <c:pt idx="3208">
                  <c:v>0.64172834566912318</c:v>
                </c:pt>
                <c:pt idx="3209">
                  <c:v>0.64192838567712474</c:v>
                </c:pt>
                <c:pt idx="3210">
                  <c:v>0.64212842568512629</c:v>
                </c:pt>
                <c:pt idx="3211">
                  <c:v>0.64232846569312785</c:v>
                </c:pt>
                <c:pt idx="3212">
                  <c:v>0.6425285057011294</c:v>
                </c:pt>
                <c:pt idx="3213">
                  <c:v>0.64272854570913096</c:v>
                </c:pt>
                <c:pt idx="3214">
                  <c:v>0.64292858571713252</c:v>
                </c:pt>
                <c:pt idx="3215">
                  <c:v>0.64312862572513407</c:v>
                </c:pt>
                <c:pt idx="3216">
                  <c:v>0.64332866573313563</c:v>
                </c:pt>
                <c:pt idx="3217">
                  <c:v>0.64352870574113719</c:v>
                </c:pt>
                <c:pt idx="3218">
                  <c:v>0.64372874574913874</c:v>
                </c:pt>
                <c:pt idx="3219">
                  <c:v>0.6439287857571403</c:v>
                </c:pt>
                <c:pt idx="3220">
                  <c:v>0.64412882576514185</c:v>
                </c:pt>
                <c:pt idx="3221">
                  <c:v>0.64432886577314341</c:v>
                </c:pt>
                <c:pt idx="3222">
                  <c:v>0.64452890578114497</c:v>
                </c:pt>
                <c:pt idx="3223">
                  <c:v>0.64472894578914652</c:v>
                </c:pt>
                <c:pt idx="3224">
                  <c:v>0.64492898579714808</c:v>
                </c:pt>
                <c:pt idx="3225">
                  <c:v>0.64512902580514964</c:v>
                </c:pt>
                <c:pt idx="3226">
                  <c:v>0.64532906581315119</c:v>
                </c:pt>
                <c:pt idx="3227">
                  <c:v>0.64552910582115275</c:v>
                </c:pt>
                <c:pt idx="3228">
                  <c:v>0.64572914582915431</c:v>
                </c:pt>
                <c:pt idx="3229">
                  <c:v>0.64592918583715586</c:v>
                </c:pt>
                <c:pt idx="3230">
                  <c:v>0.64612922584515742</c:v>
                </c:pt>
                <c:pt idx="3231">
                  <c:v>0.64632926585315897</c:v>
                </c:pt>
                <c:pt idx="3232">
                  <c:v>0.64652930586116053</c:v>
                </c:pt>
                <c:pt idx="3233">
                  <c:v>0.64672934586916209</c:v>
                </c:pt>
                <c:pt idx="3234">
                  <c:v>0.64692938587716364</c:v>
                </c:pt>
                <c:pt idx="3235">
                  <c:v>0.6471294258851652</c:v>
                </c:pt>
                <c:pt idx="3236">
                  <c:v>0.64732946589316676</c:v>
                </c:pt>
                <c:pt idx="3237">
                  <c:v>0.64752950590116831</c:v>
                </c:pt>
                <c:pt idx="3238">
                  <c:v>0.64772954590916987</c:v>
                </c:pt>
                <c:pt idx="3239">
                  <c:v>0.64792958591717142</c:v>
                </c:pt>
                <c:pt idx="3240">
                  <c:v>0.64812962592517298</c:v>
                </c:pt>
                <c:pt idx="3241">
                  <c:v>0.64832966593317454</c:v>
                </c:pt>
                <c:pt idx="3242">
                  <c:v>0.64852970594117609</c:v>
                </c:pt>
                <c:pt idx="3243">
                  <c:v>0.64872974594917765</c:v>
                </c:pt>
                <c:pt idx="3244">
                  <c:v>0.64892978595717921</c:v>
                </c:pt>
                <c:pt idx="3245">
                  <c:v>0.64912982596518076</c:v>
                </c:pt>
                <c:pt idx="3246">
                  <c:v>0.64932986597318232</c:v>
                </c:pt>
                <c:pt idx="3247">
                  <c:v>0.64952990598118387</c:v>
                </c:pt>
                <c:pt idx="3248">
                  <c:v>0.64972994598918543</c:v>
                </c:pt>
                <c:pt idx="3249">
                  <c:v>0.64992998599718699</c:v>
                </c:pt>
                <c:pt idx="3250">
                  <c:v>0.65013002600518854</c:v>
                </c:pt>
                <c:pt idx="3251">
                  <c:v>0.6503300660131901</c:v>
                </c:pt>
                <c:pt idx="3252">
                  <c:v>0.65053010602119166</c:v>
                </c:pt>
                <c:pt idx="3253">
                  <c:v>0.65073014602919321</c:v>
                </c:pt>
                <c:pt idx="3254">
                  <c:v>0.65093018603719477</c:v>
                </c:pt>
                <c:pt idx="3255">
                  <c:v>0.65113022604519633</c:v>
                </c:pt>
                <c:pt idx="3256">
                  <c:v>0.65133026605319788</c:v>
                </c:pt>
                <c:pt idx="3257">
                  <c:v>0.65153030606119944</c:v>
                </c:pt>
                <c:pt idx="3258">
                  <c:v>0.65173034606920099</c:v>
                </c:pt>
                <c:pt idx="3259">
                  <c:v>0.65193038607720255</c:v>
                </c:pt>
                <c:pt idx="3260">
                  <c:v>0.65213042608520411</c:v>
                </c:pt>
                <c:pt idx="3261">
                  <c:v>0.65233046609320566</c:v>
                </c:pt>
                <c:pt idx="3262">
                  <c:v>0.65253050610120722</c:v>
                </c:pt>
                <c:pt idx="3263">
                  <c:v>0.65273054610920878</c:v>
                </c:pt>
                <c:pt idx="3264">
                  <c:v>0.65293058611721033</c:v>
                </c:pt>
                <c:pt idx="3265">
                  <c:v>0.65313062612521189</c:v>
                </c:pt>
                <c:pt idx="3266">
                  <c:v>0.65333066613321344</c:v>
                </c:pt>
                <c:pt idx="3267">
                  <c:v>0.653530706141215</c:v>
                </c:pt>
                <c:pt idx="3268">
                  <c:v>0.65373074614921656</c:v>
                </c:pt>
                <c:pt idx="3269">
                  <c:v>0.65393078615721811</c:v>
                </c:pt>
                <c:pt idx="3270">
                  <c:v>0.65413082616521967</c:v>
                </c:pt>
                <c:pt idx="3271">
                  <c:v>0.65433086617322123</c:v>
                </c:pt>
                <c:pt idx="3272">
                  <c:v>0.65453090618122278</c:v>
                </c:pt>
                <c:pt idx="3273">
                  <c:v>0.65473094618922434</c:v>
                </c:pt>
                <c:pt idx="3274">
                  <c:v>0.6549309861972259</c:v>
                </c:pt>
                <c:pt idx="3275">
                  <c:v>0.65513102620522745</c:v>
                </c:pt>
                <c:pt idx="3276">
                  <c:v>0.65533106621322901</c:v>
                </c:pt>
                <c:pt idx="3277">
                  <c:v>0.65553110622123056</c:v>
                </c:pt>
                <c:pt idx="3278">
                  <c:v>0.65573114622923212</c:v>
                </c:pt>
                <c:pt idx="3279">
                  <c:v>0.65593118623723368</c:v>
                </c:pt>
                <c:pt idx="3280">
                  <c:v>0.65613122624523523</c:v>
                </c:pt>
                <c:pt idx="3281">
                  <c:v>0.65633126625323679</c:v>
                </c:pt>
                <c:pt idx="3282">
                  <c:v>0.65653130626123835</c:v>
                </c:pt>
                <c:pt idx="3283">
                  <c:v>0.6567313462692399</c:v>
                </c:pt>
                <c:pt idx="3284">
                  <c:v>0.65693138627724146</c:v>
                </c:pt>
                <c:pt idx="3285">
                  <c:v>0.65713142628524301</c:v>
                </c:pt>
                <c:pt idx="3286">
                  <c:v>0.65733146629324457</c:v>
                </c:pt>
                <c:pt idx="3287">
                  <c:v>0.65753150630124613</c:v>
                </c:pt>
                <c:pt idx="3288">
                  <c:v>0.65773154630924768</c:v>
                </c:pt>
                <c:pt idx="3289">
                  <c:v>0.65793158631724924</c:v>
                </c:pt>
                <c:pt idx="3290">
                  <c:v>0.6581316263252508</c:v>
                </c:pt>
                <c:pt idx="3291">
                  <c:v>0.65833166633325235</c:v>
                </c:pt>
                <c:pt idx="3292">
                  <c:v>0.65853170634125391</c:v>
                </c:pt>
                <c:pt idx="3293">
                  <c:v>0.65873174634925546</c:v>
                </c:pt>
                <c:pt idx="3294">
                  <c:v>0.65893178635725702</c:v>
                </c:pt>
                <c:pt idx="3295">
                  <c:v>0.65913182636525858</c:v>
                </c:pt>
                <c:pt idx="3296">
                  <c:v>0.65933186637326013</c:v>
                </c:pt>
                <c:pt idx="3297">
                  <c:v>0.65953190638126169</c:v>
                </c:pt>
                <c:pt idx="3298">
                  <c:v>0.65973194638926325</c:v>
                </c:pt>
                <c:pt idx="3299">
                  <c:v>0.6599319863972648</c:v>
                </c:pt>
                <c:pt idx="3300">
                  <c:v>0.66013202640526636</c:v>
                </c:pt>
                <c:pt idx="3301">
                  <c:v>0.66033206641326792</c:v>
                </c:pt>
                <c:pt idx="3302">
                  <c:v>0.66053210642126947</c:v>
                </c:pt>
                <c:pt idx="3303">
                  <c:v>0.66073214642927103</c:v>
                </c:pt>
                <c:pt idx="3304">
                  <c:v>0.66093218643727258</c:v>
                </c:pt>
                <c:pt idx="3305">
                  <c:v>0.66113222644527414</c:v>
                </c:pt>
                <c:pt idx="3306">
                  <c:v>0.6613322664532757</c:v>
                </c:pt>
                <c:pt idx="3307">
                  <c:v>0.66153230646127725</c:v>
                </c:pt>
                <c:pt idx="3308">
                  <c:v>0.66173234646927881</c:v>
                </c:pt>
                <c:pt idx="3309">
                  <c:v>0.66193238647728037</c:v>
                </c:pt>
                <c:pt idx="3310">
                  <c:v>0.66213242648528192</c:v>
                </c:pt>
                <c:pt idx="3311">
                  <c:v>0.66233246649328348</c:v>
                </c:pt>
                <c:pt idx="3312">
                  <c:v>0.66253250650128503</c:v>
                </c:pt>
                <c:pt idx="3313">
                  <c:v>0.66273254650928659</c:v>
                </c:pt>
                <c:pt idx="3314">
                  <c:v>0.66293258651728815</c:v>
                </c:pt>
                <c:pt idx="3315">
                  <c:v>0.6631326265252897</c:v>
                </c:pt>
                <c:pt idx="3316">
                  <c:v>0.66333266653329126</c:v>
                </c:pt>
                <c:pt idx="3317">
                  <c:v>0.66353270654129282</c:v>
                </c:pt>
                <c:pt idx="3318">
                  <c:v>0.66373274654929437</c:v>
                </c:pt>
                <c:pt idx="3319">
                  <c:v>0.66393278655729593</c:v>
                </c:pt>
                <c:pt idx="3320">
                  <c:v>0.66413282656529748</c:v>
                </c:pt>
                <c:pt idx="3321">
                  <c:v>0.66433286657329904</c:v>
                </c:pt>
                <c:pt idx="3322">
                  <c:v>0.6645329065813006</c:v>
                </c:pt>
                <c:pt idx="3323">
                  <c:v>0.66473294658930215</c:v>
                </c:pt>
                <c:pt idx="3324">
                  <c:v>0.66493298659730371</c:v>
                </c:pt>
                <c:pt idx="3325">
                  <c:v>0.66513302660530527</c:v>
                </c:pt>
                <c:pt idx="3326">
                  <c:v>0.66533306661330682</c:v>
                </c:pt>
                <c:pt idx="3327">
                  <c:v>0.66553310662130838</c:v>
                </c:pt>
                <c:pt idx="3328">
                  <c:v>0.66573314662930994</c:v>
                </c:pt>
                <c:pt idx="3329">
                  <c:v>0.66593318663731149</c:v>
                </c:pt>
                <c:pt idx="3330">
                  <c:v>0.66613322664531305</c:v>
                </c:pt>
                <c:pt idx="3331">
                  <c:v>0.6663332666533146</c:v>
                </c:pt>
                <c:pt idx="3332">
                  <c:v>0.66653330666131616</c:v>
                </c:pt>
                <c:pt idx="3333">
                  <c:v>0.66673334666931772</c:v>
                </c:pt>
                <c:pt idx="3334">
                  <c:v>0.66693338667731927</c:v>
                </c:pt>
                <c:pt idx="3335">
                  <c:v>0.66713342668532083</c:v>
                </c:pt>
                <c:pt idx="3336">
                  <c:v>0.66733346669332239</c:v>
                </c:pt>
                <c:pt idx="3337">
                  <c:v>0.66753350670132394</c:v>
                </c:pt>
                <c:pt idx="3338">
                  <c:v>0.6677335467093255</c:v>
                </c:pt>
                <c:pt idx="3339">
                  <c:v>0.66793358671732705</c:v>
                </c:pt>
                <c:pt idx="3340">
                  <c:v>0.66813362672532861</c:v>
                </c:pt>
                <c:pt idx="3341">
                  <c:v>0.66833366673333017</c:v>
                </c:pt>
                <c:pt idx="3342">
                  <c:v>0.66853370674133172</c:v>
                </c:pt>
                <c:pt idx="3343">
                  <c:v>0.66873374674933328</c:v>
                </c:pt>
                <c:pt idx="3344">
                  <c:v>0.66893378675733484</c:v>
                </c:pt>
                <c:pt idx="3345">
                  <c:v>0.66913382676533639</c:v>
                </c:pt>
                <c:pt idx="3346">
                  <c:v>0.66933386677333795</c:v>
                </c:pt>
                <c:pt idx="3347">
                  <c:v>0.66953390678133951</c:v>
                </c:pt>
                <c:pt idx="3348">
                  <c:v>0.66973394678934106</c:v>
                </c:pt>
                <c:pt idx="3349">
                  <c:v>0.66993398679734262</c:v>
                </c:pt>
                <c:pt idx="3350">
                  <c:v>0.67013402680534417</c:v>
                </c:pt>
                <c:pt idx="3351">
                  <c:v>0.67033406681334573</c:v>
                </c:pt>
                <c:pt idx="3352">
                  <c:v>0.67053410682134729</c:v>
                </c:pt>
                <c:pt idx="3353">
                  <c:v>0.67073414682934884</c:v>
                </c:pt>
                <c:pt idx="3354">
                  <c:v>0.6709341868373504</c:v>
                </c:pt>
                <c:pt idx="3355">
                  <c:v>0.67113422684535196</c:v>
                </c:pt>
                <c:pt idx="3356">
                  <c:v>0.67133426685335351</c:v>
                </c:pt>
                <c:pt idx="3357">
                  <c:v>0.67153430686135507</c:v>
                </c:pt>
                <c:pt idx="3358">
                  <c:v>0.67173434686935662</c:v>
                </c:pt>
                <c:pt idx="3359">
                  <c:v>0.67193438687735818</c:v>
                </c:pt>
                <c:pt idx="3360">
                  <c:v>0.67213442688535974</c:v>
                </c:pt>
                <c:pt idx="3361">
                  <c:v>0.67233446689336129</c:v>
                </c:pt>
                <c:pt idx="3362">
                  <c:v>0.67253450690136285</c:v>
                </c:pt>
                <c:pt idx="3363">
                  <c:v>0.67273454690936441</c:v>
                </c:pt>
                <c:pt idx="3364">
                  <c:v>0.67293458691736596</c:v>
                </c:pt>
                <c:pt idx="3365">
                  <c:v>0.67313462692536752</c:v>
                </c:pt>
                <c:pt idx="3366">
                  <c:v>0.67333466693336907</c:v>
                </c:pt>
                <c:pt idx="3367">
                  <c:v>0.67353470694137063</c:v>
                </c:pt>
                <c:pt idx="3368">
                  <c:v>0.67373474694937219</c:v>
                </c:pt>
                <c:pt idx="3369">
                  <c:v>0.67393478695737374</c:v>
                </c:pt>
                <c:pt idx="3370">
                  <c:v>0.6741348269653753</c:v>
                </c:pt>
                <c:pt idx="3371">
                  <c:v>0.67433486697337686</c:v>
                </c:pt>
                <c:pt idx="3372">
                  <c:v>0.67453490698137841</c:v>
                </c:pt>
                <c:pt idx="3373">
                  <c:v>0.67473494698937997</c:v>
                </c:pt>
                <c:pt idx="3374">
                  <c:v>0.67493498699738153</c:v>
                </c:pt>
                <c:pt idx="3375">
                  <c:v>0.67513502700538308</c:v>
                </c:pt>
                <c:pt idx="3376">
                  <c:v>0.67533506701338464</c:v>
                </c:pt>
                <c:pt idx="3377">
                  <c:v>0.67553510702138619</c:v>
                </c:pt>
                <c:pt idx="3378">
                  <c:v>0.67573514702938775</c:v>
                </c:pt>
                <c:pt idx="3379">
                  <c:v>0.67593518703738931</c:v>
                </c:pt>
                <c:pt idx="3380">
                  <c:v>0.67613522704539086</c:v>
                </c:pt>
                <c:pt idx="3381">
                  <c:v>0.67633526705339242</c:v>
                </c:pt>
                <c:pt idx="3382">
                  <c:v>0.67653530706139398</c:v>
                </c:pt>
                <c:pt idx="3383">
                  <c:v>0.67673534706939553</c:v>
                </c:pt>
                <c:pt idx="3384">
                  <c:v>0.67693538707739709</c:v>
                </c:pt>
                <c:pt idx="3385">
                  <c:v>0.67713542708539864</c:v>
                </c:pt>
                <c:pt idx="3386">
                  <c:v>0.6773354670934002</c:v>
                </c:pt>
                <c:pt idx="3387">
                  <c:v>0.67753550710140176</c:v>
                </c:pt>
                <c:pt idx="3388">
                  <c:v>0.67773554710940331</c:v>
                </c:pt>
                <c:pt idx="3389">
                  <c:v>0.67793558711740487</c:v>
                </c:pt>
                <c:pt idx="3390">
                  <c:v>0.67813562712540643</c:v>
                </c:pt>
                <c:pt idx="3391">
                  <c:v>0.67833566713340798</c:v>
                </c:pt>
                <c:pt idx="3392">
                  <c:v>0.67853570714140954</c:v>
                </c:pt>
                <c:pt idx="3393">
                  <c:v>0.67873574714941109</c:v>
                </c:pt>
                <c:pt idx="3394">
                  <c:v>0.67893578715741265</c:v>
                </c:pt>
                <c:pt idx="3395">
                  <c:v>0.67913582716541421</c:v>
                </c:pt>
                <c:pt idx="3396">
                  <c:v>0.67933586717341576</c:v>
                </c:pt>
                <c:pt idx="3397">
                  <c:v>0.67953590718141732</c:v>
                </c:pt>
                <c:pt idx="3398">
                  <c:v>0.67973594718941888</c:v>
                </c:pt>
                <c:pt idx="3399">
                  <c:v>0.67993598719742043</c:v>
                </c:pt>
                <c:pt idx="3400">
                  <c:v>0.68013602720542199</c:v>
                </c:pt>
                <c:pt idx="3401">
                  <c:v>0.68033606721342355</c:v>
                </c:pt>
                <c:pt idx="3402">
                  <c:v>0.6805361072214251</c:v>
                </c:pt>
                <c:pt idx="3403">
                  <c:v>0.68073614722942666</c:v>
                </c:pt>
                <c:pt idx="3404">
                  <c:v>0.68093618723742821</c:v>
                </c:pt>
                <c:pt idx="3405">
                  <c:v>0.68113622724542977</c:v>
                </c:pt>
                <c:pt idx="3406">
                  <c:v>0.68133626725343133</c:v>
                </c:pt>
                <c:pt idx="3407">
                  <c:v>0.68153630726143288</c:v>
                </c:pt>
                <c:pt idx="3408">
                  <c:v>0.68173634726943444</c:v>
                </c:pt>
                <c:pt idx="3409">
                  <c:v>0.681936387277436</c:v>
                </c:pt>
                <c:pt idx="3410">
                  <c:v>0.68213642728543755</c:v>
                </c:pt>
                <c:pt idx="3411">
                  <c:v>0.68233646729343911</c:v>
                </c:pt>
                <c:pt idx="3412">
                  <c:v>0.68253650730144066</c:v>
                </c:pt>
                <c:pt idx="3413">
                  <c:v>0.68273654730944222</c:v>
                </c:pt>
                <c:pt idx="3414">
                  <c:v>0.68293658731744378</c:v>
                </c:pt>
                <c:pt idx="3415">
                  <c:v>0.68313662732544533</c:v>
                </c:pt>
                <c:pt idx="3416">
                  <c:v>0.68333666733344689</c:v>
                </c:pt>
                <c:pt idx="3417">
                  <c:v>0.68353670734144845</c:v>
                </c:pt>
                <c:pt idx="3418">
                  <c:v>0.68373674734945</c:v>
                </c:pt>
                <c:pt idx="3419">
                  <c:v>0.68393678735745156</c:v>
                </c:pt>
                <c:pt idx="3420">
                  <c:v>0.68413682736545312</c:v>
                </c:pt>
                <c:pt idx="3421">
                  <c:v>0.68433686737345467</c:v>
                </c:pt>
                <c:pt idx="3422">
                  <c:v>0.68453690738145623</c:v>
                </c:pt>
                <c:pt idx="3423">
                  <c:v>0.68473694738945778</c:v>
                </c:pt>
                <c:pt idx="3424">
                  <c:v>0.68493698739745934</c:v>
                </c:pt>
                <c:pt idx="3425">
                  <c:v>0.6851370274054609</c:v>
                </c:pt>
                <c:pt idx="3426">
                  <c:v>0.68533706741346245</c:v>
                </c:pt>
                <c:pt idx="3427">
                  <c:v>0.68553710742146401</c:v>
                </c:pt>
                <c:pt idx="3428">
                  <c:v>0.68573714742946557</c:v>
                </c:pt>
                <c:pt idx="3429">
                  <c:v>0.68593718743746712</c:v>
                </c:pt>
                <c:pt idx="3430">
                  <c:v>0.68613722744546868</c:v>
                </c:pt>
                <c:pt idx="3431">
                  <c:v>0.68633726745347023</c:v>
                </c:pt>
                <c:pt idx="3432">
                  <c:v>0.68653730746147179</c:v>
                </c:pt>
                <c:pt idx="3433">
                  <c:v>0.68673734746947335</c:v>
                </c:pt>
                <c:pt idx="3434">
                  <c:v>0.6869373874774749</c:v>
                </c:pt>
                <c:pt idx="3435">
                  <c:v>0.68713742748547646</c:v>
                </c:pt>
                <c:pt idx="3436">
                  <c:v>0.68733746749347802</c:v>
                </c:pt>
                <c:pt idx="3437">
                  <c:v>0.68753750750147957</c:v>
                </c:pt>
                <c:pt idx="3438">
                  <c:v>0.68773754750948113</c:v>
                </c:pt>
                <c:pt idx="3439">
                  <c:v>0.68793758751748268</c:v>
                </c:pt>
                <c:pt idx="3440">
                  <c:v>0.68813762752548424</c:v>
                </c:pt>
                <c:pt idx="3441">
                  <c:v>0.6883376675334858</c:v>
                </c:pt>
                <c:pt idx="3442">
                  <c:v>0.68853770754148735</c:v>
                </c:pt>
                <c:pt idx="3443">
                  <c:v>0.68873774754948891</c:v>
                </c:pt>
                <c:pt idx="3444">
                  <c:v>0.68893778755749047</c:v>
                </c:pt>
                <c:pt idx="3445">
                  <c:v>0.68913782756549202</c:v>
                </c:pt>
                <c:pt idx="3446">
                  <c:v>0.68933786757349358</c:v>
                </c:pt>
                <c:pt idx="3447">
                  <c:v>0.68953790758149514</c:v>
                </c:pt>
                <c:pt idx="3448">
                  <c:v>0.68973794758949669</c:v>
                </c:pt>
                <c:pt idx="3449">
                  <c:v>0.68993798759749825</c:v>
                </c:pt>
                <c:pt idx="3450">
                  <c:v>0.6901380276054998</c:v>
                </c:pt>
                <c:pt idx="3451">
                  <c:v>0.69033806761350136</c:v>
                </c:pt>
                <c:pt idx="3452">
                  <c:v>0.69053810762150292</c:v>
                </c:pt>
                <c:pt idx="3453">
                  <c:v>0.69073814762950447</c:v>
                </c:pt>
                <c:pt idx="3454">
                  <c:v>0.69093818763750603</c:v>
                </c:pt>
                <c:pt idx="3455">
                  <c:v>0.69113822764550759</c:v>
                </c:pt>
                <c:pt idx="3456">
                  <c:v>0.69133826765350914</c:v>
                </c:pt>
                <c:pt idx="3457">
                  <c:v>0.6915383076615107</c:v>
                </c:pt>
                <c:pt idx="3458">
                  <c:v>0.69173834766951225</c:v>
                </c:pt>
                <c:pt idx="3459">
                  <c:v>0.69193838767751381</c:v>
                </c:pt>
                <c:pt idx="3460">
                  <c:v>0.69213842768551537</c:v>
                </c:pt>
                <c:pt idx="3461">
                  <c:v>0.69233846769351692</c:v>
                </c:pt>
                <c:pt idx="3462">
                  <c:v>0.69253850770151848</c:v>
                </c:pt>
                <c:pt idx="3463">
                  <c:v>0.69273854770952004</c:v>
                </c:pt>
                <c:pt idx="3464">
                  <c:v>0.69293858771752159</c:v>
                </c:pt>
                <c:pt idx="3465">
                  <c:v>0.69313862772552315</c:v>
                </c:pt>
                <c:pt idx="3466">
                  <c:v>0.69333866773352471</c:v>
                </c:pt>
                <c:pt idx="3467">
                  <c:v>0.69353870774152626</c:v>
                </c:pt>
                <c:pt idx="3468">
                  <c:v>0.69373874774952782</c:v>
                </c:pt>
                <c:pt idx="3469">
                  <c:v>0.69393878775752937</c:v>
                </c:pt>
                <c:pt idx="3470">
                  <c:v>0.69413882776553093</c:v>
                </c:pt>
                <c:pt idx="3471">
                  <c:v>0.69433886777353249</c:v>
                </c:pt>
                <c:pt idx="3472">
                  <c:v>0.69453890778153404</c:v>
                </c:pt>
                <c:pt idx="3473">
                  <c:v>0.6947389477895356</c:v>
                </c:pt>
                <c:pt idx="3474">
                  <c:v>0.69493898779753716</c:v>
                </c:pt>
                <c:pt idx="3475">
                  <c:v>0.69513902780553871</c:v>
                </c:pt>
                <c:pt idx="3476">
                  <c:v>0.69533906781354027</c:v>
                </c:pt>
                <c:pt idx="3477">
                  <c:v>0.69553910782154182</c:v>
                </c:pt>
                <c:pt idx="3478">
                  <c:v>0.69573914782954338</c:v>
                </c:pt>
                <c:pt idx="3479">
                  <c:v>0.69593918783754494</c:v>
                </c:pt>
                <c:pt idx="3480">
                  <c:v>0.69613922784554649</c:v>
                </c:pt>
                <c:pt idx="3481">
                  <c:v>0.69633926785354805</c:v>
                </c:pt>
                <c:pt idx="3482">
                  <c:v>0.69653930786154961</c:v>
                </c:pt>
                <c:pt idx="3483">
                  <c:v>0.69673934786955116</c:v>
                </c:pt>
                <c:pt idx="3484">
                  <c:v>0.69693938787755272</c:v>
                </c:pt>
                <c:pt idx="3485">
                  <c:v>0.69713942788555427</c:v>
                </c:pt>
                <c:pt idx="3486">
                  <c:v>0.69733946789355583</c:v>
                </c:pt>
                <c:pt idx="3487">
                  <c:v>0.69753950790155739</c:v>
                </c:pt>
                <c:pt idx="3488">
                  <c:v>0.69773954790955894</c:v>
                </c:pt>
                <c:pt idx="3489">
                  <c:v>0.6979395879175605</c:v>
                </c:pt>
                <c:pt idx="3490">
                  <c:v>0.69813962792556206</c:v>
                </c:pt>
                <c:pt idx="3491">
                  <c:v>0.69833966793356361</c:v>
                </c:pt>
                <c:pt idx="3492">
                  <c:v>0.69853970794156517</c:v>
                </c:pt>
                <c:pt idx="3493">
                  <c:v>0.69873974794956673</c:v>
                </c:pt>
                <c:pt idx="3494">
                  <c:v>0.69893978795756828</c:v>
                </c:pt>
                <c:pt idx="3495">
                  <c:v>0.69913982796556984</c:v>
                </c:pt>
                <c:pt idx="3496">
                  <c:v>0.69933986797357139</c:v>
                </c:pt>
                <c:pt idx="3497">
                  <c:v>0.69953990798157295</c:v>
                </c:pt>
                <c:pt idx="3498">
                  <c:v>0.69973994798957451</c:v>
                </c:pt>
                <c:pt idx="3499">
                  <c:v>0.69993998799757606</c:v>
                </c:pt>
                <c:pt idx="3500">
                  <c:v>0.70014002800557762</c:v>
                </c:pt>
                <c:pt idx="3501">
                  <c:v>0.70034006801357918</c:v>
                </c:pt>
                <c:pt idx="3502">
                  <c:v>0.70054010802158073</c:v>
                </c:pt>
                <c:pt idx="3503">
                  <c:v>0.70074014802958229</c:v>
                </c:pt>
                <c:pt idx="3504">
                  <c:v>0.70094018803758384</c:v>
                </c:pt>
                <c:pt idx="3505">
                  <c:v>0.7011402280455854</c:v>
                </c:pt>
                <c:pt idx="3506">
                  <c:v>0.70134026805358696</c:v>
                </c:pt>
                <c:pt idx="3507">
                  <c:v>0.70154030806158851</c:v>
                </c:pt>
                <c:pt idx="3508">
                  <c:v>0.70174034806959007</c:v>
                </c:pt>
                <c:pt idx="3509">
                  <c:v>0.70194038807759163</c:v>
                </c:pt>
                <c:pt idx="3510">
                  <c:v>0.70214042808559318</c:v>
                </c:pt>
                <c:pt idx="3511">
                  <c:v>0.70234046809359474</c:v>
                </c:pt>
                <c:pt idx="3512">
                  <c:v>0.70254050810159629</c:v>
                </c:pt>
                <c:pt idx="3513">
                  <c:v>0.70274054810959785</c:v>
                </c:pt>
                <c:pt idx="3514">
                  <c:v>0.70294058811759941</c:v>
                </c:pt>
                <c:pt idx="3515">
                  <c:v>0.70314062812560096</c:v>
                </c:pt>
                <c:pt idx="3516">
                  <c:v>0.70334066813360252</c:v>
                </c:pt>
                <c:pt idx="3517">
                  <c:v>0.70354070814160408</c:v>
                </c:pt>
                <c:pt idx="3518">
                  <c:v>0.70374074814960563</c:v>
                </c:pt>
                <c:pt idx="3519">
                  <c:v>0.70394078815760719</c:v>
                </c:pt>
                <c:pt idx="3520">
                  <c:v>0.70414082816560875</c:v>
                </c:pt>
                <c:pt idx="3521">
                  <c:v>0.7043408681736103</c:v>
                </c:pt>
                <c:pt idx="3522">
                  <c:v>0.70454090818161186</c:v>
                </c:pt>
                <c:pt idx="3523">
                  <c:v>0.70474094818961341</c:v>
                </c:pt>
                <c:pt idx="3524">
                  <c:v>0.70494098819761497</c:v>
                </c:pt>
                <c:pt idx="3525">
                  <c:v>0.70514102820561653</c:v>
                </c:pt>
                <c:pt idx="3526">
                  <c:v>0.70534106821361808</c:v>
                </c:pt>
                <c:pt idx="3527">
                  <c:v>0.70554110822161964</c:v>
                </c:pt>
                <c:pt idx="3528">
                  <c:v>0.7057411482296212</c:v>
                </c:pt>
                <c:pt idx="3529">
                  <c:v>0.70594118823762275</c:v>
                </c:pt>
                <c:pt idx="3530">
                  <c:v>0.70614122824562431</c:v>
                </c:pt>
                <c:pt idx="3531">
                  <c:v>0.70634126825362586</c:v>
                </c:pt>
                <c:pt idx="3532">
                  <c:v>0.70654130826162742</c:v>
                </c:pt>
                <c:pt idx="3533">
                  <c:v>0.70674134826962898</c:v>
                </c:pt>
                <c:pt idx="3534">
                  <c:v>0.70694138827763053</c:v>
                </c:pt>
                <c:pt idx="3535">
                  <c:v>0.70714142828563209</c:v>
                </c:pt>
                <c:pt idx="3536">
                  <c:v>0.70734146829363365</c:v>
                </c:pt>
                <c:pt idx="3537">
                  <c:v>0.7075415083016352</c:v>
                </c:pt>
                <c:pt idx="3538">
                  <c:v>0.70774154830963676</c:v>
                </c:pt>
                <c:pt idx="3539">
                  <c:v>0.70794158831763832</c:v>
                </c:pt>
                <c:pt idx="3540">
                  <c:v>0.70814162832563987</c:v>
                </c:pt>
                <c:pt idx="3541">
                  <c:v>0.70834166833364143</c:v>
                </c:pt>
                <c:pt idx="3542">
                  <c:v>0.70854170834164298</c:v>
                </c:pt>
                <c:pt idx="3543">
                  <c:v>0.70874174834964454</c:v>
                </c:pt>
                <c:pt idx="3544">
                  <c:v>0.7089417883576461</c:v>
                </c:pt>
                <c:pt idx="3545">
                  <c:v>0.70914182836564765</c:v>
                </c:pt>
                <c:pt idx="3546">
                  <c:v>0.70934186837364921</c:v>
                </c:pt>
                <c:pt idx="3547">
                  <c:v>0.70954190838165077</c:v>
                </c:pt>
                <c:pt idx="3548">
                  <c:v>0.70974194838965232</c:v>
                </c:pt>
                <c:pt idx="3549">
                  <c:v>0.70994198839765388</c:v>
                </c:pt>
                <c:pt idx="3550">
                  <c:v>0.71014202840565543</c:v>
                </c:pt>
                <c:pt idx="3551">
                  <c:v>0.71034206841365699</c:v>
                </c:pt>
                <c:pt idx="3552">
                  <c:v>0.71054210842165855</c:v>
                </c:pt>
                <c:pt idx="3553">
                  <c:v>0.7107421484296601</c:v>
                </c:pt>
                <c:pt idx="3554">
                  <c:v>0.71094218843766166</c:v>
                </c:pt>
                <c:pt idx="3555">
                  <c:v>0.71114222844566322</c:v>
                </c:pt>
                <c:pt idx="3556">
                  <c:v>0.71134226845366477</c:v>
                </c:pt>
                <c:pt idx="3557">
                  <c:v>0.71154230846166633</c:v>
                </c:pt>
                <c:pt idx="3558">
                  <c:v>0.71174234846966788</c:v>
                </c:pt>
                <c:pt idx="3559">
                  <c:v>0.71194238847766944</c:v>
                </c:pt>
                <c:pt idx="3560">
                  <c:v>0.712142428485671</c:v>
                </c:pt>
                <c:pt idx="3561">
                  <c:v>0.71234246849367255</c:v>
                </c:pt>
                <c:pt idx="3562">
                  <c:v>0.71254250850167411</c:v>
                </c:pt>
                <c:pt idx="3563">
                  <c:v>0.71274254850967567</c:v>
                </c:pt>
                <c:pt idx="3564">
                  <c:v>0.71294258851767722</c:v>
                </c:pt>
                <c:pt idx="3565">
                  <c:v>0.71314262852567878</c:v>
                </c:pt>
                <c:pt idx="3566">
                  <c:v>0.71334266853368034</c:v>
                </c:pt>
                <c:pt idx="3567">
                  <c:v>0.71354270854168189</c:v>
                </c:pt>
                <c:pt idx="3568">
                  <c:v>0.71374274854968345</c:v>
                </c:pt>
                <c:pt idx="3569">
                  <c:v>0.713942788557685</c:v>
                </c:pt>
                <c:pt idx="3570">
                  <c:v>0.71414282856568656</c:v>
                </c:pt>
                <c:pt idx="3571">
                  <c:v>0.71434286857368812</c:v>
                </c:pt>
                <c:pt idx="3572">
                  <c:v>0.71454290858168967</c:v>
                </c:pt>
                <c:pt idx="3573">
                  <c:v>0.71474294858969123</c:v>
                </c:pt>
                <c:pt idx="3574">
                  <c:v>0.71494298859769279</c:v>
                </c:pt>
                <c:pt idx="3575">
                  <c:v>0.71514302860569434</c:v>
                </c:pt>
                <c:pt idx="3576">
                  <c:v>0.7153430686136959</c:v>
                </c:pt>
                <c:pt idx="3577">
                  <c:v>0.71554310862169745</c:v>
                </c:pt>
                <c:pt idx="3578">
                  <c:v>0.71574314862969901</c:v>
                </c:pt>
                <c:pt idx="3579">
                  <c:v>0.71594318863770057</c:v>
                </c:pt>
                <c:pt idx="3580">
                  <c:v>0.71614322864570212</c:v>
                </c:pt>
                <c:pt idx="3581">
                  <c:v>0.71634326865370368</c:v>
                </c:pt>
                <c:pt idx="3582">
                  <c:v>0.71654330866170524</c:v>
                </c:pt>
                <c:pt idx="3583">
                  <c:v>0.71674334866970679</c:v>
                </c:pt>
                <c:pt idx="3584">
                  <c:v>0.71694338867770835</c:v>
                </c:pt>
                <c:pt idx="3585">
                  <c:v>0.7171434286857099</c:v>
                </c:pt>
                <c:pt idx="3586">
                  <c:v>0.71734346869371146</c:v>
                </c:pt>
                <c:pt idx="3587">
                  <c:v>0.71754350870171302</c:v>
                </c:pt>
                <c:pt idx="3588">
                  <c:v>0.71774354870971457</c:v>
                </c:pt>
                <c:pt idx="3589">
                  <c:v>0.71794358871771613</c:v>
                </c:pt>
                <c:pt idx="3590">
                  <c:v>0.71814362872571769</c:v>
                </c:pt>
                <c:pt idx="3591">
                  <c:v>0.71834366873371924</c:v>
                </c:pt>
                <c:pt idx="3592">
                  <c:v>0.7185437087417208</c:v>
                </c:pt>
                <c:pt idx="3593">
                  <c:v>0.71874374874972236</c:v>
                </c:pt>
                <c:pt idx="3594">
                  <c:v>0.71894378875772391</c:v>
                </c:pt>
                <c:pt idx="3595">
                  <c:v>0.71914382876572547</c:v>
                </c:pt>
                <c:pt idx="3596">
                  <c:v>0.71934386877372702</c:v>
                </c:pt>
                <c:pt idx="3597">
                  <c:v>0.71954390878172858</c:v>
                </c:pt>
                <c:pt idx="3598">
                  <c:v>0.71974394878973014</c:v>
                </c:pt>
                <c:pt idx="3599">
                  <c:v>0.71994398879773169</c:v>
                </c:pt>
                <c:pt idx="3600">
                  <c:v>0.72014402880573325</c:v>
                </c:pt>
                <c:pt idx="3601">
                  <c:v>0.72034406881373481</c:v>
                </c:pt>
                <c:pt idx="3602">
                  <c:v>0.72054410882173636</c:v>
                </c:pt>
                <c:pt idx="3603">
                  <c:v>0.72074414882973792</c:v>
                </c:pt>
                <c:pt idx="3604">
                  <c:v>0.72094418883773947</c:v>
                </c:pt>
                <c:pt idx="3605">
                  <c:v>0.72114422884574103</c:v>
                </c:pt>
                <c:pt idx="3606">
                  <c:v>0.72134426885374259</c:v>
                </c:pt>
                <c:pt idx="3607">
                  <c:v>0.72154430886174414</c:v>
                </c:pt>
                <c:pt idx="3608">
                  <c:v>0.7217443488697457</c:v>
                </c:pt>
                <c:pt idx="3609">
                  <c:v>0.72194438887774726</c:v>
                </c:pt>
                <c:pt idx="3610">
                  <c:v>0.72214442888574881</c:v>
                </c:pt>
                <c:pt idx="3611">
                  <c:v>0.72234446889375037</c:v>
                </c:pt>
                <c:pt idx="3612">
                  <c:v>0.72254450890175193</c:v>
                </c:pt>
                <c:pt idx="3613">
                  <c:v>0.72274454890975348</c:v>
                </c:pt>
                <c:pt idx="3614">
                  <c:v>0.72294458891775504</c:v>
                </c:pt>
                <c:pt idx="3615">
                  <c:v>0.72314462892575659</c:v>
                </c:pt>
                <c:pt idx="3616">
                  <c:v>0.72334466893375815</c:v>
                </c:pt>
                <c:pt idx="3617">
                  <c:v>0.72354470894175971</c:v>
                </c:pt>
                <c:pt idx="3618">
                  <c:v>0.72374474894976126</c:v>
                </c:pt>
                <c:pt idx="3619">
                  <c:v>0.72394478895776282</c:v>
                </c:pt>
                <c:pt idx="3620">
                  <c:v>0.72414482896576438</c:v>
                </c:pt>
                <c:pt idx="3621">
                  <c:v>0.72434486897376593</c:v>
                </c:pt>
                <c:pt idx="3622">
                  <c:v>0.72454490898176749</c:v>
                </c:pt>
                <c:pt idx="3623">
                  <c:v>0.72474494898976904</c:v>
                </c:pt>
                <c:pt idx="3624">
                  <c:v>0.7249449889977706</c:v>
                </c:pt>
                <c:pt idx="3625">
                  <c:v>0.72514502900577216</c:v>
                </c:pt>
                <c:pt idx="3626">
                  <c:v>0.72534506901377371</c:v>
                </c:pt>
                <c:pt idx="3627">
                  <c:v>0.72554510902177527</c:v>
                </c:pt>
                <c:pt idx="3628">
                  <c:v>0.72574514902977683</c:v>
                </c:pt>
                <c:pt idx="3629">
                  <c:v>0.72594518903777838</c:v>
                </c:pt>
                <c:pt idx="3630">
                  <c:v>0.72614522904577994</c:v>
                </c:pt>
                <c:pt idx="3631">
                  <c:v>0.72634526905378149</c:v>
                </c:pt>
                <c:pt idx="3632">
                  <c:v>0.72654530906178305</c:v>
                </c:pt>
                <c:pt idx="3633">
                  <c:v>0.72674534906978461</c:v>
                </c:pt>
                <c:pt idx="3634">
                  <c:v>0.72694538907778616</c:v>
                </c:pt>
                <c:pt idx="3635">
                  <c:v>0.72714542908578772</c:v>
                </c:pt>
                <c:pt idx="3636">
                  <c:v>0.72734546909378928</c:v>
                </c:pt>
                <c:pt idx="3637">
                  <c:v>0.72754550910179083</c:v>
                </c:pt>
                <c:pt idx="3638">
                  <c:v>0.72774554910979239</c:v>
                </c:pt>
                <c:pt idx="3639">
                  <c:v>0.72794558911779395</c:v>
                </c:pt>
                <c:pt idx="3640">
                  <c:v>0.7281456291257955</c:v>
                </c:pt>
                <c:pt idx="3641">
                  <c:v>0.72834566913379706</c:v>
                </c:pt>
                <c:pt idx="3642">
                  <c:v>0.72854570914179861</c:v>
                </c:pt>
                <c:pt idx="3643">
                  <c:v>0.72874574914980017</c:v>
                </c:pt>
                <c:pt idx="3644">
                  <c:v>0.72894578915780173</c:v>
                </c:pt>
                <c:pt idx="3645">
                  <c:v>0.72914582916580328</c:v>
                </c:pt>
                <c:pt idx="3646">
                  <c:v>0.72934586917380484</c:v>
                </c:pt>
                <c:pt idx="3647">
                  <c:v>0.7295459091818064</c:v>
                </c:pt>
                <c:pt idx="3648">
                  <c:v>0.72974594918980795</c:v>
                </c:pt>
                <c:pt idx="3649">
                  <c:v>0.72994598919780951</c:v>
                </c:pt>
                <c:pt idx="3650">
                  <c:v>0.73014602920581106</c:v>
                </c:pt>
                <c:pt idx="3651">
                  <c:v>0.73034606921381262</c:v>
                </c:pt>
                <c:pt idx="3652">
                  <c:v>0.73054610922181418</c:v>
                </c:pt>
                <c:pt idx="3653">
                  <c:v>0.73074614922981573</c:v>
                </c:pt>
                <c:pt idx="3654">
                  <c:v>0.73094618923781729</c:v>
                </c:pt>
                <c:pt idx="3655">
                  <c:v>0.73114622924581885</c:v>
                </c:pt>
                <c:pt idx="3656">
                  <c:v>0.7313462692538204</c:v>
                </c:pt>
                <c:pt idx="3657">
                  <c:v>0.73154630926182196</c:v>
                </c:pt>
                <c:pt idx="3658">
                  <c:v>0.73174634926982352</c:v>
                </c:pt>
                <c:pt idx="3659">
                  <c:v>0.73194638927782507</c:v>
                </c:pt>
                <c:pt idx="3660">
                  <c:v>0.73214642928582663</c:v>
                </c:pt>
                <c:pt idx="3661">
                  <c:v>0.73234646929382818</c:v>
                </c:pt>
                <c:pt idx="3662">
                  <c:v>0.73254650930182974</c:v>
                </c:pt>
                <c:pt idx="3663">
                  <c:v>0.7327465493098313</c:v>
                </c:pt>
                <c:pt idx="3664">
                  <c:v>0.73294658931783285</c:v>
                </c:pt>
                <c:pt idx="3665">
                  <c:v>0.73314662932583441</c:v>
                </c:pt>
                <c:pt idx="3666">
                  <c:v>0.73334666933383597</c:v>
                </c:pt>
                <c:pt idx="3667">
                  <c:v>0.73354670934183752</c:v>
                </c:pt>
                <c:pt idx="3668">
                  <c:v>0.73374674934983908</c:v>
                </c:pt>
                <c:pt idx="3669">
                  <c:v>0.73394678935784063</c:v>
                </c:pt>
                <c:pt idx="3670">
                  <c:v>0.73414682936584219</c:v>
                </c:pt>
                <c:pt idx="3671">
                  <c:v>0.73434686937384375</c:v>
                </c:pt>
                <c:pt idx="3672">
                  <c:v>0.7345469093818453</c:v>
                </c:pt>
                <c:pt idx="3673">
                  <c:v>0.73474694938984686</c:v>
                </c:pt>
                <c:pt idx="3674">
                  <c:v>0.73494698939784842</c:v>
                </c:pt>
                <c:pt idx="3675">
                  <c:v>0.73514702940584997</c:v>
                </c:pt>
                <c:pt idx="3676">
                  <c:v>0.73534706941385153</c:v>
                </c:pt>
                <c:pt idx="3677">
                  <c:v>0.73554710942185308</c:v>
                </c:pt>
                <c:pt idx="3678">
                  <c:v>0.73574714942985464</c:v>
                </c:pt>
                <c:pt idx="3679">
                  <c:v>0.7359471894378562</c:v>
                </c:pt>
                <c:pt idx="3680">
                  <c:v>0.73614722944585775</c:v>
                </c:pt>
                <c:pt idx="3681">
                  <c:v>0.73634726945385931</c:v>
                </c:pt>
                <c:pt idx="3682">
                  <c:v>0.73654730946186087</c:v>
                </c:pt>
                <c:pt idx="3683">
                  <c:v>0.73674734946986242</c:v>
                </c:pt>
                <c:pt idx="3684">
                  <c:v>0.73694738947786398</c:v>
                </c:pt>
                <c:pt idx="3685">
                  <c:v>0.73714742948586554</c:v>
                </c:pt>
                <c:pt idx="3686">
                  <c:v>0.73734746949386709</c:v>
                </c:pt>
                <c:pt idx="3687">
                  <c:v>0.73754750950186865</c:v>
                </c:pt>
                <c:pt idx="3688">
                  <c:v>0.7377475495098702</c:v>
                </c:pt>
                <c:pt idx="3689">
                  <c:v>0.73794758951787176</c:v>
                </c:pt>
                <c:pt idx="3690">
                  <c:v>0.73814762952587332</c:v>
                </c:pt>
                <c:pt idx="3691">
                  <c:v>0.73834766953387487</c:v>
                </c:pt>
                <c:pt idx="3692">
                  <c:v>0.73854770954187643</c:v>
                </c:pt>
                <c:pt idx="3693">
                  <c:v>0.73874774954987799</c:v>
                </c:pt>
                <c:pt idx="3694">
                  <c:v>0.73894778955787954</c:v>
                </c:pt>
                <c:pt idx="3695">
                  <c:v>0.7391478295658811</c:v>
                </c:pt>
                <c:pt idx="3696">
                  <c:v>0.73934786957388265</c:v>
                </c:pt>
                <c:pt idx="3697">
                  <c:v>0.73954790958188421</c:v>
                </c:pt>
                <c:pt idx="3698">
                  <c:v>0.73974794958988577</c:v>
                </c:pt>
                <c:pt idx="3699">
                  <c:v>0.73994798959788732</c:v>
                </c:pt>
                <c:pt idx="3700">
                  <c:v>0.74014802960588888</c:v>
                </c:pt>
                <c:pt idx="3701">
                  <c:v>0.74034806961389044</c:v>
                </c:pt>
                <c:pt idx="3702">
                  <c:v>0.74054810962189199</c:v>
                </c:pt>
                <c:pt idx="3703">
                  <c:v>0.74074814962989355</c:v>
                </c:pt>
                <c:pt idx="3704">
                  <c:v>0.7409481896378951</c:v>
                </c:pt>
                <c:pt idx="3705">
                  <c:v>0.74114822964589666</c:v>
                </c:pt>
                <c:pt idx="3706">
                  <c:v>0.74134826965389822</c:v>
                </c:pt>
                <c:pt idx="3707">
                  <c:v>0.74154830966189977</c:v>
                </c:pt>
                <c:pt idx="3708">
                  <c:v>0.74174834966990133</c:v>
                </c:pt>
                <c:pt idx="3709">
                  <c:v>0.74194838967790289</c:v>
                </c:pt>
                <c:pt idx="3710">
                  <c:v>0.74214842968590444</c:v>
                </c:pt>
                <c:pt idx="3711">
                  <c:v>0.742348469693906</c:v>
                </c:pt>
                <c:pt idx="3712">
                  <c:v>0.74254850970190756</c:v>
                </c:pt>
                <c:pt idx="3713">
                  <c:v>0.74274854970990911</c:v>
                </c:pt>
                <c:pt idx="3714">
                  <c:v>0.74294858971791067</c:v>
                </c:pt>
                <c:pt idx="3715">
                  <c:v>0.74314862972591222</c:v>
                </c:pt>
                <c:pt idx="3716">
                  <c:v>0.74334866973391378</c:v>
                </c:pt>
                <c:pt idx="3717">
                  <c:v>0.74354870974191534</c:v>
                </c:pt>
                <c:pt idx="3718">
                  <c:v>0.74374874974991689</c:v>
                </c:pt>
                <c:pt idx="3719">
                  <c:v>0.74394878975791845</c:v>
                </c:pt>
                <c:pt idx="3720">
                  <c:v>0.74414882976592001</c:v>
                </c:pt>
                <c:pt idx="3721">
                  <c:v>0.74434886977392156</c:v>
                </c:pt>
                <c:pt idx="3722">
                  <c:v>0.74454890978192312</c:v>
                </c:pt>
                <c:pt idx="3723">
                  <c:v>0.74474894978992467</c:v>
                </c:pt>
                <c:pt idx="3724">
                  <c:v>0.74494898979792623</c:v>
                </c:pt>
                <c:pt idx="3725">
                  <c:v>0.74514902980592779</c:v>
                </c:pt>
                <c:pt idx="3726">
                  <c:v>0.74534906981392934</c:v>
                </c:pt>
                <c:pt idx="3727">
                  <c:v>0.7455491098219309</c:v>
                </c:pt>
                <c:pt idx="3728">
                  <c:v>0.74574914982993246</c:v>
                </c:pt>
                <c:pt idx="3729">
                  <c:v>0.74594918983793401</c:v>
                </c:pt>
                <c:pt idx="3730">
                  <c:v>0.74614922984593557</c:v>
                </c:pt>
                <c:pt idx="3731">
                  <c:v>0.74634926985393713</c:v>
                </c:pt>
                <c:pt idx="3732">
                  <c:v>0.74654930986193868</c:v>
                </c:pt>
                <c:pt idx="3733">
                  <c:v>0.74674934986994024</c:v>
                </c:pt>
                <c:pt idx="3734">
                  <c:v>0.74694938987794179</c:v>
                </c:pt>
                <c:pt idx="3735">
                  <c:v>0.74714942988594335</c:v>
                </c:pt>
                <c:pt idx="3736">
                  <c:v>0.74734946989394491</c:v>
                </c:pt>
                <c:pt idx="3737">
                  <c:v>0.74754950990194646</c:v>
                </c:pt>
                <c:pt idx="3738">
                  <c:v>0.74774954990994802</c:v>
                </c:pt>
                <c:pt idx="3739">
                  <c:v>0.74794958991794958</c:v>
                </c:pt>
                <c:pt idx="3740">
                  <c:v>0.74814962992595113</c:v>
                </c:pt>
                <c:pt idx="3741">
                  <c:v>0.74834966993395269</c:v>
                </c:pt>
                <c:pt idx="3742">
                  <c:v>0.74854970994195424</c:v>
                </c:pt>
                <c:pt idx="3743">
                  <c:v>0.7487497499499558</c:v>
                </c:pt>
                <c:pt idx="3744">
                  <c:v>0.74894978995795736</c:v>
                </c:pt>
                <c:pt idx="3745">
                  <c:v>0.74914982996595891</c:v>
                </c:pt>
                <c:pt idx="3746">
                  <c:v>0.74934986997396047</c:v>
                </c:pt>
                <c:pt idx="3747">
                  <c:v>0.74954990998196203</c:v>
                </c:pt>
                <c:pt idx="3748">
                  <c:v>0.74974994998996358</c:v>
                </c:pt>
                <c:pt idx="3749">
                  <c:v>0.74994998999796514</c:v>
                </c:pt>
                <c:pt idx="3750">
                  <c:v>0.75015003000596669</c:v>
                </c:pt>
                <c:pt idx="3751">
                  <c:v>0.75035007001396825</c:v>
                </c:pt>
                <c:pt idx="3752">
                  <c:v>0.75055011002196981</c:v>
                </c:pt>
                <c:pt idx="3753">
                  <c:v>0.75075015002997136</c:v>
                </c:pt>
                <c:pt idx="3754">
                  <c:v>0.75095019003797292</c:v>
                </c:pt>
                <c:pt idx="3755">
                  <c:v>0.75115023004597448</c:v>
                </c:pt>
                <c:pt idx="3756">
                  <c:v>0.75135027005397603</c:v>
                </c:pt>
                <c:pt idx="3757">
                  <c:v>0.75155031006197759</c:v>
                </c:pt>
                <c:pt idx="3758">
                  <c:v>0.75175035006997915</c:v>
                </c:pt>
                <c:pt idx="3759">
                  <c:v>0.7519503900779807</c:v>
                </c:pt>
                <c:pt idx="3760">
                  <c:v>0.75215043008598226</c:v>
                </c:pt>
                <c:pt idx="3761">
                  <c:v>0.75235047009398381</c:v>
                </c:pt>
                <c:pt idx="3762">
                  <c:v>0.75255051010198537</c:v>
                </c:pt>
                <c:pt idx="3763">
                  <c:v>0.75275055010998693</c:v>
                </c:pt>
                <c:pt idx="3764">
                  <c:v>0.75295059011798848</c:v>
                </c:pt>
                <c:pt idx="3765">
                  <c:v>0.75315063012599004</c:v>
                </c:pt>
                <c:pt idx="3766">
                  <c:v>0.7533506701339916</c:v>
                </c:pt>
                <c:pt idx="3767">
                  <c:v>0.75355071014199315</c:v>
                </c:pt>
                <c:pt idx="3768">
                  <c:v>0.75375075014999471</c:v>
                </c:pt>
                <c:pt idx="3769">
                  <c:v>0.75395079015799626</c:v>
                </c:pt>
                <c:pt idx="3770">
                  <c:v>0.75415083016599782</c:v>
                </c:pt>
                <c:pt idx="3771">
                  <c:v>0.75435087017399938</c:v>
                </c:pt>
                <c:pt idx="3772">
                  <c:v>0.75455091018200093</c:v>
                </c:pt>
                <c:pt idx="3773">
                  <c:v>0.75475095019000249</c:v>
                </c:pt>
                <c:pt idx="3774">
                  <c:v>0.75495099019800405</c:v>
                </c:pt>
                <c:pt idx="3775">
                  <c:v>0.7551510302060056</c:v>
                </c:pt>
                <c:pt idx="3776">
                  <c:v>0.75535107021400716</c:v>
                </c:pt>
                <c:pt idx="3777">
                  <c:v>0.75555111022200871</c:v>
                </c:pt>
                <c:pt idx="3778">
                  <c:v>0.75575115023001027</c:v>
                </c:pt>
                <c:pt idx="3779">
                  <c:v>0.75595119023801183</c:v>
                </c:pt>
                <c:pt idx="3780">
                  <c:v>0.75615123024601338</c:v>
                </c:pt>
                <c:pt idx="3781">
                  <c:v>0.75635127025401494</c:v>
                </c:pt>
                <c:pt idx="3782">
                  <c:v>0.7565513102620165</c:v>
                </c:pt>
                <c:pt idx="3783">
                  <c:v>0.75675135027001805</c:v>
                </c:pt>
                <c:pt idx="3784">
                  <c:v>0.75695139027801961</c:v>
                </c:pt>
                <c:pt idx="3785">
                  <c:v>0.75715143028602117</c:v>
                </c:pt>
                <c:pt idx="3786">
                  <c:v>0.75735147029402272</c:v>
                </c:pt>
                <c:pt idx="3787">
                  <c:v>0.75755151030202428</c:v>
                </c:pt>
                <c:pt idx="3788">
                  <c:v>0.75775155031002583</c:v>
                </c:pt>
                <c:pt idx="3789">
                  <c:v>0.75795159031802739</c:v>
                </c:pt>
                <c:pt idx="3790">
                  <c:v>0.75815163032602895</c:v>
                </c:pt>
                <c:pt idx="3791">
                  <c:v>0.7583516703340305</c:v>
                </c:pt>
                <c:pt idx="3792">
                  <c:v>0.75855171034203206</c:v>
                </c:pt>
                <c:pt idx="3793">
                  <c:v>0.75875175035003362</c:v>
                </c:pt>
                <c:pt idx="3794">
                  <c:v>0.75895179035803517</c:v>
                </c:pt>
                <c:pt idx="3795">
                  <c:v>0.75915183036603673</c:v>
                </c:pt>
                <c:pt idx="3796">
                  <c:v>0.75935187037403828</c:v>
                </c:pt>
                <c:pt idx="3797">
                  <c:v>0.75955191038203984</c:v>
                </c:pt>
                <c:pt idx="3798">
                  <c:v>0.7597519503900414</c:v>
                </c:pt>
                <c:pt idx="3799">
                  <c:v>0.75995199039804295</c:v>
                </c:pt>
                <c:pt idx="3800">
                  <c:v>0.76015203040604451</c:v>
                </c:pt>
                <c:pt idx="3801">
                  <c:v>0.76035207041404607</c:v>
                </c:pt>
                <c:pt idx="3802">
                  <c:v>0.76055211042204762</c:v>
                </c:pt>
                <c:pt idx="3803">
                  <c:v>0.76075215043004918</c:v>
                </c:pt>
                <c:pt idx="3804">
                  <c:v>0.76095219043805074</c:v>
                </c:pt>
                <c:pt idx="3805">
                  <c:v>0.76115223044605229</c:v>
                </c:pt>
                <c:pt idx="3806">
                  <c:v>0.76135227045405385</c:v>
                </c:pt>
                <c:pt idx="3807">
                  <c:v>0.7615523104620554</c:v>
                </c:pt>
                <c:pt idx="3808">
                  <c:v>0.76175235047005696</c:v>
                </c:pt>
                <c:pt idx="3809">
                  <c:v>0.76195239047805852</c:v>
                </c:pt>
                <c:pt idx="3810">
                  <c:v>0.76215243048606007</c:v>
                </c:pt>
                <c:pt idx="3811">
                  <c:v>0.76235247049406163</c:v>
                </c:pt>
                <c:pt idx="3812">
                  <c:v>0.76255251050206319</c:v>
                </c:pt>
                <c:pt idx="3813">
                  <c:v>0.76275255051006474</c:v>
                </c:pt>
                <c:pt idx="3814">
                  <c:v>0.7629525905180663</c:v>
                </c:pt>
                <c:pt idx="3815">
                  <c:v>0.76315263052606785</c:v>
                </c:pt>
                <c:pt idx="3816">
                  <c:v>0.76335267053406941</c:v>
                </c:pt>
                <c:pt idx="3817">
                  <c:v>0.76355271054207097</c:v>
                </c:pt>
                <c:pt idx="3818">
                  <c:v>0.76375275055007252</c:v>
                </c:pt>
                <c:pt idx="3819">
                  <c:v>0.76395279055807408</c:v>
                </c:pt>
                <c:pt idx="3820">
                  <c:v>0.76415283056607564</c:v>
                </c:pt>
                <c:pt idx="3821">
                  <c:v>0.76435287057407719</c:v>
                </c:pt>
                <c:pt idx="3822">
                  <c:v>0.76455291058207875</c:v>
                </c:pt>
                <c:pt idx="3823">
                  <c:v>0.7647529505900803</c:v>
                </c:pt>
                <c:pt idx="3824">
                  <c:v>0.76495299059808186</c:v>
                </c:pt>
                <c:pt idx="3825">
                  <c:v>0.76515303060608342</c:v>
                </c:pt>
                <c:pt idx="3826">
                  <c:v>0.76535307061408497</c:v>
                </c:pt>
                <c:pt idx="3827">
                  <c:v>0.76555311062208653</c:v>
                </c:pt>
                <c:pt idx="3828">
                  <c:v>0.76575315063008809</c:v>
                </c:pt>
                <c:pt idx="3829">
                  <c:v>0.76595319063808964</c:v>
                </c:pt>
                <c:pt idx="3830">
                  <c:v>0.7661532306460912</c:v>
                </c:pt>
                <c:pt idx="3831">
                  <c:v>0.76635327065409276</c:v>
                </c:pt>
                <c:pt idx="3832">
                  <c:v>0.76655331066209431</c:v>
                </c:pt>
                <c:pt idx="3833">
                  <c:v>0.76675335067009587</c:v>
                </c:pt>
                <c:pt idx="3834">
                  <c:v>0.76695339067809742</c:v>
                </c:pt>
                <c:pt idx="3835">
                  <c:v>0.76715343068609898</c:v>
                </c:pt>
                <c:pt idx="3836">
                  <c:v>0.76735347069410054</c:v>
                </c:pt>
                <c:pt idx="3837">
                  <c:v>0.76755351070210209</c:v>
                </c:pt>
                <c:pt idx="3838">
                  <c:v>0.76775355071010365</c:v>
                </c:pt>
                <c:pt idx="3839">
                  <c:v>0.76795359071810521</c:v>
                </c:pt>
                <c:pt idx="3840">
                  <c:v>0.76815363072610676</c:v>
                </c:pt>
                <c:pt idx="3841">
                  <c:v>0.76835367073410832</c:v>
                </c:pt>
                <c:pt idx="3842">
                  <c:v>0.76855371074210987</c:v>
                </c:pt>
                <c:pt idx="3843">
                  <c:v>0.76875375075011143</c:v>
                </c:pt>
                <c:pt idx="3844">
                  <c:v>0.76895379075811299</c:v>
                </c:pt>
                <c:pt idx="3845">
                  <c:v>0.76915383076611454</c:v>
                </c:pt>
                <c:pt idx="3846">
                  <c:v>0.7693538707741161</c:v>
                </c:pt>
                <c:pt idx="3847">
                  <c:v>0.76955391078211766</c:v>
                </c:pt>
                <c:pt idx="3848">
                  <c:v>0.76975395079011921</c:v>
                </c:pt>
                <c:pt idx="3849">
                  <c:v>0.76995399079812077</c:v>
                </c:pt>
                <c:pt idx="3850">
                  <c:v>0.77015403080612233</c:v>
                </c:pt>
                <c:pt idx="3851">
                  <c:v>0.77035407081412388</c:v>
                </c:pt>
                <c:pt idx="3852">
                  <c:v>0.77055411082212544</c:v>
                </c:pt>
                <c:pt idx="3853">
                  <c:v>0.77075415083012699</c:v>
                </c:pt>
                <c:pt idx="3854">
                  <c:v>0.77095419083812855</c:v>
                </c:pt>
                <c:pt idx="3855">
                  <c:v>0.77115423084613011</c:v>
                </c:pt>
                <c:pt idx="3856">
                  <c:v>0.77135427085413166</c:v>
                </c:pt>
                <c:pt idx="3857">
                  <c:v>0.77155431086213322</c:v>
                </c:pt>
                <c:pt idx="3858">
                  <c:v>0.77175435087013478</c:v>
                </c:pt>
                <c:pt idx="3859">
                  <c:v>0.77195439087813633</c:v>
                </c:pt>
                <c:pt idx="3860">
                  <c:v>0.77215443088613789</c:v>
                </c:pt>
                <c:pt idx="3861">
                  <c:v>0.77235447089413944</c:v>
                </c:pt>
                <c:pt idx="3862">
                  <c:v>0.772554510902141</c:v>
                </c:pt>
                <c:pt idx="3863">
                  <c:v>0.77275455091014256</c:v>
                </c:pt>
                <c:pt idx="3864">
                  <c:v>0.77295459091814411</c:v>
                </c:pt>
                <c:pt idx="3865">
                  <c:v>0.77315463092614567</c:v>
                </c:pt>
                <c:pt idx="3866">
                  <c:v>0.77335467093414723</c:v>
                </c:pt>
                <c:pt idx="3867">
                  <c:v>0.77355471094214878</c:v>
                </c:pt>
                <c:pt idx="3868">
                  <c:v>0.77375475095015034</c:v>
                </c:pt>
                <c:pt idx="3869">
                  <c:v>0.77395479095815189</c:v>
                </c:pt>
                <c:pt idx="3870">
                  <c:v>0.77415483096615345</c:v>
                </c:pt>
                <c:pt idx="3871">
                  <c:v>0.77435487097415501</c:v>
                </c:pt>
                <c:pt idx="3872">
                  <c:v>0.77455491098215656</c:v>
                </c:pt>
                <c:pt idx="3873">
                  <c:v>0.77475495099015812</c:v>
                </c:pt>
                <c:pt idx="3874">
                  <c:v>0.77495499099815968</c:v>
                </c:pt>
                <c:pt idx="3875">
                  <c:v>0.77515503100616123</c:v>
                </c:pt>
                <c:pt idx="3876">
                  <c:v>0.77535507101416279</c:v>
                </c:pt>
                <c:pt idx="3877">
                  <c:v>0.77555511102216435</c:v>
                </c:pt>
                <c:pt idx="3878">
                  <c:v>0.7757551510301659</c:v>
                </c:pt>
                <c:pt idx="3879">
                  <c:v>0.77595519103816746</c:v>
                </c:pt>
                <c:pt idx="3880">
                  <c:v>0.77615523104616901</c:v>
                </c:pt>
                <c:pt idx="3881">
                  <c:v>0.77635527105417057</c:v>
                </c:pt>
                <c:pt idx="3882">
                  <c:v>0.77655531106217213</c:v>
                </c:pt>
                <c:pt idx="3883">
                  <c:v>0.77675535107017368</c:v>
                </c:pt>
                <c:pt idx="3884">
                  <c:v>0.77695539107817524</c:v>
                </c:pt>
                <c:pt idx="3885">
                  <c:v>0.7771554310861768</c:v>
                </c:pt>
                <c:pt idx="3886">
                  <c:v>0.77735547109417835</c:v>
                </c:pt>
                <c:pt idx="3887">
                  <c:v>0.77755551110217991</c:v>
                </c:pt>
                <c:pt idx="3888">
                  <c:v>0.77775555111018146</c:v>
                </c:pt>
                <c:pt idx="3889">
                  <c:v>0.77795559111818302</c:v>
                </c:pt>
                <c:pt idx="3890">
                  <c:v>0.77815563112618458</c:v>
                </c:pt>
                <c:pt idx="3891">
                  <c:v>0.77835567113418613</c:v>
                </c:pt>
                <c:pt idx="3892">
                  <c:v>0.77855571114218769</c:v>
                </c:pt>
                <c:pt idx="3893">
                  <c:v>0.77875575115018925</c:v>
                </c:pt>
                <c:pt idx="3894">
                  <c:v>0.7789557911581908</c:v>
                </c:pt>
                <c:pt idx="3895">
                  <c:v>0.77915583116619236</c:v>
                </c:pt>
                <c:pt idx="3896">
                  <c:v>0.77935587117419391</c:v>
                </c:pt>
                <c:pt idx="3897">
                  <c:v>0.77955591118219547</c:v>
                </c:pt>
                <c:pt idx="3898">
                  <c:v>0.77975595119019703</c:v>
                </c:pt>
                <c:pt idx="3899">
                  <c:v>0.77995599119819858</c:v>
                </c:pt>
                <c:pt idx="3900">
                  <c:v>0.78015603120620014</c:v>
                </c:pt>
                <c:pt idx="3901">
                  <c:v>0.7803560712142017</c:v>
                </c:pt>
                <c:pt idx="3902">
                  <c:v>0.78055611122220325</c:v>
                </c:pt>
                <c:pt idx="3903">
                  <c:v>0.78075615123020481</c:v>
                </c:pt>
                <c:pt idx="3904">
                  <c:v>0.78095619123820637</c:v>
                </c:pt>
                <c:pt idx="3905">
                  <c:v>0.78115623124620792</c:v>
                </c:pt>
                <c:pt idx="3906">
                  <c:v>0.78135627125420948</c:v>
                </c:pt>
                <c:pt idx="3907">
                  <c:v>0.78155631126221103</c:v>
                </c:pt>
                <c:pt idx="3908">
                  <c:v>0.78175635127021259</c:v>
                </c:pt>
                <c:pt idx="3909">
                  <c:v>0.78195639127821415</c:v>
                </c:pt>
                <c:pt idx="3910">
                  <c:v>0.7821564312862157</c:v>
                </c:pt>
                <c:pt idx="3911">
                  <c:v>0.78235647129421726</c:v>
                </c:pt>
                <c:pt idx="3912">
                  <c:v>0.78255651130221882</c:v>
                </c:pt>
                <c:pt idx="3913">
                  <c:v>0.78275655131022037</c:v>
                </c:pt>
                <c:pt idx="3914">
                  <c:v>0.78295659131822193</c:v>
                </c:pt>
                <c:pt idx="3915">
                  <c:v>0.78315663132622348</c:v>
                </c:pt>
                <c:pt idx="3916">
                  <c:v>0.78335667133422504</c:v>
                </c:pt>
                <c:pt idx="3917">
                  <c:v>0.7835567113422266</c:v>
                </c:pt>
                <c:pt idx="3918">
                  <c:v>0.78375675135022815</c:v>
                </c:pt>
                <c:pt idx="3919">
                  <c:v>0.78395679135822971</c:v>
                </c:pt>
                <c:pt idx="3920">
                  <c:v>0.78415683136623127</c:v>
                </c:pt>
                <c:pt idx="3921">
                  <c:v>0.78435687137423282</c:v>
                </c:pt>
                <c:pt idx="3922">
                  <c:v>0.78455691138223438</c:v>
                </c:pt>
                <c:pt idx="3923">
                  <c:v>0.78475695139023594</c:v>
                </c:pt>
                <c:pt idx="3924">
                  <c:v>0.78495699139823749</c:v>
                </c:pt>
                <c:pt idx="3925">
                  <c:v>0.78515703140623905</c:v>
                </c:pt>
                <c:pt idx="3926">
                  <c:v>0.7853570714142406</c:v>
                </c:pt>
                <c:pt idx="3927">
                  <c:v>0.78555711142224216</c:v>
                </c:pt>
                <c:pt idx="3928">
                  <c:v>0.78575715143024372</c:v>
                </c:pt>
                <c:pt idx="3929">
                  <c:v>0.78595719143824527</c:v>
                </c:pt>
                <c:pt idx="3930">
                  <c:v>0.78615723144624683</c:v>
                </c:pt>
                <c:pt idx="3931">
                  <c:v>0.78635727145424839</c:v>
                </c:pt>
                <c:pt idx="3932">
                  <c:v>0.78655731146224994</c:v>
                </c:pt>
                <c:pt idx="3933">
                  <c:v>0.7867573514702515</c:v>
                </c:pt>
                <c:pt idx="3934">
                  <c:v>0.78695739147825305</c:v>
                </c:pt>
                <c:pt idx="3935">
                  <c:v>0.78715743148625461</c:v>
                </c:pt>
                <c:pt idx="3936">
                  <c:v>0.78735747149425617</c:v>
                </c:pt>
                <c:pt idx="3937">
                  <c:v>0.78755751150225772</c:v>
                </c:pt>
                <c:pt idx="3938">
                  <c:v>0.78775755151025928</c:v>
                </c:pt>
                <c:pt idx="3939">
                  <c:v>0.78795759151826084</c:v>
                </c:pt>
                <c:pt idx="3940">
                  <c:v>0.78815763152626239</c:v>
                </c:pt>
                <c:pt idx="3941">
                  <c:v>0.78835767153426395</c:v>
                </c:pt>
                <c:pt idx="3942">
                  <c:v>0.7885577115422655</c:v>
                </c:pt>
                <c:pt idx="3943">
                  <c:v>0.78875775155026706</c:v>
                </c:pt>
                <c:pt idx="3944">
                  <c:v>0.78895779155826862</c:v>
                </c:pt>
                <c:pt idx="3945">
                  <c:v>0.78915783156627017</c:v>
                </c:pt>
                <c:pt idx="3946">
                  <c:v>0.78935787157427173</c:v>
                </c:pt>
                <c:pt idx="3947">
                  <c:v>0.78955791158227329</c:v>
                </c:pt>
                <c:pt idx="3948">
                  <c:v>0.78975795159027484</c:v>
                </c:pt>
                <c:pt idx="3949">
                  <c:v>0.7899579915982764</c:v>
                </c:pt>
                <c:pt idx="3950">
                  <c:v>0.79015803160627796</c:v>
                </c:pt>
                <c:pt idx="3951">
                  <c:v>0.79035807161427951</c:v>
                </c:pt>
                <c:pt idx="3952">
                  <c:v>0.79055811162228107</c:v>
                </c:pt>
                <c:pt idx="3953">
                  <c:v>0.79075815163028262</c:v>
                </c:pt>
                <c:pt idx="3954">
                  <c:v>0.79095819163828418</c:v>
                </c:pt>
                <c:pt idx="3955">
                  <c:v>0.79115823164628574</c:v>
                </c:pt>
                <c:pt idx="3956">
                  <c:v>0.79135827165428729</c:v>
                </c:pt>
                <c:pt idx="3957">
                  <c:v>0.79155831166228885</c:v>
                </c:pt>
                <c:pt idx="3958">
                  <c:v>0.79175835167029041</c:v>
                </c:pt>
                <c:pt idx="3959">
                  <c:v>0.79195839167829196</c:v>
                </c:pt>
                <c:pt idx="3960">
                  <c:v>0.79215843168629352</c:v>
                </c:pt>
                <c:pt idx="3961">
                  <c:v>0.79235847169429507</c:v>
                </c:pt>
                <c:pt idx="3962">
                  <c:v>0.79255851170229663</c:v>
                </c:pt>
                <c:pt idx="3963">
                  <c:v>0.79275855171029819</c:v>
                </c:pt>
                <c:pt idx="3964">
                  <c:v>0.79295859171829974</c:v>
                </c:pt>
                <c:pt idx="3965">
                  <c:v>0.7931586317263013</c:v>
                </c:pt>
                <c:pt idx="3966">
                  <c:v>0.79335867173430286</c:v>
                </c:pt>
                <c:pt idx="3967">
                  <c:v>0.79355871174230441</c:v>
                </c:pt>
                <c:pt idx="3968">
                  <c:v>0.79375875175030597</c:v>
                </c:pt>
                <c:pt idx="3969">
                  <c:v>0.79395879175830752</c:v>
                </c:pt>
                <c:pt idx="3970">
                  <c:v>0.79415883176630908</c:v>
                </c:pt>
                <c:pt idx="3971">
                  <c:v>0.79435887177431064</c:v>
                </c:pt>
                <c:pt idx="3972">
                  <c:v>0.79455891178231219</c:v>
                </c:pt>
                <c:pt idx="3973">
                  <c:v>0.79475895179031375</c:v>
                </c:pt>
                <c:pt idx="3974">
                  <c:v>0.79495899179831531</c:v>
                </c:pt>
                <c:pt idx="3975">
                  <c:v>0.79515903180631686</c:v>
                </c:pt>
                <c:pt idx="3976">
                  <c:v>0.79535907181431842</c:v>
                </c:pt>
                <c:pt idx="3977">
                  <c:v>0.79555911182231998</c:v>
                </c:pt>
                <c:pt idx="3978">
                  <c:v>0.79575915183032153</c:v>
                </c:pt>
                <c:pt idx="3979">
                  <c:v>0.79595919183832309</c:v>
                </c:pt>
                <c:pt idx="3980">
                  <c:v>0.79615923184632464</c:v>
                </c:pt>
                <c:pt idx="3981">
                  <c:v>0.7963592718543262</c:v>
                </c:pt>
                <c:pt idx="3982">
                  <c:v>0.79655931186232776</c:v>
                </c:pt>
                <c:pt idx="3983">
                  <c:v>0.79675935187032931</c:v>
                </c:pt>
                <c:pt idx="3984">
                  <c:v>0.79695939187833087</c:v>
                </c:pt>
                <c:pt idx="3985">
                  <c:v>0.79715943188633243</c:v>
                </c:pt>
                <c:pt idx="3986">
                  <c:v>0.79735947189433398</c:v>
                </c:pt>
                <c:pt idx="3987">
                  <c:v>0.79755951190233554</c:v>
                </c:pt>
                <c:pt idx="3988">
                  <c:v>0.79775955191033709</c:v>
                </c:pt>
                <c:pt idx="3989">
                  <c:v>0.79795959191833865</c:v>
                </c:pt>
                <c:pt idx="3990">
                  <c:v>0.79815963192634021</c:v>
                </c:pt>
                <c:pt idx="3991">
                  <c:v>0.79835967193434176</c:v>
                </c:pt>
                <c:pt idx="3992">
                  <c:v>0.79855971194234332</c:v>
                </c:pt>
                <c:pt idx="3993">
                  <c:v>0.79875975195034488</c:v>
                </c:pt>
                <c:pt idx="3994">
                  <c:v>0.79895979195834643</c:v>
                </c:pt>
                <c:pt idx="3995">
                  <c:v>0.79915983196634799</c:v>
                </c:pt>
                <c:pt idx="3996">
                  <c:v>0.79935987197434955</c:v>
                </c:pt>
                <c:pt idx="3997">
                  <c:v>0.7995599119823511</c:v>
                </c:pt>
                <c:pt idx="3998">
                  <c:v>0.79975995199035266</c:v>
                </c:pt>
                <c:pt idx="3999">
                  <c:v>0.79995999199835421</c:v>
                </c:pt>
                <c:pt idx="4000">
                  <c:v>0.80016003200635577</c:v>
                </c:pt>
                <c:pt idx="4001">
                  <c:v>0.80036007201435733</c:v>
                </c:pt>
                <c:pt idx="4002">
                  <c:v>0.80056011202235888</c:v>
                </c:pt>
                <c:pt idx="4003">
                  <c:v>0.80076015203036044</c:v>
                </c:pt>
                <c:pt idx="4004">
                  <c:v>0.800960192038362</c:v>
                </c:pt>
                <c:pt idx="4005">
                  <c:v>0.80116023204636355</c:v>
                </c:pt>
                <c:pt idx="4006">
                  <c:v>0.80136027205436511</c:v>
                </c:pt>
                <c:pt idx="4007">
                  <c:v>0.80156031206236666</c:v>
                </c:pt>
                <c:pt idx="4008">
                  <c:v>0.80176035207036822</c:v>
                </c:pt>
                <c:pt idx="4009">
                  <c:v>0.80196039207836978</c:v>
                </c:pt>
                <c:pt idx="4010">
                  <c:v>0.80216043208637133</c:v>
                </c:pt>
                <c:pt idx="4011">
                  <c:v>0.80236047209437289</c:v>
                </c:pt>
                <c:pt idx="4012">
                  <c:v>0.80256051210237445</c:v>
                </c:pt>
                <c:pt idx="4013">
                  <c:v>0.802760552110376</c:v>
                </c:pt>
                <c:pt idx="4014">
                  <c:v>0.80296059211837756</c:v>
                </c:pt>
                <c:pt idx="4015">
                  <c:v>0.80316063212637911</c:v>
                </c:pt>
                <c:pt idx="4016">
                  <c:v>0.80336067213438067</c:v>
                </c:pt>
                <c:pt idx="4017">
                  <c:v>0.80356071214238223</c:v>
                </c:pt>
                <c:pt idx="4018">
                  <c:v>0.80376075215038378</c:v>
                </c:pt>
                <c:pt idx="4019">
                  <c:v>0.80396079215838534</c:v>
                </c:pt>
                <c:pt idx="4020">
                  <c:v>0.8041608321663869</c:v>
                </c:pt>
                <c:pt idx="4021">
                  <c:v>0.80436087217438845</c:v>
                </c:pt>
                <c:pt idx="4022">
                  <c:v>0.80456091218239001</c:v>
                </c:pt>
                <c:pt idx="4023">
                  <c:v>0.80476095219039157</c:v>
                </c:pt>
                <c:pt idx="4024">
                  <c:v>0.80496099219839312</c:v>
                </c:pt>
                <c:pt idx="4025">
                  <c:v>0.80516103220639468</c:v>
                </c:pt>
                <c:pt idx="4026">
                  <c:v>0.80536107221439623</c:v>
                </c:pt>
                <c:pt idx="4027">
                  <c:v>0.80556111222239779</c:v>
                </c:pt>
                <c:pt idx="4028">
                  <c:v>0.80576115223039935</c:v>
                </c:pt>
                <c:pt idx="4029">
                  <c:v>0.8059611922384009</c:v>
                </c:pt>
                <c:pt idx="4030">
                  <c:v>0.80616123224640246</c:v>
                </c:pt>
                <c:pt idx="4031">
                  <c:v>0.80636127225440402</c:v>
                </c:pt>
                <c:pt idx="4032">
                  <c:v>0.80656131226240557</c:v>
                </c:pt>
                <c:pt idx="4033">
                  <c:v>0.80676135227040713</c:v>
                </c:pt>
                <c:pt idx="4034">
                  <c:v>0.80696139227840868</c:v>
                </c:pt>
                <c:pt idx="4035">
                  <c:v>0.80716143228641024</c:v>
                </c:pt>
                <c:pt idx="4036">
                  <c:v>0.8073614722944118</c:v>
                </c:pt>
                <c:pt idx="4037">
                  <c:v>0.80756151230241335</c:v>
                </c:pt>
                <c:pt idx="4038">
                  <c:v>0.80776155231041491</c:v>
                </c:pt>
                <c:pt idx="4039">
                  <c:v>0.80796159231841647</c:v>
                </c:pt>
                <c:pt idx="4040">
                  <c:v>0.80816163232641802</c:v>
                </c:pt>
                <c:pt idx="4041">
                  <c:v>0.80836167233441958</c:v>
                </c:pt>
                <c:pt idx="4042">
                  <c:v>0.80856171234242113</c:v>
                </c:pt>
                <c:pt idx="4043">
                  <c:v>0.80876175235042269</c:v>
                </c:pt>
                <c:pt idx="4044">
                  <c:v>0.80896179235842425</c:v>
                </c:pt>
                <c:pt idx="4045">
                  <c:v>0.8091618323664258</c:v>
                </c:pt>
                <c:pt idx="4046">
                  <c:v>0.80936187237442736</c:v>
                </c:pt>
                <c:pt idx="4047">
                  <c:v>0.80956191238242892</c:v>
                </c:pt>
                <c:pt idx="4048">
                  <c:v>0.80976195239043047</c:v>
                </c:pt>
                <c:pt idx="4049">
                  <c:v>0.80996199239843203</c:v>
                </c:pt>
                <c:pt idx="4050">
                  <c:v>0.81016203240643359</c:v>
                </c:pt>
                <c:pt idx="4051">
                  <c:v>0.81036207241443514</c:v>
                </c:pt>
                <c:pt idx="4052">
                  <c:v>0.8105621124224367</c:v>
                </c:pt>
                <c:pt idx="4053">
                  <c:v>0.81076215243043825</c:v>
                </c:pt>
                <c:pt idx="4054">
                  <c:v>0.81096219243843981</c:v>
                </c:pt>
                <c:pt idx="4055">
                  <c:v>0.81116223244644137</c:v>
                </c:pt>
                <c:pt idx="4056">
                  <c:v>0.81136227245444292</c:v>
                </c:pt>
                <c:pt idx="4057">
                  <c:v>0.81156231246244448</c:v>
                </c:pt>
                <c:pt idx="4058">
                  <c:v>0.81176235247044604</c:v>
                </c:pt>
                <c:pt idx="4059">
                  <c:v>0.81196239247844759</c:v>
                </c:pt>
                <c:pt idx="4060">
                  <c:v>0.81216243248644915</c:v>
                </c:pt>
                <c:pt idx="4061">
                  <c:v>0.8123624724944507</c:v>
                </c:pt>
                <c:pt idx="4062">
                  <c:v>0.81256251250245226</c:v>
                </c:pt>
                <c:pt idx="4063">
                  <c:v>0.81276255251045382</c:v>
                </c:pt>
                <c:pt idx="4064">
                  <c:v>0.81296259251845537</c:v>
                </c:pt>
                <c:pt idx="4065">
                  <c:v>0.81316263252645693</c:v>
                </c:pt>
                <c:pt idx="4066">
                  <c:v>0.81336267253445849</c:v>
                </c:pt>
                <c:pt idx="4067">
                  <c:v>0.81356271254246004</c:v>
                </c:pt>
                <c:pt idx="4068">
                  <c:v>0.8137627525504616</c:v>
                </c:pt>
                <c:pt idx="4069">
                  <c:v>0.81396279255846316</c:v>
                </c:pt>
                <c:pt idx="4070">
                  <c:v>0.81416283256646471</c:v>
                </c:pt>
                <c:pt idx="4071">
                  <c:v>0.81436287257446627</c:v>
                </c:pt>
                <c:pt idx="4072">
                  <c:v>0.81456291258246782</c:v>
                </c:pt>
                <c:pt idx="4073">
                  <c:v>0.81476295259046938</c:v>
                </c:pt>
                <c:pt idx="4074">
                  <c:v>0.81496299259847094</c:v>
                </c:pt>
                <c:pt idx="4075">
                  <c:v>0.81516303260647249</c:v>
                </c:pt>
                <c:pt idx="4076">
                  <c:v>0.81536307261447405</c:v>
                </c:pt>
                <c:pt idx="4077">
                  <c:v>0.81556311262247561</c:v>
                </c:pt>
                <c:pt idx="4078">
                  <c:v>0.81576315263047716</c:v>
                </c:pt>
                <c:pt idx="4079">
                  <c:v>0.81596319263847872</c:v>
                </c:pt>
                <c:pt idx="4080">
                  <c:v>0.81616323264648027</c:v>
                </c:pt>
                <c:pt idx="4081">
                  <c:v>0.81636327265448183</c:v>
                </c:pt>
                <c:pt idx="4082">
                  <c:v>0.81656331266248339</c:v>
                </c:pt>
                <c:pt idx="4083">
                  <c:v>0.81676335267048494</c:v>
                </c:pt>
                <c:pt idx="4084">
                  <c:v>0.8169633926784865</c:v>
                </c:pt>
                <c:pt idx="4085">
                  <c:v>0.81716343268648806</c:v>
                </c:pt>
                <c:pt idx="4086">
                  <c:v>0.81736347269448961</c:v>
                </c:pt>
                <c:pt idx="4087">
                  <c:v>0.81756351270249117</c:v>
                </c:pt>
                <c:pt idx="4088">
                  <c:v>0.81776355271049272</c:v>
                </c:pt>
                <c:pt idx="4089">
                  <c:v>0.81796359271849428</c:v>
                </c:pt>
                <c:pt idx="4090">
                  <c:v>0.81816363272649584</c:v>
                </c:pt>
                <c:pt idx="4091">
                  <c:v>0.81836367273449739</c:v>
                </c:pt>
                <c:pt idx="4092">
                  <c:v>0.81856371274249895</c:v>
                </c:pt>
                <c:pt idx="4093">
                  <c:v>0.81876375275050051</c:v>
                </c:pt>
                <c:pt idx="4094">
                  <c:v>0.81896379275850206</c:v>
                </c:pt>
                <c:pt idx="4095">
                  <c:v>0.81916383276650362</c:v>
                </c:pt>
                <c:pt idx="4096">
                  <c:v>0.81936387277450518</c:v>
                </c:pt>
                <c:pt idx="4097">
                  <c:v>0.81956391278250673</c:v>
                </c:pt>
                <c:pt idx="4098">
                  <c:v>0.81976395279050829</c:v>
                </c:pt>
                <c:pt idx="4099">
                  <c:v>0.81996399279850984</c:v>
                </c:pt>
                <c:pt idx="4100">
                  <c:v>0.8201640328065114</c:v>
                </c:pt>
                <c:pt idx="4101">
                  <c:v>0.82036407281451296</c:v>
                </c:pt>
                <c:pt idx="4102">
                  <c:v>0.82056411282251451</c:v>
                </c:pt>
                <c:pt idx="4103">
                  <c:v>0.82076415283051607</c:v>
                </c:pt>
                <c:pt idx="4104">
                  <c:v>0.82096419283851763</c:v>
                </c:pt>
                <c:pt idx="4105">
                  <c:v>0.82116423284651918</c:v>
                </c:pt>
                <c:pt idx="4106">
                  <c:v>0.82136427285452074</c:v>
                </c:pt>
                <c:pt idx="4107">
                  <c:v>0.82156431286252229</c:v>
                </c:pt>
                <c:pt idx="4108">
                  <c:v>0.82176435287052385</c:v>
                </c:pt>
                <c:pt idx="4109">
                  <c:v>0.82196439287852541</c:v>
                </c:pt>
                <c:pt idx="4110">
                  <c:v>0.82216443288652696</c:v>
                </c:pt>
                <c:pt idx="4111">
                  <c:v>0.82236447289452852</c:v>
                </c:pt>
                <c:pt idx="4112">
                  <c:v>0.82256451290253008</c:v>
                </c:pt>
                <c:pt idx="4113">
                  <c:v>0.82276455291053163</c:v>
                </c:pt>
                <c:pt idx="4114">
                  <c:v>0.82296459291853319</c:v>
                </c:pt>
                <c:pt idx="4115">
                  <c:v>0.82316463292653475</c:v>
                </c:pt>
                <c:pt idx="4116">
                  <c:v>0.8233646729345363</c:v>
                </c:pt>
                <c:pt idx="4117">
                  <c:v>0.82356471294253786</c:v>
                </c:pt>
                <c:pt idx="4118">
                  <c:v>0.82376475295053941</c:v>
                </c:pt>
                <c:pt idx="4119">
                  <c:v>0.82396479295854097</c:v>
                </c:pt>
                <c:pt idx="4120">
                  <c:v>0.82416483296654253</c:v>
                </c:pt>
                <c:pt idx="4121">
                  <c:v>0.82436487297454408</c:v>
                </c:pt>
                <c:pt idx="4122">
                  <c:v>0.82456491298254564</c:v>
                </c:pt>
                <c:pt idx="4123">
                  <c:v>0.8247649529905472</c:v>
                </c:pt>
                <c:pt idx="4124">
                  <c:v>0.82496499299854875</c:v>
                </c:pt>
                <c:pt idx="4125">
                  <c:v>0.82516503300655031</c:v>
                </c:pt>
                <c:pt idx="4126">
                  <c:v>0.82536507301455186</c:v>
                </c:pt>
                <c:pt idx="4127">
                  <c:v>0.82556511302255342</c:v>
                </c:pt>
                <c:pt idx="4128">
                  <c:v>0.82576515303055498</c:v>
                </c:pt>
                <c:pt idx="4129">
                  <c:v>0.82596519303855653</c:v>
                </c:pt>
                <c:pt idx="4130">
                  <c:v>0.82616523304655809</c:v>
                </c:pt>
                <c:pt idx="4131">
                  <c:v>0.82636527305455965</c:v>
                </c:pt>
                <c:pt idx="4132">
                  <c:v>0.8265653130625612</c:v>
                </c:pt>
                <c:pt idx="4133">
                  <c:v>0.82676535307056276</c:v>
                </c:pt>
                <c:pt idx="4134">
                  <c:v>0.82696539307856431</c:v>
                </c:pt>
                <c:pt idx="4135">
                  <c:v>0.82716543308656587</c:v>
                </c:pt>
                <c:pt idx="4136">
                  <c:v>0.82736547309456743</c:v>
                </c:pt>
                <c:pt idx="4137">
                  <c:v>0.82756551310256898</c:v>
                </c:pt>
                <c:pt idx="4138">
                  <c:v>0.82776555311057054</c:v>
                </c:pt>
                <c:pt idx="4139">
                  <c:v>0.8279655931185721</c:v>
                </c:pt>
                <c:pt idx="4140">
                  <c:v>0.82816563312657365</c:v>
                </c:pt>
                <c:pt idx="4141">
                  <c:v>0.82836567313457521</c:v>
                </c:pt>
                <c:pt idx="4142">
                  <c:v>0.82856571314257677</c:v>
                </c:pt>
                <c:pt idx="4143">
                  <c:v>0.82876575315057832</c:v>
                </c:pt>
                <c:pt idx="4144">
                  <c:v>0.82896579315857988</c:v>
                </c:pt>
                <c:pt idx="4145">
                  <c:v>0.82916583316658143</c:v>
                </c:pt>
                <c:pt idx="4146">
                  <c:v>0.82936587317458299</c:v>
                </c:pt>
                <c:pt idx="4147">
                  <c:v>0.82956591318258455</c:v>
                </c:pt>
                <c:pt idx="4148">
                  <c:v>0.8297659531905861</c:v>
                </c:pt>
                <c:pt idx="4149">
                  <c:v>0.82996599319858766</c:v>
                </c:pt>
                <c:pt idx="4150">
                  <c:v>0.83016603320658922</c:v>
                </c:pt>
                <c:pt idx="4151">
                  <c:v>0.83036607321459077</c:v>
                </c:pt>
                <c:pt idx="4152">
                  <c:v>0.83056611322259233</c:v>
                </c:pt>
                <c:pt idx="4153">
                  <c:v>0.83076615323059388</c:v>
                </c:pt>
                <c:pt idx="4154">
                  <c:v>0.83096619323859544</c:v>
                </c:pt>
                <c:pt idx="4155">
                  <c:v>0.831166233246597</c:v>
                </c:pt>
                <c:pt idx="4156">
                  <c:v>0.83136627325459855</c:v>
                </c:pt>
                <c:pt idx="4157">
                  <c:v>0.83156631326260011</c:v>
                </c:pt>
                <c:pt idx="4158">
                  <c:v>0.83176635327060167</c:v>
                </c:pt>
                <c:pt idx="4159">
                  <c:v>0.83196639327860322</c:v>
                </c:pt>
                <c:pt idx="4160">
                  <c:v>0.83216643328660478</c:v>
                </c:pt>
                <c:pt idx="4161">
                  <c:v>0.83236647329460633</c:v>
                </c:pt>
                <c:pt idx="4162">
                  <c:v>0.83256651330260789</c:v>
                </c:pt>
                <c:pt idx="4163">
                  <c:v>0.83276655331060945</c:v>
                </c:pt>
                <c:pt idx="4164">
                  <c:v>0.832966593318611</c:v>
                </c:pt>
                <c:pt idx="4165">
                  <c:v>0.83316663332661256</c:v>
                </c:pt>
                <c:pt idx="4166">
                  <c:v>0.83336667333461412</c:v>
                </c:pt>
                <c:pt idx="4167">
                  <c:v>0.83356671334261567</c:v>
                </c:pt>
                <c:pt idx="4168">
                  <c:v>0.83376675335061723</c:v>
                </c:pt>
                <c:pt idx="4169">
                  <c:v>0.83396679335861879</c:v>
                </c:pt>
                <c:pt idx="4170">
                  <c:v>0.83416683336662034</c:v>
                </c:pt>
                <c:pt idx="4171">
                  <c:v>0.8343668733746219</c:v>
                </c:pt>
                <c:pt idx="4172">
                  <c:v>0.83456691338262345</c:v>
                </c:pt>
                <c:pt idx="4173">
                  <c:v>0.83476695339062501</c:v>
                </c:pt>
                <c:pt idx="4174">
                  <c:v>0.83496699339862657</c:v>
                </c:pt>
                <c:pt idx="4175">
                  <c:v>0.83516703340662812</c:v>
                </c:pt>
                <c:pt idx="4176">
                  <c:v>0.83536707341462968</c:v>
                </c:pt>
                <c:pt idx="4177">
                  <c:v>0.83556711342263124</c:v>
                </c:pt>
                <c:pt idx="4178">
                  <c:v>0.83576715343063279</c:v>
                </c:pt>
                <c:pt idx="4179">
                  <c:v>0.83596719343863435</c:v>
                </c:pt>
                <c:pt idx="4180">
                  <c:v>0.8361672334466359</c:v>
                </c:pt>
                <c:pt idx="4181">
                  <c:v>0.83636727345463746</c:v>
                </c:pt>
                <c:pt idx="4182">
                  <c:v>0.83656731346263902</c:v>
                </c:pt>
                <c:pt idx="4183">
                  <c:v>0.83676735347064057</c:v>
                </c:pt>
                <c:pt idx="4184">
                  <c:v>0.83696739347864213</c:v>
                </c:pt>
                <c:pt idx="4185">
                  <c:v>0.83716743348664369</c:v>
                </c:pt>
                <c:pt idx="4186">
                  <c:v>0.83736747349464524</c:v>
                </c:pt>
                <c:pt idx="4187">
                  <c:v>0.8375675135026468</c:v>
                </c:pt>
                <c:pt idx="4188">
                  <c:v>0.83776755351064836</c:v>
                </c:pt>
                <c:pt idx="4189">
                  <c:v>0.83796759351864991</c:v>
                </c:pt>
                <c:pt idx="4190">
                  <c:v>0.83816763352665147</c:v>
                </c:pt>
                <c:pt idx="4191">
                  <c:v>0.83836767353465302</c:v>
                </c:pt>
                <c:pt idx="4192">
                  <c:v>0.83856771354265458</c:v>
                </c:pt>
                <c:pt idx="4193">
                  <c:v>0.83876775355065614</c:v>
                </c:pt>
                <c:pt idx="4194">
                  <c:v>0.83896779355865769</c:v>
                </c:pt>
                <c:pt idx="4195">
                  <c:v>0.83916783356665925</c:v>
                </c:pt>
                <c:pt idx="4196">
                  <c:v>0.83936787357466081</c:v>
                </c:pt>
                <c:pt idx="4197">
                  <c:v>0.83956791358266236</c:v>
                </c:pt>
                <c:pt idx="4198">
                  <c:v>0.83976795359066392</c:v>
                </c:pt>
                <c:pt idx="4199">
                  <c:v>0.83996799359866547</c:v>
                </c:pt>
                <c:pt idx="4200">
                  <c:v>0.84016803360666703</c:v>
                </c:pt>
                <c:pt idx="4201">
                  <c:v>0.84036807361466859</c:v>
                </c:pt>
                <c:pt idx="4202">
                  <c:v>0.84056811362267014</c:v>
                </c:pt>
                <c:pt idx="4203">
                  <c:v>0.8407681536306717</c:v>
                </c:pt>
                <c:pt idx="4204">
                  <c:v>0.84096819363867326</c:v>
                </c:pt>
                <c:pt idx="4205">
                  <c:v>0.84116823364667481</c:v>
                </c:pt>
                <c:pt idx="4206">
                  <c:v>0.84136827365467637</c:v>
                </c:pt>
                <c:pt idx="4207">
                  <c:v>0.84156831366267792</c:v>
                </c:pt>
                <c:pt idx="4208">
                  <c:v>0.84176835367067948</c:v>
                </c:pt>
                <c:pt idx="4209">
                  <c:v>0.84196839367868104</c:v>
                </c:pt>
                <c:pt idx="4210">
                  <c:v>0.84216843368668259</c:v>
                </c:pt>
                <c:pt idx="4211">
                  <c:v>0.84236847369468415</c:v>
                </c:pt>
                <c:pt idx="4212">
                  <c:v>0.84256851370268571</c:v>
                </c:pt>
                <c:pt idx="4213">
                  <c:v>0.84276855371068726</c:v>
                </c:pt>
                <c:pt idx="4214">
                  <c:v>0.84296859371868882</c:v>
                </c:pt>
                <c:pt idx="4215">
                  <c:v>0.84316863372669038</c:v>
                </c:pt>
                <c:pt idx="4216">
                  <c:v>0.84336867373469193</c:v>
                </c:pt>
                <c:pt idx="4217">
                  <c:v>0.84356871374269349</c:v>
                </c:pt>
                <c:pt idx="4218">
                  <c:v>0.84376875375069504</c:v>
                </c:pt>
                <c:pt idx="4219">
                  <c:v>0.8439687937586966</c:v>
                </c:pt>
                <c:pt idx="4220">
                  <c:v>0.84416883376669816</c:v>
                </c:pt>
                <c:pt idx="4221">
                  <c:v>0.84436887377469971</c:v>
                </c:pt>
                <c:pt idx="4222">
                  <c:v>0.84456891378270127</c:v>
                </c:pt>
                <c:pt idx="4223">
                  <c:v>0.84476895379070283</c:v>
                </c:pt>
                <c:pt idx="4224">
                  <c:v>0.84496899379870438</c:v>
                </c:pt>
                <c:pt idx="4225">
                  <c:v>0.84516903380670594</c:v>
                </c:pt>
                <c:pt idx="4226">
                  <c:v>0.84536907381470749</c:v>
                </c:pt>
                <c:pt idx="4227">
                  <c:v>0.84556911382270905</c:v>
                </c:pt>
                <c:pt idx="4228">
                  <c:v>0.84576915383071061</c:v>
                </c:pt>
                <c:pt idx="4229">
                  <c:v>0.84596919383871216</c:v>
                </c:pt>
                <c:pt idx="4230">
                  <c:v>0.84616923384671372</c:v>
                </c:pt>
                <c:pt idx="4231">
                  <c:v>0.84636927385471528</c:v>
                </c:pt>
                <c:pt idx="4232">
                  <c:v>0.84656931386271683</c:v>
                </c:pt>
                <c:pt idx="4233">
                  <c:v>0.84676935387071839</c:v>
                </c:pt>
                <c:pt idx="4234">
                  <c:v>0.84696939387871994</c:v>
                </c:pt>
                <c:pt idx="4235">
                  <c:v>0.8471694338867215</c:v>
                </c:pt>
                <c:pt idx="4236">
                  <c:v>0.84736947389472306</c:v>
                </c:pt>
                <c:pt idx="4237">
                  <c:v>0.84756951390272461</c:v>
                </c:pt>
                <c:pt idx="4238">
                  <c:v>0.84776955391072617</c:v>
                </c:pt>
                <c:pt idx="4239">
                  <c:v>0.84796959391872773</c:v>
                </c:pt>
                <c:pt idx="4240">
                  <c:v>0.84816963392672928</c:v>
                </c:pt>
                <c:pt idx="4241">
                  <c:v>0.84836967393473084</c:v>
                </c:pt>
                <c:pt idx="4242">
                  <c:v>0.8485697139427324</c:v>
                </c:pt>
                <c:pt idx="4243">
                  <c:v>0.84876975395073395</c:v>
                </c:pt>
                <c:pt idx="4244">
                  <c:v>0.84896979395873551</c:v>
                </c:pt>
                <c:pt idx="4245">
                  <c:v>0.84916983396673706</c:v>
                </c:pt>
                <c:pt idx="4246">
                  <c:v>0.84936987397473862</c:v>
                </c:pt>
                <c:pt idx="4247">
                  <c:v>0.84956991398274018</c:v>
                </c:pt>
                <c:pt idx="4248">
                  <c:v>0.84976995399074173</c:v>
                </c:pt>
                <c:pt idx="4249">
                  <c:v>0.84996999399874329</c:v>
                </c:pt>
                <c:pt idx="4250">
                  <c:v>0.85017003400674485</c:v>
                </c:pt>
                <c:pt idx="4251">
                  <c:v>0.8503700740147464</c:v>
                </c:pt>
                <c:pt idx="4252">
                  <c:v>0.85057011402274796</c:v>
                </c:pt>
                <c:pt idx="4253">
                  <c:v>0.85077015403074951</c:v>
                </c:pt>
                <c:pt idx="4254">
                  <c:v>0.85097019403875107</c:v>
                </c:pt>
                <c:pt idx="4255">
                  <c:v>0.85117023404675263</c:v>
                </c:pt>
                <c:pt idx="4256">
                  <c:v>0.85137027405475418</c:v>
                </c:pt>
                <c:pt idx="4257">
                  <c:v>0.85157031406275574</c:v>
                </c:pt>
                <c:pt idx="4258">
                  <c:v>0.8517703540707573</c:v>
                </c:pt>
                <c:pt idx="4259">
                  <c:v>0.85197039407875885</c:v>
                </c:pt>
                <c:pt idx="4260">
                  <c:v>0.85217043408676041</c:v>
                </c:pt>
                <c:pt idx="4261">
                  <c:v>0.85237047409476197</c:v>
                </c:pt>
                <c:pt idx="4262">
                  <c:v>0.85257051410276352</c:v>
                </c:pt>
                <c:pt idx="4263">
                  <c:v>0.85277055411076508</c:v>
                </c:pt>
                <c:pt idx="4264">
                  <c:v>0.85297059411876663</c:v>
                </c:pt>
                <c:pt idx="4265">
                  <c:v>0.85317063412676819</c:v>
                </c:pt>
                <c:pt idx="4266">
                  <c:v>0.85337067413476975</c:v>
                </c:pt>
                <c:pt idx="4267">
                  <c:v>0.8535707141427713</c:v>
                </c:pt>
                <c:pt idx="4268">
                  <c:v>0.85377075415077286</c:v>
                </c:pt>
                <c:pt idx="4269">
                  <c:v>0.85397079415877442</c:v>
                </c:pt>
                <c:pt idx="4270">
                  <c:v>0.85417083416677597</c:v>
                </c:pt>
                <c:pt idx="4271">
                  <c:v>0.85437087417477753</c:v>
                </c:pt>
                <c:pt idx="4272">
                  <c:v>0.85457091418277908</c:v>
                </c:pt>
                <c:pt idx="4273">
                  <c:v>0.85477095419078064</c:v>
                </c:pt>
                <c:pt idx="4274">
                  <c:v>0.8549709941987822</c:v>
                </c:pt>
                <c:pt idx="4275">
                  <c:v>0.85517103420678375</c:v>
                </c:pt>
                <c:pt idx="4276">
                  <c:v>0.85537107421478531</c:v>
                </c:pt>
                <c:pt idx="4277">
                  <c:v>0.85557111422278687</c:v>
                </c:pt>
                <c:pt idx="4278">
                  <c:v>0.85577115423078842</c:v>
                </c:pt>
                <c:pt idx="4279">
                  <c:v>0.85597119423878998</c:v>
                </c:pt>
                <c:pt idx="4280">
                  <c:v>0.85617123424679153</c:v>
                </c:pt>
                <c:pt idx="4281">
                  <c:v>0.85637127425479309</c:v>
                </c:pt>
                <c:pt idx="4282">
                  <c:v>0.85657131426279465</c:v>
                </c:pt>
                <c:pt idx="4283">
                  <c:v>0.8567713542707962</c:v>
                </c:pt>
                <c:pt idx="4284">
                  <c:v>0.85697139427879776</c:v>
                </c:pt>
                <c:pt idx="4285">
                  <c:v>0.85717143428679932</c:v>
                </c:pt>
                <c:pt idx="4286">
                  <c:v>0.85737147429480087</c:v>
                </c:pt>
                <c:pt idx="4287">
                  <c:v>0.85757151430280243</c:v>
                </c:pt>
                <c:pt idx="4288">
                  <c:v>0.85777155431080399</c:v>
                </c:pt>
                <c:pt idx="4289">
                  <c:v>0.85797159431880554</c:v>
                </c:pt>
                <c:pt idx="4290">
                  <c:v>0.8581716343268071</c:v>
                </c:pt>
                <c:pt idx="4291">
                  <c:v>0.85837167433480865</c:v>
                </c:pt>
                <c:pt idx="4292">
                  <c:v>0.85857171434281021</c:v>
                </c:pt>
                <c:pt idx="4293">
                  <c:v>0.85877175435081177</c:v>
                </c:pt>
                <c:pt idx="4294">
                  <c:v>0.85897179435881332</c:v>
                </c:pt>
                <c:pt idx="4295">
                  <c:v>0.85917183436681488</c:v>
                </c:pt>
                <c:pt idx="4296">
                  <c:v>0.85937187437481644</c:v>
                </c:pt>
                <c:pt idx="4297">
                  <c:v>0.85957191438281799</c:v>
                </c:pt>
                <c:pt idx="4298">
                  <c:v>0.85977195439081955</c:v>
                </c:pt>
                <c:pt idx="4299">
                  <c:v>0.8599719943988211</c:v>
                </c:pt>
                <c:pt idx="4300">
                  <c:v>0.86017203440682266</c:v>
                </c:pt>
                <c:pt idx="4301">
                  <c:v>0.86037207441482422</c:v>
                </c:pt>
                <c:pt idx="4302">
                  <c:v>0.86057211442282577</c:v>
                </c:pt>
                <c:pt idx="4303">
                  <c:v>0.86077215443082733</c:v>
                </c:pt>
                <c:pt idx="4304">
                  <c:v>0.86097219443882889</c:v>
                </c:pt>
                <c:pt idx="4305">
                  <c:v>0.86117223444683044</c:v>
                </c:pt>
                <c:pt idx="4306">
                  <c:v>0.861372274454832</c:v>
                </c:pt>
                <c:pt idx="4307">
                  <c:v>0.86157231446283356</c:v>
                </c:pt>
                <c:pt idx="4308">
                  <c:v>0.86177235447083511</c:v>
                </c:pt>
                <c:pt idx="4309">
                  <c:v>0.86197239447883667</c:v>
                </c:pt>
                <c:pt idx="4310">
                  <c:v>0.86217243448683822</c:v>
                </c:pt>
                <c:pt idx="4311">
                  <c:v>0.86237247449483978</c:v>
                </c:pt>
                <c:pt idx="4312">
                  <c:v>0.86257251450284134</c:v>
                </c:pt>
                <c:pt idx="4313">
                  <c:v>0.86277255451084289</c:v>
                </c:pt>
                <c:pt idx="4314">
                  <c:v>0.86297259451884445</c:v>
                </c:pt>
                <c:pt idx="4315">
                  <c:v>0.86317263452684601</c:v>
                </c:pt>
                <c:pt idx="4316">
                  <c:v>0.86337267453484756</c:v>
                </c:pt>
                <c:pt idx="4317">
                  <c:v>0.86357271454284912</c:v>
                </c:pt>
                <c:pt idx="4318">
                  <c:v>0.86377275455085067</c:v>
                </c:pt>
                <c:pt idx="4319">
                  <c:v>0.86397279455885223</c:v>
                </c:pt>
                <c:pt idx="4320">
                  <c:v>0.86417283456685379</c:v>
                </c:pt>
                <c:pt idx="4321">
                  <c:v>0.86437287457485534</c:v>
                </c:pt>
                <c:pt idx="4322">
                  <c:v>0.8645729145828569</c:v>
                </c:pt>
                <c:pt idx="4323">
                  <c:v>0.86477295459085846</c:v>
                </c:pt>
                <c:pt idx="4324">
                  <c:v>0.86497299459886001</c:v>
                </c:pt>
                <c:pt idx="4325">
                  <c:v>0.86517303460686157</c:v>
                </c:pt>
                <c:pt idx="4326">
                  <c:v>0.86537307461486312</c:v>
                </c:pt>
                <c:pt idx="4327">
                  <c:v>0.86557311462286468</c:v>
                </c:pt>
                <c:pt idx="4328">
                  <c:v>0.86577315463086624</c:v>
                </c:pt>
                <c:pt idx="4329">
                  <c:v>0.86597319463886779</c:v>
                </c:pt>
                <c:pt idx="4330">
                  <c:v>0.86617323464686935</c:v>
                </c:pt>
                <c:pt idx="4331">
                  <c:v>0.86637327465487091</c:v>
                </c:pt>
                <c:pt idx="4332">
                  <c:v>0.86657331466287246</c:v>
                </c:pt>
                <c:pt idx="4333">
                  <c:v>0.86677335467087402</c:v>
                </c:pt>
                <c:pt idx="4334">
                  <c:v>0.86697339467887558</c:v>
                </c:pt>
                <c:pt idx="4335">
                  <c:v>0.86717343468687713</c:v>
                </c:pt>
                <c:pt idx="4336">
                  <c:v>0.86737347469487869</c:v>
                </c:pt>
                <c:pt idx="4337">
                  <c:v>0.86757351470288024</c:v>
                </c:pt>
                <c:pt idx="4338">
                  <c:v>0.8677735547108818</c:v>
                </c:pt>
                <c:pt idx="4339">
                  <c:v>0.86797359471888336</c:v>
                </c:pt>
                <c:pt idx="4340">
                  <c:v>0.86817363472688491</c:v>
                </c:pt>
                <c:pt idx="4341">
                  <c:v>0.86837367473488647</c:v>
                </c:pt>
                <c:pt idx="4342">
                  <c:v>0.86857371474288803</c:v>
                </c:pt>
                <c:pt idx="4343">
                  <c:v>0.86877375475088958</c:v>
                </c:pt>
                <c:pt idx="4344">
                  <c:v>0.86897379475889114</c:v>
                </c:pt>
                <c:pt idx="4345">
                  <c:v>0.86917383476689269</c:v>
                </c:pt>
                <c:pt idx="4346">
                  <c:v>0.86937387477489425</c:v>
                </c:pt>
                <c:pt idx="4347">
                  <c:v>0.86957391478289581</c:v>
                </c:pt>
                <c:pt idx="4348">
                  <c:v>0.86977395479089736</c:v>
                </c:pt>
                <c:pt idx="4349">
                  <c:v>0.86997399479889892</c:v>
                </c:pt>
                <c:pt idx="4350">
                  <c:v>0.87017403480690048</c:v>
                </c:pt>
                <c:pt idx="4351">
                  <c:v>0.87037407481490203</c:v>
                </c:pt>
                <c:pt idx="4352">
                  <c:v>0.87057411482290359</c:v>
                </c:pt>
                <c:pt idx="4353">
                  <c:v>0.87077415483090514</c:v>
                </c:pt>
                <c:pt idx="4354">
                  <c:v>0.8709741948389067</c:v>
                </c:pt>
                <c:pt idx="4355">
                  <c:v>0.87117423484690826</c:v>
                </c:pt>
                <c:pt idx="4356">
                  <c:v>0.87137427485490981</c:v>
                </c:pt>
                <c:pt idx="4357">
                  <c:v>0.87157431486291137</c:v>
                </c:pt>
                <c:pt idx="4358">
                  <c:v>0.87177435487091293</c:v>
                </c:pt>
                <c:pt idx="4359">
                  <c:v>0.87197439487891448</c:v>
                </c:pt>
                <c:pt idx="4360">
                  <c:v>0.87217443488691604</c:v>
                </c:pt>
                <c:pt idx="4361">
                  <c:v>0.8723744748949176</c:v>
                </c:pt>
                <c:pt idx="4362">
                  <c:v>0.87257451490291915</c:v>
                </c:pt>
                <c:pt idx="4363">
                  <c:v>0.87277455491092071</c:v>
                </c:pt>
                <c:pt idx="4364">
                  <c:v>0.87297459491892226</c:v>
                </c:pt>
                <c:pt idx="4365">
                  <c:v>0.87317463492692382</c:v>
                </c:pt>
                <c:pt idx="4366">
                  <c:v>0.87337467493492538</c:v>
                </c:pt>
                <c:pt idx="4367">
                  <c:v>0.87357471494292693</c:v>
                </c:pt>
                <c:pt idx="4368">
                  <c:v>0.87377475495092849</c:v>
                </c:pt>
                <c:pt idx="4369">
                  <c:v>0.87397479495893005</c:v>
                </c:pt>
                <c:pt idx="4370">
                  <c:v>0.8741748349669316</c:v>
                </c:pt>
                <c:pt idx="4371">
                  <c:v>0.87437487497493316</c:v>
                </c:pt>
                <c:pt idx="4372">
                  <c:v>0.87457491498293471</c:v>
                </c:pt>
                <c:pt idx="4373">
                  <c:v>0.87477495499093627</c:v>
                </c:pt>
                <c:pt idx="4374">
                  <c:v>0.87497499499893783</c:v>
                </c:pt>
                <c:pt idx="4375">
                  <c:v>0.87517503500693938</c:v>
                </c:pt>
                <c:pt idx="4376">
                  <c:v>0.87537507501494094</c:v>
                </c:pt>
                <c:pt idx="4377">
                  <c:v>0.8755751150229425</c:v>
                </c:pt>
                <c:pt idx="4378">
                  <c:v>0.87577515503094405</c:v>
                </c:pt>
                <c:pt idx="4379">
                  <c:v>0.87597519503894561</c:v>
                </c:pt>
                <c:pt idx="4380">
                  <c:v>0.87617523504694717</c:v>
                </c:pt>
                <c:pt idx="4381">
                  <c:v>0.87637527505494872</c:v>
                </c:pt>
                <c:pt idx="4382">
                  <c:v>0.87657531506295028</c:v>
                </c:pt>
                <c:pt idx="4383">
                  <c:v>0.87677535507095183</c:v>
                </c:pt>
                <c:pt idx="4384">
                  <c:v>0.87697539507895339</c:v>
                </c:pt>
                <c:pt idx="4385">
                  <c:v>0.87717543508695495</c:v>
                </c:pt>
                <c:pt idx="4386">
                  <c:v>0.8773754750949565</c:v>
                </c:pt>
                <c:pt idx="4387">
                  <c:v>0.87757551510295806</c:v>
                </c:pt>
                <c:pt idx="4388">
                  <c:v>0.87777555511095962</c:v>
                </c:pt>
                <c:pt idx="4389">
                  <c:v>0.87797559511896117</c:v>
                </c:pt>
                <c:pt idx="4390">
                  <c:v>0.87817563512696273</c:v>
                </c:pt>
                <c:pt idx="4391">
                  <c:v>0.87837567513496428</c:v>
                </c:pt>
                <c:pt idx="4392">
                  <c:v>0.87857571514296584</c:v>
                </c:pt>
                <c:pt idx="4393">
                  <c:v>0.8787757551509674</c:v>
                </c:pt>
                <c:pt idx="4394">
                  <c:v>0.87897579515896895</c:v>
                </c:pt>
                <c:pt idx="4395">
                  <c:v>0.87917583516697051</c:v>
                </c:pt>
                <c:pt idx="4396">
                  <c:v>0.87937587517497207</c:v>
                </c:pt>
                <c:pt idx="4397">
                  <c:v>0.87957591518297362</c:v>
                </c:pt>
                <c:pt idx="4398">
                  <c:v>0.87977595519097518</c:v>
                </c:pt>
                <c:pt idx="4399">
                  <c:v>0.87997599519897673</c:v>
                </c:pt>
                <c:pt idx="4400">
                  <c:v>0.88017603520697829</c:v>
                </c:pt>
                <c:pt idx="4401">
                  <c:v>0.88037607521497985</c:v>
                </c:pt>
                <c:pt idx="4402">
                  <c:v>0.8805761152229814</c:v>
                </c:pt>
                <c:pt idx="4403">
                  <c:v>0.88077615523098296</c:v>
                </c:pt>
                <c:pt idx="4404">
                  <c:v>0.88097619523898452</c:v>
                </c:pt>
                <c:pt idx="4405">
                  <c:v>0.88117623524698607</c:v>
                </c:pt>
                <c:pt idx="4406">
                  <c:v>0.88137627525498763</c:v>
                </c:pt>
                <c:pt idx="4407">
                  <c:v>0.88157631526298919</c:v>
                </c:pt>
                <c:pt idx="4408">
                  <c:v>0.88177635527099074</c:v>
                </c:pt>
                <c:pt idx="4409">
                  <c:v>0.8819763952789923</c:v>
                </c:pt>
                <c:pt idx="4410">
                  <c:v>0.88217643528699385</c:v>
                </c:pt>
                <c:pt idx="4411">
                  <c:v>0.88237647529499541</c:v>
                </c:pt>
                <c:pt idx="4412">
                  <c:v>0.88257651530299697</c:v>
                </c:pt>
                <c:pt idx="4413">
                  <c:v>0.88277655531099852</c:v>
                </c:pt>
                <c:pt idx="4414">
                  <c:v>0.88297659531900008</c:v>
                </c:pt>
                <c:pt idx="4415">
                  <c:v>0.88317663532700164</c:v>
                </c:pt>
                <c:pt idx="4416">
                  <c:v>0.88337667533500319</c:v>
                </c:pt>
                <c:pt idx="4417">
                  <c:v>0.88357671534300475</c:v>
                </c:pt>
                <c:pt idx="4418">
                  <c:v>0.8837767553510063</c:v>
                </c:pt>
                <c:pt idx="4419">
                  <c:v>0.88397679535900786</c:v>
                </c:pt>
                <c:pt idx="4420">
                  <c:v>0.88417683536700942</c:v>
                </c:pt>
                <c:pt idx="4421">
                  <c:v>0.88437687537501097</c:v>
                </c:pt>
                <c:pt idx="4422">
                  <c:v>0.88457691538301253</c:v>
                </c:pt>
                <c:pt idx="4423">
                  <c:v>0.88477695539101409</c:v>
                </c:pt>
                <c:pt idx="4424">
                  <c:v>0.88497699539901564</c:v>
                </c:pt>
                <c:pt idx="4425">
                  <c:v>0.8851770354070172</c:v>
                </c:pt>
                <c:pt idx="4426">
                  <c:v>0.88537707541501875</c:v>
                </c:pt>
                <c:pt idx="4427">
                  <c:v>0.88557711542302031</c:v>
                </c:pt>
                <c:pt idx="4428">
                  <c:v>0.88577715543102187</c:v>
                </c:pt>
                <c:pt idx="4429">
                  <c:v>0.88597719543902342</c:v>
                </c:pt>
                <c:pt idx="4430">
                  <c:v>0.88617723544702498</c:v>
                </c:pt>
                <c:pt idx="4431">
                  <c:v>0.88637727545502654</c:v>
                </c:pt>
                <c:pt idx="4432">
                  <c:v>0.88657731546302809</c:v>
                </c:pt>
                <c:pt idx="4433">
                  <c:v>0.88677735547102965</c:v>
                </c:pt>
                <c:pt idx="4434">
                  <c:v>0.88697739547903121</c:v>
                </c:pt>
                <c:pt idx="4435">
                  <c:v>0.88717743548703276</c:v>
                </c:pt>
                <c:pt idx="4436">
                  <c:v>0.88737747549503432</c:v>
                </c:pt>
                <c:pt idx="4437">
                  <c:v>0.88757751550303587</c:v>
                </c:pt>
                <c:pt idx="4438">
                  <c:v>0.88777755551103743</c:v>
                </c:pt>
                <c:pt idx="4439">
                  <c:v>0.88797759551903899</c:v>
                </c:pt>
                <c:pt idx="4440">
                  <c:v>0.88817763552704054</c:v>
                </c:pt>
                <c:pt idx="4441">
                  <c:v>0.8883776755350421</c:v>
                </c:pt>
                <c:pt idx="4442">
                  <c:v>0.88857771554304366</c:v>
                </c:pt>
                <c:pt idx="4443">
                  <c:v>0.88877775555104521</c:v>
                </c:pt>
                <c:pt idx="4444">
                  <c:v>0.88897779555904677</c:v>
                </c:pt>
                <c:pt idx="4445">
                  <c:v>0.88917783556704832</c:v>
                </c:pt>
                <c:pt idx="4446">
                  <c:v>0.88937787557504988</c:v>
                </c:pt>
                <c:pt idx="4447">
                  <c:v>0.88957791558305144</c:v>
                </c:pt>
                <c:pt idx="4448">
                  <c:v>0.88977795559105299</c:v>
                </c:pt>
                <c:pt idx="4449">
                  <c:v>0.88997799559905455</c:v>
                </c:pt>
                <c:pt idx="4450">
                  <c:v>0.89017803560705611</c:v>
                </c:pt>
                <c:pt idx="4451">
                  <c:v>0.89037807561505766</c:v>
                </c:pt>
                <c:pt idx="4452">
                  <c:v>0.89057811562305922</c:v>
                </c:pt>
                <c:pt idx="4453">
                  <c:v>0.89077815563106078</c:v>
                </c:pt>
                <c:pt idx="4454">
                  <c:v>0.89097819563906233</c:v>
                </c:pt>
                <c:pt idx="4455">
                  <c:v>0.89117823564706389</c:v>
                </c:pt>
                <c:pt idx="4456">
                  <c:v>0.89137827565506544</c:v>
                </c:pt>
                <c:pt idx="4457">
                  <c:v>0.891578315663067</c:v>
                </c:pt>
                <c:pt idx="4458">
                  <c:v>0.89177835567106856</c:v>
                </c:pt>
                <c:pt idx="4459">
                  <c:v>0.89197839567907011</c:v>
                </c:pt>
                <c:pt idx="4460">
                  <c:v>0.89217843568707167</c:v>
                </c:pt>
                <c:pt idx="4461">
                  <c:v>0.89237847569507323</c:v>
                </c:pt>
                <c:pt idx="4462">
                  <c:v>0.89257851570307478</c:v>
                </c:pt>
                <c:pt idx="4463">
                  <c:v>0.89277855571107634</c:v>
                </c:pt>
                <c:pt idx="4464">
                  <c:v>0.89297859571907789</c:v>
                </c:pt>
                <c:pt idx="4465">
                  <c:v>0.89317863572707945</c:v>
                </c:pt>
                <c:pt idx="4466">
                  <c:v>0.89337867573508101</c:v>
                </c:pt>
                <c:pt idx="4467">
                  <c:v>0.89357871574308256</c:v>
                </c:pt>
                <c:pt idx="4468">
                  <c:v>0.89377875575108412</c:v>
                </c:pt>
                <c:pt idx="4469">
                  <c:v>0.89397879575908568</c:v>
                </c:pt>
                <c:pt idx="4470">
                  <c:v>0.89417883576708723</c:v>
                </c:pt>
                <c:pt idx="4471">
                  <c:v>0.89437887577508879</c:v>
                </c:pt>
                <c:pt idx="4472">
                  <c:v>0.89457891578309034</c:v>
                </c:pt>
                <c:pt idx="4473">
                  <c:v>0.8947789557910919</c:v>
                </c:pt>
                <c:pt idx="4474">
                  <c:v>0.89497899579909346</c:v>
                </c:pt>
                <c:pt idx="4475">
                  <c:v>0.89517903580709501</c:v>
                </c:pt>
                <c:pt idx="4476">
                  <c:v>0.89537907581509657</c:v>
                </c:pt>
                <c:pt idx="4477">
                  <c:v>0.89557911582309813</c:v>
                </c:pt>
                <c:pt idx="4478">
                  <c:v>0.89577915583109968</c:v>
                </c:pt>
                <c:pt idx="4479">
                  <c:v>0.89597919583910124</c:v>
                </c:pt>
                <c:pt idx="4480">
                  <c:v>0.8961792358471028</c:v>
                </c:pt>
                <c:pt idx="4481">
                  <c:v>0.89637927585510435</c:v>
                </c:pt>
                <c:pt idx="4482">
                  <c:v>0.89657931586310591</c:v>
                </c:pt>
                <c:pt idx="4483">
                  <c:v>0.89677935587110746</c:v>
                </c:pt>
                <c:pt idx="4484">
                  <c:v>0.89697939587910902</c:v>
                </c:pt>
                <c:pt idx="4485">
                  <c:v>0.89717943588711058</c:v>
                </c:pt>
                <c:pt idx="4486">
                  <c:v>0.89737947589511213</c:v>
                </c:pt>
                <c:pt idx="4487">
                  <c:v>0.89757951590311369</c:v>
                </c:pt>
                <c:pt idx="4488">
                  <c:v>0.89777955591111525</c:v>
                </c:pt>
                <c:pt idx="4489">
                  <c:v>0.8979795959191168</c:v>
                </c:pt>
                <c:pt idx="4490">
                  <c:v>0.89817963592711836</c:v>
                </c:pt>
                <c:pt idx="4491">
                  <c:v>0.89837967593511991</c:v>
                </c:pt>
                <c:pt idx="4492">
                  <c:v>0.89857971594312147</c:v>
                </c:pt>
                <c:pt idx="4493">
                  <c:v>0.89877975595112303</c:v>
                </c:pt>
                <c:pt idx="4494">
                  <c:v>0.89897979595912458</c:v>
                </c:pt>
                <c:pt idx="4495">
                  <c:v>0.89917983596712614</c:v>
                </c:pt>
                <c:pt idx="4496">
                  <c:v>0.8993798759751277</c:v>
                </c:pt>
                <c:pt idx="4497">
                  <c:v>0.89957991598312925</c:v>
                </c:pt>
                <c:pt idx="4498">
                  <c:v>0.89977995599113081</c:v>
                </c:pt>
                <c:pt idx="4499">
                  <c:v>0.89997999599913237</c:v>
                </c:pt>
                <c:pt idx="4500">
                  <c:v>0.90018003600713392</c:v>
                </c:pt>
                <c:pt idx="4501">
                  <c:v>0.90038007601513548</c:v>
                </c:pt>
                <c:pt idx="4502">
                  <c:v>0.90058011602313703</c:v>
                </c:pt>
                <c:pt idx="4503">
                  <c:v>0.90078015603113859</c:v>
                </c:pt>
                <c:pt idx="4504">
                  <c:v>0.90098019603914015</c:v>
                </c:pt>
                <c:pt idx="4505">
                  <c:v>0.9011802360471417</c:v>
                </c:pt>
                <c:pt idx="4506">
                  <c:v>0.90138027605514326</c:v>
                </c:pt>
                <c:pt idx="4507">
                  <c:v>0.90158031606314482</c:v>
                </c:pt>
                <c:pt idx="4508">
                  <c:v>0.90178035607114637</c:v>
                </c:pt>
                <c:pt idx="4509">
                  <c:v>0.90198039607914793</c:v>
                </c:pt>
                <c:pt idx="4510">
                  <c:v>0.90218043608714948</c:v>
                </c:pt>
                <c:pt idx="4511">
                  <c:v>0.90238047609515104</c:v>
                </c:pt>
                <c:pt idx="4512">
                  <c:v>0.9025805161031526</c:v>
                </c:pt>
                <c:pt idx="4513">
                  <c:v>0.90278055611115415</c:v>
                </c:pt>
                <c:pt idx="4514">
                  <c:v>0.90298059611915571</c:v>
                </c:pt>
                <c:pt idx="4515">
                  <c:v>0.90318063612715727</c:v>
                </c:pt>
                <c:pt idx="4516">
                  <c:v>0.90338067613515882</c:v>
                </c:pt>
                <c:pt idx="4517">
                  <c:v>0.90358071614316038</c:v>
                </c:pt>
                <c:pt idx="4518">
                  <c:v>0.90378075615116193</c:v>
                </c:pt>
                <c:pt idx="4519">
                  <c:v>0.90398079615916349</c:v>
                </c:pt>
                <c:pt idx="4520">
                  <c:v>0.90418083616716505</c:v>
                </c:pt>
                <c:pt idx="4521">
                  <c:v>0.9043808761751666</c:v>
                </c:pt>
                <c:pt idx="4522">
                  <c:v>0.90458091618316816</c:v>
                </c:pt>
                <c:pt idx="4523">
                  <c:v>0.90478095619116972</c:v>
                </c:pt>
                <c:pt idx="4524">
                  <c:v>0.90498099619917127</c:v>
                </c:pt>
                <c:pt idx="4525">
                  <c:v>0.90518103620717283</c:v>
                </c:pt>
                <c:pt idx="4526">
                  <c:v>0.90538107621517439</c:v>
                </c:pt>
                <c:pt idx="4527">
                  <c:v>0.90558111622317594</c:v>
                </c:pt>
                <c:pt idx="4528">
                  <c:v>0.9057811562311775</c:v>
                </c:pt>
                <c:pt idx="4529">
                  <c:v>0.90598119623917905</c:v>
                </c:pt>
                <c:pt idx="4530">
                  <c:v>0.90618123624718061</c:v>
                </c:pt>
                <c:pt idx="4531">
                  <c:v>0.90638127625518217</c:v>
                </c:pt>
                <c:pt idx="4532">
                  <c:v>0.90658131626318372</c:v>
                </c:pt>
                <c:pt idx="4533">
                  <c:v>0.90678135627118528</c:v>
                </c:pt>
                <c:pt idx="4534">
                  <c:v>0.90698139627918684</c:v>
                </c:pt>
                <c:pt idx="4535">
                  <c:v>0.90718143628718839</c:v>
                </c:pt>
                <c:pt idx="4536">
                  <c:v>0.90738147629518995</c:v>
                </c:pt>
                <c:pt idx="4537">
                  <c:v>0.9075815163031915</c:v>
                </c:pt>
                <c:pt idx="4538">
                  <c:v>0.90778155631119306</c:v>
                </c:pt>
                <c:pt idx="4539">
                  <c:v>0.90798159631919462</c:v>
                </c:pt>
                <c:pt idx="4540">
                  <c:v>0.90818163632719617</c:v>
                </c:pt>
                <c:pt idx="4541">
                  <c:v>0.90838167633519773</c:v>
                </c:pt>
                <c:pt idx="4542">
                  <c:v>0.90858171634319929</c:v>
                </c:pt>
                <c:pt idx="4543">
                  <c:v>0.90878175635120084</c:v>
                </c:pt>
                <c:pt idx="4544">
                  <c:v>0.9089817963592024</c:v>
                </c:pt>
                <c:pt idx="4545">
                  <c:v>0.90918183636720395</c:v>
                </c:pt>
                <c:pt idx="4546">
                  <c:v>0.90938187637520551</c:v>
                </c:pt>
                <c:pt idx="4547">
                  <c:v>0.90958191638320707</c:v>
                </c:pt>
                <c:pt idx="4548">
                  <c:v>0.90978195639120862</c:v>
                </c:pt>
                <c:pt idx="4549">
                  <c:v>0.90998199639921018</c:v>
                </c:pt>
                <c:pt idx="4550">
                  <c:v>0.91018203640721174</c:v>
                </c:pt>
                <c:pt idx="4551">
                  <c:v>0.91038207641521329</c:v>
                </c:pt>
                <c:pt idx="4552">
                  <c:v>0.91058211642321485</c:v>
                </c:pt>
                <c:pt idx="4553">
                  <c:v>0.91078215643121641</c:v>
                </c:pt>
                <c:pt idx="4554">
                  <c:v>0.91098219643921796</c:v>
                </c:pt>
                <c:pt idx="4555">
                  <c:v>0.91118223644721952</c:v>
                </c:pt>
                <c:pt idx="4556">
                  <c:v>0.91138227645522107</c:v>
                </c:pt>
                <c:pt idx="4557">
                  <c:v>0.91158231646322263</c:v>
                </c:pt>
                <c:pt idx="4558">
                  <c:v>0.91178235647122419</c:v>
                </c:pt>
                <c:pt idx="4559">
                  <c:v>0.91198239647922574</c:v>
                </c:pt>
                <c:pt idx="4560">
                  <c:v>0.9121824364872273</c:v>
                </c:pt>
                <c:pt idx="4561">
                  <c:v>0.91238247649522886</c:v>
                </c:pt>
                <c:pt idx="4562">
                  <c:v>0.91258251650323041</c:v>
                </c:pt>
                <c:pt idx="4563">
                  <c:v>0.91278255651123197</c:v>
                </c:pt>
                <c:pt idx="4564">
                  <c:v>0.91298259651923352</c:v>
                </c:pt>
                <c:pt idx="4565">
                  <c:v>0.91318263652723508</c:v>
                </c:pt>
                <c:pt idx="4566">
                  <c:v>0.91338267653523664</c:v>
                </c:pt>
                <c:pt idx="4567">
                  <c:v>0.91358271654323819</c:v>
                </c:pt>
                <c:pt idx="4568">
                  <c:v>0.91378275655123975</c:v>
                </c:pt>
                <c:pt idx="4569">
                  <c:v>0.91398279655924131</c:v>
                </c:pt>
                <c:pt idx="4570">
                  <c:v>0.91418283656724286</c:v>
                </c:pt>
                <c:pt idx="4571">
                  <c:v>0.91438287657524442</c:v>
                </c:pt>
                <c:pt idx="4572">
                  <c:v>0.91458291658324598</c:v>
                </c:pt>
                <c:pt idx="4573">
                  <c:v>0.91478295659124753</c:v>
                </c:pt>
                <c:pt idx="4574">
                  <c:v>0.91498299659924909</c:v>
                </c:pt>
                <c:pt idx="4575">
                  <c:v>0.91518303660725064</c:v>
                </c:pt>
                <c:pt idx="4576">
                  <c:v>0.9153830766152522</c:v>
                </c:pt>
                <c:pt idx="4577">
                  <c:v>0.91558311662325376</c:v>
                </c:pt>
                <c:pt idx="4578">
                  <c:v>0.91578315663125531</c:v>
                </c:pt>
                <c:pt idx="4579">
                  <c:v>0.91598319663925687</c:v>
                </c:pt>
                <c:pt idx="4580">
                  <c:v>0.91618323664725843</c:v>
                </c:pt>
                <c:pt idx="4581">
                  <c:v>0.91638327665525998</c:v>
                </c:pt>
                <c:pt idx="4582">
                  <c:v>0.91658331666326154</c:v>
                </c:pt>
                <c:pt idx="4583">
                  <c:v>0.91678335667126309</c:v>
                </c:pt>
                <c:pt idx="4584">
                  <c:v>0.91698339667926465</c:v>
                </c:pt>
                <c:pt idx="4585">
                  <c:v>0.91718343668726621</c:v>
                </c:pt>
                <c:pt idx="4586">
                  <c:v>0.91738347669526776</c:v>
                </c:pt>
                <c:pt idx="4587">
                  <c:v>0.91758351670326932</c:v>
                </c:pt>
                <c:pt idx="4588">
                  <c:v>0.91778355671127088</c:v>
                </c:pt>
                <c:pt idx="4589">
                  <c:v>0.91798359671927243</c:v>
                </c:pt>
                <c:pt idx="4590">
                  <c:v>0.91818363672727399</c:v>
                </c:pt>
                <c:pt idx="4591">
                  <c:v>0.91838367673527554</c:v>
                </c:pt>
                <c:pt idx="4592">
                  <c:v>0.9185837167432771</c:v>
                </c:pt>
                <c:pt idx="4593">
                  <c:v>0.91878375675127866</c:v>
                </c:pt>
                <c:pt idx="4594">
                  <c:v>0.91898379675928021</c:v>
                </c:pt>
                <c:pt idx="4595">
                  <c:v>0.91918383676728177</c:v>
                </c:pt>
                <c:pt idx="4596">
                  <c:v>0.91938387677528333</c:v>
                </c:pt>
                <c:pt idx="4597">
                  <c:v>0.91958391678328488</c:v>
                </c:pt>
                <c:pt idx="4598">
                  <c:v>0.91978395679128644</c:v>
                </c:pt>
                <c:pt idx="4599">
                  <c:v>0.919983996799288</c:v>
                </c:pt>
                <c:pt idx="4600">
                  <c:v>0.92018403680728955</c:v>
                </c:pt>
                <c:pt idx="4601">
                  <c:v>0.92038407681529111</c:v>
                </c:pt>
                <c:pt idx="4602">
                  <c:v>0.92058411682329266</c:v>
                </c:pt>
                <c:pt idx="4603">
                  <c:v>0.92078415683129422</c:v>
                </c:pt>
                <c:pt idx="4604">
                  <c:v>0.92098419683929578</c:v>
                </c:pt>
                <c:pt idx="4605">
                  <c:v>0.92118423684729733</c:v>
                </c:pt>
                <c:pt idx="4606">
                  <c:v>0.92138427685529889</c:v>
                </c:pt>
                <c:pt idx="4607">
                  <c:v>0.92158431686330045</c:v>
                </c:pt>
                <c:pt idx="4608">
                  <c:v>0.921784356871302</c:v>
                </c:pt>
                <c:pt idx="4609">
                  <c:v>0.92198439687930356</c:v>
                </c:pt>
                <c:pt idx="4610">
                  <c:v>0.92218443688730511</c:v>
                </c:pt>
                <c:pt idx="4611">
                  <c:v>0.92238447689530667</c:v>
                </c:pt>
                <c:pt idx="4612">
                  <c:v>0.92258451690330823</c:v>
                </c:pt>
                <c:pt idx="4613">
                  <c:v>0.92278455691130978</c:v>
                </c:pt>
                <c:pt idx="4614">
                  <c:v>0.92298459691931134</c:v>
                </c:pt>
                <c:pt idx="4615">
                  <c:v>0.9231846369273129</c:v>
                </c:pt>
                <c:pt idx="4616">
                  <c:v>0.92338467693531445</c:v>
                </c:pt>
                <c:pt idx="4617">
                  <c:v>0.92358471694331601</c:v>
                </c:pt>
                <c:pt idx="4618">
                  <c:v>0.92378475695131756</c:v>
                </c:pt>
                <c:pt idx="4619">
                  <c:v>0.92398479695931912</c:v>
                </c:pt>
                <c:pt idx="4620">
                  <c:v>0.92418483696732068</c:v>
                </c:pt>
                <c:pt idx="4621">
                  <c:v>0.92438487697532223</c:v>
                </c:pt>
                <c:pt idx="4622">
                  <c:v>0.92458491698332379</c:v>
                </c:pt>
                <c:pt idx="4623">
                  <c:v>0.92478495699132535</c:v>
                </c:pt>
                <c:pt idx="4624">
                  <c:v>0.9249849969993269</c:v>
                </c:pt>
                <c:pt idx="4625">
                  <c:v>0.92518503700732846</c:v>
                </c:pt>
                <c:pt idx="4626">
                  <c:v>0.92538507701533002</c:v>
                </c:pt>
                <c:pt idx="4627">
                  <c:v>0.92558511702333157</c:v>
                </c:pt>
                <c:pt idx="4628">
                  <c:v>0.92578515703133313</c:v>
                </c:pt>
                <c:pt idx="4629">
                  <c:v>0.92598519703933468</c:v>
                </c:pt>
                <c:pt idx="4630">
                  <c:v>0.92618523704733624</c:v>
                </c:pt>
                <c:pt idx="4631">
                  <c:v>0.9263852770553378</c:v>
                </c:pt>
                <c:pt idx="4632">
                  <c:v>0.92658531706333935</c:v>
                </c:pt>
                <c:pt idx="4633">
                  <c:v>0.92678535707134091</c:v>
                </c:pt>
                <c:pt idx="4634">
                  <c:v>0.92698539707934247</c:v>
                </c:pt>
                <c:pt idx="4635">
                  <c:v>0.92718543708734402</c:v>
                </c:pt>
                <c:pt idx="4636">
                  <c:v>0.92738547709534558</c:v>
                </c:pt>
                <c:pt idx="4637">
                  <c:v>0.92758551710334713</c:v>
                </c:pt>
                <c:pt idx="4638">
                  <c:v>0.92778555711134869</c:v>
                </c:pt>
                <c:pt idx="4639">
                  <c:v>0.92798559711935025</c:v>
                </c:pt>
                <c:pt idx="4640">
                  <c:v>0.9281856371273518</c:v>
                </c:pt>
                <c:pt idx="4641">
                  <c:v>0.92838567713535336</c:v>
                </c:pt>
                <c:pt idx="4642">
                  <c:v>0.92858571714335492</c:v>
                </c:pt>
                <c:pt idx="4643">
                  <c:v>0.92878575715135647</c:v>
                </c:pt>
                <c:pt idx="4644">
                  <c:v>0.92898579715935803</c:v>
                </c:pt>
                <c:pt idx="4645">
                  <c:v>0.92918583716735959</c:v>
                </c:pt>
                <c:pt idx="4646">
                  <c:v>0.92938587717536114</c:v>
                </c:pt>
                <c:pt idx="4647">
                  <c:v>0.9295859171833627</c:v>
                </c:pt>
                <c:pt idx="4648">
                  <c:v>0.92978595719136425</c:v>
                </c:pt>
                <c:pt idx="4649">
                  <c:v>0.92998599719936581</c:v>
                </c:pt>
                <c:pt idx="4650">
                  <c:v>0.93018603720736737</c:v>
                </c:pt>
                <c:pt idx="4651">
                  <c:v>0.93038607721536892</c:v>
                </c:pt>
                <c:pt idx="4652">
                  <c:v>0.93058611722337048</c:v>
                </c:pt>
                <c:pt idx="4653">
                  <c:v>0.93078615723137204</c:v>
                </c:pt>
                <c:pt idx="4654">
                  <c:v>0.93098619723937359</c:v>
                </c:pt>
                <c:pt idx="4655">
                  <c:v>0.93118623724737515</c:v>
                </c:pt>
                <c:pt idx="4656">
                  <c:v>0.9313862772553767</c:v>
                </c:pt>
                <c:pt idx="4657">
                  <c:v>0.93158631726337826</c:v>
                </c:pt>
                <c:pt idx="4658">
                  <c:v>0.93178635727137982</c:v>
                </c:pt>
                <c:pt idx="4659">
                  <c:v>0.93198639727938137</c:v>
                </c:pt>
                <c:pt idx="4660">
                  <c:v>0.93218643728738293</c:v>
                </c:pt>
                <c:pt idx="4661">
                  <c:v>0.93238647729538449</c:v>
                </c:pt>
                <c:pt idx="4662">
                  <c:v>0.93258651730338604</c:v>
                </c:pt>
                <c:pt idx="4663">
                  <c:v>0.9327865573113876</c:v>
                </c:pt>
                <c:pt idx="4664">
                  <c:v>0.93298659731938915</c:v>
                </c:pt>
                <c:pt idx="4665">
                  <c:v>0.93318663732739071</c:v>
                </c:pt>
                <c:pt idx="4666">
                  <c:v>0.93338667733539227</c:v>
                </c:pt>
                <c:pt idx="4667">
                  <c:v>0.93358671734339382</c:v>
                </c:pt>
                <c:pt idx="4668">
                  <c:v>0.93378675735139538</c:v>
                </c:pt>
                <c:pt idx="4669">
                  <c:v>0.93398679735939694</c:v>
                </c:pt>
                <c:pt idx="4670">
                  <c:v>0.93418683736739849</c:v>
                </c:pt>
                <c:pt idx="4671">
                  <c:v>0.93438687737540005</c:v>
                </c:pt>
                <c:pt idx="4672">
                  <c:v>0.93458691738340161</c:v>
                </c:pt>
                <c:pt idx="4673">
                  <c:v>0.93478695739140316</c:v>
                </c:pt>
                <c:pt idx="4674">
                  <c:v>0.93498699739940472</c:v>
                </c:pt>
                <c:pt idx="4675">
                  <c:v>0.93518703740740627</c:v>
                </c:pt>
                <c:pt idx="4676">
                  <c:v>0.93538707741540783</c:v>
                </c:pt>
                <c:pt idx="4677">
                  <c:v>0.93558711742340939</c:v>
                </c:pt>
                <c:pt idx="4678">
                  <c:v>0.93578715743141094</c:v>
                </c:pt>
                <c:pt idx="4679">
                  <c:v>0.9359871974394125</c:v>
                </c:pt>
                <c:pt idx="4680">
                  <c:v>0.93618723744741406</c:v>
                </c:pt>
                <c:pt idx="4681">
                  <c:v>0.93638727745541561</c:v>
                </c:pt>
                <c:pt idx="4682">
                  <c:v>0.93658731746341717</c:v>
                </c:pt>
                <c:pt idx="4683">
                  <c:v>0.93678735747141872</c:v>
                </c:pt>
                <c:pt idx="4684">
                  <c:v>0.93698739747942028</c:v>
                </c:pt>
                <c:pt idx="4685">
                  <c:v>0.93718743748742184</c:v>
                </c:pt>
                <c:pt idx="4686">
                  <c:v>0.93738747749542339</c:v>
                </c:pt>
                <c:pt idx="4687">
                  <c:v>0.93758751750342495</c:v>
                </c:pt>
                <c:pt idx="4688">
                  <c:v>0.93778755751142651</c:v>
                </c:pt>
                <c:pt idx="4689">
                  <c:v>0.93798759751942806</c:v>
                </c:pt>
                <c:pt idx="4690">
                  <c:v>0.93818763752742962</c:v>
                </c:pt>
                <c:pt idx="4691">
                  <c:v>0.93838767753543118</c:v>
                </c:pt>
                <c:pt idx="4692">
                  <c:v>0.93858771754343273</c:v>
                </c:pt>
                <c:pt idx="4693">
                  <c:v>0.93878775755143429</c:v>
                </c:pt>
                <c:pt idx="4694">
                  <c:v>0.93898779755943584</c:v>
                </c:pt>
                <c:pt idx="4695">
                  <c:v>0.9391878375674374</c:v>
                </c:pt>
                <c:pt idx="4696">
                  <c:v>0.93938787757543896</c:v>
                </c:pt>
                <c:pt idx="4697">
                  <c:v>0.93958791758344051</c:v>
                </c:pt>
                <c:pt idx="4698">
                  <c:v>0.93978795759144207</c:v>
                </c:pt>
                <c:pt idx="4699">
                  <c:v>0.93998799759944363</c:v>
                </c:pt>
                <c:pt idx="4700">
                  <c:v>0.94018803760744518</c:v>
                </c:pt>
                <c:pt idx="4701">
                  <c:v>0.94038807761544674</c:v>
                </c:pt>
                <c:pt idx="4702">
                  <c:v>0.94058811762344829</c:v>
                </c:pt>
                <c:pt idx="4703">
                  <c:v>0.94078815763144985</c:v>
                </c:pt>
                <c:pt idx="4704">
                  <c:v>0.94098819763945141</c:v>
                </c:pt>
                <c:pt idx="4705">
                  <c:v>0.94118823764745296</c:v>
                </c:pt>
                <c:pt idx="4706">
                  <c:v>0.94138827765545452</c:v>
                </c:pt>
                <c:pt idx="4707">
                  <c:v>0.94158831766345608</c:v>
                </c:pt>
                <c:pt idx="4708">
                  <c:v>0.94178835767145763</c:v>
                </c:pt>
                <c:pt idx="4709">
                  <c:v>0.94198839767945919</c:v>
                </c:pt>
                <c:pt idx="4710">
                  <c:v>0.94218843768746074</c:v>
                </c:pt>
                <c:pt idx="4711">
                  <c:v>0.9423884776954623</c:v>
                </c:pt>
                <c:pt idx="4712">
                  <c:v>0.94258851770346386</c:v>
                </c:pt>
                <c:pt idx="4713">
                  <c:v>0.94278855771146541</c:v>
                </c:pt>
                <c:pt idx="4714">
                  <c:v>0.94298859771946697</c:v>
                </c:pt>
                <c:pt idx="4715">
                  <c:v>0.94318863772746853</c:v>
                </c:pt>
                <c:pt idx="4716">
                  <c:v>0.94338867773547008</c:v>
                </c:pt>
                <c:pt idx="4717">
                  <c:v>0.94358871774347164</c:v>
                </c:pt>
                <c:pt idx="4718">
                  <c:v>0.9437887577514732</c:v>
                </c:pt>
                <c:pt idx="4719">
                  <c:v>0.94398879775947475</c:v>
                </c:pt>
                <c:pt idx="4720">
                  <c:v>0.94418883776747631</c:v>
                </c:pt>
                <c:pt idx="4721">
                  <c:v>0.94438887777547786</c:v>
                </c:pt>
                <c:pt idx="4722">
                  <c:v>0.94458891778347942</c:v>
                </c:pt>
                <c:pt idx="4723">
                  <c:v>0.94478895779148098</c:v>
                </c:pt>
                <c:pt idx="4724">
                  <c:v>0.94498899779948253</c:v>
                </c:pt>
                <c:pt idx="4725">
                  <c:v>0.94518903780748409</c:v>
                </c:pt>
                <c:pt idx="4726">
                  <c:v>0.94538907781548565</c:v>
                </c:pt>
                <c:pt idx="4727">
                  <c:v>0.9455891178234872</c:v>
                </c:pt>
                <c:pt idx="4728">
                  <c:v>0.94578915783148876</c:v>
                </c:pt>
                <c:pt idx="4729">
                  <c:v>0.94598919783949031</c:v>
                </c:pt>
                <c:pt idx="4730">
                  <c:v>0.94618923784749187</c:v>
                </c:pt>
                <c:pt idx="4731">
                  <c:v>0.94638927785549343</c:v>
                </c:pt>
                <c:pt idx="4732">
                  <c:v>0.94658931786349498</c:v>
                </c:pt>
                <c:pt idx="4733">
                  <c:v>0.94678935787149654</c:v>
                </c:pt>
                <c:pt idx="4734">
                  <c:v>0.9469893978794981</c:v>
                </c:pt>
                <c:pt idx="4735">
                  <c:v>0.94718943788749965</c:v>
                </c:pt>
                <c:pt idx="4736">
                  <c:v>0.94738947789550121</c:v>
                </c:pt>
                <c:pt idx="4737">
                  <c:v>0.94758951790350276</c:v>
                </c:pt>
                <c:pt idx="4738">
                  <c:v>0.94778955791150432</c:v>
                </c:pt>
                <c:pt idx="4739">
                  <c:v>0.94798959791950588</c:v>
                </c:pt>
                <c:pt idx="4740">
                  <c:v>0.94818963792750743</c:v>
                </c:pt>
                <c:pt idx="4741">
                  <c:v>0.94838967793550899</c:v>
                </c:pt>
                <c:pt idx="4742">
                  <c:v>0.94858971794351055</c:v>
                </c:pt>
                <c:pt idx="4743">
                  <c:v>0.9487897579515121</c:v>
                </c:pt>
                <c:pt idx="4744">
                  <c:v>0.94898979795951366</c:v>
                </c:pt>
                <c:pt idx="4745">
                  <c:v>0.94918983796751522</c:v>
                </c:pt>
                <c:pt idx="4746">
                  <c:v>0.94938987797551677</c:v>
                </c:pt>
                <c:pt idx="4747">
                  <c:v>0.94958991798351833</c:v>
                </c:pt>
                <c:pt idx="4748">
                  <c:v>0.94978995799151988</c:v>
                </c:pt>
                <c:pt idx="4749">
                  <c:v>0.94998999799952144</c:v>
                </c:pt>
                <c:pt idx="4750">
                  <c:v>0.950190038007523</c:v>
                </c:pt>
                <c:pt idx="4751">
                  <c:v>0.95039007801552455</c:v>
                </c:pt>
                <c:pt idx="4752">
                  <c:v>0.95059011802352611</c:v>
                </c:pt>
                <c:pt idx="4753">
                  <c:v>0.95079015803152767</c:v>
                </c:pt>
                <c:pt idx="4754">
                  <c:v>0.95099019803952922</c:v>
                </c:pt>
                <c:pt idx="4755">
                  <c:v>0.95119023804753078</c:v>
                </c:pt>
                <c:pt idx="4756">
                  <c:v>0.95139027805553233</c:v>
                </c:pt>
                <c:pt idx="4757">
                  <c:v>0.95159031806353389</c:v>
                </c:pt>
                <c:pt idx="4758">
                  <c:v>0.95179035807153545</c:v>
                </c:pt>
                <c:pt idx="4759">
                  <c:v>0.951990398079537</c:v>
                </c:pt>
                <c:pt idx="4760">
                  <c:v>0.95219043808753856</c:v>
                </c:pt>
                <c:pt idx="4761">
                  <c:v>0.95239047809554012</c:v>
                </c:pt>
                <c:pt idx="4762">
                  <c:v>0.95259051810354167</c:v>
                </c:pt>
                <c:pt idx="4763">
                  <c:v>0.95279055811154323</c:v>
                </c:pt>
                <c:pt idx="4764">
                  <c:v>0.95299059811954479</c:v>
                </c:pt>
                <c:pt idx="4765">
                  <c:v>0.95319063812754634</c:v>
                </c:pt>
                <c:pt idx="4766">
                  <c:v>0.9533906781355479</c:v>
                </c:pt>
                <c:pt idx="4767">
                  <c:v>0.95359071814354945</c:v>
                </c:pt>
                <c:pt idx="4768">
                  <c:v>0.95379075815155101</c:v>
                </c:pt>
                <c:pt idx="4769">
                  <c:v>0.95399079815955257</c:v>
                </c:pt>
                <c:pt idx="4770">
                  <c:v>0.95419083816755412</c:v>
                </c:pt>
                <c:pt idx="4771">
                  <c:v>0.95439087817555568</c:v>
                </c:pt>
                <c:pt idx="4772">
                  <c:v>0.95459091818355724</c:v>
                </c:pt>
                <c:pt idx="4773">
                  <c:v>0.95479095819155879</c:v>
                </c:pt>
                <c:pt idx="4774">
                  <c:v>0.95499099819956035</c:v>
                </c:pt>
                <c:pt idx="4775">
                  <c:v>0.9551910382075619</c:v>
                </c:pt>
                <c:pt idx="4776">
                  <c:v>0.95539107821556346</c:v>
                </c:pt>
                <c:pt idx="4777">
                  <c:v>0.95559111822356502</c:v>
                </c:pt>
                <c:pt idx="4778">
                  <c:v>0.95579115823156657</c:v>
                </c:pt>
                <c:pt idx="4779">
                  <c:v>0.95599119823956813</c:v>
                </c:pt>
                <c:pt idx="4780">
                  <c:v>0.95619123824756969</c:v>
                </c:pt>
                <c:pt idx="4781">
                  <c:v>0.95639127825557124</c:v>
                </c:pt>
                <c:pt idx="4782">
                  <c:v>0.9565913182635728</c:v>
                </c:pt>
                <c:pt idx="4783">
                  <c:v>0.95679135827157435</c:v>
                </c:pt>
                <c:pt idx="4784">
                  <c:v>0.95699139827957591</c:v>
                </c:pt>
                <c:pt idx="4785">
                  <c:v>0.95719143828757747</c:v>
                </c:pt>
                <c:pt idx="4786">
                  <c:v>0.95739147829557902</c:v>
                </c:pt>
                <c:pt idx="4787">
                  <c:v>0.95759151830358058</c:v>
                </c:pt>
                <c:pt idx="4788">
                  <c:v>0.95779155831158214</c:v>
                </c:pt>
                <c:pt idx="4789">
                  <c:v>0.95799159831958369</c:v>
                </c:pt>
                <c:pt idx="4790">
                  <c:v>0.95819163832758525</c:v>
                </c:pt>
                <c:pt idx="4791">
                  <c:v>0.95839167833558681</c:v>
                </c:pt>
                <c:pt idx="4792">
                  <c:v>0.95859171834358836</c:v>
                </c:pt>
                <c:pt idx="4793">
                  <c:v>0.95879175835158992</c:v>
                </c:pt>
                <c:pt idx="4794">
                  <c:v>0.95899179835959147</c:v>
                </c:pt>
                <c:pt idx="4795">
                  <c:v>0.95919183836759303</c:v>
                </c:pt>
                <c:pt idx="4796">
                  <c:v>0.95939187837559459</c:v>
                </c:pt>
                <c:pt idx="4797">
                  <c:v>0.95959191838359614</c:v>
                </c:pt>
                <c:pt idx="4798">
                  <c:v>0.9597919583915977</c:v>
                </c:pt>
                <c:pt idx="4799">
                  <c:v>0.95999199839959926</c:v>
                </c:pt>
                <c:pt idx="4800">
                  <c:v>0.96019203840760081</c:v>
                </c:pt>
                <c:pt idx="4801">
                  <c:v>0.96039207841560237</c:v>
                </c:pt>
                <c:pt idx="4802">
                  <c:v>0.96059211842360392</c:v>
                </c:pt>
                <c:pt idx="4803">
                  <c:v>0.96079215843160548</c:v>
                </c:pt>
                <c:pt idx="4804">
                  <c:v>0.96099219843960704</c:v>
                </c:pt>
                <c:pt idx="4805">
                  <c:v>0.96119223844760859</c:v>
                </c:pt>
                <c:pt idx="4806">
                  <c:v>0.96139227845561015</c:v>
                </c:pt>
                <c:pt idx="4807">
                  <c:v>0.96159231846361171</c:v>
                </c:pt>
                <c:pt idx="4808">
                  <c:v>0.96179235847161326</c:v>
                </c:pt>
                <c:pt idx="4809">
                  <c:v>0.96199239847961482</c:v>
                </c:pt>
                <c:pt idx="4810">
                  <c:v>0.96219243848761637</c:v>
                </c:pt>
                <c:pt idx="4811">
                  <c:v>0.96239247849561793</c:v>
                </c:pt>
                <c:pt idx="4812">
                  <c:v>0.96259251850361949</c:v>
                </c:pt>
                <c:pt idx="4813">
                  <c:v>0.96279255851162104</c:v>
                </c:pt>
                <c:pt idx="4814">
                  <c:v>0.9629925985196226</c:v>
                </c:pt>
                <c:pt idx="4815">
                  <c:v>0.96319263852762416</c:v>
                </c:pt>
                <c:pt idx="4816">
                  <c:v>0.96339267853562571</c:v>
                </c:pt>
                <c:pt idx="4817">
                  <c:v>0.96359271854362727</c:v>
                </c:pt>
                <c:pt idx="4818">
                  <c:v>0.96379275855162883</c:v>
                </c:pt>
                <c:pt idx="4819">
                  <c:v>0.96399279855963038</c:v>
                </c:pt>
                <c:pt idx="4820">
                  <c:v>0.96419283856763194</c:v>
                </c:pt>
                <c:pt idx="4821">
                  <c:v>0.96439287857563349</c:v>
                </c:pt>
                <c:pt idx="4822">
                  <c:v>0.96459291858363505</c:v>
                </c:pt>
                <c:pt idx="4823">
                  <c:v>0.96479295859163661</c:v>
                </c:pt>
                <c:pt idx="4824">
                  <c:v>0.96499299859963816</c:v>
                </c:pt>
                <c:pt idx="4825">
                  <c:v>0.96519303860763972</c:v>
                </c:pt>
                <c:pt idx="4826">
                  <c:v>0.96539307861564128</c:v>
                </c:pt>
                <c:pt idx="4827">
                  <c:v>0.96559311862364283</c:v>
                </c:pt>
                <c:pt idx="4828">
                  <c:v>0.96579315863164439</c:v>
                </c:pt>
                <c:pt idx="4829">
                  <c:v>0.96599319863964594</c:v>
                </c:pt>
                <c:pt idx="4830">
                  <c:v>0.9661932386476475</c:v>
                </c:pt>
                <c:pt idx="4831">
                  <c:v>0.96639327865564906</c:v>
                </c:pt>
                <c:pt idx="4832">
                  <c:v>0.96659331866365061</c:v>
                </c:pt>
                <c:pt idx="4833">
                  <c:v>0.96679335867165217</c:v>
                </c:pt>
                <c:pt idx="4834">
                  <c:v>0.96699339867965373</c:v>
                </c:pt>
                <c:pt idx="4835">
                  <c:v>0.96719343868765528</c:v>
                </c:pt>
                <c:pt idx="4836">
                  <c:v>0.96739347869565684</c:v>
                </c:pt>
                <c:pt idx="4837">
                  <c:v>0.9675935187036584</c:v>
                </c:pt>
                <c:pt idx="4838">
                  <c:v>0.96779355871165995</c:v>
                </c:pt>
                <c:pt idx="4839">
                  <c:v>0.96799359871966151</c:v>
                </c:pt>
                <c:pt idx="4840">
                  <c:v>0.96819363872766306</c:v>
                </c:pt>
                <c:pt idx="4841">
                  <c:v>0.96839367873566462</c:v>
                </c:pt>
                <c:pt idx="4842">
                  <c:v>0.96859371874366618</c:v>
                </c:pt>
                <c:pt idx="4843">
                  <c:v>0.96879375875166773</c:v>
                </c:pt>
                <c:pt idx="4844">
                  <c:v>0.96899379875966929</c:v>
                </c:pt>
                <c:pt idx="4845">
                  <c:v>0.96919383876767085</c:v>
                </c:pt>
                <c:pt idx="4846">
                  <c:v>0.9693938787756724</c:v>
                </c:pt>
                <c:pt idx="4847">
                  <c:v>0.96959391878367396</c:v>
                </c:pt>
                <c:pt idx="4848">
                  <c:v>0.96979395879167551</c:v>
                </c:pt>
                <c:pt idx="4849">
                  <c:v>0.96999399879967707</c:v>
                </c:pt>
                <c:pt idx="4850">
                  <c:v>0.97019403880767863</c:v>
                </c:pt>
                <c:pt idx="4851">
                  <c:v>0.97039407881568018</c:v>
                </c:pt>
                <c:pt idx="4852">
                  <c:v>0.97059411882368174</c:v>
                </c:pt>
                <c:pt idx="4853">
                  <c:v>0.9707941588316833</c:v>
                </c:pt>
                <c:pt idx="4854">
                  <c:v>0.97099419883968485</c:v>
                </c:pt>
                <c:pt idx="4855">
                  <c:v>0.97119423884768641</c:v>
                </c:pt>
                <c:pt idx="4856">
                  <c:v>0.97139427885568796</c:v>
                </c:pt>
                <c:pt idx="4857">
                  <c:v>0.97159431886368952</c:v>
                </c:pt>
                <c:pt idx="4858">
                  <c:v>0.97179435887169108</c:v>
                </c:pt>
                <c:pt idx="4859">
                  <c:v>0.97199439887969263</c:v>
                </c:pt>
                <c:pt idx="4860">
                  <c:v>0.97219443888769419</c:v>
                </c:pt>
                <c:pt idx="4861">
                  <c:v>0.97239447889569575</c:v>
                </c:pt>
                <c:pt idx="4862">
                  <c:v>0.9725945189036973</c:v>
                </c:pt>
                <c:pt idx="4863">
                  <c:v>0.97279455891169886</c:v>
                </c:pt>
                <c:pt idx="4864">
                  <c:v>0.97299459891970042</c:v>
                </c:pt>
                <c:pt idx="4865">
                  <c:v>0.97319463892770197</c:v>
                </c:pt>
                <c:pt idx="4866">
                  <c:v>0.97339467893570353</c:v>
                </c:pt>
                <c:pt idx="4867">
                  <c:v>0.97359471894370508</c:v>
                </c:pt>
                <c:pt idx="4868">
                  <c:v>0.97379475895170664</c:v>
                </c:pt>
                <c:pt idx="4869">
                  <c:v>0.9739947989597082</c:v>
                </c:pt>
                <c:pt idx="4870">
                  <c:v>0.97419483896770975</c:v>
                </c:pt>
                <c:pt idx="4871">
                  <c:v>0.97439487897571131</c:v>
                </c:pt>
                <c:pt idx="4872">
                  <c:v>0.97459491898371287</c:v>
                </c:pt>
                <c:pt idx="4873">
                  <c:v>0.97479495899171442</c:v>
                </c:pt>
                <c:pt idx="4874">
                  <c:v>0.97499499899971598</c:v>
                </c:pt>
                <c:pt idx="4875">
                  <c:v>0.97519503900771753</c:v>
                </c:pt>
                <c:pt idx="4876">
                  <c:v>0.97539507901571909</c:v>
                </c:pt>
                <c:pt idx="4877">
                  <c:v>0.97559511902372065</c:v>
                </c:pt>
                <c:pt idx="4878">
                  <c:v>0.9757951590317222</c:v>
                </c:pt>
                <c:pt idx="4879">
                  <c:v>0.97599519903972376</c:v>
                </c:pt>
                <c:pt idx="4880">
                  <c:v>0.97619523904772532</c:v>
                </c:pt>
                <c:pt idx="4881">
                  <c:v>0.97639527905572687</c:v>
                </c:pt>
                <c:pt idx="4882">
                  <c:v>0.97659531906372843</c:v>
                </c:pt>
                <c:pt idx="4883">
                  <c:v>0.97679535907172998</c:v>
                </c:pt>
                <c:pt idx="4884">
                  <c:v>0.97699539907973154</c:v>
                </c:pt>
                <c:pt idx="4885">
                  <c:v>0.9771954390877331</c:v>
                </c:pt>
                <c:pt idx="4886">
                  <c:v>0.97739547909573465</c:v>
                </c:pt>
                <c:pt idx="4887">
                  <c:v>0.97759551910373621</c:v>
                </c:pt>
                <c:pt idx="4888">
                  <c:v>0.97779555911173777</c:v>
                </c:pt>
                <c:pt idx="4889">
                  <c:v>0.97799559911973932</c:v>
                </c:pt>
                <c:pt idx="4890">
                  <c:v>0.97819563912774088</c:v>
                </c:pt>
                <c:pt idx="4891">
                  <c:v>0.97839567913574244</c:v>
                </c:pt>
                <c:pt idx="4892">
                  <c:v>0.97859571914374399</c:v>
                </c:pt>
                <c:pt idx="4893">
                  <c:v>0.97879575915174555</c:v>
                </c:pt>
                <c:pt idx="4894">
                  <c:v>0.9789957991597471</c:v>
                </c:pt>
                <c:pt idx="4895">
                  <c:v>0.97919583916774866</c:v>
                </c:pt>
                <c:pt idx="4896">
                  <c:v>0.97939587917575022</c:v>
                </c:pt>
                <c:pt idx="4897">
                  <c:v>0.97959591918375177</c:v>
                </c:pt>
                <c:pt idx="4898">
                  <c:v>0.97979595919175333</c:v>
                </c:pt>
                <c:pt idx="4899">
                  <c:v>0.97999599919975489</c:v>
                </c:pt>
                <c:pt idx="4900">
                  <c:v>0.98019603920775644</c:v>
                </c:pt>
                <c:pt idx="4901">
                  <c:v>0.980396079215758</c:v>
                </c:pt>
                <c:pt idx="4902">
                  <c:v>0.98059611922375955</c:v>
                </c:pt>
                <c:pt idx="4903">
                  <c:v>0.98079615923176111</c:v>
                </c:pt>
                <c:pt idx="4904">
                  <c:v>0.98099619923976267</c:v>
                </c:pt>
                <c:pt idx="4905">
                  <c:v>0.98119623924776422</c:v>
                </c:pt>
                <c:pt idx="4906">
                  <c:v>0.98139627925576578</c:v>
                </c:pt>
                <c:pt idx="4907">
                  <c:v>0.98159631926376734</c:v>
                </c:pt>
                <c:pt idx="4908">
                  <c:v>0.98179635927176889</c:v>
                </c:pt>
                <c:pt idx="4909">
                  <c:v>0.98199639927977045</c:v>
                </c:pt>
                <c:pt idx="4910">
                  <c:v>0.98219643928777201</c:v>
                </c:pt>
                <c:pt idx="4911">
                  <c:v>0.98239647929577356</c:v>
                </c:pt>
                <c:pt idx="4912">
                  <c:v>0.98259651930377512</c:v>
                </c:pt>
                <c:pt idx="4913">
                  <c:v>0.98279655931177667</c:v>
                </c:pt>
                <c:pt idx="4914">
                  <c:v>0.98299659931977823</c:v>
                </c:pt>
                <c:pt idx="4915">
                  <c:v>0.98319663932777979</c:v>
                </c:pt>
                <c:pt idx="4916">
                  <c:v>0.98339667933578134</c:v>
                </c:pt>
                <c:pt idx="4917">
                  <c:v>0.9835967193437829</c:v>
                </c:pt>
                <c:pt idx="4918">
                  <c:v>0.98379675935178446</c:v>
                </c:pt>
                <c:pt idx="4919">
                  <c:v>0.98399679935978601</c:v>
                </c:pt>
                <c:pt idx="4920">
                  <c:v>0.98419683936778757</c:v>
                </c:pt>
                <c:pt idx="4921">
                  <c:v>0.98439687937578912</c:v>
                </c:pt>
                <c:pt idx="4922">
                  <c:v>0.98459691938379068</c:v>
                </c:pt>
                <c:pt idx="4923">
                  <c:v>0.98479695939179224</c:v>
                </c:pt>
                <c:pt idx="4924">
                  <c:v>0.98499699939979379</c:v>
                </c:pt>
                <c:pt idx="4925">
                  <c:v>0.98519703940779535</c:v>
                </c:pt>
                <c:pt idx="4926">
                  <c:v>0.98539707941579691</c:v>
                </c:pt>
                <c:pt idx="4927">
                  <c:v>0.98559711942379846</c:v>
                </c:pt>
                <c:pt idx="4928">
                  <c:v>0.98579715943180002</c:v>
                </c:pt>
                <c:pt idx="4929">
                  <c:v>0.98599719943980157</c:v>
                </c:pt>
                <c:pt idx="4930">
                  <c:v>0.98619723944780313</c:v>
                </c:pt>
                <c:pt idx="4931">
                  <c:v>0.98639727945580469</c:v>
                </c:pt>
                <c:pt idx="4932">
                  <c:v>0.98659731946380624</c:v>
                </c:pt>
                <c:pt idx="4933">
                  <c:v>0.9867973594718078</c:v>
                </c:pt>
                <c:pt idx="4934">
                  <c:v>0.98699739947980936</c:v>
                </c:pt>
                <c:pt idx="4935">
                  <c:v>0.98719743948781091</c:v>
                </c:pt>
                <c:pt idx="4936">
                  <c:v>0.98739747949581247</c:v>
                </c:pt>
                <c:pt idx="4937">
                  <c:v>0.98759751950381403</c:v>
                </c:pt>
                <c:pt idx="4938">
                  <c:v>0.98779755951181558</c:v>
                </c:pt>
                <c:pt idx="4939">
                  <c:v>0.98799759951981714</c:v>
                </c:pt>
                <c:pt idx="4940">
                  <c:v>0.98819763952781869</c:v>
                </c:pt>
                <c:pt idx="4941">
                  <c:v>0.98839767953582025</c:v>
                </c:pt>
                <c:pt idx="4942">
                  <c:v>0.98859771954382181</c:v>
                </c:pt>
                <c:pt idx="4943">
                  <c:v>0.98879775955182336</c:v>
                </c:pt>
                <c:pt idx="4944">
                  <c:v>0.98899779955982492</c:v>
                </c:pt>
                <c:pt idx="4945">
                  <c:v>0.98919783956782648</c:v>
                </c:pt>
                <c:pt idx="4946">
                  <c:v>0.98939787957582803</c:v>
                </c:pt>
                <c:pt idx="4947">
                  <c:v>0.98959791958382959</c:v>
                </c:pt>
                <c:pt idx="4948">
                  <c:v>0.98979795959183114</c:v>
                </c:pt>
                <c:pt idx="4949">
                  <c:v>0.9899979995998327</c:v>
                </c:pt>
                <c:pt idx="4950">
                  <c:v>0.99019803960783426</c:v>
                </c:pt>
                <c:pt idx="4951">
                  <c:v>0.99039807961583581</c:v>
                </c:pt>
                <c:pt idx="4952">
                  <c:v>0.99059811962383737</c:v>
                </c:pt>
                <c:pt idx="4953">
                  <c:v>0.99079815963183893</c:v>
                </c:pt>
                <c:pt idx="4954">
                  <c:v>0.99099819963984048</c:v>
                </c:pt>
                <c:pt idx="4955">
                  <c:v>0.99119823964784204</c:v>
                </c:pt>
                <c:pt idx="4956">
                  <c:v>0.9913982796558436</c:v>
                </c:pt>
                <c:pt idx="4957">
                  <c:v>0.99159831966384515</c:v>
                </c:pt>
                <c:pt idx="4958">
                  <c:v>0.99179835967184671</c:v>
                </c:pt>
                <c:pt idx="4959">
                  <c:v>0.99199839967984826</c:v>
                </c:pt>
                <c:pt idx="4960">
                  <c:v>0.99219843968784982</c:v>
                </c:pt>
                <c:pt idx="4961">
                  <c:v>0.99239847969585138</c:v>
                </c:pt>
                <c:pt idx="4962">
                  <c:v>0.99259851970385293</c:v>
                </c:pt>
                <c:pt idx="4963">
                  <c:v>0.99279855971185449</c:v>
                </c:pt>
                <c:pt idx="4964">
                  <c:v>0.99299859971985605</c:v>
                </c:pt>
                <c:pt idx="4965">
                  <c:v>0.9931986397278576</c:v>
                </c:pt>
                <c:pt idx="4966">
                  <c:v>0.99339867973585916</c:v>
                </c:pt>
                <c:pt idx="4967">
                  <c:v>0.99359871974386071</c:v>
                </c:pt>
                <c:pt idx="4968">
                  <c:v>0.99379875975186227</c:v>
                </c:pt>
                <c:pt idx="4969">
                  <c:v>0.99399879975986383</c:v>
                </c:pt>
                <c:pt idx="4970">
                  <c:v>0.99419883976786538</c:v>
                </c:pt>
                <c:pt idx="4971">
                  <c:v>0.99439887977586694</c:v>
                </c:pt>
                <c:pt idx="4972">
                  <c:v>0.9945989197838685</c:v>
                </c:pt>
                <c:pt idx="4973">
                  <c:v>0.99479895979187005</c:v>
                </c:pt>
                <c:pt idx="4974">
                  <c:v>0.99499899979987161</c:v>
                </c:pt>
                <c:pt idx="4975">
                  <c:v>0.99519903980787316</c:v>
                </c:pt>
                <c:pt idx="4976">
                  <c:v>0.99539907981587472</c:v>
                </c:pt>
                <c:pt idx="4977">
                  <c:v>0.99559911982387628</c:v>
                </c:pt>
                <c:pt idx="4978">
                  <c:v>0.99579915983187783</c:v>
                </c:pt>
                <c:pt idx="4979">
                  <c:v>0.99599919983987939</c:v>
                </c:pt>
                <c:pt idx="4980">
                  <c:v>0.99619923984788095</c:v>
                </c:pt>
                <c:pt idx="4981">
                  <c:v>0.9963992798558825</c:v>
                </c:pt>
                <c:pt idx="4982">
                  <c:v>0.99659931986388406</c:v>
                </c:pt>
                <c:pt idx="4983">
                  <c:v>0.99679935987188562</c:v>
                </c:pt>
                <c:pt idx="4984">
                  <c:v>0.99699939987988717</c:v>
                </c:pt>
                <c:pt idx="4985">
                  <c:v>0.99719943988788873</c:v>
                </c:pt>
                <c:pt idx="4986">
                  <c:v>0.99739947989589028</c:v>
                </c:pt>
                <c:pt idx="4987">
                  <c:v>0.99759951990389184</c:v>
                </c:pt>
                <c:pt idx="4988">
                  <c:v>0.9977995599118934</c:v>
                </c:pt>
                <c:pt idx="4989">
                  <c:v>0.99799959991989495</c:v>
                </c:pt>
                <c:pt idx="4990">
                  <c:v>0.99819963992789651</c:v>
                </c:pt>
                <c:pt idx="4991">
                  <c:v>0.99839967993589807</c:v>
                </c:pt>
                <c:pt idx="4992">
                  <c:v>0.99859971994389962</c:v>
                </c:pt>
                <c:pt idx="4993">
                  <c:v>0.99879975995190118</c:v>
                </c:pt>
                <c:pt idx="4994">
                  <c:v>0.99899979995990273</c:v>
                </c:pt>
                <c:pt idx="4995">
                  <c:v>0.99919983996790429</c:v>
                </c:pt>
                <c:pt idx="4996">
                  <c:v>0.99939987997590585</c:v>
                </c:pt>
                <c:pt idx="4997">
                  <c:v>0.9995999199839074</c:v>
                </c:pt>
                <c:pt idx="4998">
                  <c:v>0.99979995999190896</c:v>
                </c:pt>
                <c:pt idx="4999">
                  <c:v>0.99999999999991052</c:v>
                </c:pt>
              </c:numCache>
            </c:numRef>
          </c:yVal>
          <c:smooth val="1"/>
        </c:ser>
        <c:axId val="186665984"/>
        <c:axId val="186671872"/>
      </c:scatterChart>
      <c:valAx>
        <c:axId val="186665984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671872"/>
        <c:crosses val="autoZero"/>
        <c:crossBetween val="midCat"/>
      </c:valAx>
      <c:valAx>
        <c:axId val="18667187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7856208694439116E-2"/>
              <c:y val="0.47652499856568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665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63724344778277"/>
          <c:y val="0.9497861272781748"/>
          <c:w val="0.15066176085933006"/>
          <c:h val="3.9166438238275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200 Iterations</a:t>
            </a:r>
          </a:p>
        </c:rich>
      </c:tx>
      <c:layout>
        <c:manualLayout>
          <c:xMode val="edge"/>
          <c:yMode val="edge"/>
          <c:x val="0.28967813540510545"/>
          <c:y val="1.95758564437194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032186459489458E-2"/>
          <c:y val="0.12234910277324633"/>
          <c:w val="0.90566037735849059"/>
          <c:h val="0.76508972267536701"/>
        </c:manualLayout>
      </c:layout>
      <c:scatterChart>
        <c:scatterStyle val="smoothMarker"/>
        <c:ser>
          <c:idx val="0"/>
          <c:order val="0"/>
          <c:tx>
            <c:strRef>
              <c:f>SimData200!$K$208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SimData200!$K$209:$K$408</c:f>
              <c:numCache>
                <c:formatCode>General</c:formatCode>
                <c:ptCount val="200"/>
                <c:pt idx="0">
                  <c:v>4.290951081619354E-3</c:v>
                </c:pt>
                <c:pt idx="1">
                  <c:v>5.3949146020214342E-3</c:v>
                </c:pt>
                <c:pt idx="2">
                  <c:v>1.3233221311409311E-2</c:v>
                </c:pt>
                <c:pt idx="3">
                  <c:v>1.960609093881354E-2</c:v>
                </c:pt>
                <c:pt idx="4">
                  <c:v>2.4822353020967532E-2</c:v>
                </c:pt>
                <c:pt idx="5">
                  <c:v>2.8556972649776604E-2</c:v>
                </c:pt>
                <c:pt idx="6">
                  <c:v>3.0877618920262348E-2</c:v>
                </c:pt>
                <c:pt idx="7">
                  <c:v>3.7845425997591907E-2</c:v>
                </c:pt>
                <c:pt idx="8">
                  <c:v>4.0442472230746054E-2</c:v>
                </c:pt>
                <c:pt idx="9">
                  <c:v>4.7322575237444271E-2</c:v>
                </c:pt>
                <c:pt idx="10">
                  <c:v>5.2710734377082138E-2</c:v>
                </c:pt>
                <c:pt idx="11">
                  <c:v>5.6173159411683021E-2</c:v>
                </c:pt>
                <c:pt idx="12">
                  <c:v>6.495548934441886E-2</c:v>
                </c:pt>
                <c:pt idx="13">
                  <c:v>6.5005903522252551E-2</c:v>
                </c:pt>
                <c:pt idx="14">
                  <c:v>7.1378316571092781E-2</c:v>
                </c:pt>
                <c:pt idx="15">
                  <c:v>7.5354225681013021E-2</c:v>
                </c:pt>
                <c:pt idx="16">
                  <c:v>8.2786170523098251E-2</c:v>
                </c:pt>
                <c:pt idx="17">
                  <c:v>8.8278331463988488E-2</c:v>
                </c:pt>
                <c:pt idx="18">
                  <c:v>9.0510319518044197E-2</c:v>
                </c:pt>
                <c:pt idx="19">
                  <c:v>9.7871509848132601E-2</c:v>
                </c:pt>
                <c:pt idx="20">
                  <c:v>0.10273351015935966</c:v>
                </c:pt>
                <c:pt idx="21">
                  <c:v>0.10799586424324564</c:v>
                </c:pt>
                <c:pt idx="22">
                  <c:v>0.1149921321601123</c:v>
                </c:pt>
                <c:pt idx="23">
                  <c:v>0.11840887536141297</c:v>
                </c:pt>
                <c:pt idx="24">
                  <c:v>0.12260448047020577</c:v>
                </c:pt>
                <c:pt idx="25">
                  <c:v>0.12572821646596496</c:v>
                </c:pt>
                <c:pt idx="26">
                  <c:v>0.13084167965008917</c:v>
                </c:pt>
                <c:pt idx="27">
                  <c:v>0.13889223061010525</c:v>
                </c:pt>
                <c:pt idx="28">
                  <c:v>0.14189142181582082</c:v>
                </c:pt>
                <c:pt idx="29">
                  <c:v>0.14561868252596322</c:v>
                </c:pt>
                <c:pt idx="30">
                  <c:v>0.15496560656348374</c:v>
                </c:pt>
                <c:pt idx="31">
                  <c:v>0.1575210733251928</c:v>
                </c:pt>
                <c:pt idx="32">
                  <c:v>0.16307512770012839</c:v>
                </c:pt>
                <c:pt idx="33">
                  <c:v>0.16849663894821348</c:v>
                </c:pt>
                <c:pt idx="34">
                  <c:v>0.17106776469062729</c:v>
                </c:pt>
                <c:pt idx="35">
                  <c:v>0.17512189538453751</c:v>
                </c:pt>
                <c:pt idx="36">
                  <c:v>0.1812273257985309</c:v>
                </c:pt>
                <c:pt idx="37">
                  <c:v>0.18562244840795697</c:v>
                </c:pt>
                <c:pt idx="38">
                  <c:v>0.19110026881590028</c:v>
                </c:pt>
                <c:pt idx="39">
                  <c:v>0.19557711449930842</c:v>
                </c:pt>
                <c:pt idx="40">
                  <c:v>0.20357588168666138</c:v>
                </c:pt>
                <c:pt idx="41">
                  <c:v>0.20973086466540836</c:v>
                </c:pt>
                <c:pt idx="42">
                  <c:v>0.21059361146660371</c:v>
                </c:pt>
                <c:pt idx="43">
                  <c:v>0.21582789134369881</c:v>
                </c:pt>
                <c:pt idx="44">
                  <c:v>0.22308798490746132</c:v>
                </c:pt>
                <c:pt idx="45">
                  <c:v>0.22947228666499078</c:v>
                </c:pt>
                <c:pt idx="46">
                  <c:v>0.23256708305039608</c:v>
                </c:pt>
                <c:pt idx="47">
                  <c:v>0.23658241599369387</c:v>
                </c:pt>
                <c:pt idx="48">
                  <c:v>0.24462370005660311</c:v>
                </c:pt>
                <c:pt idx="49">
                  <c:v>0.24505296455231795</c:v>
                </c:pt>
                <c:pt idx="50">
                  <c:v>0.25485921357405816</c:v>
                </c:pt>
                <c:pt idx="51">
                  <c:v>0.25781611414226147</c:v>
                </c:pt>
                <c:pt idx="52">
                  <c:v>0.26395803192955397</c:v>
                </c:pt>
                <c:pt idx="53">
                  <c:v>0.26532675036353215</c:v>
                </c:pt>
                <c:pt idx="54">
                  <c:v>0.27051606551988888</c:v>
                </c:pt>
                <c:pt idx="55">
                  <c:v>0.27751348350721261</c:v>
                </c:pt>
                <c:pt idx="56">
                  <c:v>0.28123097485425669</c:v>
                </c:pt>
                <c:pt idx="57">
                  <c:v>0.28736540299313268</c:v>
                </c:pt>
                <c:pt idx="58">
                  <c:v>0.29073924522980565</c:v>
                </c:pt>
                <c:pt idx="59">
                  <c:v>0.29699891289393393</c:v>
                </c:pt>
                <c:pt idx="60">
                  <c:v>0.30052342820226291</c:v>
                </c:pt>
                <c:pt idx="61">
                  <c:v>0.30950865113048548</c:v>
                </c:pt>
                <c:pt idx="62">
                  <c:v>0.31122155613876451</c:v>
                </c:pt>
                <c:pt idx="63">
                  <c:v>0.31538476754454542</c:v>
                </c:pt>
                <c:pt idx="64">
                  <c:v>0.32253045053978696</c:v>
                </c:pt>
                <c:pt idx="65">
                  <c:v>0.32880304168649088</c:v>
                </c:pt>
                <c:pt idx="66">
                  <c:v>0.33139616554286244</c:v>
                </c:pt>
                <c:pt idx="67">
                  <c:v>0.33630223102548679</c:v>
                </c:pt>
                <c:pt idx="68">
                  <c:v>0.34296498438761686</c:v>
                </c:pt>
                <c:pt idx="69">
                  <c:v>0.34623976733797224</c:v>
                </c:pt>
                <c:pt idx="70">
                  <c:v>0.35028526501038237</c:v>
                </c:pt>
                <c:pt idx="71">
                  <c:v>0.358717548710694</c:v>
                </c:pt>
                <c:pt idx="72">
                  <c:v>0.36398775478219325</c:v>
                </c:pt>
                <c:pt idx="73">
                  <c:v>0.36890474038987997</c:v>
                </c:pt>
                <c:pt idx="74">
                  <c:v>0.37122922024485405</c:v>
                </c:pt>
                <c:pt idx="75">
                  <c:v>0.3778170538607093</c:v>
                </c:pt>
                <c:pt idx="76">
                  <c:v>0.38328691903112622</c:v>
                </c:pt>
                <c:pt idx="77">
                  <c:v>0.38942888184088026</c:v>
                </c:pt>
                <c:pt idx="78">
                  <c:v>0.39070270569545751</c:v>
                </c:pt>
                <c:pt idx="79">
                  <c:v>0.39734768248217828</c:v>
                </c:pt>
                <c:pt idx="80">
                  <c:v>0.40230696135021438</c:v>
                </c:pt>
                <c:pt idx="81">
                  <c:v>0.40831124678796882</c:v>
                </c:pt>
                <c:pt idx="82">
                  <c:v>0.41493546477284649</c:v>
                </c:pt>
                <c:pt idx="83">
                  <c:v>0.41954495261529112</c:v>
                </c:pt>
                <c:pt idx="84">
                  <c:v>0.42269148971831688</c:v>
                </c:pt>
                <c:pt idx="85">
                  <c:v>0.42688316756437605</c:v>
                </c:pt>
                <c:pt idx="86">
                  <c:v>0.43114572649615485</c:v>
                </c:pt>
                <c:pt idx="87">
                  <c:v>0.43614855170858763</c:v>
                </c:pt>
                <c:pt idx="88">
                  <c:v>0.44195071427313393</c:v>
                </c:pt>
                <c:pt idx="89">
                  <c:v>0.44642067516604916</c:v>
                </c:pt>
                <c:pt idx="90">
                  <c:v>0.45416057185483177</c:v>
                </c:pt>
                <c:pt idx="91">
                  <c:v>0.45531581822091616</c:v>
                </c:pt>
                <c:pt idx="92">
                  <c:v>0.46460216766330459</c:v>
                </c:pt>
                <c:pt idx="93">
                  <c:v>0.4668414298460915</c:v>
                </c:pt>
                <c:pt idx="94">
                  <c:v>0.47470171581713994</c:v>
                </c:pt>
                <c:pt idx="95">
                  <c:v>0.47633679468681495</c:v>
                </c:pt>
                <c:pt idx="96">
                  <c:v>0.48318196554742338</c:v>
                </c:pt>
                <c:pt idx="97">
                  <c:v>0.48779513589637241</c:v>
                </c:pt>
                <c:pt idx="98">
                  <c:v>0.49352430193068558</c:v>
                </c:pt>
                <c:pt idx="99">
                  <c:v>0.49858035607463225</c:v>
                </c:pt>
                <c:pt idx="100">
                  <c:v>0.50091316337369218</c:v>
                </c:pt>
                <c:pt idx="101">
                  <c:v>0.50645030399818214</c:v>
                </c:pt>
                <c:pt idx="102">
                  <c:v>0.51451736423641381</c:v>
                </c:pt>
                <c:pt idx="103">
                  <c:v>0.51784291659664428</c:v>
                </c:pt>
                <c:pt idx="104">
                  <c:v>0.52269655414221261</c:v>
                </c:pt>
                <c:pt idx="105">
                  <c:v>0.52548682179778972</c:v>
                </c:pt>
                <c:pt idx="106">
                  <c:v>0.53136868458505926</c:v>
                </c:pt>
                <c:pt idx="107">
                  <c:v>0.53918356520919675</c:v>
                </c:pt>
                <c:pt idx="108">
                  <c:v>0.54497174439019791</c:v>
                </c:pt>
                <c:pt idx="109">
                  <c:v>0.54982932611830282</c:v>
                </c:pt>
                <c:pt idx="110">
                  <c:v>0.55270039105268676</c:v>
                </c:pt>
                <c:pt idx="111">
                  <c:v>0.55865801597215659</c:v>
                </c:pt>
                <c:pt idx="112">
                  <c:v>0.5642461163944672</c:v>
                </c:pt>
                <c:pt idx="113">
                  <c:v>0.56904595947918624</c:v>
                </c:pt>
                <c:pt idx="114">
                  <c:v>0.57324338774505146</c:v>
                </c:pt>
                <c:pt idx="115">
                  <c:v>0.57642901929943569</c:v>
                </c:pt>
                <c:pt idx="116">
                  <c:v>0.58372163881750816</c:v>
                </c:pt>
                <c:pt idx="117">
                  <c:v>0.58884187945603439</c:v>
                </c:pt>
                <c:pt idx="118">
                  <c:v>0.59008976651008471</c:v>
                </c:pt>
                <c:pt idx="119">
                  <c:v>0.59670300266163023</c:v>
                </c:pt>
                <c:pt idx="120">
                  <c:v>0.60318383370018192</c:v>
                </c:pt>
                <c:pt idx="121">
                  <c:v>0.60518504770942616</c:v>
                </c:pt>
                <c:pt idx="122">
                  <c:v>0.61123288590955382</c:v>
                </c:pt>
                <c:pt idx="123">
                  <c:v>0.61603489438794434</c:v>
                </c:pt>
                <c:pt idx="124">
                  <c:v>0.62411131154026633</c:v>
                </c:pt>
                <c:pt idx="125">
                  <c:v>0.62990763938168703</c:v>
                </c:pt>
                <c:pt idx="126">
                  <c:v>0.63373942275152995</c:v>
                </c:pt>
                <c:pt idx="127">
                  <c:v>0.63990995427940733</c:v>
                </c:pt>
                <c:pt idx="128">
                  <c:v>0.64478018706659324</c:v>
                </c:pt>
                <c:pt idx="129">
                  <c:v>0.64955024585000942</c:v>
                </c:pt>
                <c:pt idx="130">
                  <c:v>0.65092175333432889</c:v>
                </c:pt>
                <c:pt idx="131">
                  <c:v>0.65735006789265893</c:v>
                </c:pt>
                <c:pt idx="132">
                  <c:v>0.66465049980665791</c:v>
                </c:pt>
                <c:pt idx="133">
                  <c:v>0.6689447587516496</c:v>
                </c:pt>
                <c:pt idx="134">
                  <c:v>0.67353877515730887</c:v>
                </c:pt>
                <c:pt idx="135">
                  <c:v>0.67877269338904245</c:v>
                </c:pt>
                <c:pt idx="136">
                  <c:v>0.68165968945754218</c:v>
                </c:pt>
                <c:pt idx="137">
                  <c:v>0.68933926747980034</c:v>
                </c:pt>
                <c:pt idx="138">
                  <c:v>0.69487010599809462</c:v>
                </c:pt>
                <c:pt idx="139">
                  <c:v>0.69977731315879554</c:v>
                </c:pt>
                <c:pt idx="140">
                  <c:v>0.70246833635085926</c:v>
                </c:pt>
                <c:pt idx="141">
                  <c:v>0.70879649940617295</c:v>
                </c:pt>
                <c:pt idx="142">
                  <c:v>0.71467817094635178</c:v>
                </c:pt>
                <c:pt idx="143">
                  <c:v>0.71934050827621021</c:v>
                </c:pt>
                <c:pt idx="144">
                  <c:v>0.72154358296807475</c:v>
                </c:pt>
                <c:pt idx="145">
                  <c:v>0.72726085498748827</c:v>
                </c:pt>
                <c:pt idx="146">
                  <c:v>0.73098141902265634</c:v>
                </c:pt>
                <c:pt idx="147">
                  <c:v>0.73885065856130117</c:v>
                </c:pt>
                <c:pt idx="148">
                  <c:v>0.7416518136466973</c:v>
                </c:pt>
                <c:pt idx="149">
                  <c:v>0.74804861343420315</c:v>
                </c:pt>
                <c:pt idx="150">
                  <c:v>0.75112464349743091</c:v>
                </c:pt>
                <c:pt idx="151">
                  <c:v>0.75976829813555069</c:v>
                </c:pt>
                <c:pt idx="152">
                  <c:v>0.76279146491149252</c:v>
                </c:pt>
                <c:pt idx="153">
                  <c:v>0.7667192979254106</c:v>
                </c:pt>
                <c:pt idx="154">
                  <c:v>0.77064307075823735</c:v>
                </c:pt>
                <c:pt idx="155">
                  <c:v>0.7759834670114758</c:v>
                </c:pt>
                <c:pt idx="156">
                  <c:v>0.78332819603344617</c:v>
                </c:pt>
                <c:pt idx="157">
                  <c:v>0.78813162117338076</c:v>
                </c:pt>
                <c:pt idx="158">
                  <c:v>0.79079008837830966</c:v>
                </c:pt>
                <c:pt idx="159">
                  <c:v>0.79876278401440071</c:v>
                </c:pt>
                <c:pt idx="160">
                  <c:v>0.80261184914214811</c:v>
                </c:pt>
                <c:pt idx="161">
                  <c:v>0.80912931716165715</c:v>
                </c:pt>
                <c:pt idx="162">
                  <c:v>0.81319237651028486</c:v>
                </c:pt>
                <c:pt idx="163">
                  <c:v>0.81644929100094588</c:v>
                </c:pt>
                <c:pt idx="164">
                  <c:v>0.8232956287028026</c:v>
                </c:pt>
                <c:pt idx="165">
                  <c:v>0.82849611716426352</c:v>
                </c:pt>
                <c:pt idx="166">
                  <c:v>0.83209637523444757</c:v>
                </c:pt>
                <c:pt idx="167">
                  <c:v>0.83805167944008763</c:v>
                </c:pt>
                <c:pt idx="168">
                  <c:v>0.84034499224050552</c:v>
                </c:pt>
                <c:pt idx="169">
                  <c:v>0.84714822137312695</c:v>
                </c:pt>
                <c:pt idx="170">
                  <c:v>0.8500680329045438</c:v>
                </c:pt>
                <c:pt idx="171">
                  <c:v>0.85924341618298627</c:v>
                </c:pt>
                <c:pt idx="172">
                  <c:v>0.86080582109880766</c:v>
                </c:pt>
                <c:pt idx="173">
                  <c:v>0.86832023689833482</c:v>
                </c:pt>
                <c:pt idx="174">
                  <c:v>0.87366611607225297</c:v>
                </c:pt>
                <c:pt idx="175">
                  <c:v>0.87579313017562799</c:v>
                </c:pt>
                <c:pt idx="176">
                  <c:v>0.88077994114504665</c:v>
                </c:pt>
                <c:pt idx="177">
                  <c:v>0.88634671913724072</c:v>
                </c:pt>
                <c:pt idx="178">
                  <c:v>0.8925100021978164</c:v>
                </c:pt>
                <c:pt idx="179">
                  <c:v>0.89910969349651348</c:v>
                </c:pt>
                <c:pt idx="180">
                  <c:v>0.9038023922647821</c:v>
                </c:pt>
                <c:pt idx="181">
                  <c:v>0.90597507333987748</c:v>
                </c:pt>
                <c:pt idx="182">
                  <c:v>0.91035731677556342</c:v>
                </c:pt>
                <c:pt idx="183">
                  <c:v>0.915603177477746</c:v>
                </c:pt>
                <c:pt idx="184">
                  <c:v>0.92059067170149433</c:v>
                </c:pt>
                <c:pt idx="185">
                  <c:v>0.92989869932292468</c:v>
                </c:pt>
                <c:pt idx="186">
                  <c:v>0.93237372216125336</c:v>
                </c:pt>
                <c:pt idx="187">
                  <c:v>0.93514066600942525</c:v>
                </c:pt>
                <c:pt idx="188">
                  <c:v>0.94159865360627848</c:v>
                </c:pt>
                <c:pt idx="189">
                  <c:v>0.94823438536800309</c:v>
                </c:pt>
                <c:pt idx="190">
                  <c:v>0.95081263335440591</c:v>
                </c:pt>
                <c:pt idx="191">
                  <c:v>0.95738166709136718</c:v>
                </c:pt>
                <c:pt idx="192">
                  <c:v>0.96443919559461977</c:v>
                </c:pt>
                <c:pt idx="193">
                  <c:v>0.96538310783225656</c:v>
                </c:pt>
                <c:pt idx="194">
                  <c:v>0.97355709208840435</c:v>
                </c:pt>
                <c:pt idx="195">
                  <c:v>0.977479971906282</c:v>
                </c:pt>
                <c:pt idx="196">
                  <c:v>0.98407179578418646</c:v>
                </c:pt>
                <c:pt idx="197">
                  <c:v>0.9872460870752684</c:v>
                </c:pt>
                <c:pt idx="198">
                  <c:v>0.9938271924466423</c:v>
                </c:pt>
                <c:pt idx="199">
                  <c:v>0.99890018230860589</c:v>
                </c:pt>
              </c:numCache>
            </c:numRef>
          </c:xVal>
          <c:yVal>
            <c:numRef>
              <c:f>SimData200!$L$209:$L$408</c:f>
              <c:numCache>
                <c:formatCode>General</c:formatCode>
                <c:ptCount val="200"/>
                <c:pt idx="0">
                  <c:v>0</c:v>
                </c:pt>
                <c:pt idx="1">
                  <c:v>5.0251256281407036E-3</c:v>
                </c:pt>
                <c:pt idx="2">
                  <c:v>1.0050251256281407E-2</c:v>
                </c:pt>
                <c:pt idx="3">
                  <c:v>1.507537688442211E-2</c:v>
                </c:pt>
                <c:pt idx="4">
                  <c:v>2.0100502512562814E-2</c:v>
                </c:pt>
                <c:pt idx="5">
                  <c:v>2.5125628140703519E-2</c:v>
                </c:pt>
                <c:pt idx="6">
                  <c:v>3.0150753768844223E-2</c:v>
                </c:pt>
                <c:pt idx="7">
                  <c:v>3.5175879396984924E-2</c:v>
                </c:pt>
                <c:pt idx="8">
                  <c:v>4.0201005025125629E-2</c:v>
                </c:pt>
                <c:pt idx="9">
                  <c:v>4.5226130653266333E-2</c:v>
                </c:pt>
                <c:pt idx="10">
                  <c:v>5.0251256281407038E-2</c:v>
                </c:pt>
                <c:pt idx="11">
                  <c:v>5.5276381909547742E-2</c:v>
                </c:pt>
                <c:pt idx="12">
                  <c:v>6.0301507537688447E-2</c:v>
                </c:pt>
                <c:pt idx="13">
                  <c:v>6.5326633165829151E-2</c:v>
                </c:pt>
                <c:pt idx="14">
                  <c:v>7.0351758793969849E-2</c:v>
                </c:pt>
                <c:pt idx="15">
                  <c:v>7.5376884422110546E-2</c:v>
                </c:pt>
                <c:pt idx="16">
                  <c:v>8.0402010050251244E-2</c:v>
                </c:pt>
                <c:pt idx="17">
                  <c:v>8.5427135678391941E-2</c:v>
                </c:pt>
                <c:pt idx="18">
                  <c:v>9.0452261306532639E-2</c:v>
                </c:pt>
                <c:pt idx="19">
                  <c:v>9.5477386934673336E-2</c:v>
                </c:pt>
                <c:pt idx="20">
                  <c:v>0.10050251256281403</c:v>
                </c:pt>
                <c:pt idx="21">
                  <c:v>0.10552763819095473</c:v>
                </c:pt>
                <c:pt idx="22">
                  <c:v>0.11055276381909543</c:v>
                </c:pt>
                <c:pt idx="23">
                  <c:v>0.11557788944723613</c:v>
                </c:pt>
                <c:pt idx="24">
                  <c:v>0.12060301507537682</c:v>
                </c:pt>
                <c:pt idx="25">
                  <c:v>0.12562814070351752</c:v>
                </c:pt>
                <c:pt idx="26">
                  <c:v>0.13065326633165822</c:v>
                </c:pt>
                <c:pt idx="27">
                  <c:v>0.13567839195979892</c:v>
                </c:pt>
                <c:pt idx="28">
                  <c:v>0.14070351758793961</c:v>
                </c:pt>
                <c:pt idx="29">
                  <c:v>0.14572864321608031</c:v>
                </c:pt>
                <c:pt idx="30">
                  <c:v>0.15075376884422101</c:v>
                </c:pt>
                <c:pt idx="31">
                  <c:v>0.15577889447236171</c:v>
                </c:pt>
                <c:pt idx="32">
                  <c:v>0.1608040201005024</c:v>
                </c:pt>
                <c:pt idx="33">
                  <c:v>0.1658291457286431</c:v>
                </c:pt>
                <c:pt idx="34">
                  <c:v>0.1708542713567838</c:v>
                </c:pt>
                <c:pt idx="35">
                  <c:v>0.1758793969849245</c:v>
                </c:pt>
                <c:pt idx="36">
                  <c:v>0.18090452261306519</c:v>
                </c:pt>
                <c:pt idx="37">
                  <c:v>0.18592964824120589</c:v>
                </c:pt>
                <c:pt idx="38">
                  <c:v>0.19095477386934659</c:v>
                </c:pt>
                <c:pt idx="39">
                  <c:v>0.19597989949748729</c:v>
                </c:pt>
                <c:pt idx="40">
                  <c:v>0.20100502512562798</c:v>
                </c:pt>
                <c:pt idx="41">
                  <c:v>0.20603015075376868</c:v>
                </c:pt>
                <c:pt idx="42">
                  <c:v>0.21105527638190938</c:v>
                </c:pt>
                <c:pt idx="43">
                  <c:v>0.21608040201005008</c:v>
                </c:pt>
                <c:pt idx="44">
                  <c:v>0.22110552763819077</c:v>
                </c:pt>
                <c:pt idx="45">
                  <c:v>0.22613065326633147</c:v>
                </c:pt>
                <c:pt idx="46">
                  <c:v>0.23115577889447217</c:v>
                </c:pt>
                <c:pt idx="47">
                  <c:v>0.23618090452261287</c:v>
                </c:pt>
                <c:pt idx="48">
                  <c:v>0.24120603015075356</c:v>
                </c:pt>
                <c:pt idx="49">
                  <c:v>0.24623115577889426</c:v>
                </c:pt>
                <c:pt idx="50">
                  <c:v>0.25125628140703499</c:v>
                </c:pt>
                <c:pt idx="51">
                  <c:v>0.25628140703517571</c:v>
                </c:pt>
                <c:pt idx="52">
                  <c:v>0.26130653266331644</c:v>
                </c:pt>
                <c:pt idx="53">
                  <c:v>0.26633165829145716</c:v>
                </c:pt>
                <c:pt idx="54">
                  <c:v>0.27135678391959789</c:v>
                </c:pt>
                <c:pt idx="55">
                  <c:v>0.27638190954773861</c:v>
                </c:pt>
                <c:pt idx="56">
                  <c:v>0.28140703517587934</c:v>
                </c:pt>
                <c:pt idx="57">
                  <c:v>0.28643216080402006</c:v>
                </c:pt>
                <c:pt idx="58">
                  <c:v>0.29145728643216079</c:v>
                </c:pt>
                <c:pt idx="59">
                  <c:v>0.29648241206030151</c:v>
                </c:pt>
                <c:pt idx="60">
                  <c:v>0.30150753768844224</c:v>
                </c:pt>
                <c:pt idx="61">
                  <c:v>0.30653266331658297</c:v>
                </c:pt>
                <c:pt idx="62">
                  <c:v>0.31155778894472369</c:v>
                </c:pt>
                <c:pt idx="63">
                  <c:v>0.31658291457286442</c:v>
                </c:pt>
                <c:pt idx="64">
                  <c:v>0.32160804020100514</c:v>
                </c:pt>
                <c:pt idx="65">
                  <c:v>0.32663316582914587</c:v>
                </c:pt>
                <c:pt idx="66">
                  <c:v>0.33165829145728659</c:v>
                </c:pt>
                <c:pt idx="67">
                  <c:v>0.33668341708542732</c:v>
                </c:pt>
                <c:pt idx="68">
                  <c:v>0.34170854271356804</c:v>
                </c:pt>
                <c:pt idx="69">
                  <c:v>0.34673366834170877</c:v>
                </c:pt>
                <c:pt idx="70">
                  <c:v>0.35175879396984949</c:v>
                </c:pt>
                <c:pt idx="71">
                  <c:v>0.35678391959799022</c:v>
                </c:pt>
                <c:pt idx="72">
                  <c:v>0.36180904522613094</c:v>
                </c:pt>
                <c:pt idx="73">
                  <c:v>0.36683417085427167</c:v>
                </c:pt>
                <c:pt idx="74">
                  <c:v>0.37185929648241239</c:v>
                </c:pt>
                <c:pt idx="75">
                  <c:v>0.37688442211055312</c:v>
                </c:pt>
                <c:pt idx="76">
                  <c:v>0.38190954773869384</c:v>
                </c:pt>
                <c:pt idx="77">
                  <c:v>0.38693467336683457</c:v>
                </c:pt>
                <c:pt idx="78">
                  <c:v>0.39195979899497529</c:v>
                </c:pt>
                <c:pt idx="79">
                  <c:v>0.39698492462311602</c:v>
                </c:pt>
                <c:pt idx="80">
                  <c:v>0.40201005025125675</c:v>
                </c:pt>
                <c:pt idx="81">
                  <c:v>0.40703517587939747</c:v>
                </c:pt>
                <c:pt idx="82">
                  <c:v>0.4120603015075382</c:v>
                </c:pt>
                <c:pt idx="83">
                  <c:v>0.41708542713567892</c:v>
                </c:pt>
                <c:pt idx="84">
                  <c:v>0.42211055276381965</c:v>
                </c:pt>
                <c:pt idx="85">
                  <c:v>0.42713567839196037</c:v>
                </c:pt>
                <c:pt idx="86">
                  <c:v>0.4321608040201011</c:v>
                </c:pt>
                <c:pt idx="87">
                  <c:v>0.43718592964824182</c:v>
                </c:pt>
                <c:pt idx="88">
                  <c:v>0.44221105527638255</c:v>
                </c:pt>
                <c:pt idx="89">
                  <c:v>0.44723618090452327</c:v>
                </c:pt>
                <c:pt idx="90">
                  <c:v>0.452261306532664</c:v>
                </c:pt>
                <c:pt idx="91">
                  <c:v>0.45728643216080472</c:v>
                </c:pt>
                <c:pt idx="92">
                  <c:v>0.46231155778894545</c:v>
                </c:pt>
                <c:pt idx="93">
                  <c:v>0.46733668341708617</c:v>
                </c:pt>
                <c:pt idx="94">
                  <c:v>0.4723618090452269</c:v>
                </c:pt>
                <c:pt idx="95">
                  <c:v>0.47738693467336762</c:v>
                </c:pt>
                <c:pt idx="96">
                  <c:v>0.48241206030150835</c:v>
                </c:pt>
                <c:pt idx="97">
                  <c:v>0.48743718592964907</c:v>
                </c:pt>
                <c:pt idx="98">
                  <c:v>0.4924623115577898</c:v>
                </c:pt>
                <c:pt idx="99">
                  <c:v>0.49748743718593053</c:v>
                </c:pt>
                <c:pt idx="100">
                  <c:v>0.5025125628140712</c:v>
                </c:pt>
                <c:pt idx="101">
                  <c:v>0.50753768844221192</c:v>
                </c:pt>
                <c:pt idx="102">
                  <c:v>0.51256281407035265</c:v>
                </c:pt>
                <c:pt idx="103">
                  <c:v>0.51758793969849337</c:v>
                </c:pt>
                <c:pt idx="104">
                  <c:v>0.5226130653266341</c:v>
                </c:pt>
                <c:pt idx="105">
                  <c:v>0.52763819095477482</c:v>
                </c:pt>
                <c:pt idx="106">
                  <c:v>0.53266331658291555</c:v>
                </c:pt>
                <c:pt idx="107">
                  <c:v>0.53768844221105627</c:v>
                </c:pt>
                <c:pt idx="108">
                  <c:v>0.542713567839197</c:v>
                </c:pt>
                <c:pt idx="109">
                  <c:v>0.54773869346733772</c:v>
                </c:pt>
                <c:pt idx="110">
                  <c:v>0.55276381909547845</c:v>
                </c:pt>
                <c:pt idx="111">
                  <c:v>0.55778894472361917</c:v>
                </c:pt>
                <c:pt idx="112">
                  <c:v>0.5628140703517599</c:v>
                </c:pt>
                <c:pt idx="113">
                  <c:v>0.56783919597990062</c:v>
                </c:pt>
                <c:pt idx="114">
                  <c:v>0.57286432160804135</c:v>
                </c:pt>
                <c:pt idx="115">
                  <c:v>0.57788944723618207</c:v>
                </c:pt>
                <c:pt idx="116">
                  <c:v>0.5829145728643228</c:v>
                </c:pt>
                <c:pt idx="117">
                  <c:v>0.58793969849246352</c:v>
                </c:pt>
                <c:pt idx="118">
                  <c:v>0.59296482412060425</c:v>
                </c:pt>
                <c:pt idx="119">
                  <c:v>0.59798994974874498</c:v>
                </c:pt>
                <c:pt idx="120">
                  <c:v>0.6030150753768857</c:v>
                </c:pt>
                <c:pt idx="121">
                  <c:v>0.60804020100502643</c:v>
                </c:pt>
                <c:pt idx="122">
                  <c:v>0.61306532663316715</c:v>
                </c:pt>
                <c:pt idx="123">
                  <c:v>0.61809045226130788</c:v>
                </c:pt>
                <c:pt idx="124">
                  <c:v>0.6231155778894486</c:v>
                </c:pt>
                <c:pt idx="125">
                  <c:v>0.62814070351758933</c:v>
                </c:pt>
                <c:pt idx="126">
                  <c:v>0.63316582914573005</c:v>
                </c:pt>
                <c:pt idx="127">
                  <c:v>0.63819095477387078</c:v>
                </c:pt>
                <c:pt idx="128">
                  <c:v>0.6432160804020115</c:v>
                </c:pt>
                <c:pt idx="129">
                  <c:v>0.64824120603015223</c:v>
                </c:pt>
                <c:pt idx="130">
                  <c:v>0.65326633165829295</c:v>
                </c:pt>
                <c:pt idx="131">
                  <c:v>0.65829145728643368</c:v>
                </c:pt>
                <c:pt idx="132">
                  <c:v>0.6633165829145744</c:v>
                </c:pt>
                <c:pt idx="133">
                  <c:v>0.66834170854271513</c:v>
                </c:pt>
                <c:pt idx="134">
                  <c:v>0.67336683417085585</c:v>
                </c:pt>
                <c:pt idx="135">
                  <c:v>0.67839195979899658</c:v>
                </c:pt>
                <c:pt idx="136">
                  <c:v>0.68341708542713731</c:v>
                </c:pt>
                <c:pt idx="137">
                  <c:v>0.68844221105527803</c:v>
                </c:pt>
                <c:pt idx="138">
                  <c:v>0.69346733668341876</c:v>
                </c:pt>
                <c:pt idx="139">
                  <c:v>0.69849246231155948</c:v>
                </c:pt>
                <c:pt idx="140">
                  <c:v>0.70351758793970021</c:v>
                </c:pt>
                <c:pt idx="141">
                  <c:v>0.70854271356784093</c:v>
                </c:pt>
                <c:pt idx="142">
                  <c:v>0.71356783919598166</c:v>
                </c:pt>
                <c:pt idx="143">
                  <c:v>0.71859296482412238</c:v>
                </c:pt>
                <c:pt idx="144">
                  <c:v>0.72361809045226311</c:v>
                </c:pt>
                <c:pt idx="145">
                  <c:v>0.72864321608040383</c:v>
                </c:pt>
                <c:pt idx="146">
                  <c:v>0.73366834170854456</c:v>
                </c:pt>
                <c:pt idx="147">
                  <c:v>0.73869346733668528</c:v>
                </c:pt>
                <c:pt idx="148">
                  <c:v>0.74371859296482601</c:v>
                </c:pt>
                <c:pt idx="149">
                  <c:v>0.74874371859296673</c:v>
                </c:pt>
                <c:pt idx="150">
                  <c:v>0.75376884422110746</c:v>
                </c:pt>
                <c:pt idx="151">
                  <c:v>0.75879396984924818</c:v>
                </c:pt>
                <c:pt idx="152">
                  <c:v>0.76381909547738891</c:v>
                </c:pt>
                <c:pt idx="153">
                  <c:v>0.76884422110552963</c:v>
                </c:pt>
                <c:pt idx="154">
                  <c:v>0.77386934673367036</c:v>
                </c:pt>
                <c:pt idx="155">
                  <c:v>0.77889447236181109</c:v>
                </c:pt>
                <c:pt idx="156">
                  <c:v>0.78391959798995181</c:v>
                </c:pt>
                <c:pt idx="157">
                  <c:v>0.78894472361809254</c:v>
                </c:pt>
                <c:pt idx="158">
                  <c:v>0.79396984924623326</c:v>
                </c:pt>
                <c:pt idx="159">
                  <c:v>0.79899497487437399</c:v>
                </c:pt>
                <c:pt idx="160">
                  <c:v>0.80402010050251471</c:v>
                </c:pt>
                <c:pt idx="161">
                  <c:v>0.80904522613065544</c:v>
                </c:pt>
                <c:pt idx="162">
                  <c:v>0.81407035175879616</c:v>
                </c:pt>
                <c:pt idx="163">
                  <c:v>0.81909547738693689</c:v>
                </c:pt>
                <c:pt idx="164">
                  <c:v>0.82412060301507761</c:v>
                </c:pt>
                <c:pt idx="165">
                  <c:v>0.82914572864321834</c:v>
                </c:pt>
                <c:pt idx="166">
                  <c:v>0.83417085427135906</c:v>
                </c:pt>
                <c:pt idx="167">
                  <c:v>0.83919597989949979</c:v>
                </c:pt>
                <c:pt idx="168">
                  <c:v>0.84422110552764051</c:v>
                </c:pt>
                <c:pt idx="169">
                  <c:v>0.84924623115578124</c:v>
                </c:pt>
                <c:pt idx="170">
                  <c:v>0.85427135678392196</c:v>
                </c:pt>
                <c:pt idx="171">
                  <c:v>0.85929648241206269</c:v>
                </c:pt>
                <c:pt idx="172">
                  <c:v>0.86432160804020342</c:v>
                </c:pt>
                <c:pt idx="173">
                  <c:v>0.86934673366834414</c:v>
                </c:pt>
                <c:pt idx="174">
                  <c:v>0.87437185929648487</c:v>
                </c:pt>
                <c:pt idx="175">
                  <c:v>0.87939698492462559</c:v>
                </c:pt>
                <c:pt idx="176">
                  <c:v>0.88442211055276632</c:v>
                </c:pt>
                <c:pt idx="177">
                  <c:v>0.88944723618090704</c:v>
                </c:pt>
                <c:pt idx="178">
                  <c:v>0.89447236180904777</c:v>
                </c:pt>
                <c:pt idx="179">
                  <c:v>0.89949748743718849</c:v>
                </c:pt>
                <c:pt idx="180">
                  <c:v>0.90452261306532922</c:v>
                </c:pt>
                <c:pt idx="181">
                  <c:v>0.90954773869346994</c:v>
                </c:pt>
                <c:pt idx="182">
                  <c:v>0.91457286432161067</c:v>
                </c:pt>
                <c:pt idx="183">
                  <c:v>0.91959798994975139</c:v>
                </c:pt>
                <c:pt idx="184">
                  <c:v>0.92462311557789212</c:v>
                </c:pt>
                <c:pt idx="185">
                  <c:v>0.92964824120603284</c:v>
                </c:pt>
                <c:pt idx="186">
                  <c:v>0.93467336683417357</c:v>
                </c:pt>
                <c:pt idx="187">
                  <c:v>0.93969849246231429</c:v>
                </c:pt>
                <c:pt idx="188">
                  <c:v>0.94472361809045502</c:v>
                </c:pt>
                <c:pt idx="189">
                  <c:v>0.94974874371859574</c:v>
                </c:pt>
                <c:pt idx="190">
                  <c:v>0.95477386934673647</c:v>
                </c:pt>
                <c:pt idx="191">
                  <c:v>0.9597989949748772</c:v>
                </c:pt>
                <c:pt idx="192">
                  <c:v>0.96482412060301792</c:v>
                </c:pt>
                <c:pt idx="193">
                  <c:v>0.96984924623115865</c:v>
                </c:pt>
                <c:pt idx="194">
                  <c:v>0.97487437185929937</c:v>
                </c:pt>
                <c:pt idx="195">
                  <c:v>0.9798994974874401</c:v>
                </c:pt>
                <c:pt idx="196">
                  <c:v>0.98492462311558082</c:v>
                </c:pt>
                <c:pt idx="197">
                  <c:v>0.98994974874372155</c:v>
                </c:pt>
                <c:pt idx="198">
                  <c:v>0.99497487437186227</c:v>
                </c:pt>
                <c:pt idx="199">
                  <c:v>1.0000000000000029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SimData200!$M$208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SimData200!$M$209:$M$408</c:f>
              <c:numCache>
                <c:formatCode>General</c:formatCode>
                <c:ptCount val="200"/>
                <c:pt idx="0">
                  <c:v>3.021787119905639E-3</c:v>
                </c:pt>
                <c:pt idx="1">
                  <c:v>5.1348714478081092E-3</c:v>
                </c:pt>
                <c:pt idx="2">
                  <c:v>7.4648166983024566E-3</c:v>
                </c:pt>
                <c:pt idx="3">
                  <c:v>1.612132372247288E-2</c:v>
                </c:pt>
                <c:pt idx="4">
                  <c:v>2.6187104877863021E-2</c:v>
                </c:pt>
                <c:pt idx="5">
                  <c:v>3.2253923442112864E-2</c:v>
                </c:pt>
                <c:pt idx="6">
                  <c:v>3.4398898099425423E-2</c:v>
                </c:pt>
                <c:pt idx="7">
                  <c:v>3.6584326535376022E-2</c:v>
                </c:pt>
                <c:pt idx="8">
                  <c:v>4.4252978517761221E-2</c:v>
                </c:pt>
                <c:pt idx="9">
                  <c:v>5.0516983280431305E-2</c:v>
                </c:pt>
                <c:pt idx="10">
                  <c:v>5.9061459077383915E-2</c:v>
                </c:pt>
                <c:pt idx="11">
                  <c:v>6.2190424600885308E-2</c:v>
                </c:pt>
                <c:pt idx="12">
                  <c:v>6.7965710823045811E-2</c:v>
                </c:pt>
                <c:pt idx="13">
                  <c:v>6.9335022820297354E-2</c:v>
                </c:pt>
                <c:pt idx="14">
                  <c:v>7.3187468799915223E-2</c:v>
                </c:pt>
                <c:pt idx="15">
                  <c:v>7.5161769948877577E-2</c:v>
                </c:pt>
                <c:pt idx="16">
                  <c:v>7.7992550411181583E-2</c:v>
                </c:pt>
                <c:pt idx="17">
                  <c:v>8.1118467051055632E-2</c:v>
                </c:pt>
                <c:pt idx="18">
                  <c:v>8.3914320355688687E-2</c:v>
                </c:pt>
                <c:pt idx="19">
                  <c:v>8.9040964248852106E-2</c:v>
                </c:pt>
                <c:pt idx="20">
                  <c:v>9.2632023432997812E-2</c:v>
                </c:pt>
                <c:pt idx="21">
                  <c:v>9.3651713047620433E-2</c:v>
                </c:pt>
                <c:pt idx="22">
                  <c:v>9.3688554472464602E-2</c:v>
                </c:pt>
                <c:pt idx="23">
                  <c:v>9.6711564022371022E-2</c:v>
                </c:pt>
                <c:pt idx="24">
                  <c:v>0.10682791516865109</c:v>
                </c:pt>
                <c:pt idx="25">
                  <c:v>0.11952766593822162</c:v>
                </c:pt>
                <c:pt idx="26">
                  <c:v>0.1217977317119221</c:v>
                </c:pt>
                <c:pt idx="27">
                  <c:v>0.13086675588147045</c:v>
                </c:pt>
                <c:pt idx="28">
                  <c:v>0.14184606963317492</c:v>
                </c:pt>
                <c:pt idx="29">
                  <c:v>0.14397777972408221</c:v>
                </c:pt>
                <c:pt idx="30">
                  <c:v>0.14663448809187685</c:v>
                </c:pt>
                <c:pt idx="31">
                  <c:v>0.15064307965076296</c:v>
                </c:pt>
                <c:pt idx="32">
                  <c:v>0.1576567666252231</c:v>
                </c:pt>
                <c:pt idx="33">
                  <c:v>0.1591201955170618</c:v>
                </c:pt>
                <c:pt idx="34">
                  <c:v>0.15965143732591969</c:v>
                </c:pt>
                <c:pt idx="35">
                  <c:v>0.16059392064380518</c:v>
                </c:pt>
                <c:pt idx="36">
                  <c:v>0.16510700541130063</c:v>
                </c:pt>
                <c:pt idx="37">
                  <c:v>0.16701497721805936</c:v>
                </c:pt>
                <c:pt idx="38">
                  <c:v>0.16826685309661116</c:v>
                </c:pt>
                <c:pt idx="39">
                  <c:v>0.16846319249634689</c:v>
                </c:pt>
                <c:pt idx="40">
                  <c:v>0.16860153242669185</c:v>
                </c:pt>
                <c:pt idx="41">
                  <c:v>0.17249443067339598</c:v>
                </c:pt>
                <c:pt idx="42">
                  <c:v>0.19037935954747809</c:v>
                </c:pt>
                <c:pt idx="43">
                  <c:v>0.19874889208040258</c:v>
                </c:pt>
                <c:pt idx="44">
                  <c:v>0.20130293664442434</c:v>
                </c:pt>
                <c:pt idx="45">
                  <c:v>0.21176149815892131</c:v>
                </c:pt>
                <c:pt idx="46">
                  <c:v>0.21210244114172383</c:v>
                </c:pt>
                <c:pt idx="47">
                  <c:v>0.21292710170746432</c:v>
                </c:pt>
                <c:pt idx="48">
                  <c:v>0.21298835941342986</c:v>
                </c:pt>
                <c:pt idx="49">
                  <c:v>0.21430471762687375</c:v>
                </c:pt>
                <c:pt idx="50">
                  <c:v>0.21504406979693158</c:v>
                </c:pt>
                <c:pt idx="51">
                  <c:v>0.21966444989084266</c:v>
                </c:pt>
                <c:pt idx="52">
                  <c:v>0.22867153894549119</c:v>
                </c:pt>
                <c:pt idx="53">
                  <c:v>0.24958205449911475</c:v>
                </c:pt>
                <c:pt idx="54">
                  <c:v>0.25839126441314875</c:v>
                </c:pt>
                <c:pt idx="55">
                  <c:v>0.26160525241630239</c:v>
                </c:pt>
                <c:pt idx="56">
                  <c:v>0.28918990183592541</c:v>
                </c:pt>
                <c:pt idx="57">
                  <c:v>0.290373772761086</c:v>
                </c:pt>
                <c:pt idx="58">
                  <c:v>0.29098629030795564</c:v>
                </c:pt>
                <c:pt idx="59">
                  <c:v>0.29241938440827653</c:v>
                </c:pt>
                <c:pt idx="60">
                  <c:v>0.30524814587988658</c:v>
                </c:pt>
                <c:pt idx="61">
                  <c:v>0.30801315239204996</c:v>
                </c:pt>
                <c:pt idx="62">
                  <c:v>0.31504881043383648</c:v>
                </c:pt>
                <c:pt idx="63">
                  <c:v>0.32309732557951065</c:v>
                </c:pt>
                <c:pt idx="64">
                  <c:v>0.33357106180756091</c:v>
                </c:pt>
                <c:pt idx="65">
                  <c:v>0.34021573365589575</c:v>
                </c:pt>
                <c:pt idx="66">
                  <c:v>0.34807583488327509</c:v>
                </c:pt>
                <c:pt idx="67">
                  <c:v>0.35278701264087431</c:v>
                </c:pt>
                <c:pt idx="68">
                  <c:v>0.35691183871676913</c:v>
                </c:pt>
                <c:pt idx="69">
                  <c:v>0.36047495521233941</c:v>
                </c:pt>
                <c:pt idx="70">
                  <c:v>0.36092934480802796</c:v>
                </c:pt>
                <c:pt idx="71">
                  <c:v>0.3651946770005452</c:v>
                </c:pt>
                <c:pt idx="72">
                  <c:v>0.39618836017689318</c:v>
                </c:pt>
                <c:pt idx="73">
                  <c:v>0.39663777441637649</c:v>
                </c:pt>
                <c:pt idx="74">
                  <c:v>0.40197261083358171</c:v>
                </c:pt>
                <c:pt idx="75">
                  <c:v>0.40335669982596301</c:v>
                </c:pt>
                <c:pt idx="76">
                  <c:v>0.40844485749403248</c:v>
                </c:pt>
                <c:pt idx="77">
                  <c:v>0.41692303933450603</c:v>
                </c:pt>
                <c:pt idx="78">
                  <c:v>0.4263087726340018</c:v>
                </c:pt>
                <c:pt idx="79">
                  <c:v>0.42882269448728039</c:v>
                </c:pt>
                <c:pt idx="80">
                  <c:v>0.42994051379355369</c:v>
                </c:pt>
                <c:pt idx="81">
                  <c:v>0.43193070048164373</c:v>
                </c:pt>
                <c:pt idx="82">
                  <c:v>0.43779027233904344</c:v>
                </c:pt>
                <c:pt idx="83">
                  <c:v>0.44730499845445593</c:v>
                </c:pt>
                <c:pt idx="84">
                  <c:v>0.45058178430917906</c:v>
                </c:pt>
                <c:pt idx="85">
                  <c:v>0.45758435038806056</c:v>
                </c:pt>
                <c:pt idx="86">
                  <c:v>0.45912170685005549</c:v>
                </c:pt>
                <c:pt idx="87">
                  <c:v>0.4598541326540726</c:v>
                </c:pt>
                <c:pt idx="88">
                  <c:v>0.46477847534970351</c:v>
                </c:pt>
                <c:pt idx="89">
                  <c:v>0.46765638791202946</c:v>
                </c:pt>
                <c:pt idx="90">
                  <c:v>0.46889097124221735</c:v>
                </c:pt>
                <c:pt idx="91">
                  <c:v>0.48072231329933857</c:v>
                </c:pt>
                <c:pt idx="92">
                  <c:v>0.48164920989168536</c:v>
                </c:pt>
                <c:pt idx="93">
                  <c:v>0.48476108698196185</c:v>
                </c:pt>
                <c:pt idx="94">
                  <c:v>0.48823417839048489</c:v>
                </c:pt>
                <c:pt idx="95">
                  <c:v>0.49487950832644856</c:v>
                </c:pt>
                <c:pt idx="96">
                  <c:v>0.50206705096115911</c:v>
                </c:pt>
                <c:pt idx="97">
                  <c:v>0.50585305309687101</c:v>
                </c:pt>
                <c:pt idx="98">
                  <c:v>0.50774077604182821</c:v>
                </c:pt>
                <c:pt idx="99">
                  <c:v>0.5111659093408889</c:v>
                </c:pt>
                <c:pt idx="100">
                  <c:v>0.51175807802610507</c:v>
                </c:pt>
                <c:pt idx="101">
                  <c:v>0.51375476420980704</c:v>
                </c:pt>
                <c:pt idx="102">
                  <c:v>0.52021789377249661</c:v>
                </c:pt>
                <c:pt idx="103">
                  <c:v>0.52227806361679541</c:v>
                </c:pt>
                <c:pt idx="104">
                  <c:v>0.52916467263821687</c:v>
                </c:pt>
                <c:pt idx="105">
                  <c:v>0.53237595269001758</c:v>
                </c:pt>
                <c:pt idx="106">
                  <c:v>0.54795090411971614</c:v>
                </c:pt>
                <c:pt idx="107">
                  <c:v>0.54873235231389117</c:v>
                </c:pt>
                <c:pt idx="108">
                  <c:v>0.55948618497131974</c:v>
                </c:pt>
                <c:pt idx="109">
                  <c:v>0.56471685182350484</c:v>
                </c:pt>
                <c:pt idx="110">
                  <c:v>0.56998988438863307</c:v>
                </c:pt>
                <c:pt idx="111">
                  <c:v>0.57868910113666061</c:v>
                </c:pt>
                <c:pt idx="112">
                  <c:v>0.58738323852958274</c:v>
                </c:pt>
                <c:pt idx="113">
                  <c:v>0.59190909228436794</c:v>
                </c:pt>
                <c:pt idx="114">
                  <c:v>0.59730773819774186</c:v>
                </c:pt>
                <c:pt idx="115">
                  <c:v>0.59944243532572727</c:v>
                </c:pt>
                <c:pt idx="116">
                  <c:v>0.60220813870819256</c:v>
                </c:pt>
                <c:pt idx="117">
                  <c:v>0.6068478709212286</c:v>
                </c:pt>
                <c:pt idx="118">
                  <c:v>0.60930404870669008</c:v>
                </c:pt>
                <c:pt idx="119">
                  <c:v>0.62515399614221678</c:v>
                </c:pt>
                <c:pt idx="120">
                  <c:v>0.62547618728331145</c:v>
                </c:pt>
                <c:pt idx="121">
                  <c:v>0.63318495347903081</c:v>
                </c:pt>
                <c:pt idx="122">
                  <c:v>0.64548157448371057</c:v>
                </c:pt>
                <c:pt idx="123">
                  <c:v>0.64625848617288284</c:v>
                </c:pt>
                <c:pt idx="124">
                  <c:v>0.64693904704472516</c:v>
                </c:pt>
                <c:pt idx="125">
                  <c:v>0.64957761766709154</c:v>
                </c:pt>
                <c:pt idx="126">
                  <c:v>0.64991888843360357</c:v>
                </c:pt>
                <c:pt idx="127">
                  <c:v>0.65241465823601175</c:v>
                </c:pt>
                <c:pt idx="128">
                  <c:v>0.65749761632832815</c:v>
                </c:pt>
                <c:pt idx="129">
                  <c:v>0.66376465515895688</c:v>
                </c:pt>
                <c:pt idx="130">
                  <c:v>0.66660119783500704</c:v>
                </c:pt>
                <c:pt idx="131">
                  <c:v>0.66816060990731785</c:v>
                </c:pt>
                <c:pt idx="132">
                  <c:v>0.67654678147755476</c:v>
                </c:pt>
                <c:pt idx="133">
                  <c:v>0.67945810890341818</c:v>
                </c:pt>
                <c:pt idx="134">
                  <c:v>0.68098357473081705</c:v>
                </c:pt>
                <c:pt idx="135">
                  <c:v>0.69823948296470917</c:v>
                </c:pt>
                <c:pt idx="136">
                  <c:v>0.69947364124709566</c:v>
                </c:pt>
                <c:pt idx="137">
                  <c:v>0.70156285728717194</c:v>
                </c:pt>
                <c:pt idx="138">
                  <c:v>0.71210151378454611</c:v>
                </c:pt>
                <c:pt idx="139">
                  <c:v>0.71226180126177496</c:v>
                </c:pt>
                <c:pt idx="140">
                  <c:v>0.71603810169563076</c:v>
                </c:pt>
                <c:pt idx="141">
                  <c:v>0.72641631776969007</c:v>
                </c:pt>
                <c:pt idx="142">
                  <c:v>0.73653812769043725</c:v>
                </c:pt>
                <c:pt idx="143">
                  <c:v>0.73668585419818555</c:v>
                </c:pt>
                <c:pt idx="144">
                  <c:v>0.7368919746049869</c:v>
                </c:pt>
                <c:pt idx="145">
                  <c:v>0.74002559764085163</c:v>
                </c:pt>
                <c:pt idx="146">
                  <c:v>0.74880401266818808</c:v>
                </c:pt>
                <c:pt idx="147">
                  <c:v>0.75325418039483338</c:v>
                </c:pt>
                <c:pt idx="148">
                  <c:v>0.75526887409705523</c:v>
                </c:pt>
                <c:pt idx="149">
                  <c:v>0.75638334180075617</c:v>
                </c:pt>
                <c:pt idx="150">
                  <c:v>0.76188718877256179</c:v>
                </c:pt>
                <c:pt idx="151">
                  <c:v>0.76214922366307292</c:v>
                </c:pt>
                <c:pt idx="152">
                  <c:v>0.76218699323726469</c:v>
                </c:pt>
                <c:pt idx="153">
                  <c:v>0.76842440695327241</c:v>
                </c:pt>
                <c:pt idx="154">
                  <c:v>0.77388715679171582</c:v>
                </c:pt>
                <c:pt idx="155">
                  <c:v>0.77652214135741815</c:v>
                </c:pt>
                <c:pt idx="156">
                  <c:v>0.77992630426251708</c:v>
                </c:pt>
                <c:pt idx="157">
                  <c:v>0.78610421304892952</c:v>
                </c:pt>
                <c:pt idx="158">
                  <c:v>0.7875995179383608</c:v>
                </c:pt>
                <c:pt idx="159">
                  <c:v>0.78788819586952741</c:v>
                </c:pt>
                <c:pt idx="160">
                  <c:v>0.78819542282781185</c:v>
                </c:pt>
                <c:pt idx="161">
                  <c:v>0.80383209746014472</c:v>
                </c:pt>
                <c:pt idx="162">
                  <c:v>0.80455703339976026</c:v>
                </c:pt>
                <c:pt idx="163">
                  <c:v>0.81259485406735621</c:v>
                </c:pt>
                <c:pt idx="164">
                  <c:v>0.81611378955676628</c:v>
                </c:pt>
                <c:pt idx="165">
                  <c:v>0.82537482416046259</c:v>
                </c:pt>
                <c:pt idx="166">
                  <c:v>0.83283542289973411</c:v>
                </c:pt>
                <c:pt idx="167">
                  <c:v>0.838582277491696</c:v>
                </c:pt>
                <c:pt idx="168">
                  <c:v>0.83970745681199332</c:v>
                </c:pt>
                <c:pt idx="169">
                  <c:v>0.84126447874314181</c:v>
                </c:pt>
                <c:pt idx="170">
                  <c:v>0.85169863889223052</c:v>
                </c:pt>
                <c:pt idx="171">
                  <c:v>0.85223150646470458</c:v>
                </c:pt>
                <c:pt idx="172">
                  <c:v>0.85235564858521684</c:v>
                </c:pt>
                <c:pt idx="173">
                  <c:v>0.85413243392849836</c:v>
                </c:pt>
                <c:pt idx="174">
                  <c:v>0.85427298966715171</c:v>
                </c:pt>
                <c:pt idx="175">
                  <c:v>0.86630084857551992</c:v>
                </c:pt>
                <c:pt idx="176">
                  <c:v>0.87655915611230739</c:v>
                </c:pt>
                <c:pt idx="177">
                  <c:v>0.89751475780121837</c:v>
                </c:pt>
                <c:pt idx="178">
                  <c:v>0.90807304619829665</c:v>
                </c:pt>
                <c:pt idx="179">
                  <c:v>0.91820962438487186</c:v>
                </c:pt>
                <c:pt idx="180">
                  <c:v>0.91873081180256122</c:v>
                </c:pt>
                <c:pt idx="181">
                  <c:v>0.92337313225834805</c:v>
                </c:pt>
                <c:pt idx="182">
                  <c:v>0.92522255254880292</c:v>
                </c:pt>
                <c:pt idx="183">
                  <c:v>0.92575042614680569</c:v>
                </c:pt>
                <c:pt idx="184">
                  <c:v>0.92802128956282104</c:v>
                </c:pt>
                <c:pt idx="185">
                  <c:v>0.92836384508703418</c:v>
                </c:pt>
                <c:pt idx="186">
                  <c:v>0.9315932662684645</c:v>
                </c:pt>
                <c:pt idx="187">
                  <c:v>0.93355664567297936</c:v>
                </c:pt>
                <c:pt idx="188">
                  <c:v>0.9414110839852583</c:v>
                </c:pt>
                <c:pt idx="189">
                  <c:v>0.94278713926087221</c:v>
                </c:pt>
                <c:pt idx="190">
                  <c:v>0.94549757085133024</c:v>
                </c:pt>
                <c:pt idx="191">
                  <c:v>0.94854275964371482</c:v>
                </c:pt>
                <c:pt idx="192">
                  <c:v>0.95896475779591128</c:v>
                </c:pt>
                <c:pt idx="193">
                  <c:v>0.95955686771003457</c:v>
                </c:pt>
                <c:pt idx="194">
                  <c:v>0.96662283398291038</c:v>
                </c:pt>
                <c:pt idx="195">
                  <c:v>0.96688825335331785</c:v>
                </c:pt>
                <c:pt idx="196">
                  <c:v>0.97570306240049831</c:v>
                </c:pt>
                <c:pt idx="197">
                  <c:v>0.98167097004989046</c:v>
                </c:pt>
                <c:pt idx="198">
                  <c:v>0.98695043608950073</c:v>
                </c:pt>
                <c:pt idx="199">
                  <c:v>0.992992086018603</c:v>
                </c:pt>
              </c:numCache>
            </c:numRef>
          </c:xVal>
          <c:yVal>
            <c:numRef>
              <c:f>SimData200!$N$209:$N$408</c:f>
              <c:numCache>
                <c:formatCode>General</c:formatCode>
                <c:ptCount val="200"/>
                <c:pt idx="0">
                  <c:v>0</c:v>
                </c:pt>
                <c:pt idx="1">
                  <c:v>5.0251256281407036E-3</c:v>
                </c:pt>
                <c:pt idx="2">
                  <c:v>1.0050251256281407E-2</c:v>
                </c:pt>
                <c:pt idx="3">
                  <c:v>1.507537688442211E-2</c:v>
                </c:pt>
                <c:pt idx="4">
                  <c:v>2.0100502512562814E-2</c:v>
                </c:pt>
                <c:pt idx="5">
                  <c:v>2.5125628140703519E-2</c:v>
                </c:pt>
                <c:pt idx="6">
                  <c:v>3.0150753768844223E-2</c:v>
                </c:pt>
                <c:pt idx="7">
                  <c:v>3.5175879396984924E-2</c:v>
                </c:pt>
                <c:pt idx="8">
                  <c:v>4.0201005025125629E-2</c:v>
                </c:pt>
                <c:pt idx="9">
                  <c:v>4.5226130653266333E-2</c:v>
                </c:pt>
                <c:pt idx="10">
                  <c:v>5.0251256281407038E-2</c:v>
                </c:pt>
                <c:pt idx="11">
                  <c:v>5.5276381909547742E-2</c:v>
                </c:pt>
                <c:pt idx="12">
                  <c:v>6.0301507537688447E-2</c:v>
                </c:pt>
                <c:pt idx="13">
                  <c:v>6.5326633165829151E-2</c:v>
                </c:pt>
                <c:pt idx="14">
                  <c:v>7.0351758793969849E-2</c:v>
                </c:pt>
                <c:pt idx="15">
                  <c:v>7.5376884422110546E-2</c:v>
                </c:pt>
                <c:pt idx="16">
                  <c:v>8.0402010050251244E-2</c:v>
                </c:pt>
                <c:pt idx="17">
                  <c:v>8.5427135678391941E-2</c:v>
                </c:pt>
                <c:pt idx="18">
                  <c:v>9.0452261306532639E-2</c:v>
                </c:pt>
                <c:pt idx="19">
                  <c:v>9.5477386934673336E-2</c:v>
                </c:pt>
                <c:pt idx="20">
                  <c:v>0.10050251256281403</c:v>
                </c:pt>
                <c:pt idx="21">
                  <c:v>0.10552763819095473</c:v>
                </c:pt>
                <c:pt idx="22">
                  <c:v>0.11055276381909543</c:v>
                </c:pt>
                <c:pt idx="23">
                  <c:v>0.11557788944723613</c:v>
                </c:pt>
                <c:pt idx="24">
                  <c:v>0.12060301507537682</c:v>
                </c:pt>
                <c:pt idx="25">
                  <c:v>0.12562814070351752</c:v>
                </c:pt>
                <c:pt idx="26">
                  <c:v>0.13065326633165822</c:v>
                </c:pt>
                <c:pt idx="27">
                  <c:v>0.13567839195979892</c:v>
                </c:pt>
                <c:pt idx="28">
                  <c:v>0.14070351758793961</c:v>
                </c:pt>
                <c:pt idx="29">
                  <c:v>0.14572864321608031</c:v>
                </c:pt>
                <c:pt idx="30">
                  <c:v>0.15075376884422101</c:v>
                </c:pt>
                <c:pt idx="31">
                  <c:v>0.15577889447236171</c:v>
                </c:pt>
                <c:pt idx="32">
                  <c:v>0.1608040201005024</c:v>
                </c:pt>
                <c:pt idx="33">
                  <c:v>0.1658291457286431</c:v>
                </c:pt>
                <c:pt idx="34">
                  <c:v>0.1708542713567838</c:v>
                </c:pt>
                <c:pt idx="35">
                  <c:v>0.1758793969849245</c:v>
                </c:pt>
                <c:pt idx="36">
                  <c:v>0.18090452261306519</c:v>
                </c:pt>
                <c:pt idx="37">
                  <c:v>0.18592964824120589</c:v>
                </c:pt>
                <c:pt idx="38">
                  <c:v>0.19095477386934659</c:v>
                </c:pt>
                <c:pt idx="39">
                  <c:v>0.19597989949748729</c:v>
                </c:pt>
                <c:pt idx="40">
                  <c:v>0.20100502512562798</c:v>
                </c:pt>
                <c:pt idx="41">
                  <c:v>0.20603015075376868</c:v>
                </c:pt>
                <c:pt idx="42">
                  <c:v>0.21105527638190938</c:v>
                </c:pt>
                <c:pt idx="43">
                  <c:v>0.21608040201005008</c:v>
                </c:pt>
                <c:pt idx="44">
                  <c:v>0.22110552763819077</c:v>
                </c:pt>
                <c:pt idx="45">
                  <c:v>0.22613065326633147</c:v>
                </c:pt>
                <c:pt idx="46">
                  <c:v>0.23115577889447217</c:v>
                </c:pt>
                <c:pt idx="47">
                  <c:v>0.23618090452261287</c:v>
                </c:pt>
                <c:pt idx="48">
                  <c:v>0.24120603015075356</c:v>
                </c:pt>
                <c:pt idx="49">
                  <c:v>0.24623115577889426</c:v>
                </c:pt>
                <c:pt idx="50">
                  <c:v>0.25125628140703499</c:v>
                </c:pt>
                <c:pt idx="51">
                  <c:v>0.25628140703517571</c:v>
                </c:pt>
                <c:pt idx="52">
                  <c:v>0.26130653266331644</c:v>
                </c:pt>
                <c:pt idx="53">
                  <c:v>0.26633165829145716</c:v>
                </c:pt>
                <c:pt idx="54">
                  <c:v>0.27135678391959789</c:v>
                </c:pt>
                <c:pt idx="55">
                  <c:v>0.27638190954773861</c:v>
                </c:pt>
                <c:pt idx="56">
                  <c:v>0.28140703517587934</c:v>
                </c:pt>
                <c:pt idx="57">
                  <c:v>0.28643216080402006</c:v>
                </c:pt>
                <c:pt idx="58">
                  <c:v>0.29145728643216079</c:v>
                </c:pt>
                <c:pt idx="59">
                  <c:v>0.29648241206030151</c:v>
                </c:pt>
                <c:pt idx="60">
                  <c:v>0.30150753768844224</c:v>
                </c:pt>
                <c:pt idx="61">
                  <c:v>0.30653266331658297</c:v>
                </c:pt>
                <c:pt idx="62">
                  <c:v>0.31155778894472369</c:v>
                </c:pt>
                <c:pt idx="63">
                  <c:v>0.31658291457286442</c:v>
                </c:pt>
                <c:pt idx="64">
                  <c:v>0.32160804020100514</c:v>
                </c:pt>
                <c:pt idx="65">
                  <c:v>0.32663316582914587</c:v>
                </c:pt>
                <c:pt idx="66">
                  <c:v>0.33165829145728659</c:v>
                </c:pt>
                <c:pt idx="67">
                  <c:v>0.33668341708542732</c:v>
                </c:pt>
                <c:pt idx="68">
                  <c:v>0.34170854271356804</c:v>
                </c:pt>
                <c:pt idx="69">
                  <c:v>0.34673366834170877</c:v>
                </c:pt>
                <c:pt idx="70">
                  <c:v>0.35175879396984949</c:v>
                </c:pt>
                <c:pt idx="71">
                  <c:v>0.35678391959799022</c:v>
                </c:pt>
                <c:pt idx="72">
                  <c:v>0.36180904522613094</c:v>
                </c:pt>
                <c:pt idx="73">
                  <c:v>0.36683417085427167</c:v>
                </c:pt>
                <c:pt idx="74">
                  <c:v>0.37185929648241239</c:v>
                </c:pt>
                <c:pt idx="75">
                  <c:v>0.37688442211055312</c:v>
                </c:pt>
                <c:pt idx="76">
                  <c:v>0.38190954773869384</c:v>
                </c:pt>
                <c:pt idx="77">
                  <c:v>0.38693467336683457</c:v>
                </c:pt>
                <c:pt idx="78">
                  <c:v>0.39195979899497529</c:v>
                </c:pt>
                <c:pt idx="79">
                  <c:v>0.39698492462311602</c:v>
                </c:pt>
                <c:pt idx="80">
                  <c:v>0.40201005025125675</c:v>
                </c:pt>
                <c:pt idx="81">
                  <c:v>0.40703517587939747</c:v>
                </c:pt>
                <c:pt idx="82">
                  <c:v>0.4120603015075382</c:v>
                </c:pt>
                <c:pt idx="83">
                  <c:v>0.41708542713567892</c:v>
                </c:pt>
                <c:pt idx="84">
                  <c:v>0.42211055276381965</c:v>
                </c:pt>
                <c:pt idx="85">
                  <c:v>0.42713567839196037</c:v>
                </c:pt>
                <c:pt idx="86">
                  <c:v>0.4321608040201011</c:v>
                </c:pt>
                <c:pt idx="87">
                  <c:v>0.43718592964824182</c:v>
                </c:pt>
                <c:pt idx="88">
                  <c:v>0.44221105527638255</c:v>
                </c:pt>
                <c:pt idx="89">
                  <c:v>0.44723618090452327</c:v>
                </c:pt>
                <c:pt idx="90">
                  <c:v>0.452261306532664</c:v>
                </c:pt>
                <c:pt idx="91">
                  <c:v>0.45728643216080472</c:v>
                </c:pt>
                <c:pt idx="92">
                  <c:v>0.46231155778894545</c:v>
                </c:pt>
                <c:pt idx="93">
                  <c:v>0.46733668341708617</c:v>
                </c:pt>
                <c:pt idx="94">
                  <c:v>0.4723618090452269</c:v>
                </c:pt>
                <c:pt idx="95">
                  <c:v>0.47738693467336762</c:v>
                </c:pt>
                <c:pt idx="96">
                  <c:v>0.48241206030150835</c:v>
                </c:pt>
                <c:pt idx="97">
                  <c:v>0.48743718592964907</c:v>
                </c:pt>
                <c:pt idx="98">
                  <c:v>0.4924623115577898</c:v>
                </c:pt>
                <c:pt idx="99">
                  <c:v>0.49748743718593053</c:v>
                </c:pt>
                <c:pt idx="100">
                  <c:v>0.5025125628140712</c:v>
                </c:pt>
                <c:pt idx="101">
                  <c:v>0.50753768844221192</c:v>
                </c:pt>
                <c:pt idx="102">
                  <c:v>0.51256281407035265</c:v>
                </c:pt>
                <c:pt idx="103">
                  <c:v>0.51758793969849337</c:v>
                </c:pt>
                <c:pt idx="104">
                  <c:v>0.5226130653266341</c:v>
                </c:pt>
                <c:pt idx="105">
                  <c:v>0.52763819095477482</c:v>
                </c:pt>
                <c:pt idx="106">
                  <c:v>0.53266331658291555</c:v>
                </c:pt>
                <c:pt idx="107">
                  <c:v>0.53768844221105627</c:v>
                </c:pt>
                <c:pt idx="108">
                  <c:v>0.542713567839197</c:v>
                </c:pt>
                <c:pt idx="109">
                  <c:v>0.54773869346733772</c:v>
                </c:pt>
                <c:pt idx="110">
                  <c:v>0.55276381909547845</c:v>
                </c:pt>
                <c:pt idx="111">
                  <c:v>0.55778894472361917</c:v>
                </c:pt>
                <c:pt idx="112">
                  <c:v>0.5628140703517599</c:v>
                </c:pt>
                <c:pt idx="113">
                  <c:v>0.56783919597990062</c:v>
                </c:pt>
                <c:pt idx="114">
                  <c:v>0.57286432160804135</c:v>
                </c:pt>
                <c:pt idx="115">
                  <c:v>0.57788944723618207</c:v>
                </c:pt>
                <c:pt idx="116">
                  <c:v>0.5829145728643228</c:v>
                </c:pt>
                <c:pt idx="117">
                  <c:v>0.58793969849246352</c:v>
                </c:pt>
                <c:pt idx="118">
                  <c:v>0.59296482412060425</c:v>
                </c:pt>
                <c:pt idx="119">
                  <c:v>0.59798994974874498</c:v>
                </c:pt>
                <c:pt idx="120">
                  <c:v>0.6030150753768857</c:v>
                </c:pt>
                <c:pt idx="121">
                  <c:v>0.60804020100502643</c:v>
                </c:pt>
                <c:pt idx="122">
                  <c:v>0.61306532663316715</c:v>
                </c:pt>
                <c:pt idx="123">
                  <c:v>0.61809045226130788</c:v>
                </c:pt>
                <c:pt idx="124">
                  <c:v>0.6231155778894486</c:v>
                </c:pt>
                <c:pt idx="125">
                  <c:v>0.62814070351758933</c:v>
                </c:pt>
                <c:pt idx="126">
                  <c:v>0.63316582914573005</c:v>
                </c:pt>
                <c:pt idx="127">
                  <c:v>0.63819095477387078</c:v>
                </c:pt>
                <c:pt idx="128">
                  <c:v>0.6432160804020115</c:v>
                </c:pt>
                <c:pt idx="129">
                  <c:v>0.64824120603015223</c:v>
                </c:pt>
                <c:pt idx="130">
                  <c:v>0.65326633165829295</c:v>
                </c:pt>
                <c:pt idx="131">
                  <c:v>0.65829145728643368</c:v>
                </c:pt>
                <c:pt idx="132">
                  <c:v>0.6633165829145744</c:v>
                </c:pt>
                <c:pt idx="133">
                  <c:v>0.66834170854271513</c:v>
                </c:pt>
                <c:pt idx="134">
                  <c:v>0.67336683417085585</c:v>
                </c:pt>
                <c:pt idx="135">
                  <c:v>0.67839195979899658</c:v>
                </c:pt>
                <c:pt idx="136">
                  <c:v>0.68341708542713731</c:v>
                </c:pt>
                <c:pt idx="137">
                  <c:v>0.68844221105527803</c:v>
                </c:pt>
                <c:pt idx="138">
                  <c:v>0.69346733668341876</c:v>
                </c:pt>
                <c:pt idx="139">
                  <c:v>0.69849246231155948</c:v>
                </c:pt>
                <c:pt idx="140">
                  <c:v>0.70351758793970021</c:v>
                </c:pt>
                <c:pt idx="141">
                  <c:v>0.70854271356784093</c:v>
                </c:pt>
                <c:pt idx="142">
                  <c:v>0.71356783919598166</c:v>
                </c:pt>
                <c:pt idx="143">
                  <c:v>0.71859296482412238</c:v>
                </c:pt>
                <c:pt idx="144">
                  <c:v>0.72361809045226311</c:v>
                </c:pt>
                <c:pt idx="145">
                  <c:v>0.72864321608040383</c:v>
                </c:pt>
                <c:pt idx="146">
                  <c:v>0.73366834170854456</c:v>
                </c:pt>
                <c:pt idx="147">
                  <c:v>0.73869346733668528</c:v>
                </c:pt>
                <c:pt idx="148">
                  <c:v>0.74371859296482601</c:v>
                </c:pt>
                <c:pt idx="149">
                  <c:v>0.74874371859296673</c:v>
                </c:pt>
                <c:pt idx="150">
                  <c:v>0.75376884422110746</c:v>
                </c:pt>
                <c:pt idx="151">
                  <c:v>0.75879396984924818</c:v>
                </c:pt>
                <c:pt idx="152">
                  <c:v>0.76381909547738891</c:v>
                </c:pt>
                <c:pt idx="153">
                  <c:v>0.76884422110552963</c:v>
                </c:pt>
                <c:pt idx="154">
                  <c:v>0.77386934673367036</c:v>
                </c:pt>
                <c:pt idx="155">
                  <c:v>0.77889447236181109</c:v>
                </c:pt>
                <c:pt idx="156">
                  <c:v>0.78391959798995181</c:v>
                </c:pt>
                <c:pt idx="157">
                  <c:v>0.78894472361809254</c:v>
                </c:pt>
                <c:pt idx="158">
                  <c:v>0.79396984924623326</c:v>
                </c:pt>
                <c:pt idx="159">
                  <c:v>0.79899497487437399</c:v>
                </c:pt>
                <c:pt idx="160">
                  <c:v>0.80402010050251471</c:v>
                </c:pt>
                <c:pt idx="161">
                  <c:v>0.80904522613065544</c:v>
                </c:pt>
                <c:pt idx="162">
                  <c:v>0.81407035175879616</c:v>
                </c:pt>
                <c:pt idx="163">
                  <c:v>0.81909547738693689</c:v>
                </c:pt>
                <c:pt idx="164">
                  <c:v>0.82412060301507761</c:v>
                </c:pt>
                <c:pt idx="165">
                  <c:v>0.82914572864321834</c:v>
                </c:pt>
                <c:pt idx="166">
                  <c:v>0.83417085427135906</c:v>
                </c:pt>
                <c:pt idx="167">
                  <c:v>0.83919597989949979</c:v>
                </c:pt>
                <c:pt idx="168">
                  <c:v>0.84422110552764051</c:v>
                </c:pt>
                <c:pt idx="169">
                  <c:v>0.84924623115578124</c:v>
                </c:pt>
                <c:pt idx="170">
                  <c:v>0.85427135678392196</c:v>
                </c:pt>
                <c:pt idx="171">
                  <c:v>0.85929648241206269</c:v>
                </c:pt>
                <c:pt idx="172">
                  <c:v>0.86432160804020342</c:v>
                </c:pt>
                <c:pt idx="173">
                  <c:v>0.86934673366834414</c:v>
                </c:pt>
                <c:pt idx="174">
                  <c:v>0.87437185929648487</c:v>
                </c:pt>
                <c:pt idx="175">
                  <c:v>0.87939698492462559</c:v>
                </c:pt>
                <c:pt idx="176">
                  <c:v>0.88442211055276632</c:v>
                </c:pt>
                <c:pt idx="177">
                  <c:v>0.88944723618090704</c:v>
                </c:pt>
                <c:pt idx="178">
                  <c:v>0.89447236180904777</c:v>
                </c:pt>
                <c:pt idx="179">
                  <c:v>0.89949748743718849</c:v>
                </c:pt>
                <c:pt idx="180">
                  <c:v>0.90452261306532922</c:v>
                </c:pt>
                <c:pt idx="181">
                  <c:v>0.90954773869346994</c:v>
                </c:pt>
                <c:pt idx="182">
                  <c:v>0.91457286432161067</c:v>
                </c:pt>
                <c:pt idx="183">
                  <c:v>0.91959798994975139</c:v>
                </c:pt>
                <c:pt idx="184">
                  <c:v>0.92462311557789212</c:v>
                </c:pt>
                <c:pt idx="185">
                  <c:v>0.92964824120603284</c:v>
                </c:pt>
                <c:pt idx="186">
                  <c:v>0.93467336683417357</c:v>
                </c:pt>
                <c:pt idx="187">
                  <c:v>0.93969849246231429</c:v>
                </c:pt>
                <c:pt idx="188">
                  <c:v>0.94472361809045502</c:v>
                </c:pt>
                <c:pt idx="189">
                  <c:v>0.94974874371859574</c:v>
                </c:pt>
                <c:pt idx="190">
                  <c:v>0.95477386934673647</c:v>
                </c:pt>
                <c:pt idx="191">
                  <c:v>0.9597989949748772</c:v>
                </c:pt>
                <c:pt idx="192">
                  <c:v>0.96482412060301792</c:v>
                </c:pt>
                <c:pt idx="193">
                  <c:v>0.96984924623115865</c:v>
                </c:pt>
                <c:pt idx="194">
                  <c:v>0.97487437185929937</c:v>
                </c:pt>
                <c:pt idx="195">
                  <c:v>0.9798994974874401</c:v>
                </c:pt>
                <c:pt idx="196">
                  <c:v>0.98492462311558082</c:v>
                </c:pt>
                <c:pt idx="197">
                  <c:v>0.98994974874372155</c:v>
                </c:pt>
                <c:pt idx="198">
                  <c:v>0.99497487437186227</c:v>
                </c:pt>
                <c:pt idx="199">
                  <c:v>1.0000000000000029</c:v>
                </c:pt>
              </c:numCache>
            </c:numRef>
          </c:yVal>
          <c:smooth val="1"/>
        </c:ser>
        <c:axId val="186079488"/>
        <c:axId val="186085376"/>
      </c:scatterChart>
      <c:valAx>
        <c:axId val="186079488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085376"/>
        <c:crosses val="autoZero"/>
        <c:crossBetween val="midCat"/>
      </c:valAx>
      <c:valAx>
        <c:axId val="186085376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76345840130505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0794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39067702552721"/>
          <c:y val="0.9559543230016313"/>
          <c:w val="0.14983351831298558"/>
          <c:h val="3.91517128874388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500 Iterations</a:t>
            </a:r>
          </a:p>
        </c:rich>
      </c:tx>
      <c:layout>
        <c:manualLayout>
          <c:xMode val="edge"/>
          <c:yMode val="edge"/>
          <c:x val="0.28967813540510545"/>
          <c:y val="1.95758564437194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032186459489458E-2"/>
          <c:y val="0.12234910277324633"/>
          <c:w val="0.90566037735849059"/>
          <c:h val="0.76508972267536701"/>
        </c:manualLayout>
      </c:layout>
      <c:scatterChart>
        <c:scatterStyle val="smoothMarker"/>
        <c:ser>
          <c:idx val="0"/>
          <c:order val="0"/>
          <c:tx>
            <c:strRef>
              <c:f>SimData500!$I$508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</c:trendline>
          <c:xVal>
            <c:numRef>
              <c:f>SimData500!$I$509:$I$1008</c:f>
              <c:numCache>
                <c:formatCode>General</c:formatCode>
                <c:ptCount val="500"/>
                <c:pt idx="0">
                  <c:v>8.9498454865417096E-4</c:v>
                </c:pt>
                <c:pt idx="1">
                  <c:v>2.4610811794318916E-3</c:v>
                </c:pt>
                <c:pt idx="2">
                  <c:v>4.3829461462756032E-3</c:v>
                </c:pt>
                <c:pt idx="3">
                  <c:v>7.6865085050665093E-3</c:v>
                </c:pt>
                <c:pt idx="4">
                  <c:v>9.6058045038035621E-3</c:v>
                </c:pt>
                <c:pt idx="5">
                  <c:v>1.0463921972658467E-2</c:v>
                </c:pt>
                <c:pt idx="6">
                  <c:v>1.2150179470924236E-2</c:v>
                </c:pt>
                <c:pt idx="7">
                  <c:v>1.4506519055111919E-2</c:v>
                </c:pt>
                <c:pt idx="8">
                  <c:v>1.6134846747418597E-2</c:v>
                </c:pt>
                <c:pt idx="9">
                  <c:v>1.8160271186418896E-2</c:v>
                </c:pt>
                <c:pt idx="10">
                  <c:v>2.0737350022126302E-2</c:v>
                </c:pt>
                <c:pt idx="11">
                  <c:v>2.2518083358769789E-2</c:v>
                </c:pt>
                <c:pt idx="12">
                  <c:v>2.4280256726844297E-2</c:v>
                </c:pt>
                <c:pt idx="13">
                  <c:v>2.6449174138356273E-2</c:v>
                </c:pt>
                <c:pt idx="14">
                  <c:v>2.9366084214152325E-2</c:v>
                </c:pt>
                <c:pt idx="15">
                  <c:v>3.114689816607789E-2</c:v>
                </c:pt>
                <c:pt idx="16">
                  <c:v>3.2688896049440121E-2</c:v>
                </c:pt>
                <c:pt idx="17">
                  <c:v>3.5522995573357447E-2</c:v>
                </c:pt>
                <c:pt idx="18">
                  <c:v>3.6822843602584407E-2</c:v>
                </c:pt>
                <c:pt idx="19">
                  <c:v>3.8899683778849357E-2</c:v>
                </c:pt>
                <c:pt idx="20">
                  <c:v>4.0346475242717769E-2</c:v>
                </c:pt>
                <c:pt idx="21">
                  <c:v>4.2284383617407731E-2</c:v>
                </c:pt>
                <c:pt idx="22">
                  <c:v>4.5860830674381188E-2</c:v>
                </c:pt>
                <c:pt idx="23">
                  <c:v>4.743833584418481E-2</c:v>
                </c:pt>
                <c:pt idx="24">
                  <c:v>4.8922840030147428E-2</c:v>
                </c:pt>
                <c:pt idx="25">
                  <c:v>5.1087807018563101E-2</c:v>
                </c:pt>
                <c:pt idx="26">
                  <c:v>5.2998589924303487E-2</c:v>
                </c:pt>
                <c:pt idx="27">
                  <c:v>5.4365112603727055E-2</c:v>
                </c:pt>
                <c:pt idx="28">
                  <c:v>5.7862474789345288E-2</c:v>
                </c:pt>
                <c:pt idx="29">
                  <c:v>5.8825073841220016E-2</c:v>
                </c:pt>
                <c:pt idx="30">
                  <c:v>6.0384001222528516E-2</c:v>
                </c:pt>
                <c:pt idx="31">
                  <c:v>6.2790099583750147E-2</c:v>
                </c:pt>
                <c:pt idx="32">
                  <c:v>6.5950196295499378E-2</c:v>
                </c:pt>
                <c:pt idx="33">
                  <c:v>6.7927512472478552E-2</c:v>
                </c:pt>
                <c:pt idx="34">
                  <c:v>6.9719486672831579E-2</c:v>
                </c:pt>
                <c:pt idx="35">
                  <c:v>7.182168631391174E-2</c:v>
                </c:pt>
                <c:pt idx="36">
                  <c:v>7.2961000300701934E-2</c:v>
                </c:pt>
                <c:pt idx="37">
                  <c:v>7.46411420872065E-2</c:v>
                </c:pt>
                <c:pt idx="38">
                  <c:v>7.6397199106029517E-2</c:v>
                </c:pt>
                <c:pt idx="39">
                  <c:v>7.9210480125437133E-2</c:v>
                </c:pt>
                <c:pt idx="40">
                  <c:v>8.1697313519589906E-2</c:v>
                </c:pt>
                <c:pt idx="41">
                  <c:v>8.2625588322669641E-2</c:v>
                </c:pt>
                <c:pt idx="42">
                  <c:v>8.5938923311871224E-2</c:v>
                </c:pt>
                <c:pt idx="43">
                  <c:v>8.7941896393881627E-2</c:v>
                </c:pt>
                <c:pt idx="44">
                  <c:v>8.8287832611773129E-2</c:v>
                </c:pt>
                <c:pt idx="45">
                  <c:v>9.0724696621001855E-2</c:v>
                </c:pt>
                <c:pt idx="46">
                  <c:v>9.279781756382384E-2</c:v>
                </c:pt>
                <c:pt idx="47">
                  <c:v>9.5667917135559929E-2</c:v>
                </c:pt>
                <c:pt idx="48">
                  <c:v>9.7693161822318367E-2</c:v>
                </c:pt>
                <c:pt idx="49">
                  <c:v>9.9176887973485714E-2</c:v>
                </c:pt>
                <c:pt idx="50">
                  <c:v>0.10089880143080344</c:v>
                </c:pt>
                <c:pt idx="51">
                  <c:v>0.10377789906081229</c:v>
                </c:pt>
                <c:pt idx="52">
                  <c:v>0.10499784772586959</c:v>
                </c:pt>
                <c:pt idx="53">
                  <c:v>0.10797235742769491</c:v>
                </c:pt>
                <c:pt idx="54">
                  <c:v>0.10890880101754069</c:v>
                </c:pt>
                <c:pt idx="55">
                  <c:v>0.11148787849244844</c:v>
                </c:pt>
                <c:pt idx="56">
                  <c:v>0.11200066098989934</c:v>
                </c:pt>
                <c:pt idx="57">
                  <c:v>0.11456406125718822</c:v>
                </c:pt>
                <c:pt idx="58">
                  <c:v>0.11626932891045449</c:v>
                </c:pt>
                <c:pt idx="59">
                  <c:v>0.11944000216560438</c:v>
                </c:pt>
                <c:pt idx="60">
                  <c:v>0.12055708462105996</c:v>
                </c:pt>
                <c:pt idx="61">
                  <c:v>0.12208658050282081</c:v>
                </c:pt>
                <c:pt idx="62">
                  <c:v>0.12471743138011485</c:v>
                </c:pt>
                <c:pt idx="63">
                  <c:v>0.12731575134706585</c:v>
                </c:pt>
                <c:pt idx="64">
                  <c:v>0.1298858927623103</c:v>
                </c:pt>
                <c:pt idx="65">
                  <c:v>0.13024654389830459</c:v>
                </c:pt>
                <c:pt idx="66">
                  <c:v>0.1330507811184625</c:v>
                </c:pt>
                <c:pt idx="67">
                  <c:v>0.13527442326659206</c:v>
                </c:pt>
                <c:pt idx="68">
                  <c:v>0.13693198440711293</c:v>
                </c:pt>
                <c:pt idx="69">
                  <c:v>0.13917134226327096</c:v>
                </c:pt>
                <c:pt idx="70">
                  <c:v>0.14092622078091985</c:v>
                </c:pt>
                <c:pt idx="71">
                  <c:v>0.14333693607462034</c:v>
                </c:pt>
                <c:pt idx="72">
                  <c:v>0.14486493057824321</c:v>
                </c:pt>
                <c:pt idx="73">
                  <c:v>0.14618445562156487</c:v>
                </c:pt>
                <c:pt idx="74">
                  <c:v>0.14895168358761623</c:v>
                </c:pt>
                <c:pt idx="75">
                  <c:v>0.15113056015296156</c:v>
                </c:pt>
                <c:pt idx="76">
                  <c:v>0.15354803216539975</c:v>
                </c:pt>
                <c:pt idx="77">
                  <c:v>0.1542451183647488</c:v>
                </c:pt>
                <c:pt idx="78">
                  <c:v>0.15748964865493811</c:v>
                </c:pt>
                <c:pt idx="79">
                  <c:v>0.15821058163424268</c:v>
                </c:pt>
                <c:pt idx="80">
                  <c:v>0.16028682082711879</c:v>
                </c:pt>
                <c:pt idx="81">
                  <c:v>0.16353874481877748</c:v>
                </c:pt>
                <c:pt idx="82">
                  <c:v>0.16402818441624478</c:v>
                </c:pt>
                <c:pt idx="83">
                  <c:v>0.16616836642617555</c:v>
                </c:pt>
                <c:pt idx="84">
                  <c:v>0.1683734228439567</c:v>
                </c:pt>
                <c:pt idx="85">
                  <c:v>0.17031572109980408</c:v>
                </c:pt>
                <c:pt idx="86">
                  <c:v>0.17214044378421747</c:v>
                </c:pt>
                <c:pt idx="87">
                  <c:v>0.17480775808561774</c:v>
                </c:pt>
                <c:pt idx="88">
                  <c:v>0.17693819873569028</c:v>
                </c:pt>
                <c:pt idx="89">
                  <c:v>0.17832068414807337</c:v>
                </c:pt>
                <c:pt idx="90">
                  <c:v>0.18035655745359988</c:v>
                </c:pt>
                <c:pt idx="91">
                  <c:v>0.18389513510044087</c:v>
                </c:pt>
                <c:pt idx="92">
                  <c:v>0.18560821755686968</c:v>
                </c:pt>
                <c:pt idx="93">
                  <c:v>0.18743822533577639</c:v>
                </c:pt>
                <c:pt idx="94">
                  <c:v>0.18880326782837586</c:v>
                </c:pt>
                <c:pt idx="95">
                  <c:v>0.19100068196817319</c:v>
                </c:pt>
                <c:pt idx="96">
                  <c:v>0.19286439740631367</c:v>
                </c:pt>
                <c:pt idx="97">
                  <c:v>0.19487925558883679</c:v>
                </c:pt>
                <c:pt idx="98">
                  <c:v>0.19660001256377435</c:v>
                </c:pt>
                <c:pt idx="99">
                  <c:v>0.19827581538545799</c:v>
                </c:pt>
                <c:pt idx="100">
                  <c:v>0.20017155042806908</c:v>
                </c:pt>
                <c:pt idx="101">
                  <c:v>0.20276342300157144</c:v>
                </c:pt>
                <c:pt idx="102">
                  <c:v>0.20490836771459048</c:v>
                </c:pt>
                <c:pt idx="103">
                  <c:v>0.20672957411425413</c:v>
                </c:pt>
                <c:pt idx="104">
                  <c:v>0.20899807023326822</c:v>
                </c:pt>
                <c:pt idx="105">
                  <c:v>0.21032068440465274</c:v>
                </c:pt>
                <c:pt idx="106">
                  <c:v>0.21378960223630758</c:v>
                </c:pt>
                <c:pt idx="107">
                  <c:v>0.21419678557808436</c:v>
                </c:pt>
                <c:pt idx="108">
                  <c:v>0.21745767516676748</c:v>
                </c:pt>
                <c:pt idx="109">
                  <c:v>0.21896170639269094</c:v>
                </c:pt>
                <c:pt idx="110">
                  <c:v>0.22034815696541876</c:v>
                </c:pt>
                <c:pt idx="111">
                  <c:v>0.22246634185278469</c:v>
                </c:pt>
                <c:pt idx="112">
                  <c:v>0.22496278361765731</c:v>
                </c:pt>
                <c:pt idx="113">
                  <c:v>0.22604034862109471</c:v>
                </c:pt>
                <c:pt idx="114">
                  <c:v>0.22899648082326085</c:v>
                </c:pt>
                <c:pt idx="115">
                  <c:v>0.23017393037122066</c:v>
                </c:pt>
                <c:pt idx="116">
                  <c:v>0.23297282850858123</c:v>
                </c:pt>
                <c:pt idx="117">
                  <c:v>0.23591052455080452</c:v>
                </c:pt>
                <c:pt idx="118">
                  <c:v>0.23732975038218537</c:v>
                </c:pt>
                <c:pt idx="119">
                  <c:v>0.2399835868817716</c:v>
                </c:pt>
                <c:pt idx="120">
                  <c:v>0.24181316770096614</c:v>
                </c:pt>
                <c:pt idx="121">
                  <c:v>0.24252806116745995</c:v>
                </c:pt>
                <c:pt idx="122">
                  <c:v>0.24596268438872942</c:v>
                </c:pt>
                <c:pt idx="123">
                  <c:v>0.24744268961377505</c:v>
                </c:pt>
                <c:pt idx="124">
                  <c:v>0.24810576325750577</c:v>
                </c:pt>
                <c:pt idx="125">
                  <c:v>0.2511828156386462</c:v>
                </c:pt>
                <c:pt idx="126">
                  <c:v>0.25281670941850559</c:v>
                </c:pt>
                <c:pt idx="127">
                  <c:v>0.25523805917362635</c:v>
                </c:pt>
                <c:pt idx="128">
                  <c:v>0.25748881049256045</c:v>
                </c:pt>
                <c:pt idx="129">
                  <c:v>0.2585648389371496</c:v>
                </c:pt>
                <c:pt idx="130">
                  <c:v>0.26106749106735627</c:v>
                </c:pt>
                <c:pt idx="131">
                  <c:v>0.26299237218661992</c:v>
                </c:pt>
                <c:pt idx="132">
                  <c:v>0.26474885546712873</c:v>
                </c:pt>
                <c:pt idx="133">
                  <c:v>0.26748884418687985</c:v>
                </c:pt>
                <c:pt idx="134">
                  <c:v>0.26864136925959992</c:v>
                </c:pt>
                <c:pt idx="135">
                  <c:v>0.27156811295113714</c:v>
                </c:pt>
                <c:pt idx="136">
                  <c:v>0.27331696147036666</c:v>
                </c:pt>
                <c:pt idx="137">
                  <c:v>0.27539369570542915</c:v>
                </c:pt>
                <c:pt idx="138">
                  <c:v>0.27754028405005582</c:v>
                </c:pt>
                <c:pt idx="139">
                  <c:v>0.27955428482348893</c:v>
                </c:pt>
                <c:pt idx="140">
                  <c:v>0.28120299653597242</c:v>
                </c:pt>
                <c:pt idx="141">
                  <c:v>0.28348514034633643</c:v>
                </c:pt>
                <c:pt idx="142">
                  <c:v>0.28590596732588158</c:v>
                </c:pt>
                <c:pt idx="143">
                  <c:v>0.28728256193671431</c:v>
                </c:pt>
                <c:pt idx="144">
                  <c:v>0.28945610368704799</c:v>
                </c:pt>
                <c:pt idx="145">
                  <c:v>0.29129430626036928</c:v>
                </c:pt>
                <c:pt idx="146">
                  <c:v>0.29353839045240038</c:v>
                </c:pt>
                <c:pt idx="147">
                  <c:v>0.29588937472968579</c:v>
                </c:pt>
                <c:pt idx="148">
                  <c:v>0.29762399934968536</c:v>
                </c:pt>
                <c:pt idx="149">
                  <c:v>0.29978569719562903</c:v>
                </c:pt>
                <c:pt idx="150">
                  <c:v>0.30006659547241094</c:v>
                </c:pt>
                <c:pt idx="151">
                  <c:v>0.30224807503313011</c:v>
                </c:pt>
                <c:pt idx="152">
                  <c:v>0.30461438404410485</c:v>
                </c:pt>
                <c:pt idx="153">
                  <c:v>0.30731618374942715</c:v>
                </c:pt>
                <c:pt idx="154">
                  <c:v>0.30899022935027959</c:v>
                </c:pt>
                <c:pt idx="155">
                  <c:v>0.31175698884896869</c:v>
                </c:pt>
                <c:pt idx="156">
                  <c:v>0.31335272806355563</c:v>
                </c:pt>
                <c:pt idx="157">
                  <c:v>0.31471608400128692</c:v>
                </c:pt>
                <c:pt idx="158">
                  <c:v>0.31726228662516509</c:v>
                </c:pt>
                <c:pt idx="159">
                  <c:v>0.31867591535362322</c:v>
                </c:pt>
                <c:pt idx="160">
                  <c:v>0.32066733398304026</c:v>
                </c:pt>
                <c:pt idx="161">
                  <c:v>0.3221968356324818</c:v>
                </c:pt>
                <c:pt idx="162">
                  <c:v>0.32594296318943211</c:v>
                </c:pt>
                <c:pt idx="163">
                  <c:v>0.32787056122111868</c:v>
                </c:pt>
                <c:pt idx="164">
                  <c:v>0.32887739155508516</c:v>
                </c:pt>
                <c:pt idx="165">
                  <c:v>0.33072424837265263</c:v>
                </c:pt>
                <c:pt idx="166">
                  <c:v>0.33283249980277207</c:v>
                </c:pt>
                <c:pt idx="167">
                  <c:v>0.33522836828865771</c:v>
                </c:pt>
                <c:pt idx="168">
                  <c:v>0.33652340381697832</c:v>
                </c:pt>
                <c:pt idx="169">
                  <c:v>0.33801215459453227</c:v>
                </c:pt>
                <c:pt idx="170">
                  <c:v>0.34165699473946753</c:v>
                </c:pt>
                <c:pt idx="171">
                  <c:v>0.34308036139632581</c:v>
                </c:pt>
                <c:pt idx="172">
                  <c:v>0.3447168635136254</c:v>
                </c:pt>
                <c:pt idx="173">
                  <c:v>0.34752447169961509</c:v>
                </c:pt>
                <c:pt idx="174">
                  <c:v>0.34901218361244823</c:v>
                </c:pt>
                <c:pt idx="175">
                  <c:v>0.3501009351345945</c:v>
                </c:pt>
                <c:pt idx="176">
                  <c:v>0.35240652135908757</c:v>
                </c:pt>
                <c:pt idx="177">
                  <c:v>0.3559805648219726</c:v>
                </c:pt>
                <c:pt idx="178">
                  <c:v>0.35794434326932401</c:v>
                </c:pt>
                <c:pt idx="179">
                  <c:v>0.35819200978386029</c:v>
                </c:pt>
                <c:pt idx="180">
                  <c:v>0.36097231414797071</c:v>
                </c:pt>
                <c:pt idx="181">
                  <c:v>0.36315993770052679</c:v>
                </c:pt>
                <c:pt idx="182">
                  <c:v>0.36520820730859604</c:v>
                </c:pt>
                <c:pt idx="183">
                  <c:v>0.36649085464619358</c:v>
                </c:pt>
                <c:pt idx="184">
                  <c:v>0.36910983594486252</c:v>
                </c:pt>
                <c:pt idx="185">
                  <c:v>0.37081394447544913</c:v>
                </c:pt>
                <c:pt idx="186">
                  <c:v>0.37212458360011796</c:v>
                </c:pt>
                <c:pt idx="187">
                  <c:v>0.37564816872348267</c:v>
                </c:pt>
                <c:pt idx="188">
                  <c:v>0.37707723437786966</c:v>
                </c:pt>
                <c:pt idx="189">
                  <c:v>0.37848962625406907</c:v>
                </c:pt>
                <c:pt idx="190">
                  <c:v>0.38078867940017685</c:v>
                </c:pt>
                <c:pt idx="191">
                  <c:v>0.38266635324355824</c:v>
                </c:pt>
                <c:pt idx="192">
                  <c:v>0.38499360920931064</c:v>
                </c:pt>
                <c:pt idx="193">
                  <c:v>0.38656005664229393</c:v>
                </c:pt>
                <c:pt idx="194">
                  <c:v>0.38842287342912118</c:v>
                </c:pt>
                <c:pt idx="195">
                  <c:v>0.39040555452238895</c:v>
                </c:pt>
                <c:pt idx="196">
                  <c:v>0.39332594676626054</c:v>
                </c:pt>
                <c:pt idx="197">
                  <c:v>0.39585502701668418</c:v>
                </c:pt>
                <c:pt idx="198">
                  <c:v>0.39669646562093325</c:v>
                </c:pt>
                <c:pt idx="199">
                  <c:v>0.3995315924593088</c:v>
                </c:pt>
                <c:pt idx="200">
                  <c:v>0.4000775649026217</c:v>
                </c:pt>
                <c:pt idx="201">
                  <c:v>0.40319816624447663</c:v>
                </c:pt>
                <c:pt idx="202">
                  <c:v>0.40474647302337607</c:v>
                </c:pt>
                <c:pt idx="203">
                  <c:v>0.40708994983441427</c:v>
                </c:pt>
                <c:pt idx="204">
                  <c:v>0.40949650421959732</c:v>
                </c:pt>
                <c:pt idx="205">
                  <c:v>0.4100614144583376</c:v>
                </c:pt>
                <c:pt idx="206">
                  <c:v>0.41255608204765154</c:v>
                </c:pt>
                <c:pt idx="207">
                  <c:v>0.41522028698148677</c:v>
                </c:pt>
                <c:pt idx="208">
                  <c:v>0.41647979659272349</c:v>
                </c:pt>
                <c:pt idx="209">
                  <c:v>0.41973720601800302</c:v>
                </c:pt>
                <c:pt idx="210">
                  <c:v>0.42000369825121103</c:v>
                </c:pt>
                <c:pt idx="211">
                  <c:v>0.42278251621704138</c:v>
                </c:pt>
                <c:pt idx="212">
                  <c:v>0.42546706123265138</c:v>
                </c:pt>
                <c:pt idx="213">
                  <c:v>0.42632306705841866</c:v>
                </c:pt>
                <c:pt idx="214">
                  <c:v>0.42809902563041519</c:v>
                </c:pt>
                <c:pt idx="215">
                  <c:v>0.43114011241568723</c:v>
                </c:pt>
                <c:pt idx="216">
                  <c:v>0.43397783237322646</c:v>
                </c:pt>
                <c:pt idx="217">
                  <c:v>0.43553799204564142</c:v>
                </c:pt>
                <c:pt idx="218">
                  <c:v>0.43604758805736143</c:v>
                </c:pt>
                <c:pt idx="219">
                  <c:v>0.4392292784860426</c:v>
                </c:pt>
                <c:pt idx="220">
                  <c:v>0.44052813111397626</c:v>
                </c:pt>
                <c:pt idx="221">
                  <c:v>0.44303197606164774</c:v>
                </c:pt>
                <c:pt idx="222">
                  <c:v>0.44500465964456198</c:v>
                </c:pt>
                <c:pt idx="223">
                  <c:v>0.44793229624254915</c:v>
                </c:pt>
                <c:pt idx="224">
                  <c:v>0.44947791691624511</c:v>
                </c:pt>
                <c:pt idx="225">
                  <c:v>0.45009722407164454</c:v>
                </c:pt>
                <c:pt idx="226">
                  <c:v>0.45398823610460115</c:v>
                </c:pt>
                <c:pt idx="227">
                  <c:v>0.45433558645852273</c:v>
                </c:pt>
                <c:pt idx="228">
                  <c:v>0.45628181372216942</c:v>
                </c:pt>
                <c:pt idx="229">
                  <c:v>0.45859956067022856</c:v>
                </c:pt>
                <c:pt idx="230">
                  <c:v>0.46147488153993033</c:v>
                </c:pt>
                <c:pt idx="231">
                  <c:v>0.46280817364733856</c:v>
                </c:pt>
                <c:pt idx="232">
                  <c:v>0.46425499926932501</c:v>
                </c:pt>
                <c:pt idx="233">
                  <c:v>0.46666240907569007</c:v>
                </c:pt>
                <c:pt idx="234">
                  <c:v>0.46909369012180102</c:v>
                </c:pt>
                <c:pt idx="235">
                  <c:v>0.47028811631265283</c:v>
                </c:pt>
                <c:pt idx="236">
                  <c:v>0.47368177018214064</c:v>
                </c:pt>
                <c:pt idx="237">
                  <c:v>0.47565334596989056</c:v>
                </c:pt>
                <c:pt idx="238">
                  <c:v>0.47627452400007153</c:v>
                </c:pt>
                <c:pt idx="239">
                  <c:v>0.47860872747576999</c:v>
                </c:pt>
                <c:pt idx="240">
                  <c:v>0.48148239360365142</c:v>
                </c:pt>
                <c:pt idx="241">
                  <c:v>0.48262042877511596</c:v>
                </c:pt>
                <c:pt idx="242">
                  <c:v>0.485639598788144</c:v>
                </c:pt>
                <c:pt idx="243">
                  <c:v>0.48657483702166354</c:v>
                </c:pt>
                <c:pt idx="244">
                  <c:v>0.48827532973146892</c:v>
                </c:pt>
                <c:pt idx="245">
                  <c:v>0.49044032595689419</c:v>
                </c:pt>
                <c:pt idx="246">
                  <c:v>0.49243533895500824</c:v>
                </c:pt>
                <c:pt idx="247">
                  <c:v>0.49507529987326709</c:v>
                </c:pt>
                <c:pt idx="248">
                  <c:v>0.49640816204212795</c:v>
                </c:pt>
                <c:pt idx="249">
                  <c:v>0.49880314943399356</c:v>
                </c:pt>
                <c:pt idx="250">
                  <c:v>0.50060510236132072</c:v>
                </c:pt>
                <c:pt idx="251">
                  <c:v>0.5020640156772137</c:v>
                </c:pt>
                <c:pt idx="252">
                  <c:v>0.50561745964726834</c:v>
                </c:pt>
                <c:pt idx="253">
                  <c:v>0.50740535800331399</c:v>
                </c:pt>
                <c:pt idx="254">
                  <c:v>0.50945658586627263</c:v>
                </c:pt>
                <c:pt idx="255">
                  <c:v>0.51163813442262773</c:v>
                </c:pt>
                <c:pt idx="256">
                  <c:v>0.51279258502432901</c:v>
                </c:pt>
                <c:pt idx="257">
                  <c:v>0.51406091831672496</c:v>
                </c:pt>
                <c:pt idx="258">
                  <c:v>0.51785230097217783</c:v>
                </c:pt>
                <c:pt idx="259">
                  <c:v>0.51880851232651826</c:v>
                </c:pt>
                <c:pt idx="260">
                  <c:v>0.52051933691755858</c:v>
                </c:pt>
                <c:pt idx="261">
                  <c:v>0.52215087083358103</c:v>
                </c:pt>
                <c:pt idx="262">
                  <c:v>0.52567380194311819</c:v>
                </c:pt>
                <c:pt idx="263">
                  <c:v>0.52789833025492228</c:v>
                </c:pt>
                <c:pt idx="264">
                  <c:v>0.52904407351348637</c:v>
                </c:pt>
                <c:pt idx="265">
                  <c:v>0.53103248839570039</c:v>
                </c:pt>
                <c:pt idx="266">
                  <c:v>0.5333418535425658</c:v>
                </c:pt>
                <c:pt idx="267">
                  <c:v>0.53508600628401293</c:v>
                </c:pt>
                <c:pt idx="268">
                  <c:v>0.53634656670744218</c:v>
                </c:pt>
                <c:pt idx="269">
                  <c:v>0.53888621788911661</c:v>
                </c:pt>
                <c:pt idx="270">
                  <c:v>0.54076397631521433</c:v>
                </c:pt>
                <c:pt idx="271">
                  <c:v>0.54264630538193659</c:v>
                </c:pt>
                <c:pt idx="272">
                  <c:v>0.54403785306123043</c:v>
                </c:pt>
                <c:pt idx="273">
                  <c:v>0.54760321524450628</c:v>
                </c:pt>
                <c:pt idx="274">
                  <c:v>0.54972640379651605</c:v>
                </c:pt>
                <c:pt idx="275">
                  <c:v>0.55085192728528098</c:v>
                </c:pt>
                <c:pt idx="276">
                  <c:v>0.55259476396781271</c:v>
                </c:pt>
                <c:pt idx="277">
                  <c:v>0.55575163267873029</c:v>
                </c:pt>
                <c:pt idx="278">
                  <c:v>0.55756664885384177</c:v>
                </c:pt>
                <c:pt idx="279">
                  <c:v>0.55997676876233349</c:v>
                </c:pt>
                <c:pt idx="280">
                  <c:v>0.56037584680094754</c:v>
                </c:pt>
                <c:pt idx="281">
                  <c:v>0.562596480067027</c:v>
                </c:pt>
                <c:pt idx="282">
                  <c:v>0.56591497294789062</c:v>
                </c:pt>
                <c:pt idx="283">
                  <c:v>0.56682567509981474</c:v>
                </c:pt>
                <c:pt idx="284">
                  <c:v>0.56958746600933075</c:v>
                </c:pt>
                <c:pt idx="285">
                  <c:v>0.57089937150126779</c:v>
                </c:pt>
                <c:pt idx="286">
                  <c:v>0.57397522747842011</c:v>
                </c:pt>
                <c:pt idx="287">
                  <c:v>0.57544755110830248</c:v>
                </c:pt>
                <c:pt idx="288">
                  <c:v>0.57777257354924749</c:v>
                </c:pt>
                <c:pt idx="289">
                  <c:v>0.57917134363324652</c:v>
                </c:pt>
                <c:pt idx="290">
                  <c:v>0.58127656182117671</c:v>
                </c:pt>
                <c:pt idx="291">
                  <c:v>0.58327171698847591</c:v>
                </c:pt>
                <c:pt idx="292">
                  <c:v>0.58549076285480772</c:v>
                </c:pt>
                <c:pt idx="293">
                  <c:v>0.5863477089457092</c:v>
                </c:pt>
                <c:pt idx="294">
                  <c:v>0.58999010215326919</c:v>
                </c:pt>
                <c:pt idx="295">
                  <c:v>0.59141028647111038</c:v>
                </c:pt>
                <c:pt idx="296">
                  <c:v>0.59287797052433666</c:v>
                </c:pt>
                <c:pt idx="297">
                  <c:v>0.59524800837115577</c:v>
                </c:pt>
                <c:pt idx="298">
                  <c:v>0.59666469221437923</c:v>
                </c:pt>
                <c:pt idx="299">
                  <c:v>0.59980247973692657</c:v>
                </c:pt>
                <c:pt idx="300">
                  <c:v>0.60071004538301143</c:v>
                </c:pt>
                <c:pt idx="301">
                  <c:v>0.60263691949393527</c:v>
                </c:pt>
                <c:pt idx="302">
                  <c:v>0.60422473608754212</c:v>
                </c:pt>
                <c:pt idx="303">
                  <c:v>0.60718699616267979</c:v>
                </c:pt>
                <c:pt idx="304">
                  <c:v>0.60901593244378827</c:v>
                </c:pt>
                <c:pt idx="305">
                  <c:v>0.6106965235636328</c:v>
                </c:pt>
                <c:pt idx="306">
                  <c:v>0.6138340931646139</c:v>
                </c:pt>
                <c:pt idx="307">
                  <c:v>0.61554585562496122</c:v>
                </c:pt>
                <c:pt idx="308">
                  <c:v>0.61793410987126041</c:v>
                </c:pt>
                <c:pt idx="309">
                  <c:v>0.61858095000977187</c:v>
                </c:pt>
                <c:pt idx="310">
                  <c:v>0.62017235217945943</c:v>
                </c:pt>
                <c:pt idx="311">
                  <c:v>0.62301727080834501</c:v>
                </c:pt>
                <c:pt idx="312">
                  <c:v>0.62403020221181915</c:v>
                </c:pt>
                <c:pt idx="313">
                  <c:v>0.62665239202851719</c:v>
                </c:pt>
                <c:pt idx="314">
                  <c:v>0.62825961174123446</c:v>
                </c:pt>
                <c:pt idx="315">
                  <c:v>0.63197369879064469</c:v>
                </c:pt>
                <c:pt idx="316">
                  <c:v>0.63237348653431369</c:v>
                </c:pt>
                <c:pt idx="317">
                  <c:v>0.63466196219033144</c:v>
                </c:pt>
                <c:pt idx="318">
                  <c:v>0.63682522861632174</c:v>
                </c:pt>
                <c:pt idx="319">
                  <c:v>0.63980064957630833</c:v>
                </c:pt>
                <c:pt idx="320">
                  <c:v>0.64042563921874984</c:v>
                </c:pt>
                <c:pt idx="321">
                  <c:v>0.64290105875602477</c:v>
                </c:pt>
                <c:pt idx="322">
                  <c:v>0.64559621832137837</c:v>
                </c:pt>
                <c:pt idx="323">
                  <c:v>0.64763890303569815</c:v>
                </c:pt>
                <c:pt idx="324">
                  <c:v>0.64841472619455642</c:v>
                </c:pt>
                <c:pt idx="325">
                  <c:v>0.6501680946685765</c:v>
                </c:pt>
                <c:pt idx="326">
                  <c:v>0.65282736807242669</c:v>
                </c:pt>
                <c:pt idx="327">
                  <c:v>0.65581731601288018</c:v>
                </c:pt>
                <c:pt idx="328">
                  <c:v>0.65751474345836669</c:v>
                </c:pt>
                <c:pt idx="329">
                  <c:v>0.6597127061201522</c:v>
                </c:pt>
                <c:pt idx="330">
                  <c:v>0.66119875140422923</c:v>
                </c:pt>
                <c:pt idx="331">
                  <c:v>0.66255058607611594</c:v>
                </c:pt>
                <c:pt idx="332">
                  <c:v>0.66406528149965816</c:v>
                </c:pt>
                <c:pt idx="333">
                  <c:v>0.66772029383334341</c:v>
                </c:pt>
                <c:pt idx="334">
                  <c:v>0.6691350965674816</c:v>
                </c:pt>
                <c:pt idx="335">
                  <c:v>0.6705461886270313</c:v>
                </c:pt>
                <c:pt idx="336">
                  <c:v>0.67214856430798497</c:v>
                </c:pt>
                <c:pt idx="337">
                  <c:v>0.67599610569002011</c:v>
                </c:pt>
                <c:pt idx="338">
                  <c:v>0.67732398542420102</c:v>
                </c:pt>
                <c:pt idx="339">
                  <c:v>0.67822774257097107</c:v>
                </c:pt>
                <c:pt idx="340">
                  <c:v>0.68119011714430289</c:v>
                </c:pt>
                <c:pt idx="341">
                  <c:v>0.6820023969113832</c:v>
                </c:pt>
                <c:pt idx="342">
                  <c:v>0.6855958858550516</c:v>
                </c:pt>
                <c:pt idx="343">
                  <c:v>0.68662210094989795</c:v>
                </c:pt>
                <c:pt idx="344">
                  <c:v>0.68828357636003845</c:v>
                </c:pt>
                <c:pt idx="345">
                  <c:v>0.69189782630277286</c:v>
                </c:pt>
                <c:pt idx="346">
                  <c:v>0.69330337889755689</c:v>
                </c:pt>
                <c:pt idx="347">
                  <c:v>0.69420888678780968</c:v>
                </c:pt>
                <c:pt idx="348">
                  <c:v>0.69680977580528924</c:v>
                </c:pt>
                <c:pt idx="349">
                  <c:v>0.69805789769255977</c:v>
                </c:pt>
                <c:pt idx="350">
                  <c:v>0.70038926263255741</c:v>
                </c:pt>
                <c:pt idx="351">
                  <c:v>0.70213752580763256</c:v>
                </c:pt>
                <c:pt idx="352">
                  <c:v>0.70464444961739814</c:v>
                </c:pt>
                <c:pt idx="353">
                  <c:v>0.70777360852150561</c:v>
                </c:pt>
                <c:pt idx="354">
                  <c:v>0.70832641251439377</c:v>
                </c:pt>
                <c:pt idx="355">
                  <c:v>0.71183173344932305</c:v>
                </c:pt>
                <c:pt idx="356">
                  <c:v>0.7120017165280883</c:v>
                </c:pt>
                <c:pt idx="357">
                  <c:v>0.71573960619413757</c:v>
                </c:pt>
                <c:pt idx="358">
                  <c:v>0.71641753528183738</c:v>
                </c:pt>
                <c:pt idx="359">
                  <c:v>0.71832041309967642</c:v>
                </c:pt>
                <c:pt idx="360">
                  <c:v>0.72100780361308903</c:v>
                </c:pt>
                <c:pt idx="361">
                  <c:v>0.72365667858106475</c:v>
                </c:pt>
                <c:pt idx="362">
                  <c:v>0.72575438292458527</c:v>
                </c:pt>
                <c:pt idx="363">
                  <c:v>0.72746232771488428</c:v>
                </c:pt>
                <c:pt idx="364">
                  <c:v>0.72932734233032148</c:v>
                </c:pt>
                <c:pt idx="365">
                  <c:v>0.73042038163645673</c:v>
                </c:pt>
                <c:pt idx="366">
                  <c:v>0.73288848651454053</c:v>
                </c:pt>
                <c:pt idx="367">
                  <c:v>0.73597149695408803</c:v>
                </c:pt>
                <c:pt idx="368">
                  <c:v>0.73645267596246033</c:v>
                </c:pt>
                <c:pt idx="369">
                  <c:v>0.73914753574439029</c:v>
                </c:pt>
                <c:pt idx="370">
                  <c:v>0.74114961786129263</c:v>
                </c:pt>
                <c:pt idx="371">
                  <c:v>0.74390084265309875</c:v>
                </c:pt>
                <c:pt idx="372">
                  <c:v>0.74513267144214657</c:v>
                </c:pt>
                <c:pt idx="373">
                  <c:v>0.74629027466389586</c:v>
                </c:pt>
                <c:pt idx="374">
                  <c:v>0.74889778106633986</c:v>
                </c:pt>
                <c:pt idx="375">
                  <c:v>0.75179503516242718</c:v>
                </c:pt>
                <c:pt idx="376">
                  <c:v>0.75233860406287445</c:v>
                </c:pt>
                <c:pt idx="377">
                  <c:v>0.75569227952223561</c:v>
                </c:pt>
                <c:pt idx="378">
                  <c:v>0.75686964860345929</c:v>
                </c:pt>
                <c:pt idx="379">
                  <c:v>0.75887140113508134</c:v>
                </c:pt>
                <c:pt idx="380">
                  <c:v>0.76013333995503685</c:v>
                </c:pt>
                <c:pt idx="381">
                  <c:v>0.76234134116916485</c:v>
                </c:pt>
                <c:pt idx="382">
                  <c:v>0.76488023125028248</c:v>
                </c:pt>
                <c:pt idx="383">
                  <c:v>0.76734073077732246</c:v>
                </c:pt>
                <c:pt idx="384">
                  <c:v>0.76944216386728048</c:v>
                </c:pt>
                <c:pt idx="385">
                  <c:v>0.77089331119947446</c:v>
                </c:pt>
                <c:pt idx="386">
                  <c:v>0.77370691508280742</c:v>
                </c:pt>
                <c:pt idx="387">
                  <c:v>0.77442513285400938</c:v>
                </c:pt>
                <c:pt idx="388">
                  <c:v>0.77621992032328146</c:v>
                </c:pt>
                <c:pt idx="389">
                  <c:v>0.77892806733933473</c:v>
                </c:pt>
                <c:pt idx="390">
                  <c:v>0.78019682860332462</c:v>
                </c:pt>
                <c:pt idx="391">
                  <c:v>0.78232963743766992</c:v>
                </c:pt>
                <c:pt idx="392">
                  <c:v>0.78403480397119063</c:v>
                </c:pt>
                <c:pt idx="393">
                  <c:v>0.78749454220279458</c:v>
                </c:pt>
                <c:pt idx="394">
                  <c:v>0.78916627540839057</c:v>
                </c:pt>
                <c:pt idx="395">
                  <c:v>0.79007793260414105</c:v>
                </c:pt>
                <c:pt idx="396">
                  <c:v>0.79344333973513992</c:v>
                </c:pt>
                <c:pt idx="397">
                  <c:v>0.79496765836397365</c:v>
                </c:pt>
                <c:pt idx="398">
                  <c:v>0.79795805208756543</c:v>
                </c:pt>
                <c:pt idx="399">
                  <c:v>0.79952953147225303</c:v>
                </c:pt>
                <c:pt idx="400">
                  <c:v>0.80038359955893457</c:v>
                </c:pt>
                <c:pt idx="401">
                  <c:v>0.80247201590996053</c:v>
                </c:pt>
                <c:pt idx="402">
                  <c:v>0.80428002186079506</c:v>
                </c:pt>
                <c:pt idx="403">
                  <c:v>0.80764983022204828</c:v>
                </c:pt>
                <c:pt idx="404">
                  <c:v>0.80870773745717195</c:v>
                </c:pt>
                <c:pt idx="405">
                  <c:v>0.81151663492003379</c:v>
                </c:pt>
                <c:pt idx="406">
                  <c:v>0.81285425129040478</c:v>
                </c:pt>
                <c:pt idx="407">
                  <c:v>0.81488155513696403</c:v>
                </c:pt>
                <c:pt idx="408">
                  <c:v>0.81765955920416389</c:v>
                </c:pt>
                <c:pt idx="409">
                  <c:v>0.8187193166838771</c:v>
                </c:pt>
                <c:pt idx="410">
                  <c:v>0.82174358895787591</c:v>
                </c:pt>
                <c:pt idx="411">
                  <c:v>0.82394420991650419</c:v>
                </c:pt>
                <c:pt idx="412">
                  <c:v>0.82499592280504208</c:v>
                </c:pt>
                <c:pt idx="413">
                  <c:v>0.8263200552087091</c:v>
                </c:pt>
                <c:pt idx="414">
                  <c:v>0.82992566763235387</c:v>
                </c:pt>
                <c:pt idx="415">
                  <c:v>0.8304694889202876</c:v>
                </c:pt>
                <c:pt idx="416">
                  <c:v>0.83216870422106448</c:v>
                </c:pt>
                <c:pt idx="417">
                  <c:v>0.83507832861623688</c:v>
                </c:pt>
                <c:pt idx="418">
                  <c:v>0.83632056377090536</c:v>
                </c:pt>
                <c:pt idx="419">
                  <c:v>0.83908787199973311</c:v>
                </c:pt>
                <c:pt idx="420">
                  <c:v>0.84110157479092051</c:v>
                </c:pt>
                <c:pt idx="421">
                  <c:v>0.84200028374744595</c:v>
                </c:pt>
                <c:pt idx="422">
                  <c:v>0.84573491602151996</c:v>
                </c:pt>
                <c:pt idx="423">
                  <c:v>0.84617593506541466</c:v>
                </c:pt>
                <c:pt idx="424">
                  <c:v>0.84850159765745081</c:v>
                </c:pt>
                <c:pt idx="425">
                  <c:v>0.85027280337090438</c:v>
                </c:pt>
                <c:pt idx="426">
                  <c:v>0.85358859623307093</c:v>
                </c:pt>
                <c:pt idx="427">
                  <c:v>0.85425413554866192</c:v>
                </c:pt>
                <c:pt idx="428">
                  <c:v>0.85603546488751558</c:v>
                </c:pt>
                <c:pt idx="429">
                  <c:v>0.85881328032836635</c:v>
                </c:pt>
                <c:pt idx="430">
                  <c:v>0.86173359034250807</c:v>
                </c:pt>
                <c:pt idx="431">
                  <c:v>0.86399466866720342</c:v>
                </c:pt>
                <c:pt idx="432">
                  <c:v>0.86578082111100219</c:v>
                </c:pt>
                <c:pt idx="433">
                  <c:v>0.86791326581079353</c:v>
                </c:pt>
                <c:pt idx="434">
                  <c:v>0.86966636255561991</c:v>
                </c:pt>
                <c:pt idx="435">
                  <c:v>0.87106666486455753</c:v>
                </c:pt>
                <c:pt idx="436">
                  <c:v>0.87301456324314108</c:v>
                </c:pt>
                <c:pt idx="437">
                  <c:v>0.87599053449649145</c:v>
                </c:pt>
                <c:pt idx="438">
                  <c:v>0.8773930580102357</c:v>
                </c:pt>
                <c:pt idx="439">
                  <c:v>0.87951319335529421</c:v>
                </c:pt>
                <c:pt idx="440">
                  <c:v>0.8813984294625461</c:v>
                </c:pt>
                <c:pt idx="441">
                  <c:v>0.88265316056195953</c:v>
                </c:pt>
                <c:pt idx="442">
                  <c:v>0.88417502928762115</c:v>
                </c:pt>
                <c:pt idx="443">
                  <c:v>0.8869895724423672</c:v>
                </c:pt>
                <c:pt idx="444">
                  <c:v>0.88804422146734885</c:v>
                </c:pt>
                <c:pt idx="445">
                  <c:v>0.89045307798228535</c:v>
                </c:pt>
                <c:pt idx="446">
                  <c:v>0.89232781748108747</c:v>
                </c:pt>
                <c:pt idx="447">
                  <c:v>0.89465580928946276</c:v>
                </c:pt>
                <c:pt idx="448">
                  <c:v>0.89633012215195462</c:v>
                </c:pt>
                <c:pt idx="449">
                  <c:v>0.89936063327485716</c:v>
                </c:pt>
                <c:pt idx="450">
                  <c:v>0.90030623707089252</c:v>
                </c:pt>
                <c:pt idx="451">
                  <c:v>0.90271421821478626</c:v>
                </c:pt>
                <c:pt idx="452">
                  <c:v>0.90543602584103033</c:v>
                </c:pt>
                <c:pt idx="453">
                  <c:v>0.90769654762458452</c:v>
                </c:pt>
                <c:pt idx="454">
                  <c:v>0.90873851069871758</c:v>
                </c:pt>
                <c:pt idx="455">
                  <c:v>0.91131058854919633</c:v>
                </c:pt>
                <c:pt idx="456">
                  <c:v>0.91362527331002652</c:v>
                </c:pt>
                <c:pt idx="457">
                  <c:v>0.9152837725121723</c:v>
                </c:pt>
                <c:pt idx="458">
                  <c:v>0.91640040480308249</c:v>
                </c:pt>
                <c:pt idx="459">
                  <c:v>0.91956688811014564</c:v>
                </c:pt>
                <c:pt idx="460">
                  <c:v>0.92128212929407183</c:v>
                </c:pt>
                <c:pt idx="461">
                  <c:v>0.9238618127926862</c:v>
                </c:pt>
                <c:pt idx="462">
                  <c:v>0.92499243740062054</c:v>
                </c:pt>
                <c:pt idx="463">
                  <c:v>0.92795621877767986</c:v>
                </c:pt>
                <c:pt idx="464">
                  <c:v>0.92975297630386267</c:v>
                </c:pt>
                <c:pt idx="465">
                  <c:v>0.93051256607997057</c:v>
                </c:pt>
                <c:pt idx="466">
                  <c:v>0.93289768087884817</c:v>
                </c:pt>
                <c:pt idx="467">
                  <c:v>0.93472805340605047</c:v>
                </c:pt>
                <c:pt idx="468">
                  <c:v>0.93791487942913432</c:v>
                </c:pt>
                <c:pt idx="469">
                  <c:v>0.9398404208905623</c:v>
                </c:pt>
                <c:pt idx="470">
                  <c:v>0.94011978586020872</c:v>
                </c:pt>
                <c:pt idx="471">
                  <c:v>0.94208974494600894</c:v>
                </c:pt>
                <c:pt idx="472">
                  <c:v>0.94533542023118011</c:v>
                </c:pt>
                <c:pt idx="473">
                  <c:v>0.94615084527296733</c:v>
                </c:pt>
                <c:pt idx="474">
                  <c:v>0.94829972279171926</c:v>
                </c:pt>
                <c:pt idx="475">
                  <c:v>0.95123203227651121</c:v>
                </c:pt>
                <c:pt idx="476">
                  <c:v>0.95365437849928958</c:v>
                </c:pt>
                <c:pt idx="477">
                  <c:v>0.95556767467911541</c:v>
                </c:pt>
                <c:pt idx="478">
                  <c:v>0.95650450170424406</c:v>
                </c:pt>
                <c:pt idx="479">
                  <c:v>0.95893937706689802</c:v>
                </c:pt>
                <c:pt idx="480">
                  <c:v>0.96077714228601596</c:v>
                </c:pt>
                <c:pt idx="481">
                  <c:v>0.96267495671954817</c:v>
                </c:pt>
                <c:pt idx="482">
                  <c:v>0.96483647485841917</c:v>
                </c:pt>
                <c:pt idx="483">
                  <c:v>0.96618388402140332</c:v>
                </c:pt>
                <c:pt idx="484">
                  <c:v>0.9683612515680402</c:v>
                </c:pt>
                <c:pt idx="485">
                  <c:v>0.97167939101617762</c:v>
                </c:pt>
                <c:pt idx="486">
                  <c:v>0.97319938044464194</c:v>
                </c:pt>
                <c:pt idx="487">
                  <c:v>0.97521237143576434</c:v>
                </c:pt>
                <c:pt idx="488">
                  <c:v>0.97759074761150189</c:v>
                </c:pt>
                <c:pt idx="489">
                  <c:v>0.97917544802072809</c:v>
                </c:pt>
                <c:pt idx="490">
                  <c:v>0.98183625752288761</c:v>
                </c:pt>
                <c:pt idx="491">
                  <c:v>0.98264614846293019</c:v>
                </c:pt>
                <c:pt idx="492">
                  <c:v>0.98508577072878512</c:v>
                </c:pt>
                <c:pt idx="493">
                  <c:v>0.98773356687411051</c:v>
                </c:pt>
                <c:pt idx="494">
                  <c:v>0.98967198447037297</c:v>
                </c:pt>
                <c:pt idx="495">
                  <c:v>0.99093620644438452</c:v>
                </c:pt>
                <c:pt idx="496">
                  <c:v>0.99296373040530916</c:v>
                </c:pt>
                <c:pt idx="497">
                  <c:v>0.99528668366821638</c:v>
                </c:pt>
                <c:pt idx="498">
                  <c:v>0.99702269526315446</c:v>
                </c:pt>
                <c:pt idx="499">
                  <c:v>0.99916531637058725</c:v>
                </c:pt>
              </c:numCache>
            </c:numRef>
          </c:xVal>
          <c:yVal>
            <c:numRef>
              <c:f>SimData500!$J$509:$J$1008</c:f>
              <c:numCache>
                <c:formatCode>General</c:formatCode>
                <c:ptCount val="500"/>
                <c:pt idx="0">
                  <c:v>0</c:v>
                </c:pt>
                <c:pt idx="1">
                  <c:v>2.004008016032064E-3</c:v>
                </c:pt>
                <c:pt idx="2">
                  <c:v>4.0080160320641279E-3</c:v>
                </c:pt>
                <c:pt idx="3">
                  <c:v>6.0120240480961915E-3</c:v>
                </c:pt>
                <c:pt idx="4">
                  <c:v>8.0160320641282558E-3</c:v>
                </c:pt>
                <c:pt idx="5">
                  <c:v>1.002004008016032E-2</c:v>
                </c:pt>
                <c:pt idx="6">
                  <c:v>1.2024048096192385E-2</c:v>
                </c:pt>
                <c:pt idx="7">
                  <c:v>1.4028056112224449E-2</c:v>
                </c:pt>
                <c:pt idx="8">
                  <c:v>1.6032064128256512E-2</c:v>
                </c:pt>
                <c:pt idx="9">
                  <c:v>1.8036072144288574E-2</c:v>
                </c:pt>
                <c:pt idx="10">
                  <c:v>2.0040080160320637E-2</c:v>
                </c:pt>
                <c:pt idx="11">
                  <c:v>2.20440881763527E-2</c:v>
                </c:pt>
                <c:pt idx="12">
                  <c:v>2.4048096192384762E-2</c:v>
                </c:pt>
                <c:pt idx="13">
                  <c:v>2.6052104208416825E-2</c:v>
                </c:pt>
                <c:pt idx="14">
                  <c:v>2.8056112224448888E-2</c:v>
                </c:pt>
                <c:pt idx="15">
                  <c:v>3.006012024048095E-2</c:v>
                </c:pt>
                <c:pt idx="16">
                  <c:v>3.2064128256513016E-2</c:v>
                </c:pt>
                <c:pt idx="17">
                  <c:v>3.4068136272545083E-2</c:v>
                </c:pt>
                <c:pt idx="18">
                  <c:v>3.6072144288577149E-2</c:v>
                </c:pt>
                <c:pt idx="19">
                  <c:v>3.8076152304609215E-2</c:v>
                </c:pt>
                <c:pt idx="20">
                  <c:v>4.0080160320641281E-2</c:v>
                </c:pt>
                <c:pt idx="21">
                  <c:v>4.2084168336673347E-2</c:v>
                </c:pt>
                <c:pt idx="22">
                  <c:v>4.4088176352705413E-2</c:v>
                </c:pt>
                <c:pt idx="23">
                  <c:v>4.6092184368737479E-2</c:v>
                </c:pt>
                <c:pt idx="24">
                  <c:v>4.8096192384769546E-2</c:v>
                </c:pt>
                <c:pt idx="25">
                  <c:v>5.0100200400801612E-2</c:v>
                </c:pt>
                <c:pt idx="26">
                  <c:v>5.2104208416833678E-2</c:v>
                </c:pt>
                <c:pt idx="27">
                  <c:v>5.4108216432865744E-2</c:v>
                </c:pt>
                <c:pt idx="28">
                  <c:v>5.611222444889781E-2</c:v>
                </c:pt>
                <c:pt idx="29">
                  <c:v>5.8116232464929876E-2</c:v>
                </c:pt>
                <c:pt idx="30">
                  <c:v>6.0120240480961942E-2</c:v>
                </c:pt>
                <c:pt idx="31">
                  <c:v>6.2124248496994008E-2</c:v>
                </c:pt>
                <c:pt idx="32">
                  <c:v>6.4128256513026075E-2</c:v>
                </c:pt>
                <c:pt idx="33">
                  <c:v>6.6132264529058141E-2</c:v>
                </c:pt>
                <c:pt idx="34">
                  <c:v>6.8136272545090207E-2</c:v>
                </c:pt>
                <c:pt idx="35">
                  <c:v>7.0140280561122273E-2</c:v>
                </c:pt>
                <c:pt idx="36">
                  <c:v>7.2144288577154339E-2</c:v>
                </c:pt>
                <c:pt idx="37">
                  <c:v>7.4148296593186405E-2</c:v>
                </c:pt>
                <c:pt idx="38">
                  <c:v>7.6152304609218471E-2</c:v>
                </c:pt>
                <c:pt idx="39">
                  <c:v>7.8156312625250537E-2</c:v>
                </c:pt>
                <c:pt idx="40">
                  <c:v>8.0160320641282604E-2</c:v>
                </c:pt>
                <c:pt idx="41">
                  <c:v>8.216432865731467E-2</c:v>
                </c:pt>
                <c:pt idx="42">
                  <c:v>8.4168336673346736E-2</c:v>
                </c:pt>
                <c:pt idx="43">
                  <c:v>8.6172344689378802E-2</c:v>
                </c:pt>
                <c:pt idx="44">
                  <c:v>8.8176352705410868E-2</c:v>
                </c:pt>
                <c:pt idx="45">
                  <c:v>9.0180360721442934E-2</c:v>
                </c:pt>
                <c:pt idx="46">
                  <c:v>9.2184368737475E-2</c:v>
                </c:pt>
                <c:pt idx="47">
                  <c:v>9.4188376753507067E-2</c:v>
                </c:pt>
                <c:pt idx="48">
                  <c:v>9.6192384769539133E-2</c:v>
                </c:pt>
                <c:pt idx="49">
                  <c:v>9.8196392785571199E-2</c:v>
                </c:pt>
                <c:pt idx="50">
                  <c:v>0.10020040080160326</c:v>
                </c:pt>
                <c:pt idx="51">
                  <c:v>0.10220440881763533</c:v>
                </c:pt>
                <c:pt idx="52">
                  <c:v>0.1042084168336674</c:v>
                </c:pt>
                <c:pt idx="53">
                  <c:v>0.10621242484969946</c:v>
                </c:pt>
                <c:pt idx="54">
                  <c:v>0.10821643286573153</c:v>
                </c:pt>
                <c:pt idx="55">
                  <c:v>0.1102204408817636</c:v>
                </c:pt>
                <c:pt idx="56">
                  <c:v>0.11222444889779566</c:v>
                </c:pt>
                <c:pt idx="57">
                  <c:v>0.11422845691382773</c:v>
                </c:pt>
                <c:pt idx="58">
                  <c:v>0.11623246492985979</c:v>
                </c:pt>
                <c:pt idx="59">
                  <c:v>0.11823647294589186</c:v>
                </c:pt>
                <c:pt idx="60">
                  <c:v>0.12024048096192393</c:v>
                </c:pt>
                <c:pt idx="61">
                  <c:v>0.12224448897795599</c:v>
                </c:pt>
                <c:pt idx="62">
                  <c:v>0.12424849699398806</c:v>
                </c:pt>
                <c:pt idx="63">
                  <c:v>0.12625250501002011</c:v>
                </c:pt>
                <c:pt idx="64">
                  <c:v>0.12825651302605218</c:v>
                </c:pt>
                <c:pt idx="65">
                  <c:v>0.13026052104208424</c:v>
                </c:pt>
                <c:pt idx="66">
                  <c:v>0.13226452905811631</c:v>
                </c:pt>
                <c:pt idx="67">
                  <c:v>0.13426853707414838</c:v>
                </c:pt>
                <c:pt idx="68">
                  <c:v>0.13627254509018044</c:v>
                </c:pt>
                <c:pt idx="69">
                  <c:v>0.13827655310621251</c:v>
                </c:pt>
                <c:pt idx="70">
                  <c:v>0.14028056112224457</c:v>
                </c:pt>
                <c:pt idx="71">
                  <c:v>0.14228456913827664</c:v>
                </c:pt>
                <c:pt idx="72">
                  <c:v>0.14428857715430871</c:v>
                </c:pt>
                <c:pt idx="73">
                  <c:v>0.14629258517034077</c:v>
                </c:pt>
                <c:pt idx="74">
                  <c:v>0.14829659318637284</c:v>
                </c:pt>
                <c:pt idx="75">
                  <c:v>0.1503006012024049</c:v>
                </c:pt>
                <c:pt idx="76">
                  <c:v>0.15230460921843697</c:v>
                </c:pt>
                <c:pt idx="77">
                  <c:v>0.15430861723446904</c:v>
                </c:pt>
                <c:pt idx="78">
                  <c:v>0.1563126252505011</c:v>
                </c:pt>
                <c:pt idx="79">
                  <c:v>0.15831663326653317</c:v>
                </c:pt>
                <c:pt idx="80">
                  <c:v>0.16032064128256523</c:v>
                </c:pt>
                <c:pt idx="81">
                  <c:v>0.1623246492985973</c:v>
                </c:pt>
                <c:pt idx="82">
                  <c:v>0.16432865731462937</c:v>
                </c:pt>
                <c:pt idx="83">
                  <c:v>0.16633266533066143</c:v>
                </c:pt>
                <c:pt idx="84">
                  <c:v>0.1683366733466935</c:v>
                </c:pt>
                <c:pt idx="85">
                  <c:v>0.17034068136272557</c:v>
                </c:pt>
                <c:pt idx="86">
                  <c:v>0.17234468937875763</c:v>
                </c:pt>
                <c:pt idx="87">
                  <c:v>0.1743486973947897</c:v>
                </c:pt>
                <c:pt idx="88">
                  <c:v>0.17635270541082176</c:v>
                </c:pt>
                <c:pt idx="89">
                  <c:v>0.17835671342685383</c:v>
                </c:pt>
                <c:pt idx="90">
                  <c:v>0.1803607214428859</c:v>
                </c:pt>
                <c:pt idx="91">
                  <c:v>0.18236472945891796</c:v>
                </c:pt>
                <c:pt idx="92">
                  <c:v>0.18436873747495003</c:v>
                </c:pt>
                <c:pt idx="93">
                  <c:v>0.18637274549098209</c:v>
                </c:pt>
                <c:pt idx="94">
                  <c:v>0.18837675350701416</c:v>
                </c:pt>
                <c:pt idx="95">
                  <c:v>0.19038076152304623</c:v>
                </c:pt>
                <c:pt idx="96">
                  <c:v>0.19238476953907829</c:v>
                </c:pt>
                <c:pt idx="97">
                  <c:v>0.19438877755511036</c:v>
                </c:pt>
                <c:pt idx="98">
                  <c:v>0.19639278557114243</c:v>
                </c:pt>
                <c:pt idx="99">
                  <c:v>0.19839679358717449</c:v>
                </c:pt>
                <c:pt idx="100">
                  <c:v>0.20040080160320656</c:v>
                </c:pt>
                <c:pt idx="101">
                  <c:v>0.20240480961923862</c:v>
                </c:pt>
                <c:pt idx="102">
                  <c:v>0.20440881763527069</c:v>
                </c:pt>
                <c:pt idx="103">
                  <c:v>0.20641282565130276</c:v>
                </c:pt>
                <c:pt idx="104">
                  <c:v>0.20841683366733482</c:v>
                </c:pt>
                <c:pt idx="105">
                  <c:v>0.21042084168336689</c:v>
                </c:pt>
                <c:pt idx="106">
                  <c:v>0.21242484969939895</c:v>
                </c:pt>
                <c:pt idx="107">
                  <c:v>0.21442885771543102</c:v>
                </c:pt>
                <c:pt idx="108">
                  <c:v>0.21643286573146309</c:v>
                </c:pt>
                <c:pt idx="109">
                  <c:v>0.21843687374749515</c:v>
                </c:pt>
                <c:pt idx="110">
                  <c:v>0.22044088176352722</c:v>
                </c:pt>
                <c:pt idx="111">
                  <c:v>0.22244488977955928</c:v>
                </c:pt>
                <c:pt idx="112">
                  <c:v>0.22444889779559135</c:v>
                </c:pt>
                <c:pt idx="113">
                  <c:v>0.22645290581162342</c:v>
                </c:pt>
                <c:pt idx="114">
                  <c:v>0.22845691382765548</c:v>
                </c:pt>
                <c:pt idx="115">
                  <c:v>0.23046092184368755</c:v>
                </c:pt>
                <c:pt idx="116">
                  <c:v>0.23246492985971962</c:v>
                </c:pt>
                <c:pt idx="117">
                  <c:v>0.23446893787575168</c:v>
                </c:pt>
                <c:pt idx="118">
                  <c:v>0.23647294589178375</c:v>
                </c:pt>
                <c:pt idx="119">
                  <c:v>0.23847695390781581</c:v>
                </c:pt>
                <c:pt idx="120">
                  <c:v>0.24048096192384788</c:v>
                </c:pt>
                <c:pt idx="121">
                  <c:v>0.24248496993987995</c:v>
                </c:pt>
                <c:pt idx="122">
                  <c:v>0.24448897795591201</c:v>
                </c:pt>
                <c:pt idx="123">
                  <c:v>0.24649298597194408</c:v>
                </c:pt>
                <c:pt idx="124">
                  <c:v>0.24849699398797614</c:v>
                </c:pt>
                <c:pt idx="125">
                  <c:v>0.25050100200400821</c:v>
                </c:pt>
                <c:pt idx="126">
                  <c:v>0.25250501002004028</c:v>
                </c:pt>
                <c:pt idx="127">
                  <c:v>0.25450901803607234</c:v>
                </c:pt>
                <c:pt idx="128">
                  <c:v>0.25651302605210441</c:v>
                </c:pt>
                <c:pt idx="129">
                  <c:v>0.25851703406813648</c:v>
                </c:pt>
                <c:pt idx="130">
                  <c:v>0.26052104208416854</c:v>
                </c:pt>
                <c:pt idx="131">
                  <c:v>0.26252505010020061</c:v>
                </c:pt>
                <c:pt idx="132">
                  <c:v>0.26452905811623267</c:v>
                </c:pt>
                <c:pt idx="133">
                  <c:v>0.26653306613226474</c:v>
                </c:pt>
                <c:pt idx="134">
                  <c:v>0.26853707414829681</c:v>
                </c:pt>
                <c:pt idx="135">
                  <c:v>0.27054108216432887</c:v>
                </c:pt>
                <c:pt idx="136">
                  <c:v>0.27254509018036094</c:v>
                </c:pt>
                <c:pt idx="137">
                  <c:v>0.274549098196393</c:v>
                </c:pt>
                <c:pt idx="138">
                  <c:v>0.27655310621242507</c:v>
                </c:pt>
                <c:pt idx="139">
                  <c:v>0.27855711422845714</c:v>
                </c:pt>
                <c:pt idx="140">
                  <c:v>0.2805611222444892</c:v>
                </c:pt>
                <c:pt idx="141">
                  <c:v>0.28256513026052127</c:v>
                </c:pt>
                <c:pt idx="142">
                  <c:v>0.28456913827655334</c:v>
                </c:pt>
                <c:pt idx="143">
                  <c:v>0.2865731462925854</c:v>
                </c:pt>
                <c:pt idx="144">
                  <c:v>0.28857715430861747</c:v>
                </c:pt>
                <c:pt idx="145">
                  <c:v>0.29058116232464953</c:v>
                </c:pt>
                <c:pt idx="146">
                  <c:v>0.2925851703406816</c:v>
                </c:pt>
                <c:pt idx="147">
                  <c:v>0.29458917835671367</c:v>
                </c:pt>
                <c:pt idx="148">
                  <c:v>0.29659318637274573</c:v>
                </c:pt>
                <c:pt idx="149">
                  <c:v>0.2985971943887778</c:v>
                </c:pt>
                <c:pt idx="150">
                  <c:v>0.30060120240480986</c:v>
                </c:pt>
                <c:pt idx="151">
                  <c:v>0.30260521042084193</c:v>
                </c:pt>
                <c:pt idx="152">
                  <c:v>0.304609218436874</c:v>
                </c:pt>
                <c:pt idx="153">
                  <c:v>0.30661322645290606</c:v>
                </c:pt>
                <c:pt idx="154">
                  <c:v>0.30861723446893813</c:v>
                </c:pt>
                <c:pt idx="155">
                  <c:v>0.31062124248497019</c:v>
                </c:pt>
                <c:pt idx="156">
                  <c:v>0.31262525050100226</c:v>
                </c:pt>
                <c:pt idx="157">
                  <c:v>0.31462925851703433</c:v>
                </c:pt>
                <c:pt idx="158">
                  <c:v>0.31663326653306639</c:v>
                </c:pt>
                <c:pt idx="159">
                  <c:v>0.31863727454909846</c:v>
                </c:pt>
                <c:pt idx="160">
                  <c:v>0.32064128256513053</c:v>
                </c:pt>
                <c:pt idx="161">
                  <c:v>0.32264529058116259</c:v>
                </c:pt>
                <c:pt idx="162">
                  <c:v>0.32464929859719466</c:v>
                </c:pt>
                <c:pt idx="163">
                  <c:v>0.32665330661322672</c:v>
                </c:pt>
                <c:pt idx="164">
                  <c:v>0.32865731462925879</c:v>
                </c:pt>
                <c:pt idx="165">
                  <c:v>0.33066132264529086</c:v>
                </c:pt>
                <c:pt idx="166">
                  <c:v>0.33266533066132292</c:v>
                </c:pt>
                <c:pt idx="167">
                  <c:v>0.33466933867735499</c:v>
                </c:pt>
                <c:pt idx="168">
                  <c:v>0.33667334669338705</c:v>
                </c:pt>
                <c:pt idx="169">
                  <c:v>0.33867735470941912</c:v>
                </c:pt>
                <c:pt idx="170">
                  <c:v>0.34068136272545119</c:v>
                </c:pt>
                <c:pt idx="171">
                  <c:v>0.34268537074148325</c:v>
                </c:pt>
                <c:pt idx="172">
                  <c:v>0.34468937875751532</c:v>
                </c:pt>
                <c:pt idx="173">
                  <c:v>0.34669338677354739</c:v>
                </c:pt>
                <c:pt idx="174">
                  <c:v>0.34869739478957945</c:v>
                </c:pt>
                <c:pt idx="175">
                  <c:v>0.35070140280561152</c:v>
                </c:pt>
                <c:pt idx="176">
                  <c:v>0.35270541082164358</c:v>
                </c:pt>
                <c:pt idx="177">
                  <c:v>0.35470941883767565</c:v>
                </c:pt>
                <c:pt idx="178">
                  <c:v>0.35671342685370772</c:v>
                </c:pt>
                <c:pt idx="179">
                  <c:v>0.35871743486973978</c:v>
                </c:pt>
                <c:pt idx="180">
                  <c:v>0.36072144288577185</c:v>
                </c:pt>
                <c:pt idx="181">
                  <c:v>0.36272545090180391</c:v>
                </c:pt>
                <c:pt idx="182">
                  <c:v>0.36472945891783598</c:v>
                </c:pt>
                <c:pt idx="183">
                  <c:v>0.36673346693386805</c:v>
                </c:pt>
                <c:pt idx="184">
                  <c:v>0.36873747494990011</c:v>
                </c:pt>
                <c:pt idx="185">
                  <c:v>0.37074148296593218</c:v>
                </c:pt>
                <c:pt idx="186">
                  <c:v>0.37274549098196424</c:v>
                </c:pt>
                <c:pt idx="187">
                  <c:v>0.37474949899799631</c:v>
                </c:pt>
                <c:pt idx="188">
                  <c:v>0.37675350701402838</c:v>
                </c:pt>
                <c:pt idx="189">
                  <c:v>0.37875751503006044</c:v>
                </c:pt>
                <c:pt idx="190">
                  <c:v>0.38076152304609251</c:v>
                </c:pt>
                <c:pt idx="191">
                  <c:v>0.38276553106212458</c:v>
                </c:pt>
                <c:pt idx="192">
                  <c:v>0.38476953907815664</c:v>
                </c:pt>
                <c:pt idx="193">
                  <c:v>0.38677354709418871</c:v>
                </c:pt>
                <c:pt idx="194">
                  <c:v>0.38877755511022077</c:v>
                </c:pt>
                <c:pt idx="195">
                  <c:v>0.39078156312625284</c:v>
                </c:pt>
                <c:pt idx="196">
                  <c:v>0.39278557114228491</c:v>
                </c:pt>
                <c:pt idx="197">
                  <c:v>0.39478957915831697</c:v>
                </c:pt>
                <c:pt idx="198">
                  <c:v>0.39679358717434904</c:v>
                </c:pt>
                <c:pt idx="199">
                  <c:v>0.3987975951903811</c:v>
                </c:pt>
                <c:pt idx="200">
                  <c:v>0.40080160320641317</c:v>
                </c:pt>
                <c:pt idx="201">
                  <c:v>0.40280561122244524</c:v>
                </c:pt>
                <c:pt idx="202">
                  <c:v>0.4048096192384773</c:v>
                </c:pt>
                <c:pt idx="203">
                  <c:v>0.40681362725450937</c:v>
                </c:pt>
                <c:pt idx="204">
                  <c:v>0.40881763527054144</c:v>
                </c:pt>
                <c:pt idx="205">
                  <c:v>0.4108216432865735</c:v>
                </c:pt>
                <c:pt idx="206">
                  <c:v>0.41282565130260557</c:v>
                </c:pt>
                <c:pt idx="207">
                  <c:v>0.41482965931863763</c:v>
                </c:pt>
                <c:pt idx="208">
                  <c:v>0.4168336673346697</c:v>
                </c:pt>
                <c:pt idx="209">
                  <c:v>0.41883767535070177</c:v>
                </c:pt>
                <c:pt idx="210">
                  <c:v>0.42084168336673383</c:v>
                </c:pt>
                <c:pt idx="211">
                  <c:v>0.4228456913827659</c:v>
                </c:pt>
                <c:pt idx="212">
                  <c:v>0.42484969939879796</c:v>
                </c:pt>
                <c:pt idx="213">
                  <c:v>0.42685370741483003</c:v>
                </c:pt>
                <c:pt idx="214">
                  <c:v>0.4288577154308621</c:v>
                </c:pt>
                <c:pt idx="215">
                  <c:v>0.43086172344689416</c:v>
                </c:pt>
                <c:pt idx="216">
                  <c:v>0.43286573146292623</c:v>
                </c:pt>
                <c:pt idx="217">
                  <c:v>0.43486973947895829</c:v>
                </c:pt>
                <c:pt idx="218">
                  <c:v>0.43687374749499036</c:v>
                </c:pt>
                <c:pt idx="219">
                  <c:v>0.43887775551102243</c:v>
                </c:pt>
                <c:pt idx="220">
                  <c:v>0.44088176352705449</c:v>
                </c:pt>
                <c:pt idx="221">
                  <c:v>0.44288577154308656</c:v>
                </c:pt>
                <c:pt idx="222">
                  <c:v>0.44488977955911863</c:v>
                </c:pt>
                <c:pt idx="223">
                  <c:v>0.44689378757515069</c:v>
                </c:pt>
                <c:pt idx="224">
                  <c:v>0.44889779559118276</c:v>
                </c:pt>
                <c:pt idx="225">
                  <c:v>0.45090180360721482</c:v>
                </c:pt>
                <c:pt idx="226">
                  <c:v>0.45290581162324689</c:v>
                </c:pt>
                <c:pt idx="227">
                  <c:v>0.45490981963927896</c:v>
                </c:pt>
                <c:pt idx="228">
                  <c:v>0.45691382765531102</c:v>
                </c:pt>
                <c:pt idx="229">
                  <c:v>0.45891783567134309</c:v>
                </c:pt>
                <c:pt idx="230">
                  <c:v>0.46092184368737515</c:v>
                </c:pt>
                <c:pt idx="231">
                  <c:v>0.46292585170340722</c:v>
                </c:pt>
                <c:pt idx="232">
                  <c:v>0.46492985971943929</c:v>
                </c:pt>
                <c:pt idx="233">
                  <c:v>0.46693386773547135</c:v>
                </c:pt>
                <c:pt idx="234">
                  <c:v>0.46893787575150342</c:v>
                </c:pt>
                <c:pt idx="235">
                  <c:v>0.47094188376753549</c:v>
                </c:pt>
                <c:pt idx="236">
                  <c:v>0.47294589178356755</c:v>
                </c:pt>
                <c:pt idx="237">
                  <c:v>0.47494989979959962</c:v>
                </c:pt>
                <c:pt idx="238">
                  <c:v>0.47695390781563168</c:v>
                </c:pt>
                <c:pt idx="239">
                  <c:v>0.47895791583166375</c:v>
                </c:pt>
                <c:pt idx="240">
                  <c:v>0.48096192384769582</c:v>
                </c:pt>
                <c:pt idx="241">
                  <c:v>0.48296593186372788</c:v>
                </c:pt>
                <c:pt idx="242">
                  <c:v>0.48496993987975995</c:v>
                </c:pt>
                <c:pt idx="243">
                  <c:v>0.48697394789579201</c:v>
                </c:pt>
                <c:pt idx="244">
                  <c:v>0.48897795591182408</c:v>
                </c:pt>
                <c:pt idx="245">
                  <c:v>0.49098196392785615</c:v>
                </c:pt>
                <c:pt idx="246">
                  <c:v>0.49298597194388821</c:v>
                </c:pt>
                <c:pt idx="247">
                  <c:v>0.49498997995992028</c:v>
                </c:pt>
                <c:pt idx="248">
                  <c:v>0.49699398797595234</c:v>
                </c:pt>
                <c:pt idx="249">
                  <c:v>0.49899799599198441</c:v>
                </c:pt>
                <c:pt idx="250">
                  <c:v>0.50100200400801642</c:v>
                </c:pt>
                <c:pt idx="251">
                  <c:v>0.50300601202404849</c:v>
                </c:pt>
                <c:pt idx="252">
                  <c:v>0.50501002004008055</c:v>
                </c:pt>
                <c:pt idx="253">
                  <c:v>0.50701402805611262</c:v>
                </c:pt>
                <c:pt idx="254">
                  <c:v>0.50901803607214469</c:v>
                </c:pt>
                <c:pt idx="255">
                  <c:v>0.51102204408817675</c:v>
                </c:pt>
                <c:pt idx="256">
                  <c:v>0.51302605210420882</c:v>
                </c:pt>
                <c:pt idx="257">
                  <c:v>0.51503006012024088</c:v>
                </c:pt>
                <c:pt idx="258">
                  <c:v>0.51703406813627295</c:v>
                </c:pt>
                <c:pt idx="259">
                  <c:v>0.51903807615230502</c:v>
                </c:pt>
                <c:pt idx="260">
                  <c:v>0.52104208416833708</c:v>
                </c:pt>
                <c:pt idx="261">
                  <c:v>0.52304609218436915</c:v>
                </c:pt>
                <c:pt idx="262">
                  <c:v>0.52505010020040122</c:v>
                </c:pt>
                <c:pt idx="263">
                  <c:v>0.52705410821643328</c:v>
                </c:pt>
                <c:pt idx="264">
                  <c:v>0.52905811623246535</c:v>
                </c:pt>
                <c:pt idx="265">
                  <c:v>0.53106212424849741</c:v>
                </c:pt>
                <c:pt idx="266">
                  <c:v>0.53306613226452948</c:v>
                </c:pt>
                <c:pt idx="267">
                  <c:v>0.53507014028056155</c:v>
                </c:pt>
                <c:pt idx="268">
                  <c:v>0.53707414829659361</c:v>
                </c:pt>
                <c:pt idx="269">
                  <c:v>0.53907815631262568</c:v>
                </c:pt>
                <c:pt idx="270">
                  <c:v>0.54108216432865774</c:v>
                </c:pt>
                <c:pt idx="271">
                  <c:v>0.54308617234468981</c:v>
                </c:pt>
                <c:pt idx="272">
                  <c:v>0.54509018036072188</c:v>
                </c:pt>
                <c:pt idx="273">
                  <c:v>0.54709418837675394</c:v>
                </c:pt>
                <c:pt idx="274">
                  <c:v>0.54909819639278601</c:v>
                </c:pt>
                <c:pt idx="275">
                  <c:v>0.55110220440881807</c:v>
                </c:pt>
                <c:pt idx="276">
                  <c:v>0.55310621242485014</c:v>
                </c:pt>
                <c:pt idx="277">
                  <c:v>0.55511022044088221</c:v>
                </c:pt>
                <c:pt idx="278">
                  <c:v>0.55711422845691427</c:v>
                </c:pt>
                <c:pt idx="279">
                  <c:v>0.55911823647294634</c:v>
                </c:pt>
                <c:pt idx="280">
                  <c:v>0.56112224448897841</c:v>
                </c:pt>
                <c:pt idx="281">
                  <c:v>0.56312625250501047</c:v>
                </c:pt>
                <c:pt idx="282">
                  <c:v>0.56513026052104254</c:v>
                </c:pt>
                <c:pt idx="283">
                  <c:v>0.5671342685370746</c:v>
                </c:pt>
                <c:pt idx="284">
                  <c:v>0.56913827655310667</c:v>
                </c:pt>
                <c:pt idx="285">
                  <c:v>0.57114228456913874</c:v>
                </c:pt>
                <c:pt idx="286">
                  <c:v>0.5731462925851708</c:v>
                </c:pt>
                <c:pt idx="287">
                  <c:v>0.57515030060120287</c:v>
                </c:pt>
                <c:pt idx="288">
                  <c:v>0.57715430861723493</c:v>
                </c:pt>
                <c:pt idx="289">
                  <c:v>0.579158316633267</c:v>
                </c:pt>
                <c:pt idx="290">
                  <c:v>0.58116232464929907</c:v>
                </c:pt>
                <c:pt idx="291">
                  <c:v>0.58316633266533113</c:v>
                </c:pt>
                <c:pt idx="292">
                  <c:v>0.5851703406813632</c:v>
                </c:pt>
                <c:pt idx="293">
                  <c:v>0.58717434869739527</c:v>
                </c:pt>
                <c:pt idx="294">
                  <c:v>0.58917835671342733</c:v>
                </c:pt>
                <c:pt idx="295">
                  <c:v>0.5911823647294594</c:v>
                </c:pt>
                <c:pt idx="296">
                  <c:v>0.59318637274549146</c:v>
                </c:pt>
                <c:pt idx="297">
                  <c:v>0.59519038076152353</c:v>
                </c:pt>
                <c:pt idx="298">
                  <c:v>0.5971943887775556</c:v>
                </c:pt>
                <c:pt idx="299">
                  <c:v>0.59919839679358766</c:v>
                </c:pt>
                <c:pt idx="300">
                  <c:v>0.60120240480961973</c:v>
                </c:pt>
                <c:pt idx="301">
                  <c:v>0.60320641282565179</c:v>
                </c:pt>
                <c:pt idx="302">
                  <c:v>0.60521042084168386</c:v>
                </c:pt>
                <c:pt idx="303">
                  <c:v>0.60721442885771593</c:v>
                </c:pt>
                <c:pt idx="304">
                  <c:v>0.60921843687374799</c:v>
                </c:pt>
                <c:pt idx="305">
                  <c:v>0.61122244488978006</c:v>
                </c:pt>
                <c:pt idx="306">
                  <c:v>0.61322645290581212</c:v>
                </c:pt>
                <c:pt idx="307">
                  <c:v>0.61523046092184419</c:v>
                </c:pt>
                <c:pt idx="308">
                  <c:v>0.61723446893787626</c:v>
                </c:pt>
                <c:pt idx="309">
                  <c:v>0.61923847695390832</c:v>
                </c:pt>
                <c:pt idx="310">
                  <c:v>0.62124248496994039</c:v>
                </c:pt>
                <c:pt idx="311">
                  <c:v>0.62324649298597246</c:v>
                </c:pt>
                <c:pt idx="312">
                  <c:v>0.62525050100200452</c:v>
                </c:pt>
                <c:pt idx="313">
                  <c:v>0.62725450901803659</c:v>
                </c:pt>
                <c:pt idx="314">
                  <c:v>0.62925851703406865</c:v>
                </c:pt>
                <c:pt idx="315">
                  <c:v>0.63126252505010072</c:v>
                </c:pt>
                <c:pt idx="316">
                  <c:v>0.63326653306613279</c:v>
                </c:pt>
                <c:pt idx="317">
                  <c:v>0.63527054108216485</c:v>
                </c:pt>
                <c:pt idx="318">
                  <c:v>0.63727454909819692</c:v>
                </c:pt>
                <c:pt idx="319">
                  <c:v>0.63927855711422898</c:v>
                </c:pt>
                <c:pt idx="320">
                  <c:v>0.64128256513026105</c:v>
                </c:pt>
                <c:pt idx="321">
                  <c:v>0.64328657314629312</c:v>
                </c:pt>
                <c:pt idx="322">
                  <c:v>0.64529058116232518</c:v>
                </c:pt>
                <c:pt idx="323">
                  <c:v>0.64729458917835725</c:v>
                </c:pt>
                <c:pt idx="324">
                  <c:v>0.64929859719438932</c:v>
                </c:pt>
                <c:pt idx="325">
                  <c:v>0.65130260521042138</c:v>
                </c:pt>
                <c:pt idx="326">
                  <c:v>0.65330661322645345</c:v>
                </c:pt>
                <c:pt idx="327">
                  <c:v>0.65531062124248551</c:v>
                </c:pt>
                <c:pt idx="328">
                  <c:v>0.65731462925851758</c:v>
                </c:pt>
                <c:pt idx="329">
                  <c:v>0.65931863727454965</c:v>
                </c:pt>
                <c:pt idx="330">
                  <c:v>0.66132264529058171</c:v>
                </c:pt>
                <c:pt idx="331">
                  <c:v>0.66332665330661378</c:v>
                </c:pt>
                <c:pt idx="332">
                  <c:v>0.66533066132264584</c:v>
                </c:pt>
                <c:pt idx="333">
                  <c:v>0.66733466933867791</c:v>
                </c:pt>
                <c:pt idx="334">
                  <c:v>0.66933867735470998</c:v>
                </c:pt>
                <c:pt idx="335">
                  <c:v>0.67134268537074204</c:v>
                </c:pt>
                <c:pt idx="336">
                  <c:v>0.67334669338677411</c:v>
                </c:pt>
                <c:pt idx="337">
                  <c:v>0.67535070140280618</c:v>
                </c:pt>
                <c:pt idx="338">
                  <c:v>0.67735470941883824</c:v>
                </c:pt>
                <c:pt idx="339">
                  <c:v>0.67935871743487031</c:v>
                </c:pt>
                <c:pt idx="340">
                  <c:v>0.68136272545090237</c:v>
                </c:pt>
                <c:pt idx="341">
                  <c:v>0.68336673346693444</c:v>
                </c:pt>
                <c:pt idx="342">
                  <c:v>0.68537074148296651</c:v>
                </c:pt>
                <c:pt idx="343">
                  <c:v>0.68737474949899857</c:v>
                </c:pt>
                <c:pt idx="344">
                  <c:v>0.68937875751503064</c:v>
                </c:pt>
                <c:pt idx="345">
                  <c:v>0.6913827655310627</c:v>
                </c:pt>
                <c:pt idx="346">
                  <c:v>0.69338677354709477</c:v>
                </c:pt>
                <c:pt idx="347">
                  <c:v>0.69539078156312684</c:v>
                </c:pt>
                <c:pt idx="348">
                  <c:v>0.6973947895791589</c:v>
                </c:pt>
                <c:pt idx="349">
                  <c:v>0.69939879759519097</c:v>
                </c:pt>
                <c:pt idx="350">
                  <c:v>0.70140280561122303</c:v>
                </c:pt>
                <c:pt idx="351">
                  <c:v>0.7034068136272551</c:v>
                </c:pt>
                <c:pt idx="352">
                  <c:v>0.70541082164328717</c:v>
                </c:pt>
                <c:pt idx="353">
                  <c:v>0.70741482965931923</c:v>
                </c:pt>
                <c:pt idx="354">
                  <c:v>0.7094188376753513</c:v>
                </c:pt>
                <c:pt idx="355">
                  <c:v>0.71142284569138337</c:v>
                </c:pt>
                <c:pt idx="356">
                  <c:v>0.71342685370741543</c:v>
                </c:pt>
                <c:pt idx="357">
                  <c:v>0.7154308617234475</c:v>
                </c:pt>
                <c:pt idx="358">
                  <c:v>0.71743486973947956</c:v>
                </c:pt>
                <c:pt idx="359">
                  <c:v>0.71943887775551163</c:v>
                </c:pt>
                <c:pt idx="360">
                  <c:v>0.7214428857715437</c:v>
                </c:pt>
                <c:pt idx="361">
                  <c:v>0.72344689378757576</c:v>
                </c:pt>
                <c:pt idx="362">
                  <c:v>0.72545090180360783</c:v>
                </c:pt>
                <c:pt idx="363">
                  <c:v>0.72745490981963989</c:v>
                </c:pt>
                <c:pt idx="364">
                  <c:v>0.72945891783567196</c:v>
                </c:pt>
                <c:pt idx="365">
                  <c:v>0.73146292585170403</c:v>
                </c:pt>
                <c:pt idx="366">
                  <c:v>0.73346693386773609</c:v>
                </c:pt>
                <c:pt idx="367">
                  <c:v>0.73547094188376816</c:v>
                </c:pt>
                <c:pt idx="368">
                  <c:v>0.73747494989980023</c:v>
                </c:pt>
                <c:pt idx="369">
                  <c:v>0.73947895791583229</c:v>
                </c:pt>
                <c:pt idx="370">
                  <c:v>0.74148296593186436</c:v>
                </c:pt>
                <c:pt idx="371">
                  <c:v>0.74348697394789642</c:v>
                </c:pt>
                <c:pt idx="372">
                  <c:v>0.74549098196392849</c:v>
                </c:pt>
                <c:pt idx="373">
                  <c:v>0.74749498997996056</c:v>
                </c:pt>
                <c:pt idx="374">
                  <c:v>0.74949899799599262</c:v>
                </c:pt>
                <c:pt idx="375">
                  <c:v>0.75150300601202469</c:v>
                </c:pt>
                <c:pt idx="376">
                  <c:v>0.75350701402805675</c:v>
                </c:pt>
                <c:pt idx="377">
                  <c:v>0.75551102204408882</c:v>
                </c:pt>
                <c:pt idx="378">
                  <c:v>0.75751503006012089</c:v>
                </c:pt>
                <c:pt idx="379">
                  <c:v>0.75951903807615295</c:v>
                </c:pt>
                <c:pt idx="380">
                  <c:v>0.76152304609218502</c:v>
                </c:pt>
                <c:pt idx="381">
                  <c:v>0.76352705410821708</c:v>
                </c:pt>
                <c:pt idx="382">
                  <c:v>0.76553106212424915</c:v>
                </c:pt>
                <c:pt idx="383">
                  <c:v>0.76753507014028122</c:v>
                </c:pt>
                <c:pt idx="384">
                  <c:v>0.76953907815631328</c:v>
                </c:pt>
                <c:pt idx="385">
                  <c:v>0.77154308617234535</c:v>
                </c:pt>
                <c:pt idx="386">
                  <c:v>0.77354709418837742</c:v>
                </c:pt>
                <c:pt idx="387">
                  <c:v>0.77555110220440948</c:v>
                </c:pt>
                <c:pt idx="388">
                  <c:v>0.77755511022044155</c:v>
                </c:pt>
                <c:pt idx="389">
                  <c:v>0.77955911823647361</c:v>
                </c:pt>
                <c:pt idx="390">
                  <c:v>0.78156312625250568</c:v>
                </c:pt>
                <c:pt idx="391">
                  <c:v>0.78356713426853775</c:v>
                </c:pt>
                <c:pt idx="392">
                  <c:v>0.78557114228456981</c:v>
                </c:pt>
                <c:pt idx="393">
                  <c:v>0.78757515030060188</c:v>
                </c:pt>
                <c:pt idx="394">
                  <c:v>0.78957915831663394</c:v>
                </c:pt>
                <c:pt idx="395">
                  <c:v>0.79158316633266601</c:v>
                </c:pt>
                <c:pt idx="396">
                  <c:v>0.79358717434869808</c:v>
                </c:pt>
                <c:pt idx="397">
                  <c:v>0.79559118236473014</c:v>
                </c:pt>
                <c:pt idx="398">
                  <c:v>0.79759519038076221</c:v>
                </c:pt>
                <c:pt idx="399">
                  <c:v>0.79959919839679428</c:v>
                </c:pt>
                <c:pt idx="400">
                  <c:v>0.80160320641282634</c:v>
                </c:pt>
                <c:pt idx="401">
                  <c:v>0.80360721442885841</c:v>
                </c:pt>
                <c:pt idx="402">
                  <c:v>0.80561122244489047</c:v>
                </c:pt>
                <c:pt idx="403">
                  <c:v>0.80761523046092254</c:v>
                </c:pt>
                <c:pt idx="404">
                  <c:v>0.80961923847695461</c:v>
                </c:pt>
                <c:pt idx="405">
                  <c:v>0.81162324649298667</c:v>
                </c:pt>
                <c:pt idx="406">
                  <c:v>0.81362725450901874</c:v>
                </c:pt>
                <c:pt idx="407">
                  <c:v>0.8156312625250508</c:v>
                </c:pt>
                <c:pt idx="408">
                  <c:v>0.81763527054108287</c:v>
                </c:pt>
                <c:pt idx="409">
                  <c:v>0.81963927855711494</c:v>
                </c:pt>
                <c:pt idx="410">
                  <c:v>0.821643286573147</c:v>
                </c:pt>
                <c:pt idx="411">
                  <c:v>0.82364729458917907</c:v>
                </c:pt>
                <c:pt idx="412">
                  <c:v>0.82565130260521113</c:v>
                </c:pt>
                <c:pt idx="413">
                  <c:v>0.8276553106212432</c:v>
                </c:pt>
                <c:pt idx="414">
                  <c:v>0.82965931863727527</c:v>
                </c:pt>
                <c:pt idx="415">
                  <c:v>0.83166332665330733</c:v>
                </c:pt>
                <c:pt idx="416">
                  <c:v>0.8336673346693394</c:v>
                </c:pt>
                <c:pt idx="417">
                  <c:v>0.83567134268537147</c:v>
                </c:pt>
                <c:pt idx="418">
                  <c:v>0.83767535070140353</c:v>
                </c:pt>
                <c:pt idx="419">
                  <c:v>0.8396793587174356</c:v>
                </c:pt>
                <c:pt idx="420">
                  <c:v>0.84168336673346766</c:v>
                </c:pt>
                <c:pt idx="421">
                  <c:v>0.84368737474949973</c:v>
                </c:pt>
                <c:pt idx="422">
                  <c:v>0.8456913827655318</c:v>
                </c:pt>
                <c:pt idx="423">
                  <c:v>0.84769539078156386</c:v>
                </c:pt>
                <c:pt idx="424">
                  <c:v>0.84969939879759593</c:v>
                </c:pt>
                <c:pt idx="425">
                  <c:v>0.85170340681362799</c:v>
                </c:pt>
                <c:pt idx="426">
                  <c:v>0.85370741482966006</c:v>
                </c:pt>
                <c:pt idx="427">
                  <c:v>0.85571142284569213</c:v>
                </c:pt>
                <c:pt idx="428">
                  <c:v>0.85771543086172419</c:v>
                </c:pt>
                <c:pt idx="429">
                  <c:v>0.85971943887775626</c:v>
                </c:pt>
                <c:pt idx="430">
                  <c:v>0.86172344689378833</c:v>
                </c:pt>
                <c:pt idx="431">
                  <c:v>0.86372745490982039</c:v>
                </c:pt>
                <c:pt idx="432">
                  <c:v>0.86573146292585246</c:v>
                </c:pt>
                <c:pt idx="433">
                  <c:v>0.86773547094188452</c:v>
                </c:pt>
                <c:pt idx="434">
                  <c:v>0.86973947895791659</c:v>
                </c:pt>
                <c:pt idx="435">
                  <c:v>0.87174348697394866</c:v>
                </c:pt>
                <c:pt idx="436">
                  <c:v>0.87374749498998072</c:v>
                </c:pt>
                <c:pt idx="437">
                  <c:v>0.87575150300601279</c:v>
                </c:pt>
                <c:pt idx="438">
                  <c:v>0.87775551102204485</c:v>
                </c:pt>
                <c:pt idx="439">
                  <c:v>0.87975951903807692</c:v>
                </c:pt>
                <c:pt idx="440">
                  <c:v>0.88176352705410899</c:v>
                </c:pt>
                <c:pt idx="441">
                  <c:v>0.88376753507014105</c:v>
                </c:pt>
                <c:pt idx="442">
                  <c:v>0.88577154308617312</c:v>
                </c:pt>
                <c:pt idx="443">
                  <c:v>0.88777555110220518</c:v>
                </c:pt>
                <c:pt idx="444">
                  <c:v>0.88977955911823725</c:v>
                </c:pt>
                <c:pt idx="445">
                  <c:v>0.89178356713426932</c:v>
                </c:pt>
                <c:pt idx="446">
                  <c:v>0.89378757515030138</c:v>
                </c:pt>
                <c:pt idx="447">
                  <c:v>0.89579158316633345</c:v>
                </c:pt>
                <c:pt idx="448">
                  <c:v>0.89779559118236552</c:v>
                </c:pt>
                <c:pt idx="449">
                  <c:v>0.89979959919839758</c:v>
                </c:pt>
                <c:pt idx="450">
                  <c:v>0.90180360721442965</c:v>
                </c:pt>
                <c:pt idx="451">
                  <c:v>0.90380761523046171</c:v>
                </c:pt>
                <c:pt idx="452">
                  <c:v>0.90581162324649378</c:v>
                </c:pt>
                <c:pt idx="453">
                  <c:v>0.90781563126252585</c:v>
                </c:pt>
                <c:pt idx="454">
                  <c:v>0.90981963927855791</c:v>
                </c:pt>
                <c:pt idx="455">
                  <c:v>0.91182364729458998</c:v>
                </c:pt>
                <c:pt idx="456">
                  <c:v>0.91382765531062204</c:v>
                </c:pt>
                <c:pt idx="457">
                  <c:v>0.91583166332665411</c:v>
                </c:pt>
                <c:pt idx="458">
                  <c:v>0.91783567134268618</c:v>
                </c:pt>
                <c:pt idx="459">
                  <c:v>0.91983967935871824</c:v>
                </c:pt>
                <c:pt idx="460">
                  <c:v>0.92184368737475031</c:v>
                </c:pt>
                <c:pt idx="461">
                  <c:v>0.92384769539078238</c:v>
                </c:pt>
                <c:pt idx="462">
                  <c:v>0.92585170340681444</c:v>
                </c:pt>
                <c:pt idx="463">
                  <c:v>0.92785571142284651</c:v>
                </c:pt>
                <c:pt idx="464">
                  <c:v>0.92985971943887857</c:v>
                </c:pt>
                <c:pt idx="465">
                  <c:v>0.93186372745491064</c:v>
                </c:pt>
                <c:pt idx="466">
                  <c:v>0.93386773547094271</c:v>
                </c:pt>
                <c:pt idx="467">
                  <c:v>0.93587174348697477</c:v>
                </c:pt>
                <c:pt idx="468">
                  <c:v>0.93787575150300684</c:v>
                </c:pt>
                <c:pt idx="469">
                  <c:v>0.9398797595190389</c:v>
                </c:pt>
                <c:pt idx="470">
                  <c:v>0.94188376753507097</c:v>
                </c:pt>
                <c:pt idx="471">
                  <c:v>0.94388777555110304</c:v>
                </c:pt>
                <c:pt idx="472">
                  <c:v>0.9458917835671351</c:v>
                </c:pt>
                <c:pt idx="473">
                  <c:v>0.94789579158316717</c:v>
                </c:pt>
                <c:pt idx="474">
                  <c:v>0.94989979959919923</c:v>
                </c:pt>
                <c:pt idx="475">
                  <c:v>0.9519038076152313</c:v>
                </c:pt>
                <c:pt idx="476">
                  <c:v>0.95390781563126337</c:v>
                </c:pt>
                <c:pt idx="477">
                  <c:v>0.95591182364729543</c:v>
                </c:pt>
                <c:pt idx="478">
                  <c:v>0.9579158316633275</c:v>
                </c:pt>
                <c:pt idx="479">
                  <c:v>0.95991983967935957</c:v>
                </c:pt>
                <c:pt idx="480">
                  <c:v>0.96192384769539163</c:v>
                </c:pt>
                <c:pt idx="481">
                  <c:v>0.9639278557114237</c:v>
                </c:pt>
                <c:pt idx="482">
                  <c:v>0.96593186372745576</c:v>
                </c:pt>
                <c:pt idx="483">
                  <c:v>0.96793587174348783</c:v>
                </c:pt>
                <c:pt idx="484">
                  <c:v>0.9699398797595199</c:v>
                </c:pt>
                <c:pt idx="485">
                  <c:v>0.97194388777555196</c:v>
                </c:pt>
                <c:pt idx="486">
                  <c:v>0.97394789579158403</c:v>
                </c:pt>
                <c:pt idx="487">
                  <c:v>0.97595190380761609</c:v>
                </c:pt>
                <c:pt idx="488">
                  <c:v>0.97795591182364816</c:v>
                </c:pt>
                <c:pt idx="489">
                  <c:v>0.97995991983968023</c:v>
                </c:pt>
                <c:pt idx="490">
                  <c:v>0.98196392785571229</c:v>
                </c:pt>
                <c:pt idx="491">
                  <c:v>0.98396793587174436</c:v>
                </c:pt>
                <c:pt idx="492">
                  <c:v>0.98597194388777643</c:v>
                </c:pt>
                <c:pt idx="493">
                  <c:v>0.98797595190380849</c:v>
                </c:pt>
                <c:pt idx="494">
                  <c:v>0.98997995991984056</c:v>
                </c:pt>
                <c:pt idx="495">
                  <c:v>0.99198396793587262</c:v>
                </c:pt>
                <c:pt idx="496">
                  <c:v>0.99398797595190469</c:v>
                </c:pt>
                <c:pt idx="497">
                  <c:v>0.99599198396793676</c:v>
                </c:pt>
                <c:pt idx="498">
                  <c:v>0.99799599198396882</c:v>
                </c:pt>
                <c:pt idx="499">
                  <c:v>1.0000000000000009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SimData500!$K$508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SimData500!$K$509:$K$1008</c:f>
              <c:numCache>
                <c:formatCode>General</c:formatCode>
                <c:ptCount val="500"/>
                <c:pt idx="0">
                  <c:v>5.360703835322056E-5</c:v>
                </c:pt>
                <c:pt idx="1">
                  <c:v>3.1528967592748813E-3</c:v>
                </c:pt>
                <c:pt idx="2">
                  <c:v>1.0524076165893348E-2</c:v>
                </c:pt>
                <c:pt idx="3">
                  <c:v>1.282382496901846E-2</c:v>
                </c:pt>
                <c:pt idx="4">
                  <c:v>1.3948780559076113E-2</c:v>
                </c:pt>
                <c:pt idx="5">
                  <c:v>1.634600606848835E-2</c:v>
                </c:pt>
                <c:pt idx="6">
                  <c:v>1.8305352532479446E-2</c:v>
                </c:pt>
                <c:pt idx="7">
                  <c:v>2.0899958058180346E-2</c:v>
                </c:pt>
                <c:pt idx="8">
                  <c:v>2.2104111593762354E-2</c:v>
                </c:pt>
                <c:pt idx="9">
                  <c:v>2.7441130713668827E-2</c:v>
                </c:pt>
                <c:pt idx="10">
                  <c:v>2.7802811349829426E-2</c:v>
                </c:pt>
                <c:pt idx="11">
                  <c:v>3.1681696112173086E-2</c:v>
                </c:pt>
                <c:pt idx="12">
                  <c:v>3.1950437645718921E-2</c:v>
                </c:pt>
                <c:pt idx="13">
                  <c:v>3.4818510101104039E-2</c:v>
                </c:pt>
                <c:pt idx="14">
                  <c:v>3.5701878655345354E-2</c:v>
                </c:pt>
                <c:pt idx="15">
                  <c:v>3.6476958286584704E-2</c:v>
                </c:pt>
                <c:pt idx="16">
                  <c:v>3.7385695607554226E-2</c:v>
                </c:pt>
                <c:pt idx="17">
                  <c:v>3.7510294287130819E-2</c:v>
                </c:pt>
                <c:pt idx="18">
                  <c:v>3.7612971568705689E-2</c:v>
                </c:pt>
                <c:pt idx="19">
                  <c:v>3.8699369434652908E-2</c:v>
                </c:pt>
                <c:pt idx="20">
                  <c:v>4.1986628863924125E-2</c:v>
                </c:pt>
                <c:pt idx="21">
                  <c:v>4.2979726146768371E-2</c:v>
                </c:pt>
                <c:pt idx="22">
                  <c:v>4.4247171247661754E-2</c:v>
                </c:pt>
                <c:pt idx="23">
                  <c:v>5.0284835998354538E-2</c:v>
                </c:pt>
                <c:pt idx="24">
                  <c:v>5.25627503711803E-2</c:v>
                </c:pt>
                <c:pt idx="25">
                  <c:v>5.3987730238986842E-2</c:v>
                </c:pt>
                <c:pt idx="26">
                  <c:v>5.6660458343685605E-2</c:v>
                </c:pt>
                <c:pt idx="27">
                  <c:v>6.060179513588082E-2</c:v>
                </c:pt>
                <c:pt idx="28">
                  <c:v>6.2022045186495234E-2</c:v>
                </c:pt>
                <c:pt idx="29">
                  <c:v>6.268837803054339E-2</c:v>
                </c:pt>
                <c:pt idx="30">
                  <c:v>6.6950813637049578E-2</c:v>
                </c:pt>
                <c:pt idx="31">
                  <c:v>6.7445113323628902E-2</c:v>
                </c:pt>
                <c:pt idx="32">
                  <c:v>6.7968674453254607E-2</c:v>
                </c:pt>
                <c:pt idx="33">
                  <c:v>6.8294557669105416E-2</c:v>
                </c:pt>
                <c:pt idx="34">
                  <c:v>6.8329399247886613E-2</c:v>
                </c:pt>
                <c:pt idx="35">
                  <c:v>7.0606277651677374E-2</c:v>
                </c:pt>
                <c:pt idx="36">
                  <c:v>7.1154580690745206E-2</c:v>
                </c:pt>
                <c:pt idx="37">
                  <c:v>7.3249053513791296E-2</c:v>
                </c:pt>
                <c:pt idx="38">
                  <c:v>7.3625559316496947E-2</c:v>
                </c:pt>
                <c:pt idx="39">
                  <c:v>7.6704312691617815E-2</c:v>
                </c:pt>
                <c:pt idx="40">
                  <c:v>7.8716404877013701E-2</c:v>
                </c:pt>
                <c:pt idx="41">
                  <c:v>8.0395121305627981E-2</c:v>
                </c:pt>
                <c:pt idx="42">
                  <c:v>8.1076568151729589E-2</c:v>
                </c:pt>
                <c:pt idx="43">
                  <c:v>8.3227851650008233E-2</c:v>
                </c:pt>
                <c:pt idx="44">
                  <c:v>8.4439316267889808E-2</c:v>
                </c:pt>
                <c:pt idx="45">
                  <c:v>8.4918033078793087E-2</c:v>
                </c:pt>
                <c:pt idx="46">
                  <c:v>8.5129269147728337E-2</c:v>
                </c:pt>
                <c:pt idx="47">
                  <c:v>8.6665058296603092E-2</c:v>
                </c:pt>
                <c:pt idx="48">
                  <c:v>8.7921752599868341E-2</c:v>
                </c:pt>
                <c:pt idx="49">
                  <c:v>9.4492186502975528E-2</c:v>
                </c:pt>
                <c:pt idx="50">
                  <c:v>9.6119306382661307E-2</c:v>
                </c:pt>
                <c:pt idx="51">
                  <c:v>0.10983249634773529</c:v>
                </c:pt>
                <c:pt idx="52">
                  <c:v>0.11050421326490323</c:v>
                </c:pt>
                <c:pt idx="53">
                  <c:v>0.11115129116478784</c:v>
                </c:pt>
                <c:pt idx="54">
                  <c:v>0.11223993758630968</c:v>
                </c:pt>
                <c:pt idx="55">
                  <c:v>0.11251462629661546</c:v>
                </c:pt>
                <c:pt idx="56">
                  <c:v>0.11815121772997372</c:v>
                </c:pt>
                <c:pt idx="57">
                  <c:v>0.12420579275568855</c:v>
                </c:pt>
                <c:pt idx="58">
                  <c:v>0.12640360470504675</c:v>
                </c:pt>
                <c:pt idx="59">
                  <c:v>0.13027671848340105</c:v>
                </c:pt>
                <c:pt idx="60">
                  <c:v>0.13080956998692272</c:v>
                </c:pt>
                <c:pt idx="61">
                  <c:v>0.13220749739775783</c:v>
                </c:pt>
                <c:pt idx="62">
                  <c:v>0.13318659480319184</c:v>
                </c:pt>
                <c:pt idx="63">
                  <c:v>0.13352899689925835</c:v>
                </c:pt>
                <c:pt idx="64">
                  <c:v>0.13382627224564203</c:v>
                </c:pt>
                <c:pt idx="65">
                  <c:v>0.13412511772457947</c:v>
                </c:pt>
                <c:pt idx="66">
                  <c:v>0.13746213534068374</c:v>
                </c:pt>
                <c:pt idx="67">
                  <c:v>0.14038832582991745</c:v>
                </c:pt>
                <c:pt idx="68">
                  <c:v>0.1403906038212881</c:v>
                </c:pt>
                <c:pt idx="69">
                  <c:v>0.14123235792339983</c:v>
                </c:pt>
                <c:pt idx="70">
                  <c:v>0.1413443079118224</c:v>
                </c:pt>
                <c:pt idx="71">
                  <c:v>0.14370020014303009</c:v>
                </c:pt>
                <c:pt idx="72">
                  <c:v>0.14497911753460357</c:v>
                </c:pt>
                <c:pt idx="73">
                  <c:v>0.14580619095795555</c:v>
                </c:pt>
                <c:pt idx="74">
                  <c:v>0.14616993564777658</c:v>
                </c:pt>
                <c:pt idx="75">
                  <c:v>0.14834774046357779</c:v>
                </c:pt>
                <c:pt idx="76">
                  <c:v>0.14891308225651301</c:v>
                </c:pt>
                <c:pt idx="77">
                  <c:v>0.14931717543367995</c:v>
                </c:pt>
                <c:pt idx="78">
                  <c:v>0.15187027583397139</c:v>
                </c:pt>
                <c:pt idx="79">
                  <c:v>0.15257985473181179</c:v>
                </c:pt>
                <c:pt idx="80">
                  <c:v>0.15458824731376808</c:v>
                </c:pt>
                <c:pt idx="81">
                  <c:v>0.15557129181161145</c:v>
                </c:pt>
                <c:pt idx="82">
                  <c:v>0.16241834108768671</c:v>
                </c:pt>
                <c:pt idx="83">
                  <c:v>0.16300461022183299</c:v>
                </c:pt>
                <c:pt idx="84">
                  <c:v>0.16497251606506325</c:v>
                </c:pt>
                <c:pt idx="85">
                  <c:v>0.16550800190543669</c:v>
                </c:pt>
                <c:pt idx="86">
                  <c:v>0.16654939824366011</c:v>
                </c:pt>
                <c:pt idx="87">
                  <c:v>0.16679885035955522</c:v>
                </c:pt>
                <c:pt idx="88">
                  <c:v>0.16900066061680263</c:v>
                </c:pt>
                <c:pt idx="89">
                  <c:v>0.17085718577800435</c:v>
                </c:pt>
                <c:pt idx="90">
                  <c:v>0.17140890889913862</c:v>
                </c:pt>
                <c:pt idx="91">
                  <c:v>0.17332491586603282</c:v>
                </c:pt>
                <c:pt idx="92">
                  <c:v>0.17368857454039244</c:v>
                </c:pt>
                <c:pt idx="93">
                  <c:v>0.1754734940623166</c:v>
                </c:pt>
                <c:pt idx="94">
                  <c:v>0.17963566584330692</c:v>
                </c:pt>
                <c:pt idx="95">
                  <c:v>0.17981892033003533</c:v>
                </c:pt>
                <c:pt idx="96">
                  <c:v>0.18061586258045281</c:v>
                </c:pt>
                <c:pt idx="97">
                  <c:v>0.18104539332125569</c:v>
                </c:pt>
                <c:pt idx="98">
                  <c:v>0.1860086976976163</c:v>
                </c:pt>
                <c:pt idx="99">
                  <c:v>0.18802639109620145</c:v>
                </c:pt>
                <c:pt idx="100">
                  <c:v>0.18897554343038792</c:v>
                </c:pt>
                <c:pt idx="101">
                  <c:v>0.19002853701340428</c:v>
                </c:pt>
                <c:pt idx="102">
                  <c:v>0.1918528201913432</c:v>
                </c:pt>
                <c:pt idx="103">
                  <c:v>0.19196029805243597</c:v>
                </c:pt>
                <c:pt idx="104">
                  <c:v>0.19504604354733601</c:v>
                </c:pt>
                <c:pt idx="105">
                  <c:v>0.2001492006356953</c:v>
                </c:pt>
                <c:pt idx="106">
                  <c:v>0.20058979244367947</c:v>
                </c:pt>
                <c:pt idx="107">
                  <c:v>0.20076831792175653</c:v>
                </c:pt>
                <c:pt idx="108">
                  <c:v>0.20106233309616073</c:v>
                </c:pt>
                <c:pt idx="109">
                  <c:v>0.20238918658105831</c:v>
                </c:pt>
                <c:pt idx="110">
                  <c:v>0.20650128864781436</c:v>
                </c:pt>
                <c:pt idx="111">
                  <c:v>0.207264644010138</c:v>
                </c:pt>
                <c:pt idx="112">
                  <c:v>0.20749777365017508</c:v>
                </c:pt>
                <c:pt idx="113">
                  <c:v>0.21007513107360865</c:v>
                </c:pt>
                <c:pt idx="114">
                  <c:v>0.21135877520691793</c:v>
                </c:pt>
                <c:pt idx="115">
                  <c:v>0.21467865912563866</c:v>
                </c:pt>
                <c:pt idx="116">
                  <c:v>0.21850464557701343</c:v>
                </c:pt>
                <c:pt idx="117">
                  <c:v>0.21909754813168547</c:v>
                </c:pt>
                <c:pt idx="118">
                  <c:v>0.2206645604728692</c:v>
                </c:pt>
                <c:pt idx="119">
                  <c:v>0.2211181311213295</c:v>
                </c:pt>
                <c:pt idx="120">
                  <c:v>0.22716094493080163</c:v>
                </c:pt>
                <c:pt idx="121">
                  <c:v>0.22878785687862546</c:v>
                </c:pt>
                <c:pt idx="122">
                  <c:v>0.22926613057097711</c:v>
                </c:pt>
                <c:pt idx="123">
                  <c:v>0.23076909627343412</c:v>
                </c:pt>
                <c:pt idx="124">
                  <c:v>0.23382761814355035</c:v>
                </c:pt>
                <c:pt idx="125">
                  <c:v>0.2369352702080505</c:v>
                </c:pt>
                <c:pt idx="126">
                  <c:v>0.24272050318177207</c:v>
                </c:pt>
                <c:pt idx="127">
                  <c:v>0.24336099085758178</c:v>
                </c:pt>
                <c:pt idx="128">
                  <c:v>0.24360377207176498</c:v>
                </c:pt>
                <c:pt idx="129">
                  <c:v>0.24364677766425302</c:v>
                </c:pt>
                <c:pt idx="130">
                  <c:v>0.24549228036812565</c:v>
                </c:pt>
                <c:pt idx="131">
                  <c:v>0.2507498290424337</c:v>
                </c:pt>
                <c:pt idx="132">
                  <c:v>0.25184031069329649</c:v>
                </c:pt>
                <c:pt idx="133">
                  <c:v>0.2532024472620833</c:v>
                </c:pt>
                <c:pt idx="134">
                  <c:v>0.2537662363047275</c:v>
                </c:pt>
                <c:pt idx="135">
                  <c:v>0.25773166439103079</c:v>
                </c:pt>
                <c:pt idx="136">
                  <c:v>0.25866020159901382</c:v>
                </c:pt>
                <c:pt idx="137">
                  <c:v>0.26197967845837411</c:v>
                </c:pt>
                <c:pt idx="138">
                  <c:v>0.26494360028118535</c:v>
                </c:pt>
                <c:pt idx="139">
                  <c:v>0.26813018148368428</c:v>
                </c:pt>
                <c:pt idx="140">
                  <c:v>0.27014851304011245</c:v>
                </c:pt>
                <c:pt idx="141">
                  <c:v>0.27169500973104732</c:v>
                </c:pt>
                <c:pt idx="142">
                  <c:v>0.27198072266037343</c:v>
                </c:pt>
                <c:pt idx="143">
                  <c:v>0.27563476933937636</c:v>
                </c:pt>
                <c:pt idx="144">
                  <c:v>0.27771616386962705</c:v>
                </c:pt>
                <c:pt idx="145">
                  <c:v>0.28273283288945095</c:v>
                </c:pt>
                <c:pt idx="146">
                  <c:v>0.28276687395327826</c:v>
                </c:pt>
                <c:pt idx="147">
                  <c:v>0.28667762364329974</c:v>
                </c:pt>
                <c:pt idx="148">
                  <c:v>0.28713087296364392</c:v>
                </c:pt>
                <c:pt idx="149">
                  <c:v>0.28859013685723767</c:v>
                </c:pt>
                <c:pt idx="150">
                  <c:v>0.28954072302894929</c:v>
                </c:pt>
                <c:pt idx="151">
                  <c:v>0.29171612405662017</c:v>
                </c:pt>
                <c:pt idx="152">
                  <c:v>0.2927213212233255</c:v>
                </c:pt>
                <c:pt idx="153">
                  <c:v>0.29954384408301848</c:v>
                </c:pt>
                <c:pt idx="154">
                  <c:v>0.30006471494471043</c:v>
                </c:pt>
                <c:pt idx="155">
                  <c:v>0.30043765198388428</c:v>
                </c:pt>
                <c:pt idx="156">
                  <c:v>0.30088596065706952</c:v>
                </c:pt>
                <c:pt idx="157">
                  <c:v>0.30129641239820515</c:v>
                </c:pt>
                <c:pt idx="158">
                  <c:v>0.30136530154322827</c:v>
                </c:pt>
                <c:pt idx="159">
                  <c:v>0.30355146034708014</c:v>
                </c:pt>
                <c:pt idx="160">
                  <c:v>0.30478770251738752</c:v>
                </c:pt>
                <c:pt idx="161">
                  <c:v>0.30591096269563423</c:v>
                </c:pt>
                <c:pt idx="162">
                  <c:v>0.3102275004830517</c:v>
                </c:pt>
                <c:pt idx="163">
                  <c:v>0.31067257441281981</c:v>
                </c:pt>
                <c:pt idx="164">
                  <c:v>0.31191639400003623</c:v>
                </c:pt>
                <c:pt idx="165">
                  <c:v>0.31617162822294631</c:v>
                </c:pt>
                <c:pt idx="166">
                  <c:v>0.31810035679882276</c:v>
                </c:pt>
                <c:pt idx="167">
                  <c:v>0.31830304090726713</c:v>
                </c:pt>
                <c:pt idx="168">
                  <c:v>0.31835128935381363</c:v>
                </c:pt>
                <c:pt idx="169">
                  <c:v>0.32058851660713117</c:v>
                </c:pt>
                <c:pt idx="170">
                  <c:v>0.3249777995988552</c:v>
                </c:pt>
                <c:pt idx="171">
                  <c:v>0.32518725232785073</c:v>
                </c:pt>
                <c:pt idx="172">
                  <c:v>0.32702639557192015</c:v>
                </c:pt>
                <c:pt idx="173">
                  <c:v>0.32723689402155287</c:v>
                </c:pt>
                <c:pt idx="174">
                  <c:v>0.32777039914435591</c:v>
                </c:pt>
                <c:pt idx="175">
                  <c:v>0.32783933665177756</c:v>
                </c:pt>
                <c:pt idx="176">
                  <c:v>0.32837563113844226</c:v>
                </c:pt>
                <c:pt idx="177">
                  <c:v>0.32912419175863761</c:v>
                </c:pt>
                <c:pt idx="178">
                  <c:v>0.33132913035572642</c:v>
                </c:pt>
                <c:pt idx="179">
                  <c:v>0.3381592710629775</c:v>
                </c:pt>
                <c:pt idx="180">
                  <c:v>0.34489761672057284</c:v>
                </c:pt>
                <c:pt idx="181">
                  <c:v>0.34539142991707195</c:v>
                </c:pt>
                <c:pt idx="182">
                  <c:v>0.34863140338984522</c:v>
                </c:pt>
                <c:pt idx="183">
                  <c:v>0.35734853868507344</c:v>
                </c:pt>
                <c:pt idx="184">
                  <c:v>0.35792963940002664</c:v>
                </c:pt>
                <c:pt idx="185">
                  <c:v>0.35808986806296161</c:v>
                </c:pt>
                <c:pt idx="186">
                  <c:v>0.35834859277747455</c:v>
                </c:pt>
                <c:pt idx="187">
                  <c:v>0.36184026681257819</c:v>
                </c:pt>
                <c:pt idx="188">
                  <c:v>0.36195148824208445</c:v>
                </c:pt>
                <c:pt idx="189">
                  <c:v>0.36591640445294615</c:v>
                </c:pt>
                <c:pt idx="190">
                  <c:v>0.37370095532423875</c:v>
                </c:pt>
                <c:pt idx="191">
                  <c:v>0.37565586383880145</c:v>
                </c:pt>
                <c:pt idx="192">
                  <c:v>0.37902273323925328</c:v>
                </c:pt>
                <c:pt idx="193">
                  <c:v>0.38074883667104586</c:v>
                </c:pt>
                <c:pt idx="194">
                  <c:v>0.38155289872884168</c:v>
                </c:pt>
                <c:pt idx="195">
                  <c:v>0.38268614359367348</c:v>
                </c:pt>
                <c:pt idx="196">
                  <c:v>0.38291271076377598</c:v>
                </c:pt>
                <c:pt idx="197">
                  <c:v>0.38479514188838948</c:v>
                </c:pt>
                <c:pt idx="198">
                  <c:v>0.38578194065757998</c:v>
                </c:pt>
                <c:pt idx="199">
                  <c:v>0.38784155513167207</c:v>
                </c:pt>
                <c:pt idx="200">
                  <c:v>0.3892104449278122</c:v>
                </c:pt>
                <c:pt idx="201">
                  <c:v>0.39170261673463358</c:v>
                </c:pt>
                <c:pt idx="202">
                  <c:v>0.39177482378545392</c:v>
                </c:pt>
                <c:pt idx="203">
                  <c:v>0.39898469546005799</c:v>
                </c:pt>
                <c:pt idx="204">
                  <c:v>0.40023996812851692</c:v>
                </c:pt>
                <c:pt idx="205">
                  <c:v>0.40154261778752698</c:v>
                </c:pt>
                <c:pt idx="206">
                  <c:v>0.4027293582648781</c:v>
                </c:pt>
                <c:pt idx="207">
                  <c:v>0.40436735116236378</c:v>
                </c:pt>
                <c:pt idx="208">
                  <c:v>0.40865344857047603</c:v>
                </c:pt>
                <c:pt idx="209">
                  <c:v>0.40931376216121862</c:v>
                </c:pt>
                <c:pt idx="210">
                  <c:v>0.41044188944670168</c:v>
                </c:pt>
                <c:pt idx="211">
                  <c:v>0.41185606460658164</c:v>
                </c:pt>
                <c:pt idx="212">
                  <c:v>0.41264640565532318</c:v>
                </c:pt>
                <c:pt idx="213">
                  <c:v>0.41402765361090133</c:v>
                </c:pt>
                <c:pt idx="214">
                  <c:v>0.42077186297228764</c:v>
                </c:pt>
                <c:pt idx="215">
                  <c:v>0.42080579956929753</c:v>
                </c:pt>
                <c:pt idx="216">
                  <c:v>0.42533671817818686</c:v>
                </c:pt>
                <c:pt idx="217">
                  <c:v>0.42609611192801822</c:v>
                </c:pt>
                <c:pt idx="218">
                  <c:v>0.42852321021564421</c:v>
                </c:pt>
                <c:pt idx="219">
                  <c:v>0.42898602732202562</c:v>
                </c:pt>
                <c:pt idx="220">
                  <c:v>0.42936228001781274</c:v>
                </c:pt>
                <c:pt idx="221">
                  <c:v>0.42938907264760928</c:v>
                </c:pt>
                <c:pt idx="222">
                  <c:v>0.42956508996849152</c:v>
                </c:pt>
                <c:pt idx="223">
                  <c:v>0.42970338856321177</c:v>
                </c:pt>
                <c:pt idx="224">
                  <c:v>0.42993120171558985</c:v>
                </c:pt>
                <c:pt idx="225">
                  <c:v>0.43436671268318605</c:v>
                </c:pt>
                <c:pt idx="226">
                  <c:v>0.43630020506316214</c:v>
                </c:pt>
                <c:pt idx="227">
                  <c:v>0.43635737276417785</c:v>
                </c:pt>
                <c:pt idx="228">
                  <c:v>0.43804692959292879</c:v>
                </c:pt>
                <c:pt idx="229">
                  <c:v>0.43846531960298307</c:v>
                </c:pt>
                <c:pt idx="230">
                  <c:v>0.43924150709062815</c:v>
                </c:pt>
                <c:pt idx="231">
                  <c:v>0.4393644751771717</c:v>
                </c:pt>
                <c:pt idx="232">
                  <c:v>0.44866711402755755</c:v>
                </c:pt>
                <c:pt idx="233">
                  <c:v>0.45207366900740453</c:v>
                </c:pt>
                <c:pt idx="234">
                  <c:v>0.45464683110094484</c:v>
                </c:pt>
                <c:pt idx="235">
                  <c:v>0.45931914358516224</c:v>
                </c:pt>
                <c:pt idx="236">
                  <c:v>0.46023399105069984</c:v>
                </c:pt>
                <c:pt idx="237">
                  <c:v>0.46083157860539359</c:v>
                </c:pt>
                <c:pt idx="238">
                  <c:v>0.46720614455534815</c:v>
                </c:pt>
                <c:pt idx="239">
                  <c:v>0.46872456096571113</c:v>
                </c:pt>
                <c:pt idx="240">
                  <c:v>0.46965005440506502</c:v>
                </c:pt>
                <c:pt idx="241">
                  <c:v>0.4724274911759494</c:v>
                </c:pt>
                <c:pt idx="242">
                  <c:v>0.47292755780563311</c:v>
                </c:pt>
                <c:pt idx="243">
                  <c:v>0.4846475954136622</c:v>
                </c:pt>
                <c:pt idx="244">
                  <c:v>0.48586338704990339</c:v>
                </c:pt>
                <c:pt idx="245">
                  <c:v>0.49113752726407256</c:v>
                </c:pt>
                <c:pt idx="246">
                  <c:v>0.49178794765975908</c:v>
                </c:pt>
                <c:pt idx="247">
                  <c:v>0.49327492327392974</c:v>
                </c:pt>
                <c:pt idx="248">
                  <c:v>0.49503002889468917</c:v>
                </c:pt>
                <c:pt idx="249">
                  <c:v>0.49554709877340031</c:v>
                </c:pt>
                <c:pt idx="250">
                  <c:v>0.50309051965086837</c:v>
                </c:pt>
                <c:pt idx="251">
                  <c:v>0.51055425291542633</c:v>
                </c:pt>
                <c:pt idx="252">
                  <c:v>0.51738243655290717</c:v>
                </c:pt>
                <c:pt idx="253">
                  <c:v>0.51900659768489277</c:v>
                </c:pt>
                <c:pt idx="254">
                  <c:v>0.51914517127806903</c:v>
                </c:pt>
                <c:pt idx="255">
                  <c:v>0.52065192366944757</c:v>
                </c:pt>
                <c:pt idx="256">
                  <c:v>0.52548888852652453</c:v>
                </c:pt>
                <c:pt idx="257">
                  <c:v>0.52748989907559007</c:v>
                </c:pt>
                <c:pt idx="258">
                  <c:v>0.5301909423124016</c:v>
                </c:pt>
                <c:pt idx="259">
                  <c:v>0.53170238843904372</c:v>
                </c:pt>
                <c:pt idx="260">
                  <c:v>0.53353263467397483</c:v>
                </c:pt>
                <c:pt idx="261">
                  <c:v>0.53666580865956348</c:v>
                </c:pt>
                <c:pt idx="262">
                  <c:v>0.53796497673192789</c:v>
                </c:pt>
                <c:pt idx="263">
                  <c:v>0.53970808603935438</c:v>
                </c:pt>
                <c:pt idx="264">
                  <c:v>0.54108636644832586</c:v>
                </c:pt>
                <c:pt idx="265">
                  <c:v>0.54377568777093188</c:v>
                </c:pt>
                <c:pt idx="266">
                  <c:v>0.54561679074777203</c:v>
                </c:pt>
                <c:pt idx="267">
                  <c:v>0.54658888342510181</c:v>
                </c:pt>
                <c:pt idx="268">
                  <c:v>0.5509707511491797</c:v>
                </c:pt>
                <c:pt idx="269">
                  <c:v>0.55235243542028911</c:v>
                </c:pt>
                <c:pt idx="270">
                  <c:v>0.55267881303916511</c:v>
                </c:pt>
                <c:pt idx="271">
                  <c:v>0.55619428683894512</c:v>
                </c:pt>
                <c:pt idx="272">
                  <c:v>0.55754680151221692</c:v>
                </c:pt>
                <c:pt idx="273">
                  <c:v>0.56025827292251051</c:v>
                </c:pt>
                <c:pt idx="274">
                  <c:v>0.56149659958100528</c:v>
                </c:pt>
                <c:pt idx="275">
                  <c:v>0.56476275652221375</c:v>
                </c:pt>
                <c:pt idx="276">
                  <c:v>0.56517686240658804</c:v>
                </c:pt>
                <c:pt idx="277">
                  <c:v>0.57007180701384641</c:v>
                </c:pt>
                <c:pt idx="278">
                  <c:v>0.57159811002111383</c:v>
                </c:pt>
                <c:pt idx="279">
                  <c:v>0.57465745311674254</c:v>
                </c:pt>
                <c:pt idx="280">
                  <c:v>0.57526705063810368</c:v>
                </c:pt>
                <c:pt idx="281">
                  <c:v>0.57633731449550396</c:v>
                </c:pt>
                <c:pt idx="282">
                  <c:v>0.57777785605958343</c:v>
                </c:pt>
                <c:pt idx="283">
                  <c:v>0.58025005016588693</c:v>
                </c:pt>
                <c:pt idx="284">
                  <c:v>0.5844778162008879</c:v>
                </c:pt>
                <c:pt idx="285">
                  <c:v>0.58546718635261641</c:v>
                </c:pt>
                <c:pt idx="286">
                  <c:v>0.58788427728541137</c:v>
                </c:pt>
                <c:pt idx="287">
                  <c:v>0.58909570901050756</c:v>
                </c:pt>
                <c:pt idx="288">
                  <c:v>0.58940048125077737</c:v>
                </c:pt>
                <c:pt idx="289">
                  <c:v>0.58987909861389198</c:v>
                </c:pt>
                <c:pt idx="290">
                  <c:v>0.59493203848705889</c:v>
                </c:pt>
                <c:pt idx="291">
                  <c:v>0.59557725440936338</c:v>
                </c:pt>
                <c:pt idx="292">
                  <c:v>0.59620435870510846</c:v>
                </c:pt>
                <c:pt idx="293">
                  <c:v>0.59660571075164626</c:v>
                </c:pt>
                <c:pt idx="294">
                  <c:v>0.60293943728265731</c:v>
                </c:pt>
                <c:pt idx="295">
                  <c:v>0.60589490400161594</c:v>
                </c:pt>
                <c:pt idx="296">
                  <c:v>0.60749223897983029</c:v>
                </c:pt>
                <c:pt idx="297">
                  <c:v>0.60772626993002632</c:v>
                </c:pt>
                <c:pt idx="298">
                  <c:v>0.60910031504499784</c:v>
                </c:pt>
                <c:pt idx="299">
                  <c:v>0.60940340494562406</c:v>
                </c:pt>
                <c:pt idx="300">
                  <c:v>0.61501598069662577</c:v>
                </c:pt>
                <c:pt idx="301">
                  <c:v>0.61683220133636496</c:v>
                </c:pt>
                <c:pt idx="302">
                  <c:v>0.61977976339949237</c:v>
                </c:pt>
                <c:pt idx="303">
                  <c:v>0.62029358819017943</c:v>
                </c:pt>
                <c:pt idx="304">
                  <c:v>0.62598614841408562</c:v>
                </c:pt>
                <c:pt idx="305">
                  <c:v>0.62676713308792387</c:v>
                </c:pt>
                <c:pt idx="306">
                  <c:v>0.62886718276786269</c:v>
                </c:pt>
                <c:pt idx="307">
                  <c:v>0.62973930789576116</c:v>
                </c:pt>
                <c:pt idx="308">
                  <c:v>0.63060928771119507</c:v>
                </c:pt>
                <c:pt idx="309">
                  <c:v>0.63072181792267656</c:v>
                </c:pt>
                <c:pt idx="310">
                  <c:v>0.63134575392177794</c:v>
                </c:pt>
                <c:pt idx="311">
                  <c:v>0.63407393680881796</c:v>
                </c:pt>
                <c:pt idx="312">
                  <c:v>0.63417970135105861</c:v>
                </c:pt>
                <c:pt idx="313">
                  <c:v>0.63601432464292884</c:v>
                </c:pt>
                <c:pt idx="314">
                  <c:v>0.63815498330950504</c:v>
                </c:pt>
                <c:pt idx="315">
                  <c:v>0.64212360824421921</c:v>
                </c:pt>
                <c:pt idx="316">
                  <c:v>0.64598808865230239</c:v>
                </c:pt>
                <c:pt idx="317">
                  <c:v>0.64641685779224645</c:v>
                </c:pt>
                <c:pt idx="318">
                  <c:v>0.64649258799363452</c:v>
                </c:pt>
                <c:pt idx="319">
                  <c:v>0.64673367877912824</c:v>
                </c:pt>
                <c:pt idx="320">
                  <c:v>0.64793854597247957</c:v>
                </c:pt>
                <c:pt idx="321">
                  <c:v>0.64809339072689909</c:v>
                </c:pt>
                <c:pt idx="322">
                  <c:v>0.65034886102148448</c:v>
                </c:pt>
                <c:pt idx="323">
                  <c:v>0.65144735541980481</c:v>
                </c:pt>
                <c:pt idx="324">
                  <c:v>0.65254836620169954</c:v>
                </c:pt>
                <c:pt idx="325">
                  <c:v>0.65291373004492925</c:v>
                </c:pt>
                <c:pt idx="326">
                  <c:v>0.65526746990963147</c:v>
                </c:pt>
                <c:pt idx="327">
                  <c:v>0.65772908848157385</c:v>
                </c:pt>
                <c:pt idx="328">
                  <c:v>0.66332484803206171</c:v>
                </c:pt>
                <c:pt idx="329">
                  <c:v>0.66567397987000732</c:v>
                </c:pt>
                <c:pt idx="330">
                  <c:v>0.66583264180917467</c:v>
                </c:pt>
                <c:pt idx="331">
                  <c:v>0.66588510364454123</c:v>
                </c:pt>
                <c:pt idx="332">
                  <c:v>0.66606044288073463</c:v>
                </c:pt>
                <c:pt idx="333">
                  <c:v>0.6686673724143759</c:v>
                </c:pt>
                <c:pt idx="334">
                  <c:v>0.67204326819955895</c:v>
                </c:pt>
                <c:pt idx="335">
                  <c:v>0.67357380797329824</c:v>
                </c:pt>
                <c:pt idx="336">
                  <c:v>0.67495035428601113</c:v>
                </c:pt>
                <c:pt idx="337">
                  <c:v>0.67675203390535899</c:v>
                </c:pt>
                <c:pt idx="338">
                  <c:v>0.67800853247899795</c:v>
                </c:pt>
                <c:pt idx="339">
                  <c:v>0.67981436952595686</c:v>
                </c:pt>
                <c:pt idx="340">
                  <c:v>0.68439494119047595</c:v>
                </c:pt>
                <c:pt idx="341">
                  <c:v>0.68511066041537561</c:v>
                </c:pt>
                <c:pt idx="342">
                  <c:v>0.68549031282418582</c:v>
                </c:pt>
                <c:pt idx="343">
                  <c:v>0.68629208777838357</c:v>
                </c:pt>
                <c:pt idx="344">
                  <c:v>0.69147896294909117</c:v>
                </c:pt>
                <c:pt idx="345">
                  <c:v>0.69182126694158796</c:v>
                </c:pt>
                <c:pt idx="346">
                  <c:v>0.69216414475977217</c:v>
                </c:pt>
                <c:pt idx="347">
                  <c:v>0.69267419006700948</c:v>
                </c:pt>
                <c:pt idx="348">
                  <c:v>0.69372137625759933</c:v>
                </c:pt>
                <c:pt idx="349">
                  <c:v>0.69437824152100802</c:v>
                </c:pt>
                <c:pt idx="350">
                  <c:v>0.69926077186937619</c:v>
                </c:pt>
                <c:pt idx="351">
                  <c:v>0.70354737551588187</c:v>
                </c:pt>
                <c:pt idx="352">
                  <c:v>0.70528040159118177</c:v>
                </c:pt>
                <c:pt idx="353">
                  <c:v>0.7059380229738963</c:v>
                </c:pt>
                <c:pt idx="354">
                  <c:v>0.70681949531171995</c:v>
                </c:pt>
                <c:pt idx="355">
                  <c:v>0.70686901643694</c:v>
                </c:pt>
                <c:pt idx="356">
                  <c:v>0.70752788925437926</c:v>
                </c:pt>
                <c:pt idx="357">
                  <c:v>0.71103124944056617</c:v>
                </c:pt>
                <c:pt idx="358">
                  <c:v>0.71275453754424234</c:v>
                </c:pt>
                <c:pt idx="359">
                  <c:v>0.71374318924063118</c:v>
                </c:pt>
                <c:pt idx="360">
                  <c:v>0.7159573402013848</c:v>
                </c:pt>
                <c:pt idx="361">
                  <c:v>0.71668191162598305</c:v>
                </c:pt>
                <c:pt idx="362">
                  <c:v>0.71706614348840958</c:v>
                </c:pt>
                <c:pt idx="363">
                  <c:v>0.72094403421806419</c:v>
                </c:pt>
                <c:pt idx="364">
                  <c:v>0.72145481541792833</c:v>
                </c:pt>
                <c:pt idx="365">
                  <c:v>0.72170266939792782</c:v>
                </c:pt>
                <c:pt idx="366">
                  <c:v>0.72279816015270626</c:v>
                </c:pt>
                <c:pt idx="367">
                  <c:v>0.73147576434806183</c:v>
                </c:pt>
                <c:pt idx="368">
                  <c:v>0.73265672502748203</c:v>
                </c:pt>
                <c:pt idx="369">
                  <c:v>0.73695040733764472</c:v>
                </c:pt>
                <c:pt idx="370">
                  <c:v>0.73801835613903677</c:v>
                </c:pt>
                <c:pt idx="371">
                  <c:v>0.74136148814886837</c:v>
                </c:pt>
                <c:pt idx="372">
                  <c:v>0.7480460040324175</c:v>
                </c:pt>
                <c:pt idx="373">
                  <c:v>0.75195512607933779</c:v>
                </c:pt>
                <c:pt idx="374">
                  <c:v>0.75242480424276437</c:v>
                </c:pt>
                <c:pt idx="375">
                  <c:v>0.75260266247551044</c:v>
                </c:pt>
                <c:pt idx="376">
                  <c:v>0.75344681281876547</c:v>
                </c:pt>
                <c:pt idx="377">
                  <c:v>0.7548519556703468</c:v>
                </c:pt>
                <c:pt idx="378">
                  <c:v>0.75581359980606067</c:v>
                </c:pt>
                <c:pt idx="379">
                  <c:v>0.75769246715208283</c:v>
                </c:pt>
                <c:pt idx="380">
                  <c:v>0.75931150536416681</c:v>
                </c:pt>
                <c:pt idx="381">
                  <c:v>0.76529787495474011</c:v>
                </c:pt>
                <c:pt idx="382">
                  <c:v>0.76601672291238287</c:v>
                </c:pt>
                <c:pt idx="383">
                  <c:v>0.76863512076943152</c:v>
                </c:pt>
                <c:pt idx="384">
                  <c:v>0.77121281681502296</c:v>
                </c:pt>
                <c:pt idx="385">
                  <c:v>0.77696000534797349</c:v>
                </c:pt>
                <c:pt idx="386">
                  <c:v>0.77755126168085553</c:v>
                </c:pt>
                <c:pt idx="387">
                  <c:v>0.77791042327862669</c:v>
                </c:pt>
                <c:pt idx="388">
                  <c:v>0.78022253359449678</c:v>
                </c:pt>
                <c:pt idx="389">
                  <c:v>0.78078299319622602</c:v>
                </c:pt>
                <c:pt idx="390">
                  <c:v>0.78437553759431466</c:v>
                </c:pt>
                <c:pt idx="391">
                  <c:v>0.78496439663013007</c:v>
                </c:pt>
                <c:pt idx="392">
                  <c:v>0.78640774266750668</c:v>
                </c:pt>
                <c:pt idx="393">
                  <c:v>0.7870398330169337</c:v>
                </c:pt>
                <c:pt idx="394">
                  <c:v>0.7935652949163341</c:v>
                </c:pt>
                <c:pt idx="395">
                  <c:v>0.79822809666256944</c:v>
                </c:pt>
                <c:pt idx="396">
                  <c:v>0.80044958852340642</c:v>
                </c:pt>
                <c:pt idx="397">
                  <c:v>0.80382686384564295</c:v>
                </c:pt>
                <c:pt idx="398">
                  <c:v>0.80459309601337736</c:v>
                </c:pt>
                <c:pt idx="399">
                  <c:v>0.80650893665369949</c:v>
                </c:pt>
                <c:pt idx="400">
                  <c:v>0.80815723637533665</c:v>
                </c:pt>
                <c:pt idx="401">
                  <c:v>0.81110348201036686</c:v>
                </c:pt>
                <c:pt idx="402">
                  <c:v>0.82482995039663365</c:v>
                </c:pt>
                <c:pt idx="403">
                  <c:v>0.82762015028947644</c:v>
                </c:pt>
                <c:pt idx="404">
                  <c:v>0.83198654737316247</c:v>
                </c:pt>
                <c:pt idx="405">
                  <c:v>0.83366594225117296</c:v>
                </c:pt>
                <c:pt idx="406">
                  <c:v>0.83401461244193342</c:v>
                </c:pt>
                <c:pt idx="407">
                  <c:v>0.83634752367288456</c:v>
                </c:pt>
                <c:pt idx="408">
                  <c:v>0.83761974164281128</c:v>
                </c:pt>
                <c:pt idx="409">
                  <c:v>0.84041283947590273</c:v>
                </c:pt>
                <c:pt idx="410">
                  <c:v>0.84395589078030753</c:v>
                </c:pt>
                <c:pt idx="411">
                  <c:v>0.84468511806700519</c:v>
                </c:pt>
                <c:pt idx="412">
                  <c:v>0.84585382762088557</c:v>
                </c:pt>
                <c:pt idx="413">
                  <c:v>0.84722927328130027</c:v>
                </c:pt>
                <c:pt idx="414">
                  <c:v>0.84897043041291909</c:v>
                </c:pt>
                <c:pt idx="415">
                  <c:v>0.85361703494254471</c:v>
                </c:pt>
                <c:pt idx="416">
                  <c:v>0.85452179890216939</c:v>
                </c:pt>
                <c:pt idx="417">
                  <c:v>0.86134160174879071</c:v>
                </c:pt>
                <c:pt idx="418">
                  <c:v>0.86468839429289801</c:v>
                </c:pt>
                <c:pt idx="419">
                  <c:v>0.86625712451677828</c:v>
                </c:pt>
                <c:pt idx="420">
                  <c:v>0.86742729551770026</c:v>
                </c:pt>
                <c:pt idx="421">
                  <c:v>0.87032551483662246</c:v>
                </c:pt>
                <c:pt idx="422">
                  <c:v>0.87065649230953568</c:v>
                </c:pt>
                <c:pt idx="423">
                  <c:v>0.87298892724174948</c:v>
                </c:pt>
                <c:pt idx="424">
                  <c:v>0.87459957225382823</c:v>
                </c:pt>
                <c:pt idx="425">
                  <c:v>0.88042021661976833</c:v>
                </c:pt>
                <c:pt idx="426">
                  <c:v>0.88098750597691833</c:v>
                </c:pt>
                <c:pt idx="427">
                  <c:v>0.88435952672807616</c:v>
                </c:pt>
                <c:pt idx="428">
                  <c:v>0.8868602431139152</c:v>
                </c:pt>
                <c:pt idx="429">
                  <c:v>0.8873569154748111</c:v>
                </c:pt>
                <c:pt idx="430">
                  <c:v>0.89002282478941197</c:v>
                </c:pt>
                <c:pt idx="431">
                  <c:v>0.8901757739859022</c:v>
                </c:pt>
                <c:pt idx="432">
                  <c:v>0.8919448024016674</c:v>
                </c:pt>
                <c:pt idx="433">
                  <c:v>0.89341690140008723</c:v>
                </c:pt>
                <c:pt idx="434">
                  <c:v>0.8935579231056181</c:v>
                </c:pt>
                <c:pt idx="435">
                  <c:v>0.89550893949399324</c:v>
                </c:pt>
                <c:pt idx="436">
                  <c:v>0.89601868969839416</c:v>
                </c:pt>
                <c:pt idx="437">
                  <c:v>0.89634973423744668</c:v>
                </c:pt>
                <c:pt idx="438">
                  <c:v>0.89666468979339697</c:v>
                </c:pt>
                <c:pt idx="439">
                  <c:v>0.8995896287551659</c:v>
                </c:pt>
                <c:pt idx="440">
                  <c:v>0.90058223384221492</c:v>
                </c:pt>
                <c:pt idx="441">
                  <c:v>0.90102549753282801</c:v>
                </c:pt>
                <c:pt idx="442">
                  <c:v>0.90131886383460369</c:v>
                </c:pt>
                <c:pt idx="443">
                  <c:v>0.90490792819400667</c:v>
                </c:pt>
                <c:pt idx="444">
                  <c:v>0.90754529515652393</c:v>
                </c:pt>
                <c:pt idx="445">
                  <c:v>0.90974795393412933</c:v>
                </c:pt>
                <c:pt idx="446">
                  <c:v>0.91268550104268797</c:v>
                </c:pt>
                <c:pt idx="447">
                  <c:v>0.91281503053778579</c:v>
                </c:pt>
                <c:pt idx="448">
                  <c:v>0.91329585384391976</c:v>
                </c:pt>
                <c:pt idx="449">
                  <c:v>0.91544163538583234</c:v>
                </c:pt>
                <c:pt idx="450">
                  <c:v>0.91561999336227018</c:v>
                </c:pt>
                <c:pt idx="451">
                  <c:v>0.91670670996791159</c:v>
                </c:pt>
                <c:pt idx="452">
                  <c:v>0.9200622643902534</c:v>
                </c:pt>
                <c:pt idx="453">
                  <c:v>0.92087160300525284</c:v>
                </c:pt>
                <c:pt idx="454">
                  <c:v>0.9209993718422993</c:v>
                </c:pt>
                <c:pt idx="455">
                  <c:v>0.92211402009070298</c:v>
                </c:pt>
                <c:pt idx="456">
                  <c:v>0.92263894972256821</c:v>
                </c:pt>
                <c:pt idx="457">
                  <c:v>0.92359510737060191</c:v>
                </c:pt>
                <c:pt idx="458">
                  <c:v>0.92409517010310083</c:v>
                </c:pt>
                <c:pt idx="459">
                  <c:v>0.92444460185015487</c:v>
                </c:pt>
                <c:pt idx="460">
                  <c:v>0.92536089148597966</c:v>
                </c:pt>
                <c:pt idx="461">
                  <c:v>0.92695994077257637</c:v>
                </c:pt>
                <c:pt idx="462">
                  <c:v>0.93043230940475041</c:v>
                </c:pt>
                <c:pt idx="463">
                  <c:v>0.93085653382513556</c:v>
                </c:pt>
                <c:pt idx="464">
                  <c:v>0.93556926871406176</c:v>
                </c:pt>
                <c:pt idx="465">
                  <c:v>0.93763316749391379</c:v>
                </c:pt>
                <c:pt idx="466">
                  <c:v>0.9385534857347011</c:v>
                </c:pt>
                <c:pt idx="467">
                  <c:v>0.9414254607327166</c:v>
                </c:pt>
                <c:pt idx="468">
                  <c:v>0.94195853160908882</c:v>
                </c:pt>
                <c:pt idx="469">
                  <c:v>0.94316407018595783</c:v>
                </c:pt>
                <c:pt idx="470">
                  <c:v>0.94551773700641206</c:v>
                </c:pt>
                <c:pt idx="471">
                  <c:v>0.94613883784677455</c:v>
                </c:pt>
                <c:pt idx="472">
                  <c:v>0.94897137031057355</c:v>
                </c:pt>
                <c:pt idx="473">
                  <c:v>0.9498829942640441</c:v>
                </c:pt>
                <c:pt idx="474">
                  <c:v>0.95071758965787012</c:v>
                </c:pt>
                <c:pt idx="475">
                  <c:v>0.95252432465986203</c:v>
                </c:pt>
                <c:pt idx="476">
                  <c:v>0.95385306291338168</c:v>
                </c:pt>
                <c:pt idx="477">
                  <c:v>0.95554431703658338</c:v>
                </c:pt>
                <c:pt idx="478">
                  <c:v>0.95592223324911174</c:v>
                </c:pt>
                <c:pt idx="479">
                  <c:v>0.95687112533869367</c:v>
                </c:pt>
                <c:pt idx="480">
                  <c:v>0.96147437518266088</c:v>
                </c:pt>
                <c:pt idx="481">
                  <c:v>0.96180042923151632</c:v>
                </c:pt>
                <c:pt idx="482">
                  <c:v>0.96250913779476832</c:v>
                </c:pt>
                <c:pt idx="483">
                  <c:v>0.96666496239231492</c:v>
                </c:pt>
                <c:pt idx="484">
                  <c:v>0.96668633332592435</c:v>
                </c:pt>
                <c:pt idx="485">
                  <c:v>0.96695115484635608</c:v>
                </c:pt>
                <c:pt idx="486">
                  <c:v>0.96824661999471573</c:v>
                </c:pt>
                <c:pt idx="487">
                  <c:v>0.96843540146073792</c:v>
                </c:pt>
                <c:pt idx="488">
                  <c:v>0.96845017567011382</c:v>
                </c:pt>
                <c:pt idx="489">
                  <c:v>0.9703768736890197</c:v>
                </c:pt>
                <c:pt idx="490">
                  <c:v>0.97481762907500524</c:v>
                </c:pt>
                <c:pt idx="491">
                  <c:v>0.97670548315272754</c:v>
                </c:pt>
                <c:pt idx="492">
                  <c:v>0.98199003516765515</c:v>
                </c:pt>
                <c:pt idx="493">
                  <c:v>0.98709850867908244</c:v>
                </c:pt>
                <c:pt idx="494">
                  <c:v>0.98850967429189041</c:v>
                </c:pt>
                <c:pt idx="495">
                  <c:v>0.99360788871763361</c:v>
                </c:pt>
                <c:pt idx="496">
                  <c:v>0.99538104976727482</c:v>
                </c:pt>
                <c:pt idx="497">
                  <c:v>0.99694466763685341</c:v>
                </c:pt>
                <c:pt idx="498">
                  <c:v>0.99966575342386932</c:v>
                </c:pt>
                <c:pt idx="499">
                  <c:v>0.99982033155993122</c:v>
                </c:pt>
              </c:numCache>
            </c:numRef>
          </c:xVal>
          <c:yVal>
            <c:numRef>
              <c:f>SimData500!$L$509:$L$1008</c:f>
              <c:numCache>
                <c:formatCode>General</c:formatCode>
                <c:ptCount val="500"/>
                <c:pt idx="0">
                  <c:v>0</c:v>
                </c:pt>
                <c:pt idx="1">
                  <c:v>2.004008016032064E-3</c:v>
                </c:pt>
                <c:pt idx="2">
                  <c:v>4.0080160320641279E-3</c:v>
                </c:pt>
                <c:pt idx="3">
                  <c:v>6.0120240480961915E-3</c:v>
                </c:pt>
                <c:pt idx="4">
                  <c:v>8.0160320641282558E-3</c:v>
                </c:pt>
                <c:pt idx="5">
                  <c:v>1.002004008016032E-2</c:v>
                </c:pt>
                <c:pt idx="6">
                  <c:v>1.2024048096192385E-2</c:v>
                </c:pt>
                <c:pt idx="7">
                  <c:v>1.4028056112224449E-2</c:v>
                </c:pt>
                <c:pt idx="8">
                  <c:v>1.6032064128256512E-2</c:v>
                </c:pt>
                <c:pt idx="9">
                  <c:v>1.8036072144288574E-2</c:v>
                </c:pt>
                <c:pt idx="10">
                  <c:v>2.0040080160320637E-2</c:v>
                </c:pt>
                <c:pt idx="11">
                  <c:v>2.20440881763527E-2</c:v>
                </c:pt>
                <c:pt idx="12">
                  <c:v>2.4048096192384762E-2</c:v>
                </c:pt>
                <c:pt idx="13">
                  <c:v>2.6052104208416825E-2</c:v>
                </c:pt>
                <c:pt idx="14">
                  <c:v>2.8056112224448888E-2</c:v>
                </c:pt>
                <c:pt idx="15">
                  <c:v>3.006012024048095E-2</c:v>
                </c:pt>
                <c:pt idx="16">
                  <c:v>3.2064128256513016E-2</c:v>
                </c:pt>
                <c:pt idx="17">
                  <c:v>3.4068136272545083E-2</c:v>
                </c:pt>
                <c:pt idx="18">
                  <c:v>3.6072144288577149E-2</c:v>
                </c:pt>
                <c:pt idx="19">
                  <c:v>3.8076152304609215E-2</c:v>
                </c:pt>
                <c:pt idx="20">
                  <c:v>4.0080160320641281E-2</c:v>
                </c:pt>
                <c:pt idx="21">
                  <c:v>4.2084168336673347E-2</c:v>
                </c:pt>
                <c:pt idx="22">
                  <c:v>4.4088176352705413E-2</c:v>
                </c:pt>
                <c:pt idx="23">
                  <c:v>4.6092184368737479E-2</c:v>
                </c:pt>
                <c:pt idx="24">
                  <c:v>4.8096192384769546E-2</c:v>
                </c:pt>
                <c:pt idx="25">
                  <c:v>5.0100200400801612E-2</c:v>
                </c:pt>
                <c:pt idx="26">
                  <c:v>5.2104208416833678E-2</c:v>
                </c:pt>
                <c:pt idx="27">
                  <c:v>5.4108216432865744E-2</c:v>
                </c:pt>
                <c:pt idx="28">
                  <c:v>5.611222444889781E-2</c:v>
                </c:pt>
                <c:pt idx="29">
                  <c:v>5.8116232464929876E-2</c:v>
                </c:pt>
                <c:pt idx="30">
                  <c:v>6.0120240480961942E-2</c:v>
                </c:pt>
                <c:pt idx="31">
                  <c:v>6.2124248496994008E-2</c:v>
                </c:pt>
                <c:pt idx="32">
                  <c:v>6.4128256513026075E-2</c:v>
                </c:pt>
                <c:pt idx="33">
                  <c:v>6.6132264529058141E-2</c:v>
                </c:pt>
                <c:pt idx="34">
                  <c:v>6.8136272545090207E-2</c:v>
                </c:pt>
                <c:pt idx="35">
                  <c:v>7.0140280561122273E-2</c:v>
                </c:pt>
                <c:pt idx="36">
                  <c:v>7.2144288577154339E-2</c:v>
                </c:pt>
                <c:pt idx="37">
                  <c:v>7.4148296593186405E-2</c:v>
                </c:pt>
                <c:pt idx="38">
                  <c:v>7.6152304609218471E-2</c:v>
                </c:pt>
                <c:pt idx="39">
                  <c:v>7.8156312625250537E-2</c:v>
                </c:pt>
                <c:pt idx="40">
                  <c:v>8.0160320641282604E-2</c:v>
                </c:pt>
                <c:pt idx="41">
                  <c:v>8.216432865731467E-2</c:v>
                </c:pt>
                <c:pt idx="42">
                  <c:v>8.4168336673346736E-2</c:v>
                </c:pt>
                <c:pt idx="43">
                  <c:v>8.6172344689378802E-2</c:v>
                </c:pt>
                <c:pt idx="44">
                  <c:v>8.8176352705410868E-2</c:v>
                </c:pt>
                <c:pt idx="45">
                  <c:v>9.0180360721442934E-2</c:v>
                </c:pt>
                <c:pt idx="46">
                  <c:v>9.2184368737475E-2</c:v>
                </c:pt>
                <c:pt idx="47">
                  <c:v>9.4188376753507067E-2</c:v>
                </c:pt>
                <c:pt idx="48">
                  <c:v>9.6192384769539133E-2</c:v>
                </c:pt>
                <c:pt idx="49">
                  <c:v>9.8196392785571199E-2</c:v>
                </c:pt>
                <c:pt idx="50">
                  <c:v>0.10020040080160326</c:v>
                </c:pt>
                <c:pt idx="51">
                  <c:v>0.10220440881763533</c:v>
                </c:pt>
                <c:pt idx="52">
                  <c:v>0.1042084168336674</c:v>
                </c:pt>
                <c:pt idx="53">
                  <c:v>0.10621242484969946</c:v>
                </c:pt>
                <c:pt idx="54">
                  <c:v>0.10821643286573153</c:v>
                </c:pt>
                <c:pt idx="55">
                  <c:v>0.1102204408817636</c:v>
                </c:pt>
                <c:pt idx="56">
                  <c:v>0.11222444889779566</c:v>
                </c:pt>
                <c:pt idx="57">
                  <c:v>0.11422845691382773</c:v>
                </c:pt>
                <c:pt idx="58">
                  <c:v>0.11623246492985979</c:v>
                </c:pt>
                <c:pt idx="59">
                  <c:v>0.11823647294589186</c:v>
                </c:pt>
                <c:pt idx="60">
                  <c:v>0.12024048096192393</c:v>
                </c:pt>
                <c:pt idx="61">
                  <c:v>0.12224448897795599</c:v>
                </c:pt>
                <c:pt idx="62">
                  <c:v>0.12424849699398806</c:v>
                </c:pt>
                <c:pt idx="63">
                  <c:v>0.12625250501002011</c:v>
                </c:pt>
                <c:pt idx="64">
                  <c:v>0.12825651302605218</c:v>
                </c:pt>
                <c:pt idx="65">
                  <c:v>0.13026052104208424</c:v>
                </c:pt>
                <c:pt idx="66">
                  <c:v>0.13226452905811631</c:v>
                </c:pt>
                <c:pt idx="67">
                  <c:v>0.13426853707414838</c:v>
                </c:pt>
                <c:pt idx="68">
                  <c:v>0.13627254509018044</c:v>
                </c:pt>
                <c:pt idx="69">
                  <c:v>0.13827655310621251</c:v>
                </c:pt>
                <c:pt idx="70">
                  <c:v>0.14028056112224457</c:v>
                </c:pt>
                <c:pt idx="71">
                  <c:v>0.14228456913827664</c:v>
                </c:pt>
                <c:pt idx="72">
                  <c:v>0.14428857715430871</c:v>
                </c:pt>
                <c:pt idx="73">
                  <c:v>0.14629258517034077</c:v>
                </c:pt>
                <c:pt idx="74">
                  <c:v>0.14829659318637284</c:v>
                </c:pt>
                <c:pt idx="75">
                  <c:v>0.1503006012024049</c:v>
                </c:pt>
                <c:pt idx="76">
                  <c:v>0.15230460921843697</c:v>
                </c:pt>
                <c:pt idx="77">
                  <c:v>0.15430861723446904</c:v>
                </c:pt>
                <c:pt idx="78">
                  <c:v>0.1563126252505011</c:v>
                </c:pt>
                <c:pt idx="79">
                  <c:v>0.15831663326653317</c:v>
                </c:pt>
                <c:pt idx="80">
                  <c:v>0.16032064128256523</c:v>
                </c:pt>
                <c:pt idx="81">
                  <c:v>0.1623246492985973</c:v>
                </c:pt>
                <c:pt idx="82">
                  <c:v>0.16432865731462937</c:v>
                </c:pt>
                <c:pt idx="83">
                  <c:v>0.16633266533066143</c:v>
                </c:pt>
                <c:pt idx="84">
                  <c:v>0.1683366733466935</c:v>
                </c:pt>
                <c:pt idx="85">
                  <c:v>0.17034068136272557</c:v>
                </c:pt>
                <c:pt idx="86">
                  <c:v>0.17234468937875763</c:v>
                </c:pt>
                <c:pt idx="87">
                  <c:v>0.1743486973947897</c:v>
                </c:pt>
                <c:pt idx="88">
                  <c:v>0.17635270541082176</c:v>
                </c:pt>
                <c:pt idx="89">
                  <c:v>0.17835671342685383</c:v>
                </c:pt>
                <c:pt idx="90">
                  <c:v>0.1803607214428859</c:v>
                </c:pt>
                <c:pt idx="91">
                  <c:v>0.18236472945891796</c:v>
                </c:pt>
                <c:pt idx="92">
                  <c:v>0.18436873747495003</c:v>
                </c:pt>
                <c:pt idx="93">
                  <c:v>0.18637274549098209</c:v>
                </c:pt>
                <c:pt idx="94">
                  <c:v>0.18837675350701416</c:v>
                </c:pt>
                <c:pt idx="95">
                  <c:v>0.19038076152304623</c:v>
                </c:pt>
                <c:pt idx="96">
                  <c:v>0.19238476953907829</c:v>
                </c:pt>
                <c:pt idx="97">
                  <c:v>0.19438877755511036</c:v>
                </c:pt>
                <c:pt idx="98">
                  <c:v>0.19639278557114243</c:v>
                </c:pt>
                <c:pt idx="99">
                  <c:v>0.19839679358717449</c:v>
                </c:pt>
                <c:pt idx="100">
                  <c:v>0.20040080160320656</c:v>
                </c:pt>
                <c:pt idx="101">
                  <c:v>0.20240480961923862</c:v>
                </c:pt>
                <c:pt idx="102">
                  <c:v>0.20440881763527069</c:v>
                </c:pt>
                <c:pt idx="103">
                  <c:v>0.20641282565130276</c:v>
                </c:pt>
                <c:pt idx="104">
                  <c:v>0.20841683366733482</c:v>
                </c:pt>
                <c:pt idx="105">
                  <c:v>0.21042084168336689</c:v>
                </c:pt>
                <c:pt idx="106">
                  <c:v>0.21242484969939895</c:v>
                </c:pt>
                <c:pt idx="107">
                  <c:v>0.21442885771543102</c:v>
                </c:pt>
                <c:pt idx="108">
                  <c:v>0.21643286573146309</c:v>
                </c:pt>
                <c:pt idx="109">
                  <c:v>0.21843687374749515</c:v>
                </c:pt>
                <c:pt idx="110">
                  <c:v>0.22044088176352722</c:v>
                </c:pt>
                <c:pt idx="111">
                  <c:v>0.22244488977955928</c:v>
                </c:pt>
                <c:pt idx="112">
                  <c:v>0.22444889779559135</c:v>
                </c:pt>
                <c:pt idx="113">
                  <c:v>0.22645290581162342</c:v>
                </c:pt>
                <c:pt idx="114">
                  <c:v>0.22845691382765548</c:v>
                </c:pt>
                <c:pt idx="115">
                  <c:v>0.23046092184368755</c:v>
                </c:pt>
                <c:pt idx="116">
                  <c:v>0.23246492985971962</c:v>
                </c:pt>
                <c:pt idx="117">
                  <c:v>0.23446893787575168</c:v>
                </c:pt>
                <c:pt idx="118">
                  <c:v>0.23647294589178375</c:v>
                </c:pt>
                <c:pt idx="119">
                  <c:v>0.23847695390781581</c:v>
                </c:pt>
                <c:pt idx="120">
                  <c:v>0.24048096192384788</c:v>
                </c:pt>
                <c:pt idx="121">
                  <c:v>0.24248496993987995</c:v>
                </c:pt>
                <c:pt idx="122">
                  <c:v>0.24448897795591201</c:v>
                </c:pt>
                <c:pt idx="123">
                  <c:v>0.24649298597194408</c:v>
                </c:pt>
                <c:pt idx="124">
                  <c:v>0.24849699398797614</c:v>
                </c:pt>
                <c:pt idx="125">
                  <c:v>0.25050100200400821</c:v>
                </c:pt>
                <c:pt idx="126">
                  <c:v>0.25250501002004028</c:v>
                </c:pt>
                <c:pt idx="127">
                  <c:v>0.25450901803607234</c:v>
                </c:pt>
                <c:pt idx="128">
                  <c:v>0.25651302605210441</c:v>
                </c:pt>
                <c:pt idx="129">
                  <c:v>0.25851703406813648</c:v>
                </c:pt>
                <c:pt idx="130">
                  <c:v>0.26052104208416854</c:v>
                </c:pt>
                <c:pt idx="131">
                  <c:v>0.26252505010020061</c:v>
                </c:pt>
                <c:pt idx="132">
                  <c:v>0.26452905811623267</c:v>
                </c:pt>
                <c:pt idx="133">
                  <c:v>0.26653306613226474</c:v>
                </c:pt>
                <c:pt idx="134">
                  <c:v>0.26853707414829681</c:v>
                </c:pt>
                <c:pt idx="135">
                  <c:v>0.27054108216432887</c:v>
                </c:pt>
                <c:pt idx="136">
                  <c:v>0.27254509018036094</c:v>
                </c:pt>
                <c:pt idx="137">
                  <c:v>0.274549098196393</c:v>
                </c:pt>
                <c:pt idx="138">
                  <c:v>0.27655310621242507</c:v>
                </c:pt>
                <c:pt idx="139">
                  <c:v>0.27855711422845714</c:v>
                </c:pt>
                <c:pt idx="140">
                  <c:v>0.2805611222444892</c:v>
                </c:pt>
                <c:pt idx="141">
                  <c:v>0.28256513026052127</c:v>
                </c:pt>
                <c:pt idx="142">
                  <c:v>0.28456913827655334</c:v>
                </c:pt>
                <c:pt idx="143">
                  <c:v>0.2865731462925854</c:v>
                </c:pt>
                <c:pt idx="144">
                  <c:v>0.28857715430861747</c:v>
                </c:pt>
                <c:pt idx="145">
                  <c:v>0.29058116232464953</c:v>
                </c:pt>
                <c:pt idx="146">
                  <c:v>0.2925851703406816</c:v>
                </c:pt>
                <c:pt idx="147">
                  <c:v>0.29458917835671367</c:v>
                </c:pt>
                <c:pt idx="148">
                  <c:v>0.29659318637274573</c:v>
                </c:pt>
                <c:pt idx="149">
                  <c:v>0.2985971943887778</c:v>
                </c:pt>
                <c:pt idx="150">
                  <c:v>0.30060120240480986</c:v>
                </c:pt>
                <c:pt idx="151">
                  <c:v>0.30260521042084193</c:v>
                </c:pt>
                <c:pt idx="152">
                  <c:v>0.304609218436874</c:v>
                </c:pt>
                <c:pt idx="153">
                  <c:v>0.30661322645290606</c:v>
                </c:pt>
                <c:pt idx="154">
                  <c:v>0.30861723446893813</c:v>
                </c:pt>
                <c:pt idx="155">
                  <c:v>0.31062124248497019</c:v>
                </c:pt>
                <c:pt idx="156">
                  <c:v>0.31262525050100226</c:v>
                </c:pt>
                <c:pt idx="157">
                  <c:v>0.31462925851703433</c:v>
                </c:pt>
                <c:pt idx="158">
                  <c:v>0.31663326653306639</c:v>
                </c:pt>
                <c:pt idx="159">
                  <c:v>0.31863727454909846</c:v>
                </c:pt>
                <c:pt idx="160">
                  <c:v>0.32064128256513053</c:v>
                </c:pt>
                <c:pt idx="161">
                  <c:v>0.32264529058116259</c:v>
                </c:pt>
                <c:pt idx="162">
                  <c:v>0.32464929859719466</c:v>
                </c:pt>
                <c:pt idx="163">
                  <c:v>0.32665330661322672</c:v>
                </c:pt>
                <c:pt idx="164">
                  <c:v>0.32865731462925879</c:v>
                </c:pt>
                <c:pt idx="165">
                  <c:v>0.33066132264529086</c:v>
                </c:pt>
                <c:pt idx="166">
                  <c:v>0.33266533066132292</c:v>
                </c:pt>
                <c:pt idx="167">
                  <c:v>0.33466933867735499</c:v>
                </c:pt>
                <c:pt idx="168">
                  <c:v>0.33667334669338705</c:v>
                </c:pt>
                <c:pt idx="169">
                  <c:v>0.33867735470941912</c:v>
                </c:pt>
                <c:pt idx="170">
                  <c:v>0.34068136272545119</c:v>
                </c:pt>
                <c:pt idx="171">
                  <c:v>0.34268537074148325</c:v>
                </c:pt>
                <c:pt idx="172">
                  <c:v>0.34468937875751532</c:v>
                </c:pt>
                <c:pt idx="173">
                  <c:v>0.34669338677354739</c:v>
                </c:pt>
                <c:pt idx="174">
                  <c:v>0.34869739478957945</c:v>
                </c:pt>
                <c:pt idx="175">
                  <c:v>0.35070140280561152</c:v>
                </c:pt>
                <c:pt idx="176">
                  <c:v>0.35270541082164358</c:v>
                </c:pt>
                <c:pt idx="177">
                  <c:v>0.35470941883767565</c:v>
                </c:pt>
                <c:pt idx="178">
                  <c:v>0.35671342685370772</c:v>
                </c:pt>
                <c:pt idx="179">
                  <c:v>0.35871743486973978</c:v>
                </c:pt>
                <c:pt idx="180">
                  <c:v>0.36072144288577185</c:v>
                </c:pt>
                <c:pt idx="181">
                  <c:v>0.36272545090180391</c:v>
                </c:pt>
                <c:pt idx="182">
                  <c:v>0.36472945891783598</c:v>
                </c:pt>
                <c:pt idx="183">
                  <c:v>0.36673346693386805</c:v>
                </c:pt>
                <c:pt idx="184">
                  <c:v>0.36873747494990011</c:v>
                </c:pt>
                <c:pt idx="185">
                  <c:v>0.37074148296593218</c:v>
                </c:pt>
                <c:pt idx="186">
                  <c:v>0.37274549098196424</c:v>
                </c:pt>
                <c:pt idx="187">
                  <c:v>0.37474949899799631</c:v>
                </c:pt>
                <c:pt idx="188">
                  <c:v>0.37675350701402838</c:v>
                </c:pt>
                <c:pt idx="189">
                  <c:v>0.37875751503006044</c:v>
                </c:pt>
                <c:pt idx="190">
                  <c:v>0.38076152304609251</c:v>
                </c:pt>
                <c:pt idx="191">
                  <c:v>0.38276553106212458</c:v>
                </c:pt>
                <c:pt idx="192">
                  <c:v>0.38476953907815664</c:v>
                </c:pt>
                <c:pt idx="193">
                  <c:v>0.38677354709418871</c:v>
                </c:pt>
                <c:pt idx="194">
                  <c:v>0.38877755511022077</c:v>
                </c:pt>
                <c:pt idx="195">
                  <c:v>0.39078156312625284</c:v>
                </c:pt>
                <c:pt idx="196">
                  <c:v>0.39278557114228491</c:v>
                </c:pt>
                <c:pt idx="197">
                  <c:v>0.39478957915831697</c:v>
                </c:pt>
                <c:pt idx="198">
                  <c:v>0.39679358717434904</c:v>
                </c:pt>
                <c:pt idx="199">
                  <c:v>0.3987975951903811</c:v>
                </c:pt>
                <c:pt idx="200">
                  <c:v>0.40080160320641317</c:v>
                </c:pt>
                <c:pt idx="201">
                  <c:v>0.40280561122244524</c:v>
                </c:pt>
                <c:pt idx="202">
                  <c:v>0.4048096192384773</c:v>
                </c:pt>
                <c:pt idx="203">
                  <c:v>0.40681362725450937</c:v>
                </c:pt>
                <c:pt idx="204">
                  <c:v>0.40881763527054144</c:v>
                </c:pt>
                <c:pt idx="205">
                  <c:v>0.4108216432865735</c:v>
                </c:pt>
                <c:pt idx="206">
                  <c:v>0.41282565130260557</c:v>
                </c:pt>
                <c:pt idx="207">
                  <c:v>0.41482965931863763</c:v>
                </c:pt>
                <c:pt idx="208">
                  <c:v>0.4168336673346697</c:v>
                </c:pt>
                <c:pt idx="209">
                  <c:v>0.41883767535070177</c:v>
                </c:pt>
                <c:pt idx="210">
                  <c:v>0.42084168336673383</c:v>
                </c:pt>
                <c:pt idx="211">
                  <c:v>0.4228456913827659</c:v>
                </c:pt>
                <c:pt idx="212">
                  <c:v>0.42484969939879796</c:v>
                </c:pt>
                <c:pt idx="213">
                  <c:v>0.42685370741483003</c:v>
                </c:pt>
                <c:pt idx="214">
                  <c:v>0.4288577154308621</c:v>
                </c:pt>
                <c:pt idx="215">
                  <c:v>0.43086172344689416</c:v>
                </c:pt>
                <c:pt idx="216">
                  <c:v>0.43286573146292623</c:v>
                </c:pt>
                <c:pt idx="217">
                  <c:v>0.43486973947895829</c:v>
                </c:pt>
                <c:pt idx="218">
                  <c:v>0.43687374749499036</c:v>
                </c:pt>
                <c:pt idx="219">
                  <c:v>0.43887775551102243</c:v>
                </c:pt>
                <c:pt idx="220">
                  <c:v>0.44088176352705449</c:v>
                </c:pt>
                <c:pt idx="221">
                  <c:v>0.44288577154308656</c:v>
                </c:pt>
                <c:pt idx="222">
                  <c:v>0.44488977955911863</c:v>
                </c:pt>
                <c:pt idx="223">
                  <c:v>0.44689378757515069</c:v>
                </c:pt>
                <c:pt idx="224">
                  <c:v>0.44889779559118276</c:v>
                </c:pt>
                <c:pt idx="225">
                  <c:v>0.45090180360721482</c:v>
                </c:pt>
                <c:pt idx="226">
                  <c:v>0.45290581162324689</c:v>
                </c:pt>
                <c:pt idx="227">
                  <c:v>0.45490981963927896</c:v>
                </c:pt>
                <c:pt idx="228">
                  <c:v>0.45691382765531102</c:v>
                </c:pt>
                <c:pt idx="229">
                  <c:v>0.45891783567134309</c:v>
                </c:pt>
                <c:pt idx="230">
                  <c:v>0.46092184368737515</c:v>
                </c:pt>
                <c:pt idx="231">
                  <c:v>0.46292585170340722</c:v>
                </c:pt>
                <c:pt idx="232">
                  <c:v>0.46492985971943929</c:v>
                </c:pt>
                <c:pt idx="233">
                  <c:v>0.46693386773547135</c:v>
                </c:pt>
                <c:pt idx="234">
                  <c:v>0.46893787575150342</c:v>
                </c:pt>
                <c:pt idx="235">
                  <c:v>0.47094188376753549</c:v>
                </c:pt>
                <c:pt idx="236">
                  <c:v>0.47294589178356755</c:v>
                </c:pt>
                <c:pt idx="237">
                  <c:v>0.47494989979959962</c:v>
                </c:pt>
                <c:pt idx="238">
                  <c:v>0.47695390781563168</c:v>
                </c:pt>
                <c:pt idx="239">
                  <c:v>0.47895791583166375</c:v>
                </c:pt>
                <c:pt idx="240">
                  <c:v>0.48096192384769582</c:v>
                </c:pt>
                <c:pt idx="241">
                  <c:v>0.48296593186372788</c:v>
                </c:pt>
                <c:pt idx="242">
                  <c:v>0.48496993987975995</c:v>
                </c:pt>
                <c:pt idx="243">
                  <c:v>0.48697394789579201</c:v>
                </c:pt>
                <c:pt idx="244">
                  <c:v>0.48897795591182408</c:v>
                </c:pt>
                <c:pt idx="245">
                  <c:v>0.49098196392785615</c:v>
                </c:pt>
                <c:pt idx="246">
                  <c:v>0.49298597194388821</c:v>
                </c:pt>
                <c:pt idx="247">
                  <c:v>0.49498997995992028</c:v>
                </c:pt>
                <c:pt idx="248">
                  <c:v>0.49699398797595234</c:v>
                </c:pt>
                <c:pt idx="249">
                  <c:v>0.49899799599198441</c:v>
                </c:pt>
                <c:pt idx="250">
                  <c:v>0.50100200400801642</c:v>
                </c:pt>
                <c:pt idx="251">
                  <c:v>0.50300601202404849</c:v>
                </c:pt>
                <c:pt idx="252">
                  <c:v>0.50501002004008055</c:v>
                </c:pt>
                <c:pt idx="253">
                  <c:v>0.50701402805611262</c:v>
                </c:pt>
                <c:pt idx="254">
                  <c:v>0.50901803607214469</c:v>
                </c:pt>
                <c:pt idx="255">
                  <c:v>0.51102204408817675</c:v>
                </c:pt>
                <c:pt idx="256">
                  <c:v>0.51302605210420882</c:v>
                </c:pt>
                <c:pt idx="257">
                  <c:v>0.51503006012024088</c:v>
                </c:pt>
                <c:pt idx="258">
                  <c:v>0.51703406813627295</c:v>
                </c:pt>
                <c:pt idx="259">
                  <c:v>0.51903807615230502</c:v>
                </c:pt>
                <c:pt idx="260">
                  <c:v>0.52104208416833708</c:v>
                </c:pt>
                <c:pt idx="261">
                  <c:v>0.52304609218436915</c:v>
                </c:pt>
                <c:pt idx="262">
                  <c:v>0.52505010020040122</c:v>
                </c:pt>
                <c:pt idx="263">
                  <c:v>0.52705410821643328</c:v>
                </c:pt>
                <c:pt idx="264">
                  <c:v>0.52905811623246535</c:v>
                </c:pt>
                <c:pt idx="265">
                  <c:v>0.53106212424849741</c:v>
                </c:pt>
                <c:pt idx="266">
                  <c:v>0.53306613226452948</c:v>
                </c:pt>
                <c:pt idx="267">
                  <c:v>0.53507014028056155</c:v>
                </c:pt>
                <c:pt idx="268">
                  <c:v>0.53707414829659361</c:v>
                </c:pt>
                <c:pt idx="269">
                  <c:v>0.53907815631262568</c:v>
                </c:pt>
                <c:pt idx="270">
                  <c:v>0.54108216432865774</c:v>
                </c:pt>
                <c:pt idx="271">
                  <c:v>0.54308617234468981</c:v>
                </c:pt>
                <c:pt idx="272">
                  <c:v>0.54509018036072188</c:v>
                </c:pt>
                <c:pt idx="273">
                  <c:v>0.54709418837675394</c:v>
                </c:pt>
                <c:pt idx="274">
                  <c:v>0.54909819639278601</c:v>
                </c:pt>
                <c:pt idx="275">
                  <c:v>0.55110220440881807</c:v>
                </c:pt>
                <c:pt idx="276">
                  <c:v>0.55310621242485014</c:v>
                </c:pt>
                <c:pt idx="277">
                  <c:v>0.55511022044088221</c:v>
                </c:pt>
                <c:pt idx="278">
                  <c:v>0.55711422845691427</c:v>
                </c:pt>
                <c:pt idx="279">
                  <c:v>0.55911823647294634</c:v>
                </c:pt>
                <c:pt idx="280">
                  <c:v>0.56112224448897841</c:v>
                </c:pt>
                <c:pt idx="281">
                  <c:v>0.56312625250501047</c:v>
                </c:pt>
                <c:pt idx="282">
                  <c:v>0.56513026052104254</c:v>
                </c:pt>
                <c:pt idx="283">
                  <c:v>0.5671342685370746</c:v>
                </c:pt>
                <c:pt idx="284">
                  <c:v>0.56913827655310667</c:v>
                </c:pt>
                <c:pt idx="285">
                  <c:v>0.57114228456913874</c:v>
                </c:pt>
                <c:pt idx="286">
                  <c:v>0.5731462925851708</c:v>
                </c:pt>
                <c:pt idx="287">
                  <c:v>0.57515030060120287</c:v>
                </c:pt>
                <c:pt idx="288">
                  <c:v>0.57715430861723493</c:v>
                </c:pt>
                <c:pt idx="289">
                  <c:v>0.579158316633267</c:v>
                </c:pt>
                <c:pt idx="290">
                  <c:v>0.58116232464929907</c:v>
                </c:pt>
                <c:pt idx="291">
                  <c:v>0.58316633266533113</c:v>
                </c:pt>
                <c:pt idx="292">
                  <c:v>0.5851703406813632</c:v>
                </c:pt>
                <c:pt idx="293">
                  <c:v>0.58717434869739527</c:v>
                </c:pt>
                <c:pt idx="294">
                  <c:v>0.58917835671342733</c:v>
                </c:pt>
                <c:pt idx="295">
                  <c:v>0.5911823647294594</c:v>
                </c:pt>
                <c:pt idx="296">
                  <c:v>0.59318637274549146</c:v>
                </c:pt>
                <c:pt idx="297">
                  <c:v>0.59519038076152353</c:v>
                </c:pt>
                <c:pt idx="298">
                  <c:v>0.5971943887775556</c:v>
                </c:pt>
                <c:pt idx="299">
                  <c:v>0.59919839679358766</c:v>
                </c:pt>
                <c:pt idx="300">
                  <c:v>0.60120240480961973</c:v>
                </c:pt>
                <c:pt idx="301">
                  <c:v>0.60320641282565179</c:v>
                </c:pt>
                <c:pt idx="302">
                  <c:v>0.60521042084168386</c:v>
                </c:pt>
                <c:pt idx="303">
                  <c:v>0.60721442885771593</c:v>
                </c:pt>
                <c:pt idx="304">
                  <c:v>0.60921843687374799</c:v>
                </c:pt>
                <c:pt idx="305">
                  <c:v>0.61122244488978006</c:v>
                </c:pt>
                <c:pt idx="306">
                  <c:v>0.61322645290581212</c:v>
                </c:pt>
                <c:pt idx="307">
                  <c:v>0.61523046092184419</c:v>
                </c:pt>
                <c:pt idx="308">
                  <c:v>0.61723446893787626</c:v>
                </c:pt>
                <c:pt idx="309">
                  <c:v>0.61923847695390832</c:v>
                </c:pt>
                <c:pt idx="310">
                  <c:v>0.62124248496994039</c:v>
                </c:pt>
                <c:pt idx="311">
                  <c:v>0.62324649298597246</c:v>
                </c:pt>
                <c:pt idx="312">
                  <c:v>0.62525050100200452</c:v>
                </c:pt>
                <c:pt idx="313">
                  <c:v>0.62725450901803659</c:v>
                </c:pt>
                <c:pt idx="314">
                  <c:v>0.62925851703406865</c:v>
                </c:pt>
                <c:pt idx="315">
                  <c:v>0.63126252505010072</c:v>
                </c:pt>
                <c:pt idx="316">
                  <c:v>0.63326653306613279</c:v>
                </c:pt>
                <c:pt idx="317">
                  <c:v>0.63527054108216485</c:v>
                </c:pt>
                <c:pt idx="318">
                  <c:v>0.63727454909819692</c:v>
                </c:pt>
                <c:pt idx="319">
                  <c:v>0.63927855711422898</c:v>
                </c:pt>
                <c:pt idx="320">
                  <c:v>0.64128256513026105</c:v>
                </c:pt>
                <c:pt idx="321">
                  <c:v>0.64328657314629312</c:v>
                </c:pt>
                <c:pt idx="322">
                  <c:v>0.64529058116232518</c:v>
                </c:pt>
                <c:pt idx="323">
                  <c:v>0.64729458917835725</c:v>
                </c:pt>
                <c:pt idx="324">
                  <c:v>0.64929859719438932</c:v>
                </c:pt>
                <c:pt idx="325">
                  <c:v>0.65130260521042138</c:v>
                </c:pt>
                <c:pt idx="326">
                  <c:v>0.65330661322645345</c:v>
                </c:pt>
                <c:pt idx="327">
                  <c:v>0.65531062124248551</c:v>
                </c:pt>
                <c:pt idx="328">
                  <c:v>0.65731462925851758</c:v>
                </c:pt>
                <c:pt idx="329">
                  <c:v>0.65931863727454965</c:v>
                </c:pt>
                <c:pt idx="330">
                  <c:v>0.66132264529058171</c:v>
                </c:pt>
                <c:pt idx="331">
                  <c:v>0.66332665330661378</c:v>
                </c:pt>
                <c:pt idx="332">
                  <c:v>0.66533066132264584</c:v>
                </c:pt>
                <c:pt idx="333">
                  <c:v>0.66733466933867791</c:v>
                </c:pt>
                <c:pt idx="334">
                  <c:v>0.66933867735470998</c:v>
                </c:pt>
                <c:pt idx="335">
                  <c:v>0.67134268537074204</c:v>
                </c:pt>
                <c:pt idx="336">
                  <c:v>0.67334669338677411</c:v>
                </c:pt>
                <c:pt idx="337">
                  <c:v>0.67535070140280618</c:v>
                </c:pt>
                <c:pt idx="338">
                  <c:v>0.67735470941883824</c:v>
                </c:pt>
                <c:pt idx="339">
                  <c:v>0.67935871743487031</c:v>
                </c:pt>
                <c:pt idx="340">
                  <c:v>0.68136272545090237</c:v>
                </c:pt>
                <c:pt idx="341">
                  <c:v>0.68336673346693444</c:v>
                </c:pt>
                <c:pt idx="342">
                  <c:v>0.68537074148296651</c:v>
                </c:pt>
                <c:pt idx="343">
                  <c:v>0.68737474949899857</c:v>
                </c:pt>
                <c:pt idx="344">
                  <c:v>0.68937875751503064</c:v>
                </c:pt>
                <c:pt idx="345">
                  <c:v>0.6913827655310627</c:v>
                </c:pt>
                <c:pt idx="346">
                  <c:v>0.69338677354709477</c:v>
                </c:pt>
                <c:pt idx="347">
                  <c:v>0.69539078156312684</c:v>
                </c:pt>
                <c:pt idx="348">
                  <c:v>0.6973947895791589</c:v>
                </c:pt>
                <c:pt idx="349">
                  <c:v>0.69939879759519097</c:v>
                </c:pt>
                <c:pt idx="350">
                  <c:v>0.70140280561122303</c:v>
                </c:pt>
                <c:pt idx="351">
                  <c:v>0.7034068136272551</c:v>
                </c:pt>
                <c:pt idx="352">
                  <c:v>0.70541082164328717</c:v>
                </c:pt>
                <c:pt idx="353">
                  <c:v>0.70741482965931923</c:v>
                </c:pt>
                <c:pt idx="354">
                  <c:v>0.7094188376753513</c:v>
                </c:pt>
                <c:pt idx="355">
                  <c:v>0.71142284569138337</c:v>
                </c:pt>
                <c:pt idx="356">
                  <c:v>0.71342685370741543</c:v>
                </c:pt>
                <c:pt idx="357">
                  <c:v>0.7154308617234475</c:v>
                </c:pt>
                <c:pt idx="358">
                  <c:v>0.71743486973947956</c:v>
                </c:pt>
                <c:pt idx="359">
                  <c:v>0.71943887775551163</c:v>
                </c:pt>
                <c:pt idx="360">
                  <c:v>0.7214428857715437</c:v>
                </c:pt>
                <c:pt idx="361">
                  <c:v>0.72344689378757576</c:v>
                </c:pt>
                <c:pt idx="362">
                  <c:v>0.72545090180360783</c:v>
                </c:pt>
                <c:pt idx="363">
                  <c:v>0.72745490981963989</c:v>
                </c:pt>
                <c:pt idx="364">
                  <c:v>0.72945891783567196</c:v>
                </c:pt>
                <c:pt idx="365">
                  <c:v>0.73146292585170403</c:v>
                </c:pt>
                <c:pt idx="366">
                  <c:v>0.73346693386773609</c:v>
                </c:pt>
                <c:pt idx="367">
                  <c:v>0.73547094188376816</c:v>
                </c:pt>
                <c:pt idx="368">
                  <c:v>0.73747494989980023</c:v>
                </c:pt>
                <c:pt idx="369">
                  <c:v>0.73947895791583229</c:v>
                </c:pt>
                <c:pt idx="370">
                  <c:v>0.74148296593186436</c:v>
                </c:pt>
                <c:pt idx="371">
                  <c:v>0.74348697394789642</c:v>
                </c:pt>
                <c:pt idx="372">
                  <c:v>0.74549098196392849</c:v>
                </c:pt>
                <c:pt idx="373">
                  <c:v>0.74749498997996056</c:v>
                </c:pt>
                <c:pt idx="374">
                  <c:v>0.74949899799599262</c:v>
                </c:pt>
                <c:pt idx="375">
                  <c:v>0.75150300601202469</c:v>
                </c:pt>
                <c:pt idx="376">
                  <c:v>0.75350701402805675</c:v>
                </c:pt>
                <c:pt idx="377">
                  <c:v>0.75551102204408882</c:v>
                </c:pt>
                <c:pt idx="378">
                  <c:v>0.75751503006012089</c:v>
                </c:pt>
                <c:pt idx="379">
                  <c:v>0.75951903807615295</c:v>
                </c:pt>
                <c:pt idx="380">
                  <c:v>0.76152304609218502</c:v>
                </c:pt>
                <c:pt idx="381">
                  <c:v>0.76352705410821708</c:v>
                </c:pt>
                <c:pt idx="382">
                  <c:v>0.76553106212424915</c:v>
                </c:pt>
                <c:pt idx="383">
                  <c:v>0.76753507014028122</c:v>
                </c:pt>
                <c:pt idx="384">
                  <c:v>0.76953907815631328</c:v>
                </c:pt>
                <c:pt idx="385">
                  <c:v>0.77154308617234535</c:v>
                </c:pt>
                <c:pt idx="386">
                  <c:v>0.77354709418837742</c:v>
                </c:pt>
                <c:pt idx="387">
                  <c:v>0.77555110220440948</c:v>
                </c:pt>
                <c:pt idx="388">
                  <c:v>0.77755511022044155</c:v>
                </c:pt>
                <c:pt idx="389">
                  <c:v>0.77955911823647361</c:v>
                </c:pt>
                <c:pt idx="390">
                  <c:v>0.78156312625250568</c:v>
                </c:pt>
                <c:pt idx="391">
                  <c:v>0.78356713426853775</c:v>
                </c:pt>
                <c:pt idx="392">
                  <c:v>0.78557114228456981</c:v>
                </c:pt>
                <c:pt idx="393">
                  <c:v>0.78757515030060188</c:v>
                </c:pt>
                <c:pt idx="394">
                  <c:v>0.78957915831663394</c:v>
                </c:pt>
                <c:pt idx="395">
                  <c:v>0.79158316633266601</c:v>
                </c:pt>
                <c:pt idx="396">
                  <c:v>0.79358717434869808</c:v>
                </c:pt>
                <c:pt idx="397">
                  <c:v>0.79559118236473014</c:v>
                </c:pt>
                <c:pt idx="398">
                  <c:v>0.79759519038076221</c:v>
                </c:pt>
                <c:pt idx="399">
                  <c:v>0.79959919839679428</c:v>
                </c:pt>
                <c:pt idx="400">
                  <c:v>0.80160320641282634</c:v>
                </c:pt>
                <c:pt idx="401">
                  <c:v>0.80360721442885841</c:v>
                </c:pt>
                <c:pt idx="402">
                  <c:v>0.80561122244489047</c:v>
                </c:pt>
                <c:pt idx="403">
                  <c:v>0.80761523046092254</c:v>
                </c:pt>
                <c:pt idx="404">
                  <c:v>0.80961923847695461</c:v>
                </c:pt>
                <c:pt idx="405">
                  <c:v>0.81162324649298667</c:v>
                </c:pt>
                <c:pt idx="406">
                  <c:v>0.81362725450901874</c:v>
                </c:pt>
                <c:pt idx="407">
                  <c:v>0.8156312625250508</c:v>
                </c:pt>
                <c:pt idx="408">
                  <c:v>0.81763527054108287</c:v>
                </c:pt>
                <c:pt idx="409">
                  <c:v>0.81963927855711494</c:v>
                </c:pt>
                <c:pt idx="410">
                  <c:v>0.821643286573147</c:v>
                </c:pt>
                <c:pt idx="411">
                  <c:v>0.82364729458917907</c:v>
                </c:pt>
                <c:pt idx="412">
                  <c:v>0.82565130260521113</c:v>
                </c:pt>
                <c:pt idx="413">
                  <c:v>0.8276553106212432</c:v>
                </c:pt>
                <c:pt idx="414">
                  <c:v>0.82965931863727527</c:v>
                </c:pt>
                <c:pt idx="415">
                  <c:v>0.83166332665330733</c:v>
                </c:pt>
                <c:pt idx="416">
                  <c:v>0.8336673346693394</c:v>
                </c:pt>
                <c:pt idx="417">
                  <c:v>0.83567134268537147</c:v>
                </c:pt>
                <c:pt idx="418">
                  <c:v>0.83767535070140353</c:v>
                </c:pt>
                <c:pt idx="419">
                  <c:v>0.8396793587174356</c:v>
                </c:pt>
                <c:pt idx="420">
                  <c:v>0.84168336673346766</c:v>
                </c:pt>
                <c:pt idx="421">
                  <c:v>0.84368737474949973</c:v>
                </c:pt>
                <c:pt idx="422">
                  <c:v>0.8456913827655318</c:v>
                </c:pt>
                <c:pt idx="423">
                  <c:v>0.84769539078156386</c:v>
                </c:pt>
                <c:pt idx="424">
                  <c:v>0.84969939879759593</c:v>
                </c:pt>
                <c:pt idx="425">
                  <c:v>0.85170340681362799</c:v>
                </c:pt>
                <c:pt idx="426">
                  <c:v>0.85370741482966006</c:v>
                </c:pt>
                <c:pt idx="427">
                  <c:v>0.85571142284569213</c:v>
                </c:pt>
                <c:pt idx="428">
                  <c:v>0.85771543086172419</c:v>
                </c:pt>
                <c:pt idx="429">
                  <c:v>0.85971943887775626</c:v>
                </c:pt>
                <c:pt idx="430">
                  <c:v>0.86172344689378833</c:v>
                </c:pt>
                <c:pt idx="431">
                  <c:v>0.86372745490982039</c:v>
                </c:pt>
                <c:pt idx="432">
                  <c:v>0.86573146292585246</c:v>
                </c:pt>
                <c:pt idx="433">
                  <c:v>0.86773547094188452</c:v>
                </c:pt>
                <c:pt idx="434">
                  <c:v>0.86973947895791659</c:v>
                </c:pt>
                <c:pt idx="435">
                  <c:v>0.87174348697394866</c:v>
                </c:pt>
                <c:pt idx="436">
                  <c:v>0.87374749498998072</c:v>
                </c:pt>
                <c:pt idx="437">
                  <c:v>0.87575150300601279</c:v>
                </c:pt>
                <c:pt idx="438">
                  <c:v>0.87775551102204485</c:v>
                </c:pt>
                <c:pt idx="439">
                  <c:v>0.87975951903807692</c:v>
                </c:pt>
                <c:pt idx="440">
                  <c:v>0.88176352705410899</c:v>
                </c:pt>
                <c:pt idx="441">
                  <c:v>0.88376753507014105</c:v>
                </c:pt>
                <c:pt idx="442">
                  <c:v>0.88577154308617312</c:v>
                </c:pt>
                <c:pt idx="443">
                  <c:v>0.88777555110220518</c:v>
                </c:pt>
                <c:pt idx="444">
                  <c:v>0.88977955911823725</c:v>
                </c:pt>
                <c:pt idx="445">
                  <c:v>0.89178356713426932</c:v>
                </c:pt>
                <c:pt idx="446">
                  <c:v>0.89378757515030138</c:v>
                </c:pt>
                <c:pt idx="447">
                  <c:v>0.89579158316633345</c:v>
                </c:pt>
                <c:pt idx="448">
                  <c:v>0.89779559118236552</c:v>
                </c:pt>
                <c:pt idx="449">
                  <c:v>0.89979959919839758</c:v>
                </c:pt>
                <c:pt idx="450">
                  <c:v>0.90180360721442965</c:v>
                </c:pt>
                <c:pt idx="451">
                  <c:v>0.90380761523046171</c:v>
                </c:pt>
                <c:pt idx="452">
                  <c:v>0.90581162324649378</c:v>
                </c:pt>
                <c:pt idx="453">
                  <c:v>0.90781563126252585</c:v>
                </c:pt>
                <c:pt idx="454">
                  <c:v>0.90981963927855791</c:v>
                </c:pt>
                <c:pt idx="455">
                  <c:v>0.91182364729458998</c:v>
                </c:pt>
                <c:pt idx="456">
                  <c:v>0.91382765531062204</c:v>
                </c:pt>
                <c:pt idx="457">
                  <c:v>0.91583166332665411</c:v>
                </c:pt>
                <c:pt idx="458">
                  <c:v>0.91783567134268618</c:v>
                </c:pt>
                <c:pt idx="459">
                  <c:v>0.91983967935871824</c:v>
                </c:pt>
                <c:pt idx="460">
                  <c:v>0.92184368737475031</c:v>
                </c:pt>
                <c:pt idx="461">
                  <c:v>0.92384769539078238</c:v>
                </c:pt>
                <c:pt idx="462">
                  <c:v>0.92585170340681444</c:v>
                </c:pt>
                <c:pt idx="463">
                  <c:v>0.92785571142284651</c:v>
                </c:pt>
                <c:pt idx="464">
                  <c:v>0.92985971943887857</c:v>
                </c:pt>
                <c:pt idx="465">
                  <c:v>0.93186372745491064</c:v>
                </c:pt>
                <c:pt idx="466">
                  <c:v>0.93386773547094271</c:v>
                </c:pt>
                <c:pt idx="467">
                  <c:v>0.93587174348697477</c:v>
                </c:pt>
                <c:pt idx="468">
                  <c:v>0.93787575150300684</c:v>
                </c:pt>
                <c:pt idx="469">
                  <c:v>0.9398797595190389</c:v>
                </c:pt>
                <c:pt idx="470">
                  <c:v>0.94188376753507097</c:v>
                </c:pt>
                <c:pt idx="471">
                  <c:v>0.94388777555110304</c:v>
                </c:pt>
                <c:pt idx="472">
                  <c:v>0.9458917835671351</c:v>
                </c:pt>
                <c:pt idx="473">
                  <c:v>0.94789579158316717</c:v>
                </c:pt>
                <c:pt idx="474">
                  <c:v>0.94989979959919923</c:v>
                </c:pt>
                <c:pt idx="475">
                  <c:v>0.9519038076152313</c:v>
                </c:pt>
                <c:pt idx="476">
                  <c:v>0.95390781563126337</c:v>
                </c:pt>
                <c:pt idx="477">
                  <c:v>0.95591182364729543</c:v>
                </c:pt>
                <c:pt idx="478">
                  <c:v>0.9579158316633275</c:v>
                </c:pt>
                <c:pt idx="479">
                  <c:v>0.95991983967935957</c:v>
                </c:pt>
                <c:pt idx="480">
                  <c:v>0.96192384769539163</c:v>
                </c:pt>
                <c:pt idx="481">
                  <c:v>0.9639278557114237</c:v>
                </c:pt>
                <c:pt idx="482">
                  <c:v>0.96593186372745576</c:v>
                </c:pt>
                <c:pt idx="483">
                  <c:v>0.96793587174348783</c:v>
                </c:pt>
                <c:pt idx="484">
                  <c:v>0.9699398797595199</c:v>
                </c:pt>
                <c:pt idx="485">
                  <c:v>0.97194388777555196</c:v>
                </c:pt>
                <c:pt idx="486">
                  <c:v>0.97394789579158403</c:v>
                </c:pt>
                <c:pt idx="487">
                  <c:v>0.97595190380761609</c:v>
                </c:pt>
                <c:pt idx="488">
                  <c:v>0.97795591182364816</c:v>
                </c:pt>
                <c:pt idx="489">
                  <c:v>0.97995991983968023</c:v>
                </c:pt>
                <c:pt idx="490">
                  <c:v>0.98196392785571229</c:v>
                </c:pt>
                <c:pt idx="491">
                  <c:v>0.98396793587174436</c:v>
                </c:pt>
                <c:pt idx="492">
                  <c:v>0.98597194388777643</c:v>
                </c:pt>
                <c:pt idx="493">
                  <c:v>0.98797595190380849</c:v>
                </c:pt>
                <c:pt idx="494">
                  <c:v>0.98997995991984056</c:v>
                </c:pt>
                <c:pt idx="495">
                  <c:v>0.99198396793587262</c:v>
                </c:pt>
                <c:pt idx="496">
                  <c:v>0.99398797595190469</c:v>
                </c:pt>
                <c:pt idx="497">
                  <c:v>0.99599198396793676</c:v>
                </c:pt>
                <c:pt idx="498">
                  <c:v>0.99799599198396882</c:v>
                </c:pt>
                <c:pt idx="499">
                  <c:v>1.0000000000000009</c:v>
                </c:pt>
              </c:numCache>
            </c:numRef>
          </c:yVal>
          <c:smooth val="1"/>
        </c:ser>
        <c:axId val="186128256"/>
        <c:axId val="186129792"/>
      </c:scatterChart>
      <c:valAx>
        <c:axId val="186128256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29792"/>
        <c:crosses val="autoZero"/>
        <c:crossBetween val="midCat"/>
      </c:valAx>
      <c:valAx>
        <c:axId val="18612979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76345840130505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282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845726970033295"/>
          <c:y val="0.9559543230016313"/>
          <c:w val="0.26970033296337403"/>
          <c:h val="3.91517128874388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1000 Iterations</a:t>
            </a:r>
          </a:p>
        </c:rich>
      </c:tx>
      <c:layout>
        <c:manualLayout>
          <c:xMode val="edge"/>
          <c:yMode val="edge"/>
          <c:x val="0.28523862375138737"/>
          <c:y val="1.95758564437194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032186459489458E-2"/>
          <c:y val="0.12234910277324633"/>
          <c:w val="0.90566037735849059"/>
          <c:h val="0.76508972267536701"/>
        </c:manualLayout>
      </c:layout>
      <c:scatterChart>
        <c:scatterStyle val="smoothMarker"/>
        <c:ser>
          <c:idx val="0"/>
          <c:order val="0"/>
          <c:tx>
            <c:strRef>
              <c:f>SimData1000!$J$1009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SimData1000!$J$1010:$J$2009</c:f>
              <c:numCache>
                <c:formatCode>General</c:formatCode>
                <c:ptCount val="1000"/>
                <c:pt idx="0">
                  <c:v>2.1218582829744226E-4</c:v>
                </c:pt>
                <c:pt idx="1">
                  <c:v>1.8583755860706733E-3</c:v>
                </c:pt>
                <c:pt idx="2">
                  <c:v>2.49193994526098E-3</c:v>
                </c:pt>
                <c:pt idx="3">
                  <c:v>3.8501895903260887E-3</c:v>
                </c:pt>
                <c:pt idx="4">
                  <c:v>4.6770170677166937E-3</c:v>
                </c:pt>
                <c:pt idx="5">
                  <c:v>5.7127426980791481E-3</c:v>
                </c:pt>
                <c:pt idx="6">
                  <c:v>6.6341941458252706E-3</c:v>
                </c:pt>
                <c:pt idx="7">
                  <c:v>7.991307237649176E-3</c:v>
                </c:pt>
                <c:pt idx="8">
                  <c:v>8.6910029742147312E-3</c:v>
                </c:pt>
                <c:pt idx="9">
                  <c:v>9.0824375220300707E-3</c:v>
                </c:pt>
                <c:pt idx="10">
                  <c:v>1.0550063027429874E-2</c:v>
                </c:pt>
                <c:pt idx="11">
                  <c:v>1.1941943156985086E-2</c:v>
                </c:pt>
                <c:pt idx="12">
                  <c:v>1.248931624006697E-2</c:v>
                </c:pt>
                <c:pt idx="13">
                  <c:v>1.3771784770714999E-2</c:v>
                </c:pt>
                <c:pt idx="14">
                  <c:v>1.433510894289592E-2</c:v>
                </c:pt>
                <c:pt idx="15">
                  <c:v>1.565377212354303E-2</c:v>
                </c:pt>
                <c:pt idx="16">
                  <c:v>1.6655539621285985E-2</c:v>
                </c:pt>
                <c:pt idx="17">
                  <c:v>1.7060150638003868E-2</c:v>
                </c:pt>
                <c:pt idx="18">
                  <c:v>1.8705947426777787E-2</c:v>
                </c:pt>
                <c:pt idx="19">
                  <c:v>1.9357135893627333E-2</c:v>
                </c:pt>
                <c:pt idx="20">
                  <c:v>2.0928895952629135E-2</c:v>
                </c:pt>
                <c:pt idx="21">
                  <c:v>2.1320678836042221E-2</c:v>
                </c:pt>
                <c:pt idx="22">
                  <c:v>2.2711874059800029E-2</c:v>
                </c:pt>
                <c:pt idx="23">
                  <c:v>2.3318226056946029E-2</c:v>
                </c:pt>
                <c:pt idx="24">
                  <c:v>2.4425383692473497E-2</c:v>
                </c:pt>
                <c:pt idx="25">
                  <c:v>2.5466303915126786E-2</c:v>
                </c:pt>
                <c:pt idx="26">
                  <c:v>2.6203232432297253E-2</c:v>
                </c:pt>
                <c:pt idx="27">
                  <c:v>2.7298149960417802E-2</c:v>
                </c:pt>
                <c:pt idx="28">
                  <c:v>2.8105863570493148E-2</c:v>
                </c:pt>
                <c:pt idx="29">
                  <c:v>2.9739683229182773E-2</c:v>
                </c:pt>
                <c:pt idx="30">
                  <c:v>3.0187069188614159E-2</c:v>
                </c:pt>
                <c:pt idx="31">
                  <c:v>3.1064319378944192E-2</c:v>
                </c:pt>
                <c:pt idx="32">
                  <c:v>3.2736773244975315E-2</c:v>
                </c:pt>
                <c:pt idx="33">
                  <c:v>3.3975360922975317E-2</c:v>
                </c:pt>
                <c:pt idx="34">
                  <c:v>3.4914705039913466E-2</c:v>
                </c:pt>
                <c:pt idx="35">
                  <c:v>3.5355216207065436E-2</c:v>
                </c:pt>
                <c:pt idx="36">
                  <c:v>3.6163179905890297E-2</c:v>
                </c:pt>
                <c:pt idx="37">
                  <c:v>3.7704157652497329E-2</c:v>
                </c:pt>
                <c:pt idx="38">
                  <c:v>3.8870849678262799E-2</c:v>
                </c:pt>
                <c:pt idx="39">
                  <c:v>3.9467166361973428E-2</c:v>
                </c:pt>
                <c:pt idx="40">
                  <c:v>4.0383625568911348E-2</c:v>
                </c:pt>
                <c:pt idx="41">
                  <c:v>4.1293784645221612E-2</c:v>
                </c:pt>
                <c:pt idx="42">
                  <c:v>4.2633868829261949E-2</c:v>
                </c:pt>
                <c:pt idx="43">
                  <c:v>4.3236398436184133E-2</c:v>
                </c:pt>
                <c:pt idx="44">
                  <c:v>4.4077545070573113E-2</c:v>
                </c:pt>
                <c:pt idx="45">
                  <c:v>4.557786868758916E-2</c:v>
                </c:pt>
                <c:pt idx="46">
                  <c:v>4.6941907570916666E-2</c:v>
                </c:pt>
                <c:pt idx="47">
                  <c:v>4.77649109297816E-2</c:v>
                </c:pt>
                <c:pt idx="48">
                  <c:v>4.8836777261885997E-2</c:v>
                </c:pt>
                <c:pt idx="49">
                  <c:v>4.9665537978677433E-2</c:v>
                </c:pt>
                <c:pt idx="50">
                  <c:v>5.0043066369146821E-2</c:v>
                </c:pt>
                <c:pt idx="51">
                  <c:v>5.1606558549126276E-2</c:v>
                </c:pt>
                <c:pt idx="52">
                  <c:v>5.2243524471354559E-2</c:v>
                </c:pt>
                <c:pt idx="53">
                  <c:v>5.3533145557980319E-2</c:v>
                </c:pt>
                <c:pt idx="54">
                  <c:v>5.4422300050366273E-2</c:v>
                </c:pt>
                <c:pt idx="55">
                  <c:v>5.5083745440953354E-2</c:v>
                </c:pt>
                <c:pt idx="56">
                  <c:v>5.6768623753629767E-2</c:v>
                </c:pt>
                <c:pt idx="57">
                  <c:v>5.7069298443167778E-2</c:v>
                </c:pt>
                <c:pt idx="58">
                  <c:v>5.8784020167725166E-2</c:v>
                </c:pt>
                <c:pt idx="59">
                  <c:v>5.978399110906385E-2</c:v>
                </c:pt>
                <c:pt idx="60">
                  <c:v>6.01762935368289E-2</c:v>
                </c:pt>
                <c:pt idx="61">
                  <c:v>6.1490843851000732E-2</c:v>
                </c:pt>
                <c:pt idx="62">
                  <c:v>6.2880064797559768E-2</c:v>
                </c:pt>
                <c:pt idx="63">
                  <c:v>6.351503184449743E-2</c:v>
                </c:pt>
                <c:pt idx="64">
                  <c:v>6.4929717621749664E-2</c:v>
                </c:pt>
                <c:pt idx="65">
                  <c:v>6.5396103420387056E-2</c:v>
                </c:pt>
                <c:pt idx="66">
                  <c:v>6.6639609443638378E-2</c:v>
                </c:pt>
                <c:pt idx="67">
                  <c:v>6.7910902575103307E-2</c:v>
                </c:pt>
                <c:pt idx="68">
                  <c:v>6.879618610856035E-2</c:v>
                </c:pt>
                <c:pt idx="69">
                  <c:v>6.9094570057255805E-2</c:v>
                </c:pt>
                <c:pt idx="70">
                  <c:v>7.0613509754793136E-2</c:v>
                </c:pt>
                <c:pt idx="71">
                  <c:v>7.1137832935233097E-2</c:v>
                </c:pt>
                <c:pt idx="72">
                  <c:v>7.2946094884524609E-2</c:v>
                </c:pt>
                <c:pt idx="73">
                  <c:v>7.3312953893866606E-2</c:v>
                </c:pt>
                <c:pt idx="74">
                  <c:v>7.4804644809291845E-2</c:v>
                </c:pt>
                <c:pt idx="75">
                  <c:v>7.5780661881850245E-2</c:v>
                </c:pt>
                <c:pt idx="76">
                  <c:v>7.6992667490149075E-2</c:v>
                </c:pt>
                <c:pt idx="77">
                  <c:v>7.7387285899693903E-2</c:v>
                </c:pt>
                <c:pt idx="78">
                  <c:v>7.8734843806534741E-2</c:v>
                </c:pt>
                <c:pt idx="79">
                  <c:v>7.9986409213856413E-2</c:v>
                </c:pt>
                <c:pt idx="80">
                  <c:v>8.06539937636475E-2</c:v>
                </c:pt>
                <c:pt idx="81">
                  <c:v>8.1669555527313975E-2</c:v>
                </c:pt>
                <c:pt idx="82">
                  <c:v>8.2126551448396992E-2</c:v>
                </c:pt>
                <c:pt idx="83">
                  <c:v>8.3243669542307885E-2</c:v>
                </c:pt>
                <c:pt idx="84">
                  <c:v>8.4823713855776875E-2</c:v>
                </c:pt>
                <c:pt idx="85">
                  <c:v>8.5570035632832442E-2</c:v>
                </c:pt>
                <c:pt idx="86">
                  <c:v>8.6592005300240582E-2</c:v>
                </c:pt>
                <c:pt idx="87">
                  <c:v>8.792924507426314E-2</c:v>
                </c:pt>
                <c:pt idx="88">
                  <c:v>8.8022139985585154E-2</c:v>
                </c:pt>
                <c:pt idx="89">
                  <c:v>8.9572290378755956E-2</c:v>
                </c:pt>
                <c:pt idx="90">
                  <c:v>9.0040128835486274E-2</c:v>
                </c:pt>
                <c:pt idx="91">
                  <c:v>9.1663323183465595E-2</c:v>
                </c:pt>
                <c:pt idx="92">
                  <c:v>9.2568650954302556E-2</c:v>
                </c:pt>
                <c:pt idx="93">
                  <c:v>9.3996374547480693E-2</c:v>
                </c:pt>
                <c:pt idx="94">
                  <c:v>9.4459836924788501E-2</c:v>
                </c:pt>
                <c:pt idx="95">
                  <c:v>9.5920157652329696E-2</c:v>
                </c:pt>
                <c:pt idx="96">
                  <c:v>9.6992186852728993E-2</c:v>
                </c:pt>
                <c:pt idx="97">
                  <c:v>9.7313273864405525E-2</c:v>
                </c:pt>
                <c:pt idx="98">
                  <c:v>9.8686756204275125E-2</c:v>
                </c:pt>
                <c:pt idx="99">
                  <c:v>9.9442490562201127E-2</c:v>
                </c:pt>
                <c:pt idx="100">
                  <c:v>0.10040165039417373</c:v>
                </c:pt>
                <c:pt idx="101">
                  <c:v>0.10192527664683883</c:v>
                </c:pt>
                <c:pt idx="102">
                  <c:v>0.10252313328872507</c:v>
                </c:pt>
                <c:pt idx="103">
                  <c:v>0.1033358567758314</c:v>
                </c:pt>
                <c:pt idx="104">
                  <c:v>0.10446055257237995</c:v>
                </c:pt>
                <c:pt idx="105">
                  <c:v>0.10548520234354894</c:v>
                </c:pt>
                <c:pt idx="106">
                  <c:v>0.10680307755242174</c:v>
                </c:pt>
                <c:pt idx="107">
                  <c:v>0.10729272359523287</c:v>
                </c:pt>
                <c:pt idx="108">
                  <c:v>0.10808815595765787</c:v>
                </c:pt>
                <c:pt idx="109">
                  <c:v>0.10902486409899426</c:v>
                </c:pt>
                <c:pt idx="110">
                  <c:v>0.11005549769547197</c:v>
                </c:pt>
                <c:pt idx="111">
                  <c:v>0.11158859897209067</c:v>
                </c:pt>
                <c:pt idx="112">
                  <c:v>0.11273290526045787</c:v>
                </c:pt>
                <c:pt idx="113">
                  <c:v>0.11387705432294799</c:v>
                </c:pt>
                <c:pt idx="114">
                  <c:v>0.11481481050160128</c:v>
                </c:pt>
                <c:pt idx="115">
                  <c:v>0.11575128277548385</c:v>
                </c:pt>
                <c:pt idx="116">
                  <c:v>0.11696995143242413</c:v>
                </c:pt>
                <c:pt idx="117">
                  <c:v>0.11727707453357919</c:v>
                </c:pt>
                <c:pt idx="118">
                  <c:v>0.11839767318484319</c:v>
                </c:pt>
                <c:pt idx="119">
                  <c:v>0.11925708490313429</c:v>
                </c:pt>
                <c:pt idx="120">
                  <c:v>0.12026472034777158</c:v>
                </c:pt>
                <c:pt idx="121">
                  <c:v>0.12121760008954853</c:v>
                </c:pt>
                <c:pt idx="122">
                  <c:v>0.12273327774594847</c:v>
                </c:pt>
                <c:pt idx="123">
                  <c:v>0.12331552147569963</c:v>
                </c:pt>
                <c:pt idx="124">
                  <c:v>0.12433428631660862</c:v>
                </c:pt>
                <c:pt idx="125">
                  <c:v>0.12510809156440852</c:v>
                </c:pt>
                <c:pt idx="126">
                  <c:v>0.12673797497286879</c:v>
                </c:pt>
                <c:pt idx="127">
                  <c:v>0.12772590332611602</c:v>
                </c:pt>
                <c:pt idx="128">
                  <c:v>0.12876450670435199</c:v>
                </c:pt>
                <c:pt idx="129">
                  <c:v>0.12969857974296869</c:v>
                </c:pt>
                <c:pt idx="130">
                  <c:v>0.13075194317166505</c:v>
                </c:pt>
                <c:pt idx="131">
                  <c:v>0.13158739759949675</c:v>
                </c:pt>
                <c:pt idx="132">
                  <c:v>0.13242980617946709</c:v>
                </c:pt>
                <c:pt idx="133">
                  <c:v>0.13317417967882339</c:v>
                </c:pt>
                <c:pt idx="134">
                  <c:v>0.13419960453016674</c:v>
                </c:pt>
                <c:pt idx="135">
                  <c:v>0.13547435413987244</c:v>
                </c:pt>
                <c:pt idx="136">
                  <c:v>0.13654434921791411</c:v>
                </c:pt>
                <c:pt idx="137">
                  <c:v>0.13747312247647744</c:v>
                </c:pt>
                <c:pt idx="138">
                  <c:v>0.13872237726690304</c:v>
                </c:pt>
                <c:pt idx="139">
                  <c:v>0.13975095706613525</c:v>
                </c:pt>
                <c:pt idx="140">
                  <c:v>0.14035478293205489</c:v>
                </c:pt>
                <c:pt idx="141">
                  <c:v>0.14113313972603836</c:v>
                </c:pt>
                <c:pt idx="142">
                  <c:v>0.14217783437137907</c:v>
                </c:pt>
                <c:pt idx="143">
                  <c:v>0.14332966398804675</c:v>
                </c:pt>
                <c:pt idx="144">
                  <c:v>0.14473210295516348</c:v>
                </c:pt>
                <c:pt idx="145">
                  <c:v>0.14560247403071319</c:v>
                </c:pt>
                <c:pt idx="146">
                  <c:v>0.14612173169272061</c:v>
                </c:pt>
                <c:pt idx="147">
                  <c:v>0.14725526042358372</c:v>
                </c:pt>
                <c:pt idx="148">
                  <c:v>0.14886593225339101</c:v>
                </c:pt>
                <c:pt idx="149">
                  <c:v>0.14980544433971063</c:v>
                </c:pt>
                <c:pt idx="150">
                  <c:v>0.15043583182302206</c:v>
                </c:pt>
                <c:pt idx="151">
                  <c:v>0.15116745451748545</c:v>
                </c:pt>
                <c:pt idx="152">
                  <c:v>0.15276230615022646</c:v>
                </c:pt>
                <c:pt idx="153">
                  <c:v>0.15322411830449106</c:v>
                </c:pt>
                <c:pt idx="154">
                  <c:v>0.1540393585497605</c:v>
                </c:pt>
                <c:pt idx="155">
                  <c:v>0.15568405296529739</c:v>
                </c:pt>
                <c:pt idx="156">
                  <c:v>0.15615695194763993</c:v>
                </c:pt>
                <c:pt idx="157">
                  <c:v>0.1573960591015397</c:v>
                </c:pt>
                <c:pt idx="158">
                  <c:v>0.15862746921685231</c:v>
                </c:pt>
                <c:pt idx="159">
                  <c:v>0.15966488336740642</c:v>
                </c:pt>
                <c:pt idx="160">
                  <c:v>0.16012259759430833</c:v>
                </c:pt>
                <c:pt idx="161">
                  <c:v>0.16126061361335697</c:v>
                </c:pt>
                <c:pt idx="162">
                  <c:v>0.16285428558100346</c:v>
                </c:pt>
                <c:pt idx="163">
                  <c:v>0.16312355638368137</c:v>
                </c:pt>
                <c:pt idx="164">
                  <c:v>0.16405769272452633</c:v>
                </c:pt>
                <c:pt idx="165">
                  <c:v>0.16515211267190802</c:v>
                </c:pt>
                <c:pt idx="166">
                  <c:v>0.16697978323255194</c:v>
                </c:pt>
                <c:pt idx="167">
                  <c:v>0.16793337620793222</c:v>
                </c:pt>
                <c:pt idx="168">
                  <c:v>0.16888465273843256</c:v>
                </c:pt>
                <c:pt idx="169">
                  <c:v>0.16954125815595994</c:v>
                </c:pt>
                <c:pt idx="170">
                  <c:v>0.17017610585484097</c:v>
                </c:pt>
                <c:pt idx="171">
                  <c:v>0.17121532529900207</c:v>
                </c:pt>
                <c:pt idx="172">
                  <c:v>0.17210188994023529</c:v>
                </c:pt>
                <c:pt idx="173">
                  <c:v>0.17303196710046195</c:v>
                </c:pt>
                <c:pt idx="174">
                  <c:v>0.17463868577560379</c:v>
                </c:pt>
                <c:pt idx="175">
                  <c:v>0.17547775410778768</c:v>
                </c:pt>
                <c:pt idx="176">
                  <c:v>0.1766938287354293</c:v>
                </c:pt>
                <c:pt idx="177">
                  <c:v>0.17726661920344144</c:v>
                </c:pt>
                <c:pt idx="178">
                  <c:v>0.17839542224663202</c:v>
                </c:pt>
                <c:pt idx="179">
                  <c:v>0.17925153783318856</c:v>
                </c:pt>
                <c:pt idx="180">
                  <c:v>0.1800220383785251</c:v>
                </c:pt>
                <c:pt idx="181">
                  <c:v>0.18121357157226037</c:v>
                </c:pt>
                <c:pt idx="182">
                  <c:v>0.18278677702527185</c:v>
                </c:pt>
                <c:pt idx="183">
                  <c:v>0.18308545714036689</c:v>
                </c:pt>
                <c:pt idx="184">
                  <c:v>0.18416995109738082</c:v>
                </c:pt>
                <c:pt idx="185">
                  <c:v>0.18519427331262134</c:v>
                </c:pt>
                <c:pt idx="186">
                  <c:v>0.18630439739658136</c:v>
                </c:pt>
                <c:pt idx="187">
                  <c:v>0.187964032968265</c:v>
                </c:pt>
                <c:pt idx="188">
                  <c:v>0.18806717777393459</c:v>
                </c:pt>
                <c:pt idx="189">
                  <c:v>0.18930494857470154</c:v>
                </c:pt>
                <c:pt idx="190">
                  <c:v>0.19021322392747114</c:v>
                </c:pt>
                <c:pt idx="191">
                  <c:v>0.19184211995891345</c:v>
                </c:pt>
                <c:pt idx="192">
                  <c:v>0.19241820339262911</c:v>
                </c:pt>
                <c:pt idx="193">
                  <c:v>0.19394884442490265</c:v>
                </c:pt>
                <c:pt idx="194">
                  <c:v>0.19466749196445277</c:v>
                </c:pt>
                <c:pt idx="195">
                  <c:v>0.19599422029428981</c:v>
                </c:pt>
                <c:pt idx="196">
                  <c:v>0.19650536049052733</c:v>
                </c:pt>
                <c:pt idx="197">
                  <c:v>0.19785107781268915</c:v>
                </c:pt>
                <c:pt idx="198">
                  <c:v>0.19892273145237069</c:v>
                </c:pt>
                <c:pt idx="199">
                  <c:v>0.19963620706243354</c:v>
                </c:pt>
                <c:pt idx="200">
                  <c:v>0.20074209483520641</c:v>
                </c:pt>
                <c:pt idx="201">
                  <c:v>0.20167325671940883</c:v>
                </c:pt>
                <c:pt idx="202">
                  <c:v>0.20211731670496921</c:v>
                </c:pt>
                <c:pt idx="203">
                  <c:v>0.2036237952577937</c:v>
                </c:pt>
                <c:pt idx="204">
                  <c:v>0.20498179363086397</c:v>
                </c:pt>
                <c:pt idx="205">
                  <c:v>0.20595691634131524</c:v>
                </c:pt>
                <c:pt idx="206">
                  <c:v>0.20664237190192619</c:v>
                </c:pt>
                <c:pt idx="207">
                  <c:v>0.20761878448599455</c:v>
                </c:pt>
                <c:pt idx="208">
                  <c:v>0.20806277520956071</c:v>
                </c:pt>
                <c:pt idx="209">
                  <c:v>0.20976980991004263</c:v>
                </c:pt>
                <c:pt idx="210">
                  <c:v>0.21044467489129043</c:v>
                </c:pt>
                <c:pt idx="211">
                  <c:v>0.21185281955074817</c:v>
                </c:pt>
                <c:pt idx="212">
                  <c:v>0.21214100487300683</c:v>
                </c:pt>
                <c:pt idx="213">
                  <c:v>0.21354763696751269</c:v>
                </c:pt>
                <c:pt idx="214">
                  <c:v>0.21446786682504879</c:v>
                </c:pt>
                <c:pt idx="215">
                  <c:v>0.21503928212030773</c:v>
                </c:pt>
                <c:pt idx="216">
                  <c:v>0.21659081942462149</c:v>
                </c:pt>
                <c:pt idx="217">
                  <c:v>0.21758162907547821</c:v>
                </c:pt>
                <c:pt idx="218">
                  <c:v>0.21899596908478905</c:v>
                </c:pt>
                <c:pt idx="219">
                  <c:v>0.21982381841908766</c:v>
                </c:pt>
                <c:pt idx="220">
                  <c:v>0.22027552360279382</c:v>
                </c:pt>
                <c:pt idx="221">
                  <c:v>0.22147128367388419</c:v>
                </c:pt>
                <c:pt idx="222">
                  <c:v>0.22255749425817223</c:v>
                </c:pt>
                <c:pt idx="223">
                  <c:v>0.22307875538991734</c:v>
                </c:pt>
                <c:pt idx="224">
                  <c:v>0.2241853892081849</c:v>
                </c:pt>
                <c:pt idx="225">
                  <c:v>0.22532138404374044</c:v>
                </c:pt>
                <c:pt idx="226">
                  <c:v>0.2261650176747155</c:v>
                </c:pt>
                <c:pt idx="227">
                  <c:v>0.22772230701072194</c:v>
                </c:pt>
                <c:pt idx="228">
                  <c:v>0.22828554238315801</c:v>
                </c:pt>
                <c:pt idx="229">
                  <c:v>0.22935674044125637</c:v>
                </c:pt>
                <c:pt idx="230">
                  <c:v>0.2307997569089755</c:v>
                </c:pt>
                <c:pt idx="231">
                  <c:v>0.23135725424912695</c:v>
                </c:pt>
                <c:pt idx="232">
                  <c:v>0.23275028389802907</c:v>
                </c:pt>
                <c:pt idx="233">
                  <c:v>0.23325794097763905</c:v>
                </c:pt>
                <c:pt idx="234">
                  <c:v>0.23437430019475852</c:v>
                </c:pt>
                <c:pt idx="235">
                  <c:v>0.23540355074810879</c:v>
                </c:pt>
                <c:pt idx="236">
                  <c:v>0.23639583594058544</c:v>
                </c:pt>
                <c:pt idx="237">
                  <c:v>0.23768099260183076</c:v>
                </c:pt>
                <c:pt idx="238">
                  <c:v>0.23810898079259996</c:v>
                </c:pt>
                <c:pt idx="239">
                  <c:v>0.23916917685888922</c:v>
                </c:pt>
                <c:pt idx="240">
                  <c:v>0.24090144687260071</c:v>
                </c:pt>
                <c:pt idx="241">
                  <c:v>0.24188796471685356</c:v>
                </c:pt>
                <c:pt idx="242">
                  <c:v>0.24229091936892153</c:v>
                </c:pt>
                <c:pt idx="243">
                  <c:v>0.24318254135786149</c:v>
                </c:pt>
                <c:pt idx="244">
                  <c:v>0.24413431829752733</c:v>
                </c:pt>
                <c:pt idx="245">
                  <c:v>0.24546700246503275</c:v>
                </c:pt>
                <c:pt idx="246">
                  <c:v>0.24617497991611598</c:v>
                </c:pt>
                <c:pt idx="247">
                  <c:v>0.24758337868693828</c:v>
                </c:pt>
                <c:pt idx="248">
                  <c:v>0.24805720535993048</c:v>
                </c:pt>
                <c:pt idx="249">
                  <c:v>0.24947687670366767</c:v>
                </c:pt>
                <c:pt idx="250">
                  <c:v>0.25079874588218487</c:v>
                </c:pt>
                <c:pt idx="251">
                  <c:v>0.25166540537277826</c:v>
                </c:pt>
                <c:pt idx="252">
                  <c:v>0.25292012646955442</c:v>
                </c:pt>
                <c:pt idx="253">
                  <c:v>0.25391654878456993</c:v>
                </c:pt>
                <c:pt idx="254">
                  <c:v>0.25477122392942458</c:v>
                </c:pt>
                <c:pt idx="255">
                  <c:v>0.25529771061178708</c:v>
                </c:pt>
                <c:pt idx="256">
                  <c:v>0.25629150794406691</c:v>
                </c:pt>
                <c:pt idx="257">
                  <c:v>0.25715986294372939</c:v>
                </c:pt>
                <c:pt idx="258">
                  <c:v>0.25891586676470835</c:v>
                </c:pt>
                <c:pt idx="259">
                  <c:v>0.25929408074829124</c:v>
                </c:pt>
                <c:pt idx="260">
                  <c:v>0.26086448230055731</c:v>
                </c:pt>
                <c:pt idx="261">
                  <c:v>0.26136786274131574</c:v>
                </c:pt>
                <c:pt idx="262">
                  <c:v>0.26275755006511636</c:v>
                </c:pt>
                <c:pt idx="263">
                  <c:v>0.26396405296422637</c:v>
                </c:pt>
                <c:pt idx="264">
                  <c:v>0.26404663292971592</c:v>
                </c:pt>
                <c:pt idx="265">
                  <c:v>0.26533904418869392</c:v>
                </c:pt>
                <c:pt idx="266">
                  <c:v>0.26600343616935507</c:v>
                </c:pt>
                <c:pt idx="267">
                  <c:v>0.26777595691959744</c:v>
                </c:pt>
                <c:pt idx="268">
                  <c:v>0.26875587232079262</c:v>
                </c:pt>
                <c:pt idx="269">
                  <c:v>0.26926313974295352</c:v>
                </c:pt>
                <c:pt idx="270">
                  <c:v>0.27081071681594726</c:v>
                </c:pt>
                <c:pt idx="271">
                  <c:v>0.2719500721536926</c:v>
                </c:pt>
                <c:pt idx="272">
                  <c:v>0.27254729060003241</c:v>
                </c:pt>
                <c:pt idx="273">
                  <c:v>0.27343904839070488</c:v>
                </c:pt>
                <c:pt idx="274">
                  <c:v>0.2746051373546024</c:v>
                </c:pt>
                <c:pt idx="275">
                  <c:v>0.27556550701883747</c:v>
                </c:pt>
                <c:pt idx="276">
                  <c:v>0.27604988744460274</c:v>
                </c:pt>
                <c:pt idx="277">
                  <c:v>0.27707352071420138</c:v>
                </c:pt>
                <c:pt idx="278">
                  <c:v>0.27884213336483621</c:v>
                </c:pt>
                <c:pt idx="279">
                  <c:v>0.27919496836517821</c:v>
                </c:pt>
                <c:pt idx="280">
                  <c:v>0.28091613294042556</c:v>
                </c:pt>
                <c:pt idx="281">
                  <c:v>0.28135980615051459</c:v>
                </c:pt>
                <c:pt idx="282">
                  <c:v>0.28213960241320069</c:v>
                </c:pt>
                <c:pt idx="283">
                  <c:v>0.28320607919623286</c:v>
                </c:pt>
                <c:pt idx="284">
                  <c:v>0.28427239124040876</c:v>
                </c:pt>
                <c:pt idx="285">
                  <c:v>0.28569802538810718</c:v>
                </c:pt>
                <c:pt idx="286">
                  <c:v>0.28660050897547057</c:v>
                </c:pt>
                <c:pt idx="287">
                  <c:v>0.28785673787348359</c:v>
                </c:pt>
                <c:pt idx="288">
                  <c:v>0.28810808607216648</c:v>
                </c:pt>
                <c:pt idx="289">
                  <c:v>0.28961485085697258</c:v>
                </c:pt>
                <c:pt idx="290">
                  <c:v>0.29060552539853507</c:v>
                </c:pt>
                <c:pt idx="291">
                  <c:v>0.29121141333277606</c:v>
                </c:pt>
                <c:pt idx="292">
                  <c:v>0.29208638583195545</c:v>
                </c:pt>
                <c:pt idx="293">
                  <c:v>0.29312896517667197</c:v>
                </c:pt>
                <c:pt idx="294">
                  <c:v>0.29412411366149877</c:v>
                </c:pt>
                <c:pt idx="295">
                  <c:v>0.29562322644042394</c:v>
                </c:pt>
                <c:pt idx="296">
                  <c:v>0.29685497549731632</c:v>
                </c:pt>
                <c:pt idx="297">
                  <c:v>0.29725637218152551</c:v>
                </c:pt>
                <c:pt idx="298">
                  <c:v>0.29870534409110094</c:v>
                </c:pt>
                <c:pt idx="299">
                  <c:v>0.29997959326928936</c:v>
                </c:pt>
                <c:pt idx="300">
                  <c:v>0.30048751094320031</c:v>
                </c:pt>
                <c:pt idx="301">
                  <c:v>0.30132685687028032</c:v>
                </c:pt>
                <c:pt idx="302">
                  <c:v>0.30268574482381477</c:v>
                </c:pt>
                <c:pt idx="303">
                  <c:v>0.30307455056325405</c:v>
                </c:pt>
                <c:pt idx="304">
                  <c:v>0.30409670906469616</c:v>
                </c:pt>
                <c:pt idx="305">
                  <c:v>0.30515674364151357</c:v>
                </c:pt>
                <c:pt idx="306">
                  <c:v>0.30624999906361333</c:v>
                </c:pt>
                <c:pt idx="307">
                  <c:v>0.30739762339610555</c:v>
                </c:pt>
                <c:pt idx="308">
                  <c:v>0.30816222829491879</c:v>
                </c:pt>
                <c:pt idx="309">
                  <c:v>0.30979196844827195</c:v>
                </c:pt>
                <c:pt idx="310">
                  <c:v>0.31081395703410125</c:v>
                </c:pt>
                <c:pt idx="311">
                  <c:v>0.31155267887831495</c:v>
                </c:pt>
                <c:pt idx="312">
                  <c:v>0.3124651831592119</c:v>
                </c:pt>
                <c:pt idx="313">
                  <c:v>0.31315126659631526</c:v>
                </c:pt>
                <c:pt idx="314">
                  <c:v>0.31406306781760951</c:v>
                </c:pt>
                <c:pt idx="315">
                  <c:v>0.31517788484161208</c:v>
                </c:pt>
                <c:pt idx="316">
                  <c:v>0.31632666027134437</c:v>
                </c:pt>
                <c:pt idx="317">
                  <c:v>0.31766816869510062</c:v>
                </c:pt>
                <c:pt idx="318">
                  <c:v>0.31858844464076413</c:v>
                </c:pt>
                <c:pt idx="319">
                  <c:v>0.31954291359743636</c:v>
                </c:pt>
                <c:pt idx="320">
                  <c:v>0.32011565416844462</c:v>
                </c:pt>
                <c:pt idx="321">
                  <c:v>0.32155271724507972</c:v>
                </c:pt>
                <c:pt idx="322">
                  <c:v>0.32203268244048411</c:v>
                </c:pt>
                <c:pt idx="323">
                  <c:v>0.32311559015678137</c:v>
                </c:pt>
                <c:pt idx="324">
                  <c:v>0.32449671837699062</c:v>
                </c:pt>
                <c:pt idx="325">
                  <c:v>0.32525597563275505</c:v>
                </c:pt>
                <c:pt idx="326">
                  <c:v>0.32602666744078196</c:v>
                </c:pt>
                <c:pt idx="327">
                  <c:v>0.32752579697769274</c:v>
                </c:pt>
                <c:pt idx="328">
                  <c:v>0.32867072601073205</c:v>
                </c:pt>
                <c:pt idx="329">
                  <c:v>0.32955920033402719</c:v>
                </c:pt>
                <c:pt idx="330">
                  <c:v>0.33036599805051597</c:v>
                </c:pt>
                <c:pt idx="331">
                  <c:v>0.33138183825774625</c:v>
                </c:pt>
                <c:pt idx="332">
                  <c:v>0.33256144217880479</c:v>
                </c:pt>
                <c:pt idx="333">
                  <c:v>0.3339521365072467</c:v>
                </c:pt>
                <c:pt idx="334">
                  <c:v>0.33423914375045322</c:v>
                </c:pt>
                <c:pt idx="335">
                  <c:v>0.33589216835398511</c:v>
                </c:pt>
                <c:pt idx="336">
                  <c:v>0.33619332027719201</c:v>
                </c:pt>
                <c:pt idx="337">
                  <c:v>0.33748790426470521</c:v>
                </c:pt>
                <c:pt idx="338">
                  <c:v>0.33885707589165709</c:v>
                </c:pt>
                <c:pt idx="339">
                  <c:v>0.33974437902163351</c:v>
                </c:pt>
                <c:pt idx="340">
                  <c:v>0.3406980355204311</c:v>
                </c:pt>
                <c:pt idx="341">
                  <c:v>0.34172508664492635</c:v>
                </c:pt>
                <c:pt idx="342">
                  <c:v>0.34266413276518326</c:v>
                </c:pt>
                <c:pt idx="343">
                  <c:v>0.34342439154009902</c:v>
                </c:pt>
                <c:pt idx="344">
                  <c:v>0.34421133808563731</c:v>
                </c:pt>
                <c:pt idx="345">
                  <c:v>0.34550740105251487</c:v>
                </c:pt>
                <c:pt idx="346">
                  <c:v>0.34669430396349504</c:v>
                </c:pt>
                <c:pt idx="347">
                  <c:v>0.34701319167320921</c:v>
                </c:pt>
                <c:pt idx="348">
                  <c:v>0.34816028963708329</c:v>
                </c:pt>
                <c:pt idx="349">
                  <c:v>0.34911958000252946</c:v>
                </c:pt>
                <c:pt idx="350">
                  <c:v>0.35079666937137877</c:v>
                </c:pt>
                <c:pt idx="351">
                  <c:v>0.35137769241081029</c:v>
                </c:pt>
                <c:pt idx="352">
                  <c:v>0.35204600297381305</c:v>
                </c:pt>
                <c:pt idx="353">
                  <c:v>0.3533384662590312</c:v>
                </c:pt>
                <c:pt idx="354">
                  <c:v>0.35410425707444182</c:v>
                </c:pt>
                <c:pt idx="355">
                  <c:v>0.3555878177049076</c:v>
                </c:pt>
                <c:pt idx="356">
                  <c:v>0.35670789317966162</c:v>
                </c:pt>
                <c:pt idx="357">
                  <c:v>0.35773519599920489</c:v>
                </c:pt>
                <c:pt idx="358">
                  <c:v>0.35898873132187614</c:v>
                </c:pt>
                <c:pt idx="359">
                  <c:v>0.35991835726190324</c:v>
                </c:pt>
                <c:pt idx="360">
                  <c:v>0.36019964025919321</c:v>
                </c:pt>
                <c:pt idx="361">
                  <c:v>0.36107530116571002</c:v>
                </c:pt>
                <c:pt idx="362">
                  <c:v>0.36206544565387661</c:v>
                </c:pt>
                <c:pt idx="363">
                  <c:v>0.36386516773697575</c:v>
                </c:pt>
                <c:pt idx="364">
                  <c:v>0.36478171202768145</c:v>
                </c:pt>
                <c:pt idx="365">
                  <c:v>0.36501914874441432</c:v>
                </c:pt>
                <c:pt idx="366">
                  <c:v>0.36692098371682708</c:v>
                </c:pt>
                <c:pt idx="367">
                  <c:v>0.36749326588481041</c:v>
                </c:pt>
                <c:pt idx="368">
                  <c:v>0.36895998892210424</c:v>
                </c:pt>
                <c:pt idx="369">
                  <c:v>0.3692683923473275</c:v>
                </c:pt>
                <c:pt idx="370">
                  <c:v>0.37070230066489951</c:v>
                </c:pt>
                <c:pt idx="371">
                  <c:v>0.3716889441089446</c:v>
                </c:pt>
                <c:pt idx="372">
                  <c:v>0.37261101160794757</c:v>
                </c:pt>
                <c:pt idx="373">
                  <c:v>0.37301069670636455</c:v>
                </c:pt>
                <c:pt idx="374">
                  <c:v>0.37449541299941375</c:v>
                </c:pt>
                <c:pt idx="375">
                  <c:v>0.37548064841713774</c:v>
                </c:pt>
                <c:pt idx="376">
                  <c:v>0.3769473806761548</c:v>
                </c:pt>
                <c:pt idx="377">
                  <c:v>0.37701814207109113</c:v>
                </c:pt>
                <c:pt idx="378">
                  <c:v>0.37861770299068132</c:v>
                </c:pt>
                <c:pt idx="379">
                  <c:v>0.37951823681907687</c:v>
                </c:pt>
                <c:pt idx="380">
                  <c:v>0.38021287614484617</c:v>
                </c:pt>
                <c:pt idx="381">
                  <c:v>0.38141303763757767</c:v>
                </c:pt>
                <c:pt idx="382">
                  <c:v>0.38232049485396608</c:v>
                </c:pt>
                <c:pt idx="383">
                  <c:v>0.38314906287615869</c:v>
                </c:pt>
                <c:pt idx="384">
                  <c:v>0.38481125722006226</c:v>
                </c:pt>
                <c:pt idx="385">
                  <c:v>0.38514087947368175</c:v>
                </c:pt>
                <c:pt idx="386">
                  <c:v>0.38651097842993004</c:v>
                </c:pt>
                <c:pt idx="387">
                  <c:v>0.38740627820892404</c:v>
                </c:pt>
                <c:pt idx="388">
                  <c:v>0.38887003591001734</c:v>
                </c:pt>
                <c:pt idx="389">
                  <c:v>0.38992344869182521</c:v>
                </c:pt>
                <c:pt idx="390">
                  <c:v>0.39068297540808161</c:v>
                </c:pt>
                <c:pt idx="391">
                  <c:v>0.39145475439970728</c:v>
                </c:pt>
                <c:pt idx="392">
                  <c:v>0.39297367003093792</c:v>
                </c:pt>
                <c:pt idx="393">
                  <c:v>0.3937155947651983</c:v>
                </c:pt>
                <c:pt idx="394">
                  <c:v>0.39481971524279097</c:v>
                </c:pt>
                <c:pt idx="395">
                  <c:v>0.39554183538666499</c:v>
                </c:pt>
                <c:pt idx="396">
                  <c:v>0.39645987882662098</c:v>
                </c:pt>
                <c:pt idx="397">
                  <c:v>0.39782184112556784</c:v>
                </c:pt>
                <c:pt idx="398">
                  <c:v>0.39807334415639595</c:v>
                </c:pt>
                <c:pt idx="399">
                  <c:v>0.39985488864566548</c:v>
                </c:pt>
                <c:pt idx="400">
                  <c:v>0.40072951556363362</c:v>
                </c:pt>
                <c:pt idx="401">
                  <c:v>0.40170585466588515</c:v>
                </c:pt>
                <c:pt idx="402">
                  <c:v>0.40264764130386704</c:v>
                </c:pt>
                <c:pt idx="403">
                  <c:v>0.4039514346883985</c:v>
                </c:pt>
                <c:pt idx="404">
                  <c:v>0.40433945406957983</c:v>
                </c:pt>
                <c:pt idx="405">
                  <c:v>0.40584142116802774</c:v>
                </c:pt>
                <c:pt idx="406">
                  <c:v>0.40684687883612863</c:v>
                </c:pt>
                <c:pt idx="407">
                  <c:v>0.40738954440769498</c:v>
                </c:pt>
                <c:pt idx="408">
                  <c:v>0.40874313694907893</c:v>
                </c:pt>
                <c:pt idx="409">
                  <c:v>0.40933282825684469</c:v>
                </c:pt>
                <c:pt idx="410">
                  <c:v>0.4101604830520601</c:v>
                </c:pt>
                <c:pt idx="411">
                  <c:v>0.41121950429100995</c:v>
                </c:pt>
                <c:pt idx="412">
                  <c:v>0.41283174134880113</c:v>
                </c:pt>
                <c:pt idx="413">
                  <c:v>0.41383274016059768</c:v>
                </c:pt>
                <c:pt idx="414">
                  <c:v>0.41452645837900376</c:v>
                </c:pt>
                <c:pt idx="415">
                  <c:v>0.41508847512050728</c:v>
                </c:pt>
                <c:pt idx="416">
                  <c:v>0.4160842512115101</c:v>
                </c:pt>
                <c:pt idx="417">
                  <c:v>0.41762914338862273</c:v>
                </c:pt>
                <c:pt idx="418">
                  <c:v>0.41895110021181198</c:v>
                </c:pt>
                <c:pt idx="419">
                  <c:v>0.41938112821112877</c:v>
                </c:pt>
                <c:pt idx="420">
                  <c:v>0.4204824483297957</c:v>
                </c:pt>
                <c:pt idx="421">
                  <c:v>0.42122853918751435</c:v>
                </c:pt>
                <c:pt idx="422">
                  <c:v>0.42211354230230524</c:v>
                </c:pt>
                <c:pt idx="423">
                  <c:v>0.4231128485591879</c:v>
                </c:pt>
                <c:pt idx="424">
                  <c:v>0.42416167893148066</c:v>
                </c:pt>
                <c:pt idx="425">
                  <c:v>0.42599279760382897</c:v>
                </c:pt>
                <c:pt idx="426">
                  <c:v>0.42627867290314253</c:v>
                </c:pt>
                <c:pt idx="427">
                  <c:v>0.4279021401081472</c:v>
                </c:pt>
                <c:pt idx="428">
                  <c:v>0.42876323140802869</c:v>
                </c:pt>
                <c:pt idx="429">
                  <c:v>0.42996546909887473</c:v>
                </c:pt>
                <c:pt idx="430">
                  <c:v>0.43002533706860274</c:v>
                </c:pt>
                <c:pt idx="431">
                  <c:v>0.43138609281936335</c:v>
                </c:pt>
                <c:pt idx="432">
                  <c:v>0.43280280630448897</c:v>
                </c:pt>
                <c:pt idx="433">
                  <c:v>0.433345875867723</c:v>
                </c:pt>
                <c:pt idx="434">
                  <c:v>0.43427513686713648</c:v>
                </c:pt>
                <c:pt idx="435">
                  <c:v>0.4352358415055172</c:v>
                </c:pt>
                <c:pt idx="436">
                  <c:v>0.43659706456577341</c:v>
                </c:pt>
                <c:pt idx="437">
                  <c:v>0.43787854419948502</c:v>
                </c:pt>
                <c:pt idx="438">
                  <c:v>0.43866109310990692</c:v>
                </c:pt>
                <c:pt idx="439">
                  <c:v>0.43996346113457424</c:v>
                </c:pt>
                <c:pt idx="440">
                  <c:v>0.44058853854834767</c:v>
                </c:pt>
                <c:pt idx="441">
                  <c:v>0.44193050359281022</c:v>
                </c:pt>
                <c:pt idx="442">
                  <c:v>0.44264936277029326</c:v>
                </c:pt>
                <c:pt idx="443">
                  <c:v>0.44354798195756695</c:v>
                </c:pt>
                <c:pt idx="444">
                  <c:v>0.44460377537403345</c:v>
                </c:pt>
                <c:pt idx="445">
                  <c:v>0.44503466543253389</c:v>
                </c:pt>
                <c:pt idx="446">
                  <c:v>0.44692116693801276</c:v>
                </c:pt>
                <c:pt idx="447">
                  <c:v>0.44725228245375964</c:v>
                </c:pt>
                <c:pt idx="448">
                  <c:v>0.44876813794201426</c:v>
                </c:pt>
                <c:pt idx="449">
                  <c:v>0.44973630385490515</c:v>
                </c:pt>
                <c:pt idx="450">
                  <c:v>0.45049521410709598</c:v>
                </c:pt>
                <c:pt idx="451">
                  <c:v>0.45173479936801242</c:v>
                </c:pt>
                <c:pt idx="452">
                  <c:v>0.4526356255862945</c:v>
                </c:pt>
                <c:pt idx="453">
                  <c:v>0.45343651244077748</c:v>
                </c:pt>
                <c:pt idx="454">
                  <c:v>0.45446538210740905</c:v>
                </c:pt>
                <c:pt idx="455">
                  <c:v>0.45574386684590573</c:v>
                </c:pt>
                <c:pt idx="456">
                  <c:v>0.45658407982429117</c:v>
                </c:pt>
                <c:pt idx="457">
                  <c:v>0.45767704452403751</c:v>
                </c:pt>
                <c:pt idx="458">
                  <c:v>0.45846896316401403</c:v>
                </c:pt>
                <c:pt idx="459">
                  <c:v>0.45946440989232257</c:v>
                </c:pt>
                <c:pt idx="460">
                  <c:v>0.46048951807815802</c:v>
                </c:pt>
                <c:pt idx="461">
                  <c:v>0.46165074783159665</c:v>
                </c:pt>
                <c:pt idx="462">
                  <c:v>0.462271943597652</c:v>
                </c:pt>
                <c:pt idx="463">
                  <c:v>0.46373448800172989</c:v>
                </c:pt>
                <c:pt idx="464">
                  <c:v>0.46466908643992366</c:v>
                </c:pt>
                <c:pt idx="465">
                  <c:v>0.4659519981513619</c:v>
                </c:pt>
                <c:pt idx="466">
                  <c:v>0.46673748238332047</c:v>
                </c:pt>
                <c:pt idx="467">
                  <c:v>0.46724133874458296</c:v>
                </c:pt>
                <c:pt idx="468">
                  <c:v>0.4684275375577685</c:v>
                </c:pt>
                <c:pt idx="469">
                  <c:v>0.46961132687111651</c:v>
                </c:pt>
                <c:pt idx="470">
                  <c:v>0.47006384281512908</c:v>
                </c:pt>
                <c:pt idx="471">
                  <c:v>0.4719120436103344</c:v>
                </c:pt>
                <c:pt idx="472">
                  <c:v>0.47285718047755237</c:v>
                </c:pt>
                <c:pt idx="473">
                  <c:v>0.47370801357615461</c:v>
                </c:pt>
                <c:pt idx="474">
                  <c:v>0.47457798002184787</c:v>
                </c:pt>
                <c:pt idx="475">
                  <c:v>0.47542603540779699</c:v>
                </c:pt>
                <c:pt idx="476">
                  <c:v>0.47690974410923886</c:v>
                </c:pt>
                <c:pt idx="477">
                  <c:v>0.47726900955528695</c:v>
                </c:pt>
                <c:pt idx="478">
                  <c:v>0.47859306969973098</c:v>
                </c:pt>
                <c:pt idx="479">
                  <c:v>0.47963010302829329</c:v>
                </c:pt>
                <c:pt idx="480">
                  <c:v>0.4805405589748501</c:v>
                </c:pt>
                <c:pt idx="481">
                  <c:v>0.48131060087338801</c:v>
                </c:pt>
                <c:pt idx="482">
                  <c:v>0.48255424356357057</c:v>
                </c:pt>
                <c:pt idx="483">
                  <c:v>0.48303055816400575</c:v>
                </c:pt>
                <c:pt idx="484">
                  <c:v>0.48479557462078415</c:v>
                </c:pt>
                <c:pt idx="485">
                  <c:v>0.48523697217722356</c:v>
                </c:pt>
                <c:pt idx="486">
                  <c:v>0.48625887555914438</c:v>
                </c:pt>
                <c:pt idx="487">
                  <c:v>0.48722237085672615</c:v>
                </c:pt>
                <c:pt idx="488">
                  <c:v>0.48817275789104703</c:v>
                </c:pt>
                <c:pt idx="489">
                  <c:v>0.48938416065796841</c:v>
                </c:pt>
                <c:pt idx="490">
                  <c:v>0.49009899825348957</c:v>
                </c:pt>
                <c:pt idx="491">
                  <c:v>0.49181218709466334</c:v>
                </c:pt>
                <c:pt idx="492">
                  <c:v>0.49295477739790333</c:v>
                </c:pt>
                <c:pt idx="493">
                  <c:v>0.49304188624770429</c:v>
                </c:pt>
                <c:pt idx="494">
                  <c:v>0.4941591752779575</c:v>
                </c:pt>
                <c:pt idx="495">
                  <c:v>0.49599217648687588</c:v>
                </c:pt>
                <c:pt idx="496">
                  <c:v>0.49613532299621388</c:v>
                </c:pt>
                <c:pt idx="497">
                  <c:v>0.49732772812511017</c:v>
                </c:pt>
                <c:pt idx="498">
                  <c:v>0.49852036256401805</c:v>
                </c:pt>
                <c:pt idx="499">
                  <c:v>0.49999613799340931</c:v>
                </c:pt>
                <c:pt idx="500">
                  <c:v>0.50073817680676891</c:v>
                </c:pt>
                <c:pt idx="501">
                  <c:v>0.50156572108845354</c:v>
                </c:pt>
                <c:pt idx="502">
                  <c:v>0.50269244229390575</c:v>
                </c:pt>
                <c:pt idx="503">
                  <c:v>0.50321025376376005</c:v>
                </c:pt>
                <c:pt idx="504">
                  <c:v>0.50496104161463695</c:v>
                </c:pt>
                <c:pt idx="505">
                  <c:v>0.50546919010474101</c:v>
                </c:pt>
                <c:pt idx="506">
                  <c:v>0.50626524104160842</c:v>
                </c:pt>
                <c:pt idx="507">
                  <c:v>0.50743946378432203</c:v>
                </c:pt>
                <c:pt idx="508">
                  <c:v>0.50885591038266564</c:v>
                </c:pt>
                <c:pt idx="509">
                  <c:v>0.50951165629050499</c:v>
                </c:pt>
                <c:pt idx="510">
                  <c:v>0.51073541939787925</c:v>
                </c:pt>
                <c:pt idx="511">
                  <c:v>0.51193306812060368</c:v>
                </c:pt>
                <c:pt idx="512">
                  <c:v>0.51230176855421206</c:v>
                </c:pt>
                <c:pt idx="513">
                  <c:v>0.51359460433539816</c:v>
                </c:pt>
                <c:pt idx="514">
                  <c:v>0.51480257274834507</c:v>
                </c:pt>
                <c:pt idx="515">
                  <c:v>0.5154490075163658</c:v>
                </c:pt>
                <c:pt idx="516">
                  <c:v>0.51665905335560891</c:v>
                </c:pt>
                <c:pt idx="517">
                  <c:v>0.51760880743633231</c:v>
                </c:pt>
                <c:pt idx="518">
                  <c:v>0.51873070405021549</c:v>
                </c:pt>
                <c:pt idx="519">
                  <c:v>0.51979745773873232</c:v>
                </c:pt>
                <c:pt idx="520">
                  <c:v>0.52097414985228663</c:v>
                </c:pt>
                <c:pt idx="521">
                  <c:v>0.52131617308089429</c:v>
                </c:pt>
                <c:pt idx="522">
                  <c:v>0.52243743160726441</c:v>
                </c:pt>
                <c:pt idx="523">
                  <c:v>0.52348281570372235</c:v>
                </c:pt>
                <c:pt idx="524">
                  <c:v>0.52450907206523911</c:v>
                </c:pt>
                <c:pt idx="525">
                  <c:v>0.52548775741329601</c:v>
                </c:pt>
                <c:pt idx="526">
                  <c:v>0.52649988915014545</c:v>
                </c:pt>
                <c:pt idx="527">
                  <c:v>0.52763794334014835</c:v>
                </c:pt>
                <c:pt idx="528">
                  <c:v>0.52853468004533433</c:v>
                </c:pt>
                <c:pt idx="529">
                  <c:v>0.5292533032622313</c:v>
                </c:pt>
                <c:pt idx="530">
                  <c:v>0.53065183290644824</c:v>
                </c:pt>
                <c:pt idx="531">
                  <c:v>0.53199311246629644</c:v>
                </c:pt>
                <c:pt idx="532">
                  <c:v>0.53299414382572152</c:v>
                </c:pt>
                <c:pt idx="533">
                  <c:v>0.53383198562376943</c:v>
                </c:pt>
                <c:pt idx="534">
                  <c:v>0.53465395703833873</c:v>
                </c:pt>
                <c:pt idx="535">
                  <c:v>0.53584200148792982</c:v>
                </c:pt>
                <c:pt idx="536">
                  <c:v>0.53604388697632677</c:v>
                </c:pt>
                <c:pt idx="537">
                  <c:v>0.5372279139238475</c:v>
                </c:pt>
                <c:pt idx="538">
                  <c:v>0.53825630653911649</c:v>
                </c:pt>
                <c:pt idx="539">
                  <c:v>0.53991741731015908</c:v>
                </c:pt>
                <c:pt idx="540">
                  <c:v>0.54036415749540656</c:v>
                </c:pt>
                <c:pt idx="541">
                  <c:v>0.54163639281146136</c:v>
                </c:pt>
                <c:pt idx="542">
                  <c:v>0.54248362479556433</c:v>
                </c:pt>
                <c:pt idx="543">
                  <c:v>0.54360677434983828</c:v>
                </c:pt>
                <c:pt idx="544">
                  <c:v>0.54453692620097127</c:v>
                </c:pt>
                <c:pt idx="545">
                  <c:v>0.54545389929354515</c:v>
                </c:pt>
                <c:pt idx="546">
                  <c:v>0.54635824032485447</c:v>
                </c:pt>
                <c:pt idx="547">
                  <c:v>0.54721573773054777</c:v>
                </c:pt>
                <c:pt idx="548">
                  <c:v>0.54842207063534809</c:v>
                </c:pt>
                <c:pt idx="549">
                  <c:v>0.54996142703503403</c:v>
                </c:pt>
                <c:pt idx="550">
                  <c:v>0.55089248718924178</c:v>
                </c:pt>
                <c:pt idx="551">
                  <c:v>0.55160625303434363</c:v>
                </c:pt>
                <c:pt idx="552">
                  <c:v>0.55261738871634403</c:v>
                </c:pt>
                <c:pt idx="553">
                  <c:v>0.55318695940477469</c:v>
                </c:pt>
                <c:pt idx="554">
                  <c:v>0.55403481754591566</c:v>
                </c:pt>
                <c:pt idx="555">
                  <c:v>0.55592359093272214</c:v>
                </c:pt>
                <c:pt idx="556">
                  <c:v>0.5564184021119537</c:v>
                </c:pt>
                <c:pt idx="557">
                  <c:v>0.55786791684172765</c:v>
                </c:pt>
                <c:pt idx="558">
                  <c:v>0.55839159251875048</c:v>
                </c:pt>
                <c:pt idx="559">
                  <c:v>0.55940073109404209</c:v>
                </c:pt>
                <c:pt idx="560">
                  <c:v>0.56023705605213459</c:v>
                </c:pt>
                <c:pt idx="561">
                  <c:v>0.56141647810568485</c:v>
                </c:pt>
                <c:pt idx="562">
                  <c:v>0.56221633575489194</c:v>
                </c:pt>
                <c:pt idx="563">
                  <c:v>0.56351561320701515</c:v>
                </c:pt>
                <c:pt idx="564">
                  <c:v>0.56402485654643386</c:v>
                </c:pt>
                <c:pt idx="565">
                  <c:v>0.56536826359675452</c:v>
                </c:pt>
                <c:pt idx="566">
                  <c:v>0.56681743277302421</c:v>
                </c:pt>
                <c:pt idx="567">
                  <c:v>0.56743302251408645</c:v>
                </c:pt>
                <c:pt idx="568">
                  <c:v>0.5685457772110929</c:v>
                </c:pt>
                <c:pt idx="569">
                  <c:v>0.56953546161170476</c:v>
                </c:pt>
                <c:pt idx="570">
                  <c:v>0.5706523795960593</c:v>
                </c:pt>
                <c:pt idx="571">
                  <c:v>0.57142774988744127</c:v>
                </c:pt>
                <c:pt idx="572">
                  <c:v>0.57202402085997717</c:v>
                </c:pt>
                <c:pt idx="573">
                  <c:v>0.57351506653626338</c:v>
                </c:pt>
                <c:pt idx="574">
                  <c:v>0.57451352681278101</c:v>
                </c:pt>
                <c:pt idx="575">
                  <c:v>0.5753383775181925</c:v>
                </c:pt>
                <c:pt idx="576">
                  <c:v>0.57621156683312991</c:v>
                </c:pt>
                <c:pt idx="577">
                  <c:v>0.57756538069773589</c:v>
                </c:pt>
                <c:pt idx="578">
                  <c:v>0.57896439024875046</c:v>
                </c:pt>
                <c:pt idx="579">
                  <c:v>0.57950076314189958</c:v>
                </c:pt>
                <c:pt idx="580">
                  <c:v>0.58019229061812916</c:v>
                </c:pt>
                <c:pt idx="581">
                  <c:v>0.58143177621658693</c:v>
                </c:pt>
                <c:pt idx="582">
                  <c:v>0.58205879345537592</c:v>
                </c:pt>
                <c:pt idx="583">
                  <c:v>0.5834529260435265</c:v>
                </c:pt>
                <c:pt idx="584">
                  <c:v>0.58464061326921002</c:v>
                </c:pt>
                <c:pt idx="585">
                  <c:v>0.58532209036064387</c:v>
                </c:pt>
                <c:pt idx="586">
                  <c:v>0.58654153365607875</c:v>
                </c:pt>
                <c:pt idx="587">
                  <c:v>0.5873507040062339</c:v>
                </c:pt>
                <c:pt idx="588">
                  <c:v>0.58849552452366227</c:v>
                </c:pt>
                <c:pt idx="589">
                  <c:v>0.58971601485943326</c:v>
                </c:pt>
                <c:pt idx="590">
                  <c:v>0.59083375837114505</c:v>
                </c:pt>
                <c:pt idx="591">
                  <c:v>0.59117009312849722</c:v>
                </c:pt>
                <c:pt idx="592">
                  <c:v>0.59236007777772837</c:v>
                </c:pt>
                <c:pt idx="593">
                  <c:v>0.59349537690484333</c:v>
                </c:pt>
                <c:pt idx="594">
                  <c:v>0.59482191514126537</c:v>
                </c:pt>
                <c:pt idx="595">
                  <c:v>0.59504314551806148</c:v>
                </c:pt>
                <c:pt idx="596">
                  <c:v>0.59659002529028571</c:v>
                </c:pt>
                <c:pt idx="597">
                  <c:v>0.59738173130652439</c:v>
                </c:pt>
                <c:pt idx="598">
                  <c:v>0.59806608765317726</c:v>
                </c:pt>
                <c:pt idx="599">
                  <c:v>0.5992769205407884</c:v>
                </c:pt>
                <c:pt idx="600">
                  <c:v>0.60052584623371386</c:v>
                </c:pt>
                <c:pt idx="601">
                  <c:v>0.60146020346518136</c:v>
                </c:pt>
                <c:pt idx="602">
                  <c:v>0.60245549849664226</c:v>
                </c:pt>
                <c:pt idx="603">
                  <c:v>0.60340682580005534</c:v>
                </c:pt>
                <c:pt idx="604">
                  <c:v>0.6041163222431476</c:v>
                </c:pt>
                <c:pt idx="605">
                  <c:v>0.60584932441074613</c:v>
                </c:pt>
                <c:pt idx="606">
                  <c:v>0.60614461671913611</c:v>
                </c:pt>
                <c:pt idx="607">
                  <c:v>0.60720788272870896</c:v>
                </c:pt>
                <c:pt idx="608">
                  <c:v>0.60861392837218331</c:v>
                </c:pt>
                <c:pt idx="609">
                  <c:v>0.60950128998013708</c:v>
                </c:pt>
                <c:pt idx="610">
                  <c:v>0.6109479853340769</c:v>
                </c:pt>
                <c:pt idx="611">
                  <c:v>0.61140211010151602</c:v>
                </c:pt>
                <c:pt idx="612">
                  <c:v>0.61224191001668615</c:v>
                </c:pt>
                <c:pt idx="613">
                  <c:v>0.61394530584894713</c:v>
                </c:pt>
                <c:pt idx="614">
                  <c:v>0.61426329413947256</c:v>
                </c:pt>
                <c:pt idx="615">
                  <c:v>0.61555577215053037</c:v>
                </c:pt>
                <c:pt idx="616">
                  <c:v>0.61680973298703545</c:v>
                </c:pt>
                <c:pt idx="617">
                  <c:v>0.61740059112953027</c:v>
                </c:pt>
                <c:pt idx="618">
                  <c:v>0.61895696837291048</c:v>
                </c:pt>
                <c:pt idx="619">
                  <c:v>0.61938021709662405</c:v>
                </c:pt>
                <c:pt idx="620">
                  <c:v>0.62092664181020263</c:v>
                </c:pt>
                <c:pt idx="621">
                  <c:v>0.62134051421641845</c:v>
                </c:pt>
                <c:pt idx="622">
                  <c:v>0.62207104347135656</c:v>
                </c:pt>
                <c:pt idx="623">
                  <c:v>0.62379329558363961</c:v>
                </c:pt>
                <c:pt idx="624">
                  <c:v>0.62463829697497142</c:v>
                </c:pt>
                <c:pt idx="625">
                  <c:v>0.62548283561144091</c:v>
                </c:pt>
                <c:pt idx="626">
                  <c:v>0.62685085876911206</c:v>
                </c:pt>
                <c:pt idx="627">
                  <c:v>0.62782284184913684</c:v>
                </c:pt>
                <c:pt idx="628">
                  <c:v>0.62811191780495268</c:v>
                </c:pt>
                <c:pt idx="629">
                  <c:v>0.62990913574651564</c:v>
                </c:pt>
                <c:pt idx="630">
                  <c:v>0.63050967909780098</c:v>
                </c:pt>
                <c:pt idx="631">
                  <c:v>0.63134029011855375</c:v>
                </c:pt>
                <c:pt idx="632">
                  <c:v>0.63252004068240519</c:v>
                </c:pt>
                <c:pt idx="633">
                  <c:v>0.63345253286917058</c:v>
                </c:pt>
                <c:pt idx="634">
                  <c:v>0.63433001038928749</c:v>
                </c:pt>
                <c:pt idx="635">
                  <c:v>0.63531568091859014</c:v>
                </c:pt>
                <c:pt idx="636">
                  <c:v>0.63619499046709271</c:v>
                </c:pt>
                <c:pt idx="637">
                  <c:v>0.63734473766278121</c:v>
                </c:pt>
                <c:pt idx="638">
                  <c:v>0.63864561889358928</c:v>
                </c:pt>
                <c:pt idx="639">
                  <c:v>0.63908446266247998</c:v>
                </c:pt>
                <c:pt idx="640">
                  <c:v>0.64065018397445106</c:v>
                </c:pt>
                <c:pt idx="641">
                  <c:v>0.64191702175487697</c:v>
                </c:pt>
                <c:pt idx="642">
                  <c:v>0.64227261121274726</c:v>
                </c:pt>
                <c:pt idx="643">
                  <c:v>0.64354806337681314</c:v>
                </c:pt>
                <c:pt idx="644">
                  <c:v>0.64479045985517802</c:v>
                </c:pt>
                <c:pt idx="645">
                  <c:v>0.64560039632478738</c:v>
                </c:pt>
                <c:pt idx="646">
                  <c:v>0.64676797017053889</c:v>
                </c:pt>
                <c:pt idx="647">
                  <c:v>0.64799107128591071</c:v>
                </c:pt>
                <c:pt idx="648">
                  <c:v>0.64825094982149334</c:v>
                </c:pt>
                <c:pt idx="649">
                  <c:v>0.64900028793280951</c:v>
                </c:pt>
                <c:pt idx="650">
                  <c:v>0.65098696901416098</c:v>
                </c:pt>
                <c:pt idx="651">
                  <c:v>0.65178886104533196</c:v>
                </c:pt>
                <c:pt idx="652">
                  <c:v>0.65292833722264698</c:v>
                </c:pt>
                <c:pt idx="653">
                  <c:v>0.65337175646689061</c:v>
                </c:pt>
                <c:pt idx="654">
                  <c:v>0.65432760138863877</c:v>
                </c:pt>
                <c:pt idx="655">
                  <c:v>0.65515526483141706</c:v>
                </c:pt>
                <c:pt idx="656">
                  <c:v>0.65606604706567384</c:v>
                </c:pt>
                <c:pt idx="657">
                  <c:v>0.65732231051133072</c:v>
                </c:pt>
                <c:pt idx="658">
                  <c:v>0.65880165445893113</c:v>
                </c:pt>
                <c:pt idx="659">
                  <c:v>0.65964371594522231</c:v>
                </c:pt>
                <c:pt idx="660">
                  <c:v>0.66057253043553155</c:v>
                </c:pt>
                <c:pt idx="661">
                  <c:v>0.66147497925708887</c:v>
                </c:pt>
                <c:pt idx="662">
                  <c:v>0.66260503802788562</c:v>
                </c:pt>
                <c:pt idx="663">
                  <c:v>0.66387820673242171</c:v>
                </c:pt>
                <c:pt idx="664">
                  <c:v>0.66447436564496598</c:v>
                </c:pt>
                <c:pt idx="665">
                  <c:v>0.66568037825955084</c:v>
                </c:pt>
                <c:pt idx="666">
                  <c:v>0.66635221450155413</c:v>
                </c:pt>
                <c:pt idx="667">
                  <c:v>0.66741905403379786</c:v>
                </c:pt>
                <c:pt idx="668">
                  <c:v>0.66889917363433615</c:v>
                </c:pt>
                <c:pt idx="669">
                  <c:v>0.669511791220054</c:v>
                </c:pt>
                <c:pt idx="670">
                  <c:v>0.67046618997945129</c:v>
                </c:pt>
                <c:pt idx="671">
                  <c:v>0.67158575133201337</c:v>
                </c:pt>
                <c:pt idx="672">
                  <c:v>0.67247402031171932</c:v>
                </c:pt>
                <c:pt idx="673">
                  <c:v>0.67394932188092482</c:v>
                </c:pt>
                <c:pt idx="674">
                  <c:v>0.6743753094599525</c:v>
                </c:pt>
                <c:pt idx="675">
                  <c:v>0.67580757903582589</c:v>
                </c:pt>
                <c:pt idx="676">
                  <c:v>0.67681139472308838</c:v>
                </c:pt>
                <c:pt idx="677">
                  <c:v>0.67780637529813825</c:v>
                </c:pt>
                <c:pt idx="678">
                  <c:v>0.67855154233461989</c:v>
                </c:pt>
                <c:pt idx="679">
                  <c:v>0.67949631604191285</c:v>
                </c:pt>
                <c:pt idx="680">
                  <c:v>0.680585979581947</c:v>
                </c:pt>
                <c:pt idx="681">
                  <c:v>0.68194801292357687</c:v>
                </c:pt>
                <c:pt idx="682">
                  <c:v>0.68248081467102306</c:v>
                </c:pt>
                <c:pt idx="683">
                  <c:v>0.68347802547981917</c:v>
                </c:pt>
                <c:pt idx="684">
                  <c:v>0.68429324831541005</c:v>
                </c:pt>
                <c:pt idx="685">
                  <c:v>0.68595605034845786</c:v>
                </c:pt>
                <c:pt idx="686">
                  <c:v>0.6867196421159244</c:v>
                </c:pt>
                <c:pt idx="687">
                  <c:v>0.68712936498902955</c:v>
                </c:pt>
                <c:pt idx="688">
                  <c:v>0.68800179843767595</c:v>
                </c:pt>
                <c:pt idx="689">
                  <c:v>0.68973236722423048</c:v>
                </c:pt>
                <c:pt idx="690">
                  <c:v>0.69008797973768965</c:v>
                </c:pt>
                <c:pt idx="691">
                  <c:v>0.69130169345119541</c:v>
                </c:pt>
                <c:pt idx="692">
                  <c:v>0.69278313670930991</c:v>
                </c:pt>
                <c:pt idx="693">
                  <c:v>0.69338796205827691</c:v>
                </c:pt>
                <c:pt idx="694">
                  <c:v>0.69413582251177541</c:v>
                </c:pt>
                <c:pt idx="695">
                  <c:v>0.69540792558188724</c:v>
                </c:pt>
                <c:pt idx="696">
                  <c:v>0.69602667575562993</c:v>
                </c:pt>
                <c:pt idx="697">
                  <c:v>0.69783508557170515</c:v>
                </c:pt>
                <c:pt idx="698">
                  <c:v>0.69873486128373419</c:v>
                </c:pt>
                <c:pt idx="699">
                  <c:v>0.69971439227408594</c:v>
                </c:pt>
                <c:pt idx="700">
                  <c:v>0.70052556866768878</c:v>
                </c:pt>
                <c:pt idx="701">
                  <c:v>0.70192657699527372</c:v>
                </c:pt>
                <c:pt idx="702">
                  <c:v>0.70248326176672327</c:v>
                </c:pt>
                <c:pt idx="703">
                  <c:v>0.70342193400124597</c:v>
                </c:pt>
                <c:pt idx="704">
                  <c:v>0.70459161757482025</c:v>
                </c:pt>
                <c:pt idx="705">
                  <c:v>0.70502290916629673</c:v>
                </c:pt>
                <c:pt idx="706">
                  <c:v>0.70640304386299169</c:v>
                </c:pt>
                <c:pt idx="707">
                  <c:v>0.70745807428668672</c:v>
                </c:pt>
                <c:pt idx="708">
                  <c:v>0.70859959479784584</c:v>
                </c:pt>
                <c:pt idx="709">
                  <c:v>0.70975182601989995</c:v>
                </c:pt>
                <c:pt idx="710">
                  <c:v>0.71037153716836399</c:v>
                </c:pt>
                <c:pt idx="711">
                  <c:v>0.71137894101589427</c:v>
                </c:pt>
                <c:pt idx="712">
                  <c:v>0.71250398601021248</c:v>
                </c:pt>
                <c:pt idx="713">
                  <c:v>0.71365105712987731</c:v>
                </c:pt>
                <c:pt idx="714">
                  <c:v>0.71464276142829153</c:v>
                </c:pt>
                <c:pt idx="715">
                  <c:v>0.71581769282739094</c:v>
                </c:pt>
                <c:pt idx="716">
                  <c:v>0.71621738197473284</c:v>
                </c:pt>
                <c:pt idx="717">
                  <c:v>0.71784743619450542</c:v>
                </c:pt>
                <c:pt idx="718">
                  <c:v>0.71884240389192533</c:v>
                </c:pt>
                <c:pt idx="719">
                  <c:v>0.7194509712540198</c:v>
                </c:pt>
                <c:pt idx="720">
                  <c:v>0.72039349873792236</c:v>
                </c:pt>
                <c:pt idx="721">
                  <c:v>0.72105866109557881</c:v>
                </c:pt>
                <c:pt idx="722">
                  <c:v>0.72269891416903087</c:v>
                </c:pt>
                <c:pt idx="723">
                  <c:v>0.72305673465902376</c:v>
                </c:pt>
                <c:pt idx="724">
                  <c:v>0.72467237871714685</c:v>
                </c:pt>
                <c:pt idx="725">
                  <c:v>0.72599796122731597</c:v>
                </c:pt>
                <c:pt idx="726">
                  <c:v>0.72662804654255231</c:v>
                </c:pt>
                <c:pt idx="727">
                  <c:v>0.72731274312043392</c:v>
                </c:pt>
                <c:pt idx="728">
                  <c:v>0.72838230362729695</c:v>
                </c:pt>
                <c:pt idx="729">
                  <c:v>0.72968081272386032</c:v>
                </c:pt>
                <c:pt idx="730">
                  <c:v>0.73082960387524909</c:v>
                </c:pt>
                <c:pt idx="731">
                  <c:v>0.73193374309896808</c:v>
                </c:pt>
                <c:pt idx="732">
                  <c:v>0.73206958601695249</c:v>
                </c:pt>
                <c:pt idx="733">
                  <c:v>0.7339665488391105</c:v>
                </c:pt>
                <c:pt idx="734">
                  <c:v>0.73420667840219256</c:v>
                </c:pt>
                <c:pt idx="735">
                  <c:v>0.73517991522866755</c:v>
                </c:pt>
                <c:pt idx="736">
                  <c:v>0.73640068397982994</c:v>
                </c:pt>
                <c:pt idx="737">
                  <c:v>0.73753466783034027</c:v>
                </c:pt>
                <c:pt idx="738">
                  <c:v>0.73899151047901057</c:v>
                </c:pt>
                <c:pt idx="739">
                  <c:v>0.73961829638518817</c:v>
                </c:pt>
                <c:pt idx="740">
                  <c:v>0.74026366808248301</c:v>
                </c:pt>
                <c:pt idx="741">
                  <c:v>0.74147834784315869</c:v>
                </c:pt>
                <c:pt idx="742">
                  <c:v>0.74203770657466672</c:v>
                </c:pt>
                <c:pt idx="743">
                  <c:v>0.74329195626622346</c:v>
                </c:pt>
                <c:pt idx="744">
                  <c:v>0.74490896739529189</c:v>
                </c:pt>
                <c:pt idx="745">
                  <c:v>0.74529846140702682</c:v>
                </c:pt>
                <c:pt idx="746">
                  <c:v>0.74607660881361848</c:v>
                </c:pt>
                <c:pt idx="747">
                  <c:v>0.74768782723338534</c:v>
                </c:pt>
                <c:pt idx="748">
                  <c:v>0.7489633674900894</c:v>
                </c:pt>
                <c:pt idx="749">
                  <c:v>0.74956816157735151</c:v>
                </c:pt>
                <c:pt idx="750">
                  <c:v>0.75053794298333532</c:v>
                </c:pt>
                <c:pt idx="751">
                  <c:v>0.75130439200119681</c:v>
                </c:pt>
                <c:pt idx="752">
                  <c:v>0.75236384698384529</c:v>
                </c:pt>
                <c:pt idx="753">
                  <c:v>0.75383664546693596</c:v>
                </c:pt>
                <c:pt idx="754">
                  <c:v>0.75419720723228467</c:v>
                </c:pt>
                <c:pt idx="755">
                  <c:v>0.75567440058818891</c:v>
                </c:pt>
                <c:pt idx="756">
                  <c:v>0.75671571345480992</c:v>
                </c:pt>
                <c:pt idx="757">
                  <c:v>0.75761788709289801</c:v>
                </c:pt>
                <c:pt idx="758">
                  <c:v>0.75884368301691574</c:v>
                </c:pt>
                <c:pt idx="759">
                  <c:v>0.75990293873425174</c:v>
                </c:pt>
                <c:pt idx="760">
                  <c:v>0.76080618404452838</c:v>
                </c:pt>
                <c:pt idx="761">
                  <c:v>0.76106399469195496</c:v>
                </c:pt>
                <c:pt idx="762">
                  <c:v>0.76252625751088521</c:v>
                </c:pt>
                <c:pt idx="763">
                  <c:v>0.76300815905863617</c:v>
                </c:pt>
                <c:pt idx="764">
                  <c:v>0.76437676454926307</c:v>
                </c:pt>
                <c:pt idx="765">
                  <c:v>0.76519820112273984</c:v>
                </c:pt>
                <c:pt idx="766">
                  <c:v>0.7661004351158861</c:v>
                </c:pt>
                <c:pt idx="767">
                  <c:v>0.76752234955772813</c:v>
                </c:pt>
                <c:pt idx="768">
                  <c:v>0.76852807794523614</c:v>
                </c:pt>
                <c:pt idx="769">
                  <c:v>0.76988608452814777</c:v>
                </c:pt>
                <c:pt idx="770">
                  <c:v>0.77034229803279564</c:v>
                </c:pt>
                <c:pt idx="771">
                  <c:v>0.77179499048152822</c:v>
                </c:pt>
                <c:pt idx="772">
                  <c:v>0.77213725740931394</c:v>
                </c:pt>
                <c:pt idx="773">
                  <c:v>0.77386082158118041</c:v>
                </c:pt>
                <c:pt idx="774">
                  <c:v>0.77479486285517807</c:v>
                </c:pt>
                <c:pt idx="775">
                  <c:v>0.77561838634419678</c:v>
                </c:pt>
                <c:pt idx="776">
                  <c:v>0.77690709643808831</c:v>
                </c:pt>
                <c:pt idx="777">
                  <c:v>0.77723940084903487</c:v>
                </c:pt>
                <c:pt idx="778">
                  <c:v>0.77856703898463564</c:v>
                </c:pt>
                <c:pt idx="779">
                  <c:v>0.77932173075138633</c:v>
                </c:pt>
                <c:pt idx="780">
                  <c:v>0.78029967223557173</c:v>
                </c:pt>
                <c:pt idx="781">
                  <c:v>0.78130354973611038</c:v>
                </c:pt>
                <c:pt idx="782">
                  <c:v>0.7820571291379298</c:v>
                </c:pt>
                <c:pt idx="783">
                  <c:v>0.78384586247565358</c:v>
                </c:pt>
                <c:pt idx="784">
                  <c:v>0.78423998511099247</c:v>
                </c:pt>
                <c:pt idx="785">
                  <c:v>0.78504767644266782</c:v>
                </c:pt>
                <c:pt idx="786">
                  <c:v>0.7861393730903834</c:v>
                </c:pt>
                <c:pt idx="787">
                  <c:v>0.78712272461087507</c:v>
                </c:pt>
                <c:pt idx="788">
                  <c:v>0.78853385454428704</c:v>
                </c:pt>
                <c:pt idx="789">
                  <c:v>0.78905478110445071</c:v>
                </c:pt>
                <c:pt idx="790">
                  <c:v>0.79004499460781108</c:v>
                </c:pt>
                <c:pt idx="791">
                  <c:v>0.79156896766684226</c:v>
                </c:pt>
                <c:pt idx="792">
                  <c:v>0.79294443937203485</c:v>
                </c:pt>
                <c:pt idx="793">
                  <c:v>0.79398011130652857</c:v>
                </c:pt>
                <c:pt idx="794">
                  <c:v>0.79458390560806358</c:v>
                </c:pt>
                <c:pt idx="795">
                  <c:v>0.79570019084115051</c:v>
                </c:pt>
                <c:pt idx="796">
                  <c:v>0.79690081931811307</c:v>
                </c:pt>
                <c:pt idx="797">
                  <c:v>0.797973428751103</c:v>
                </c:pt>
                <c:pt idx="798">
                  <c:v>0.79878780607897504</c:v>
                </c:pt>
                <c:pt idx="799">
                  <c:v>0.79940450556608944</c:v>
                </c:pt>
                <c:pt idx="800">
                  <c:v>0.80090316801213268</c:v>
                </c:pt>
                <c:pt idx="801">
                  <c:v>0.80162534071473068</c:v>
                </c:pt>
                <c:pt idx="802">
                  <c:v>0.80219729587766275</c:v>
                </c:pt>
                <c:pt idx="803">
                  <c:v>0.80370066847598665</c:v>
                </c:pt>
                <c:pt idx="804">
                  <c:v>0.80424438417731881</c:v>
                </c:pt>
                <c:pt idx="805">
                  <c:v>0.80599260605918077</c:v>
                </c:pt>
                <c:pt idx="806">
                  <c:v>0.80671661451382493</c:v>
                </c:pt>
                <c:pt idx="807">
                  <c:v>0.80723243399714872</c:v>
                </c:pt>
                <c:pt idx="808">
                  <c:v>0.80884301831266914</c:v>
                </c:pt>
                <c:pt idx="809">
                  <c:v>0.80976839755586549</c:v>
                </c:pt>
                <c:pt idx="810">
                  <c:v>0.81079361179605902</c:v>
                </c:pt>
                <c:pt idx="811">
                  <c:v>0.81142427718486276</c:v>
                </c:pt>
                <c:pt idx="812">
                  <c:v>0.8128006701706445</c:v>
                </c:pt>
                <c:pt idx="813">
                  <c:v>0.81329051150085652</c:v>
                </c:pt>
                <c:pt idx="814">
                  <c:v>0.8140072457133809</c:v>
                </c:pt>
                <c:pt idx="815">
                  <c:v>0.815377174692549</c:v>
                </c:pt>
                <c:pt idx="816">
                  <c:v>0.81630017578003466</c:v>
                </c:pt>
                <c:pt idx="817">
                  <c:v>0.81768407012794264</c:v>
                </c:pt>
                <c:pt idx="818">
                  <c:v>0.8183560606074417</c:v>
                </c:pt>
                <c:pt idx="819">
                  <c:v>0.81903209509258912</c:v>
                </c:pt>
                <c:pt idx="820">
                  <c:v>0.820460273954426</c:v>
                </c:pt>
                <c:pt idx="821">
                  <c:v>0.82173646049125504</c:v>
                </c:pt>
                <c:pt idx="822">
                  <c:v>0.8223835633661094</c:v>
                </c:pt>
                <c:pt idx="823">
                  <c:v>0.82306367658056867</c:v>
                </c:pt>
                <c:pt idx="824">
                  <c:v>0.82465082827504976</c:v>
                </c:pt>
                <c:pt idx="825">
                  <c:v>0.82547854607656568</c:v>
                </c:pt>
                <c:pt idx="826">
                  <c:v>0.82616658653695285</c:v>
                </c:pt>
                <c:pt idx="827">
                  <c:v>0.82744814914382259</c:v>
                </c:pt>
                <c:pt idx="828">
                  <c:v>0.82847187641506825</c:v>
                </c:pt>
                <c:pt idx="829">
                  <c:v>0.8294840507918233</c:v>
                </c:pt>
                <c:pt idx="830">
                  <c:v>0.83071599971542964</c:v>
                </c:pt>
                <c:pt idx="831">
                  <c:v>0.83117822658763696</c:v>
                </c:pt>
                <c:pt idx="832">
                  <c:v>0.8322705911223941</c:v>
                </c:pt>
                <c:pt idx="833">
                  <c:v>0.83310249808107095</c:v>
                </c:pt>
                <c:pt idx="834">
                  <c:v>0.8345044482856766</c:v>
                </c:pt>
                <c:pt idx="835">
                  <c:v>0.83549852856004114</c:v>
                </c:pt>
                <c:pt idx="836">
                  <c:v>0.83684335791292674</c:v>
                </c:pt>
                <c:pt idx="837">
                  <c:v>0.83773341216303721</c:v>
                </c:pt>
                <c:pt idx="838">
                  <c:v>0.8383281019777824</c:v>
                </c:pt>
                <c:pt idx="839">
                  <c:v>0.8396117284026956</c:v>
                </c:pt>
                <c:pt idx="840">
                  <c:v>0.84064736190197231</c:v>
                </c:pt>
                <c:pt idx="841">
                  <c:v>0.84110063018605596</c:v>
                </c:pt>
                <c:pt idx="842">
                  <c:v>0.84271620963483962</c:v>
                </c:pt>
                <c:pt idx="843">
                  <c:v>0.84357447832836185</c:v>
                </c:pt>
                <c:pt idx="844">
                  <c:v>0.84499831784726087</c:v>
                </c:pt>
                <c:pt idx="845">
                  <c:v>0.84543911404405692</c:v>
                </c:pt>
                <c:pt idx="846">
                  <c:v>0.84620181632675273</c:v>
                </c:pt>
                <c:pt idx="847">
                  <c:v>0.84731356619003073</c:v>
                </c:pt>
                <c:pt idx="848">
                  <c:v>0.84830035459653019</c:v>
                </c:pt>
                <c:pt idx="849">
                  <c:v>0.84901569791161824</c:v>
                </c:pt>
                <c:pt idx="850">
                  <c:v>0.85011595377165727</c:v>
                </c:pt>
                <c:pt idx="851">
                  <c:v>0.85171690261287536</c:v>
                </c:pt>
                <c:pt idx="852">
                  <c:v>0.85207374468587194</c:v>
                </c:pt>
                <c:pt idx="853">
                  <c:v>0.85370222476909452</c:v>
                </c:pt>
                <c:pt idx="854">
                  <c:v>0.85435474302767656</c:v>
                </c:pt>
                <c:pt idx="855">
                  <c:v>0.85560285874586628</c:v>
                </c:pt>
                <c:pt idx="856">
                  <c:v>0.85675043005560303</c:v>
                </c:pt>
                <c:pt idx="857">
                  <c:v>0.85744419244198233</c:v>
                </c:pt>
                <c:pt idx="858">
                  <c:v>0.85870760458328466</c:v>
                </c:pt>
                <c:pt idx="859">
                  <c:v>0.85956118509396007</c:v>
                </c:pt>
                <c:pt idx="860">
                  <c:v>0.86082291394235166</c:v>
                </c:pt>
                <c:pt idx="861">
                  <c:v>0.86189161052063379</c:v>
                </c:pt>
                <c:pt idx="862">
                  <c:v>0.86276208270149357</c:v>
                </c:pt>
                <c:pt idx="863">
                  <c:v>0.86398001508041755</c:v>
                </c:pt>
                <c:pt idx="864">
                  <c:v>0.86410529550702908</c:v>
                </c:pt>
                <c:pt idx="865">
                  <c:v>0.8651199074238819</c:v>
                </c:pt>
                <c:pt idx="866">
                  <c:v>0.86659760055262536</c:v>
                </c:pt>
                <c:pt idx="867">
                  <c:v>0.86741586837647855</c:v>
                </c:pt>
                <c:pt idx="868">
                  <c:v>0.86833335732862671</c:v>
                </c:pt>
                <c:pt idx="869">
                  <c:v>0.86906798845461286</c:v>
                </c:pt>
                <c:pt idx="870">
                  <c:v>0.87060643654936143</c:v>
                </c:pt>
                <c:pt idx="871">
                  <c:v>0.87157441650390954</c:v>
                </c:pt>
                <c:pt idx="872">
                  <c:v>0.87263901417880296</c:v>
                </c:pt>
                <c:pt idx="873">
                  <c:v>0.87308065155779024</c:v>
                </c:pt>
                <c:pt idx="874">
                  <c:v>0.8742492995500214</c:v>
                </c:pt>
                <c:pt idx="875">
                  <c:v>0.87597736925258707</c:v>
                </c:pt>
                <c:pt idx="876">
                  <c:v>0.87626313802699163</c:v>
                </c:pt>
                <c:pt idx="877">
                  <c:v>0.87729443292699161</c:v>
                </c:pt>
                <c:pt idx="878">
                  <c:v>0.87889156766396281</c:v>
                </c:pt>
                <c:pt idx="879">
                  <c:v>0.87986128003263409</c:v>
                </c:pt>
                <c:pt idx="880">
                  <c:v>0.88078132093692696</c:v>
                </c:pt>
                <c:pt idx="881">
                  <c:v>0.88115865055265807</c:v>
                </c:pt>
                <c:pt idx="882">
                  <c:v>0.88280747565576057</c:v>
                </c:pt>
                <c:pt idx="883">
                  <c:v>0.88332906835324343</c:v>
                </c:pt>
                <c:pt idx="884">
                  <c:v>0.88412489680855655</c:v>
                </c:pt>
                <c:pt idx="885">
                  <c:v>0.88590058611447464</c:v>
                </c:pt>
                <c:pt idx="886">
                  <c:v>0.88685385216163792</c:v>
                </c:pt>
                <c:pt idx="887">
                  <c:v>0.88748065270378262</c:v>
                </c:pt>
                <c:pt idx="888">
                  <c:v>0.88831848105842215</c:v>
                </c:pt>
                <c:pt idx="889">
                  <c:v>0.88935914510357184</c:v>
                </c:pt>
                <c:pt idx="890">
                  <c:v>0.89012003136289308</c:v>
                </c:pt>
                <c:pt idx="891">
                  <c:v>0.89192914482251029</c:v>
                </c:pt>
                <c:pt idx="892">
                  <c:v>0.89218994323890422</c:v>
                </c:pt>
                <c:pt idx="893">
                  <c:v>0.8930469482322333</c:v>
                </c:pt>
                <c:pt idx="894">
                  <c:v>0.89441709464355768</c:v>
                </c:pt>
                <c:pt idx="895">
                  <c:v>0.89542476597275233</c:v>
                </c:pt>
                <c:pt idx="896">
                  <c:v>0.89620578632182568</c:v>
                </c:pt>
                <c:pt idx="897">
                  <c:v>0.8973108298362491</c:v>
                </c:pt>
                <c:pt idx="898">
                  <c:v>0.89897588936425188</c:v>
                </c:pt>
                <c:pt idx="899">
                  <c:v>0.89999667956796392</c:v>
                </c:pt>
                <c:pt idx="900">
                  <c:v>0.9001432361519297</c:v>
                </c:pt>
                <c:pt idx="901">
                  <c:v>0.90117946190507614</c:v>
                </c:pt>
                <c:pt idx="902">
                  <c:v>0.90273447945544827</c:v>
                </c:pt>
                <c:pt idx="903">
                  <c:v>0.90375120426592204</c:v>
                </c:pt>
                <c:pt idx="904">
                  <c:v>0.90478681624000579</c:v>
                </c:pt>
                <c:pt idx="905">
                  <c:v>0.90512996772423615</c:v>
                </c:pt>
                <c:pt idx="906">
                  <c:v>0.90605772609800506</c:v>
                </c:pt>
                <c:pt idx="907">
                  <c:v>0.90791524923497691</c:v>
                </c:pt>
                <c:pt idx="908">
                  <c:v>0.90844841647740648</c:v>
                </c:pt>
                <c:pt idx="909">
                  <c:v>0.90910498747744251</c:v>
                </c:pt>
                <c:pt idx="910">
                  <c:v>0.91008454123886406</c:v>
                </c:pt>
                <c:pt idx="911">
                  <c:v>0.91115928947580027</c:v>
                </c:pt>
                <c:pt idx="912">
                  <c:v>0.91261043311460188</c:v>
                </c:pt>
                <c:pt idx="913">
                  <c:v>0.91398555681132365</c:v>
                </c:pt>
                <c:pt idx="914">
                  <c:v>0.91410997036847053</c:v>
                </c:pt>
                <c:pt idx="915">
                  <c:v>0.91571511542185102</c:v>
                </c:pt>
                <c:pt idx="916">
                  <c:v>0.91639138092621963</c:v>
                </c:pt>
                <c:pt idx="917">
                  <c:v>0.91741080067898395</c:v>
                </c:pt>
                <c:pt idx="918">
                  <c:v>0.91810895554095251</c:v>
                </c:pt>
                <c:pt idx="919">
                  <c:v>0.91977886901022377</c:v>
                </c:pt>
                <c:pt idx="920">
                  <c:v>0.92005104769627821</c:v>
                </c:pt>
                <c:pt idx="921">
                  <c:v>0.92169251145345443</c:v>
                </c:pt>
                <c:pt idx="922">
                  <c:v>0.92294888782919127</c:v>
                </c:pt>
                <c:pt idx="923">
                  <c:v>0.9238945159786135</c:v>
                </c:pt>
                <c:pt idx="924">
                  <c:v>0.9242335997860025</c:v>
                </c:pt>
                <c:pt idx="925">
                  <c:v>0.92545862617284491</c:v>
                </c:pt>
                <c:pt idx="926">
                  <c:v>0.92655770591193753</c:v>
                </c:pt>
                <c:pt idx="927">
                  <c:v>0.92760484331883608</c:v>
                </c:pt>
                <c:pt idx="928">
                  <c:v>0.92879720554542666</c:v>
                </c:pt>
                <c:pt idx="929">
                  <c:v>0.92980692615541793</c:v>
                </c:pt>
                <c:pt idx="930">
                  <c:v>0.93035491572584839</c:v>
                </c:pt>
                <c:pt idx="931">
                  <c:v>0.93164567429028577</c:v>
                </c:pt>
                <c:pt idx="932">
                  <c:v>0.93233314097983133</c:v>
                </c:pt>
                <c:pt idx="933">
                  <c:v>0.93326099168887855</c:v>
                </c:pt>
                <c:pt idx="934">
                  <c:v>0.93423711366142081</c:v>
                </c:pt>
                <c:pt idx="935">
                  <c:v>0.93586352864905809</c:v>
                </c:pt>
                <c:pt idx="936">
                  <c:v>0.9369155523369358</c:v>
                </c:pt>
                <c:pt idx="937">
                  <c:v>0.93745348975142784</c:v>
                </c:pt>
                <c:pt idx="938">
                  <c:v>0.93853427916288701</c:v>
                </c:pt>
                <c:pt idx="939">
                  <c:v>0.93990513030134726</c:v>
                </c:pt>
                <c:pt idx="940">
                  <c:v>0.94014333103670356</c:v>
                </c:pt>
                <c:pt idx="941">
                  <c:v>0.94140063922954742</c:v>
                </c:pt>
                <c:pt idx="942">
                  <c:v>0.9429041619242412</c:v>
                </c:pt>
                <c:pt idx="943">
                  <c:v>0.94378911070287907</c:v>
                </c:pt>
                <c:pt idx="944">
                  <c:v>0.94432060084336455</c:v>
                </c:pt>
                <c:pt idx="945">
                  <c:v>0.94539801246076771</c:v>
                </c:pt>
                <c:pt idx="946">
                  <c:v>0.94669720846570504</c:v>
                </c:pt>
                <c:pt idx="947">
                  <c:v>0.94788390039417048</c:v>
                </c:pt>
                <c:pt idx="948">
                  <c:v>0.94855385381648172</c:v>
                </c:pt>
                <c:pt idx="949">
                  <c:v>0.94990759864284369</c:v>
                </c:pt>
                <c:pt idx="950">
                  <c:v>0.95007362911153437</c:v>
                </c:pt>
                <c:pt idx="951">
                  <c:v>0.95157364639932607</c:v>
                </c:pt>
                <c:pt idx="952">
                  <c:v>0.95215811259326488</c:v>
                </c:pt>
                <c:pt idx="953">
                  <c:v>0.95365965325098012</c:v>
                </c:pt>
                <c:pt idx="954">
                  <c:v>0.9549071504219685</c:v>
                </c:pt>
                <c:pt idx="955">
                  <c:v>0.95548976278665698</c:v>
                </c:pt>
                <c:pt idx="956">
                  <c:v>0.95698744586482354</c:v>
                </c:pt>
                <c:pt idx="957">
                  <c:v>0.95786246232429106</c:v>
                </c:pt>
                <c:pt idx="958">
                  <c:v>0.95828759770125327</c:v>
                </c:pt>
                <c:pt idx="959">
                  <c:v>0.95951640481816525</c:v>
                </c:pt>
                <c:pt idx="960">
                  <c:v>0.96088876504355314</c:v>
                </c:pt>
                <c:pt idx="961">
                  <c:v>0.96174547821975909</c:v>
                </c:pt>
                <c:pt idx="962">
                  <c:v>0.96273545766289703</c:v>
                </c:pt>
                <c:pt idx="963">
                  <c:v>0.96384080893193391</c:v>
                </c:pt>
                <c:pt idx="964">
                  <c:v>0.9647641644069842</c:v>
                </c:pt>
                <c:pt idx="965">
                  <c:v>0.96532180933824785</c:v>
                </c:pt>
                <c:pt idx="966">
                  <c:v>0.96685942368112954</c:v>
                </c:pt>
                <c:pt idx="967">
                  <c:v>0.96761715978002572</c:v>
                </c:pt>
                <c:pt idx="968">
                  <c:v>0.96869993598868598</c:v>
                </c:pt>
                <c:pt idx="969">
                  <c:v>0.96955565630680784</c:v>
                </c:pt>
                <c:pt idx="970">
                  <c:v>0.97012037654782657</c:v>
                </c:pt>
                <c:pt idx="971">
                  <c:v>0.97134662822176387</c:v>
                </c:pt>
                <c:pt idx="972">
                  <c:v>0.97236404912438346</c:v>
                </c:pt>
                <c:pt idx="973">
                  <c:v>0.97329933145486269</c:v>
                </c:pt>
                <c:pt idx="974">
                  <c:v>0.97419016211577458</c:v>
                </c:pt>
                <c:pt idx="975">
                  <c:v>0.97528916554718492</c:v>
                </c:pt>
                <c:pt idx="976">
                  <c:v>0.97631519453351279</c:v>
                </c:pt>
                <c:pt idx="977">
                  <c:v>0.97742334689093369</c:v>
                </c:pt>
                <c:pt idx="978">
                  <c:v>0.97804425992957422</c:v>
                </c:pt>
                <c:pt idx="979">
                  <c:v>0.97986814546256051</c:v>
                </c:pt>
                <c:pt idx="980">
                  <c:v>0.98089230723141041</c:v>
                </c:pt>
                <c:pt idx="981">
                  <c:v>0.98138794926749262</c:v>
                </c:pt>
                <c:pt idx="982">
                  <c:v>0.98262761752065908</c:v>
                </c:pt>
                <c:pt idx="983">
                  <c:v>0.98373729844874169</c:v>
                </c:pt>
                <c:pt idx="984">
                  <c:v>0.98481724508195589</c:v>
                </c:pt>
                <c:pt idx="985">
                  <c:v>0.98588334127442989</c:v>
                </c:pt>
                <c:pt idx="986">
                  <c:v>0.98686061418262794</c:v>
                </c:pt>
                <c:pt idx="987">
                  <c:v>0.98798087871376916</c:v>
                </c:pt>
                <c:pt idx="988">
                  <c:v>0.9886693699242709</c:v>
                </c:pt>
                <c:pt idx="989">
                  <c:v>0.98977246995823753</c:v>
                </c:pt>
                <c:pt idx="990">
                  <c:v>0.99086479185937548</c:v>
                </c:pt>
                <c:pt idx="991">
                  <c:v>0.9918528222897679</c:v>
                </c:pt>
                <c:pt idx="992">
                  <c:v>0.99221283244928649</c:v>
                </c:pt>
                <c:pt idx="993">
                  <c:v>0.99327442482003814</c:v>
                </c:pt>
                <c:pt idx="994">
                  <c:v>0.99462880717442115</c:v>
                </c:pt>
                <c:pt idx="995">
                  <c:v>0.99563464679863178</c:v>
                </c:pt>
                <c:pt idx="996">
                  <c:v>0.99608633002547697</c:v>
                </c:pt>
                <c:pt idx="997">
                  <c:v>0.99774912523961368</c:v>
                </c:pt>
                <c:pt idx="998">
                  <c:v>0.99876549214701305</c:v>
                </c:pt>
                <c:pt idx="999">
                  <c:v>0.99922706257184668</c:v>
                </c:pt>
              </c:numCache>
            </c:numRef>
          </c:xVal>
          <c:yVal>
            <c:numRef>
              <c:f>SimData1000!$K$1010:$K$2009</c:f>
              <c:numCache>
                <c:formatCode>General</c:formatCode>
                <c:ptCount val="1000"/>
                <c:pt idx="0">
                  <c:v>0</c:v>
                </c:pt>
                <c:pt idx="1">
                  <c:v>1.001001001001001E-3</c:v>
                </c:pt>
                <c:pt idx="2">
                  <c:v>2.002002002002002E-3</c:v>
                </c:pt>
                <c:pt idx="3">
                  <c:v>3.003003003003003E-3</c:v>
                </c:pt>
                <c:pt idx="4">
                  <c:v>4.004004004004004E-3</c:v>
                </c:pt>
                <c:pt idx="5">
                  <c:v>5.005005005005005E-3</c:v>
                </c:pt>
                <c:pt idx="6">
                  <c:v>6.006006006006006E-3</c:v>
                </c:pt>
                <c:pt idx="7">
                  <c:v>7.0070070070070069E-3</c:v>
                </c:pt>
                <c:pt idx="8">
                  <c:v>8.0080080080080079E-3</c:v>
                </c:pt>
                <c:pt idx="9">
                  <c:v>9.0090090090090089E-3</c:v>
                </c:pt>
                <c:pt idx="10">
                  <c:v>1.001001001001001E-2</c:v>
                </c:pt>
                <c:pt idx="11">
                  <c:v>1.1011011011011011E-2</c:v>
                </c:pt>
                <c:pt idx="12">
                  <c:v>1.2012012012012012E-2</c:v>
                </c:pt>
                <c:pt idx="13">
                  <c:v>1.3013013013013013E-2</c:v>
                </c:pt>
                <c:pt idx="14">
                  <c:v>1.4014014014014014E-2</c:v>
                </c:pt>
                <c:pt idx="15">
                  <c:v>1.5015015015015015E-2</c:v>
                </c:pt>
                <c:pt idx="16">
                  <c:v>1.6016016016016016E-2</c:v>
                </c:pt>
                <c:pt idx="17">
                  <c:v>1.7017017017017015E-2</c:v>
                </c:pt>
                <c:pt idx="18">
                  <c:v>1.8018018018018014E-2</c:v>
                </c:pt>
                <c:pt idx="19">
                  <c:v>1.9019019019019014E-2</c:v>
                </c:pt>
                <c:pt idx="20">
                  <c:v>2.0020020020020013E-2</c:v>
                </c:pt>
                <c:pt idx="21">
                  <c:v>2.1021021021021012E-2</c:v>
                </c:pt>
                <c:pt idx="22">
                  <c:v>2.2022022022022011E-2</c:v>
                </c:pt>
                <c:pt idx="23">
                  <c:v>2.3023023023023011E-2</c:v>
                </c:pt>
                <c:pt idx="24">
                  <c:v>2.402402402402401E-2</c:v>
                </c:pt>
                <c:pt idx="25">
                  <c:v>2.5025025025025009E-2</c:v>
                </c:pt>
                <c:pt idx="26">
                  <c:v>2.6026026026026008E-2</c:v>
                </c:pt>
                <c:pt idx="27">
                  <c:v>2.7027027027027008E-2</c:v>
                </c:pt>
                <c:pt idx="28">
                  <c:v>2.8028028028028007E-2</c:v>
                </c:pt>
                <c:pt idx="29">
                  <c:v>2.9029029029029006E-2</c:v>
                </c:pt>
                <c:pt idx="30">
                  <c:v>3.0030030030030005E-2</c:v>
                </c:pt>
                <c:pt idx="31">
                  <c:v>3.1031031031031005E-2</c:v>
                </c:pt>
                <c:pt idx="32">
                  <c:v>3.2032032032032004E-2</c:v>
                </c:pt>
                <c:pt idx="33">
                  <c:v>3.3033033033033003E-2</c:v>
                </c:pt>
                <c:pt idx="34">
                  <c:v>3.4034034034034003E-2</c:v>
                </c:pt>
                <c:pt idx="35">
                  <c:v>3.5035035035035002E-2</c:v>
                </c:pt>
                <c:pt idx="36">
                  <c:v>3.6036036036036001E-2</c:v>
                </c:pt>
                <c:pt idx="37">
                  <c:v>3.7037037037037E-2</c:v>
                </c:pt>
                <c:pt idx="38">
                  <c:v>3.8038038038038E-2</c:v>
                </c:pt>
                <c:pt idx="39">
                  <c:v>3.9039039039038999E-2</c:v>
                </c:pt>
                <c:pt idx="40">
                  <c:v>4.0040040040039998E-2</c:v>
                </c:pt>
                <c:pt idx="41">
                  <c:v>4.1041041041040997E-2</c:v>
                </c:pt>
                <c:pt idx="42">
                  <c:v>4.2042042042041997E-2</c:v>
                </c:pt>
                <c:pt idx="43">
                  <c:v>4.3043043043042996E-2</c:v>
                </c:pt>
                <c:pt idx="44">
                  <c:v>4.4044044044043995E-2</c:v>
                </c:pt>
                <c:pt idx="45">
                  <c:v>4.5045045045044994E-2</c:v>
                </c:pt>
                <c:pt idx="46">
                  <c:v>4.6046046046045994E-2</c:v>
                </c:pt>
                <c:pt idx="47">
                  <c:v>4.7047047047046993E-2</c:v>
                </c:pt>
                <c:pt idx="48">
                  <c:v>4.8048048048047992E-2</c:v>
                </c:pt>
                <c:pt idx="49">
                  <c:v>4.9049049049048991E-2</c:v>
                </c:pt>
                <c:pt idx="50">
                  <c:v>5.0050050050049991E-2</c:v>
                </c:pt>
                <c:pt idx="51">
                  <c:v>5.105105105105099E-2</c:v>
                </c:pt>
                <c:pt idx="52">
                  <c:v>5.2052052052051989E-2</c:v>
                </c:pt>
                <c:pt idx="53">
                  <c:v>5.3053053053052988E-2</c:v>
                </c:pt>
                <c:pt idx="54">
                  <c:v>5.4054054054053988E-2</c:v>
                </c:pt>
                <c:pt idx="55">
                  <c:v>5.5055055055054987E-2</c:v>
                </c:pt>
                <c:pt idx="56">
                  <c:v>5.6056056056055986E-2</c:v>
                </c:pt>
                <c:pt idx="57">
                  <c:v>5.7057057057056985E-2</c:v>
                </c:pt>
                <c:pt idx="58">
                  <c:v>5.8058058058057985E-2</c:v>
                </c:pt>
                <c:pt idx="59">
                  <c:v>5.9059059059058984E-2</c:v>
                </c:pt>
                <c:pt idx="60">
                  <c:v>6.0060060060059983E-2</c:v>
                </c:pt>
                <c:pt idx="61">
                  <c:v>6.1061061061060982E-2</c:v>
                </c:pt>
                <c:pt idx="62">
                  <c:v>6.2062062062061982E-2</c:v>
                </c:pt>
                <c:pt idx="63">
                  <c:v>6.3063063063062988E-2</c:v>
                </c:pt>
                <c:pt idx="64">
                  <c:v>6.4064064064063994E-2</c:v>
                </c:pt>
                <c:pt idx="65">
                  <c:v>6.5065065065065E-2</c:v>
                </c:pt>
                <c:pt idx="66">
                  <c:v>6.6066066066066007E-2</c:v>
                </c:pt>
                <c:pt idx="67">
                  <c:v>6.7067067067067013E-2</c:v>
                </c:pt>
                <c:pt idx="68">
                  <c:v>6.8068068068068019E-2</c:v>
                </c:pt>
                <c:pt idx="69">
                  <c:v>6.9069069069069025E-2</c:v>
                </c:pt>
                <c:pt idx="70">
                  <c:v>7.0070070070070031E-2</c:v>
                </c:pt>
                <c:pt idx="71">
                  <c:v>7.1071071071071037E-2</c:v>
                </c:pt>
                <c:pt idx="72">
                  <c:v>7.2072072072072044E-2</c:v>
                </c:pt>
                <c:pt idx="73">
                  <c:v>7.307307307307305E-2</c:v>
                </c:pt>
                <c:pt idx="74">
                  <c:v>7.4074074074074056E-2</c:v>
                </c:pt>
                <c:pt idx="75">
                  <c:v>7.5075075075075062E-2</c:v>
                </c:pt>
                <c:pt idx="76">
                  <c:v>7.6076076076076068E-2</c:v>
                </c:pt>
                <c:pt idx="77">
                  <c:v>7.7077077077077075E-2</c:v>
                </c:pt>
                <c:pt idx="78">
                  <c:v>7.8078078078078081E-2</c:v>
                </c:pt>
                <c:pt idx="79">
                  <c:v>7.9079079079079087E-2</c:v>
                </c:pt>
                <c:pt idx="80">
                  <c:v>8.0080080080080093E-2</c:v>
                </c:pt>
                <c:pt idx="81">
                  <c:v>8.1081081081081099E-2</c:v>
                </c:pt>
                <c:pt idx="82">
                  <c:v>8.2082082082082106E-2</c:v>
                </c:pt>
                <c:pt idx="83">
                  <c:v>8.3083083083083112E-2</c:v>
                </c:pt>
                <c:pt idx="84">
                  <c:v>8.4084084084084118E-2</c:v>
                </c:pt>
                <c:pt idx="85">
                  <c:v>8.5085085085085124E-2</c:v>
                </c:pt>
                <c:pt idx="86">
                  <c:v>8.608608608608613E-2</c:v>
                </c:pt>
                <c:pt idx="87">
                  <c:v>8.7087087087087137E-2</c:v>
                </c:pt>
                <c:pt idx="88">
                  <c:v>8.8088088088088143E-2</c:v>
                </c:pt>
                <c:pt idx="89">
                  <c:v>8.9089089089089149E-2</c:v>
                </c:pt>
                <c:pt idx="90">
                  <c:v>9.0090090090090155E-2</c:v>
                </c:pt>
                <c:pt idx="91">
                  <c:v>9.1091091091091161E-2</c:v>
                </c:pt>
                <c:pt idx="92">
                  <c:v>9.2092092092092168E-2</c:v>
                </c:pt>
                <c:pt idx="93">
                  <c:v>9.3093093093093174E-2</c:v>
                </c:pt>
                <c:pt idx="94">
                  <c:v>9.409409409409418E-2</c:v>
                </c:pt>
                <c:pt idx="95">
                  <c:v>9.5095095095095186E-2</c:v>
                </c:pt>
                <c:pt idx="96">
                  <c:v>9.6096096096096192E-2</c:v>
                </c:pt>
                <c:pt idx="97">
                  <c:v>9.7097097097097199E-2</c:v>
                </c:pt>
                <c:pt idx="98">
                  <c:v>9.8098098098098205E-2</c:v>
                </c:pt>
                <c:pt idx="99">
                  <c:v>9.9099099099099211E-2</c:v>
                </c:pt>
                <c:pt idx="100">
                  <c:v>0.10010010010010022</c:v>
                </c:pt>
                <c:pt idx="101">
                  <c:v>0.10110110110110122</c:v>
                </c:pt>
                <c:pt idx="102">
                  <c:v>0.10210210210210223</c:v>
                </c:pt>
                <c:pt idx="103">
                  <c:v>0.10310310310310324</c:v>
                </c:pt>
                <c:pt idx="104">
                  <c:v>0.10410410410410424</c:v>
                </c:pt>
                <c:pt idx="105">
                  <c:v>0.10510510510510525</c:v>
                </c:pt>
                <c:pt idx="106">
                  <c:v>0.10610610610610625</c:v>
                </c:pt>
                <c:pt idx="107">
                  <c:v>0.10710710710710726</c:v>
                </c:pt>
                <c:pt idx="108">
                  <c:v>0.10810810810810827</c:v>
                </c:pt>
                <c:pt idx="109">
                  <c:v>0.10910910910910927</c:v>
                </c:pt>
                <c:pt idx="110">
                  <c:v>0.11011011011011028</c:v>
                </c:pt>
                <c:pt idx="111">
                  <c:v>0.11111111111111129</c:v>
                </c:pt>
                <c:pt idx="112">
                  <c:v>0.11211211211211229</c:v>
                </c:pt>
                <c:pt idx="113">
                  <c:v>0.1131131131131133</c:v>
                </c:pt>
                <c:pt idx="114">
                  <c:v>0.1141141141141143</c:v>
                </c:pt>
                <c:pt idx="115">
                  <c:v>0.11511511511511531</c:v>
                </c:pt>
                <c:pt idx="116">
                  <c:v>0.11611611611611632</c:v>
                </c:pt>
                <c:pt idx="117">
                  <c:v>0.11711711711711732</c:v>
                </c:pt>
                <c:pt idx="118">
                  <c:v>0.11811811811811833</c:v>
                </c:pt>
                <c:pt idx="119">
                  <c:v>0.11911911911911933</c:v>
                </c:pt>
                <c:pt idx="120">
                  <c:v>0.12012012012012034</c:v>
                </c:pt>
                <c:pt idx="121">
                  <c:v>0.12112112112112135</c:v>
                </c:pt>
                <c:pt idx="122">
                  <c:v>0.12212212212212235</c:v>
                </c:pt>
                <c:pt idx="123">
                  <c:v>0.12312312312312336</c:v>
                </c:pt>
                <c:pt idx="124">
                  <c:v>0.12412412412412437</c:v>
                </c:pt>
                <c:pt idx="125">
                  <c:v>0.12512512512512536</c:v>
                </c:pt>
                <c:pt idx="126">
                  <c:v>0.12612612612612636</c:v>
                </c:pt>
                <c:pt idx="127">
                  <c:v>0.12712712712712737</c:v>
                </c:pt>
                <c:pt idx="128">
                  <c:v>0.12812812812812838</c:v>
                </c:pt>
                <c:pt idx="129">
                  <c:v>0.12912912912912938</c:v>
                </c:pt>
                <c:pt idx="130">
                  <c:v>0.13013013013013039</c:v>
                </c:pt>
                <c:pt idx="131">
                  <c:v>0.1311311311311314</c:v>
                </c:pt>
                <c:pt idx="132">
                  <c:v>0.1321321321321324</c:v>
                </c:pt>
                <c:pt idx="133">
                  <c:v>0.13313313313313341</c:v>
                </c:pt>
                <c:pt idx="134">
                  <c:v>0.13413413413413441</c:v>
                </c:pt>
                <c:pt idx="135">
                  <c:v>0.13513513513513542</c:v>
                </c:pt>
                <c:pt idx="136">
                  <c:v>0.13613613613613643</c:v>
                </c:pt>
                <c:pt idx="137">
                  <c:v>0.13713713713713743</c:v>
                </c:pt>
                <c:pt idx="138">
                  <c:v>0.13813813813813844</c:v>
                </c:pt>
                <c:pt idx="139">
                  <c:v>0.13913913913913944</c:v>
                </c:pt>
                <c:pt idx="140">
                  <c:v>0.14014014014014045</c:v>
                </c:pt>
                <c:pt idx="141">
                  <c:v>0.14114114114114146</c:v>
                </c:pt>
                <c:pt idx="142">
                  <c:v>0.14214214214214246</c:v>
                </c:pt>
                <c:pt idx="143">
                  <c:v>0.14314314314314347</c:v>
                </c:pt>
                <c:pt idx="144">
                  <c:v>0.14414414414414448</c:v>
                </c:pt>
                <c:pt idx="145">
                  <c:v>0.14514514514514548</c:v>
                </c:pt>
                <c:pt idx="146">
                  <c:v>0.14614614614614649</c:v>
                </c:pt>
                <c:pt idx="147">
                  <c:v>0.14714714714714749</c:v>
                </c:pt>
                <c:pt idx="148">
                  <c:v>0.1481481481481485</c:v>
                </c:pt>
                <c:pt idx="149">
                  <c:v>0.14914914914914951</c:v>
                </c:pt>
                <c:pt idx="150">
                  <c:v>0.15015015015015051</c:v>
                </c:pt>
                <c:pt idx="151">
                  <c:v>0.15115115115115152</c:v>
                </c:pt>
                <c:pt idx="152">
                  <c:v>0.15215215215215253</c:v>
                </c:pt>
                <c:pt idx="153">
                  <c:v>0.15315315315315353</c:v>
                </c:pt>
                <c:pt idx="154">
                  <c:v>0.15415415415415454</c:v>
                </c:pt>
                <c:pt idx="155">
                  <c:v>0.15515515515515554</c:v>
                </c:pt>
                <c:pt idx="156">
                  <c:v>0.15615615615615655</c:v>
                </c:pt>
                <c:pt idx="157">
                  <c:v>0.15715715715715756</c:v>
                </c:pt>
                <c:pt idx="158">
                  <c:v>0.15815815815815856</c:v>
                </c:pt>
                <c:pt idx="159">
                  <c:v>0.15915915915915957</c:v>
                </c:pt>
                <c:pt idx="160">
                  <c:v>0.16016016016016058</c:v>
                </c:pt>
                <c:pt idx="161">
                  <c:v>0.16116116116116158</c:v>
                </c:pt>
                <c:pt idx="162">
                  <c:v>0.16216216216216259</c:v>
                </c:pt>
                <c:pt idx="163">
                  <c:v>0.16316316316316359</c:v>
                </c:pt>
                <c:pt idx="164">
                  <c:v>0.1641641641641646</c:v>
                </c:pt>
                <c:pt idx="165">
                  <c:v>0.16516516516516561</c:v>
                </c:pt>
                <c:pt idx="166">
                  <c:v>0.16616616616616661</c:v>
                </c:pt>
                <c:pt idx="167">
                  <c:v>0.16716716716716762</c:v>
                </c:pt>
                <c:pt idx="168">
                  <c:v>0.16816816816816862</c:v>
                </c:pt>
                <c:pt idx="169">
                  <c:v>0.16916916916916963</c:v>
                </c:pt>
                <c:pt idx="170">
                  <c:v>0.17017017017017064</c:v>
                </c:pt>
                <c:pt idx="171">
                  <c:v>0.17117117117117164</c:v>
                </c:pt>
                <c:pt idx="172">
                  <c:v>0.17217217217217265</c:v>
                </c:pt>
                <c:pt idx="173">
                  <c:v>0.17317317317317366</c:v>
                </c:pt>
                <c:pt idx="174">
                  <c:v>0.17417417417417466</c:v>
                </c:pt>
                <c:pt idx="175">
                  <c:v>0.17517517517517567</c:v>
                </c:pt>
                <c:pt idx="176">
                  <c:v>0.17617617617617667</c:v>
                </c:pt>
                <c:pt idx="177">
                  <c:v>0.17717717717717768</c:v>
                </c:pt>
                <c:pt idx="178">
                  <c:v>0.17817817817817869</c:v>
                </c:pt>
                <c:pt idx="179">
                  <c:v>0.17917917917917969</c:v>
                </c:pt>
                <c:pt idx="180">
                  <c:v>0.1801801801801807</c:v>
                </c:pt>
                <c:pt idx="181">
                  <c:v>0.18118118118118171</c:v>
                </c:pt>
                <c:pt idx="182">
                  <c:v>0.18218218218218271</c:v>
                </c:pt>
                <c:pt idx="183">
                  <c:v>0.18318318318318372</c:v>
                </c:pt>
                <c:pt idx="184">
                  <c:v>0.18418418418418472</c:v>
                </c:pt>
                <c:pt idx="185">
                  <c:v>0.18518518518518573</c:v>
                </c:pt>
                <c:pt idx="186">
                  <c:v>0.18618618618618674</c:v>
                </c:pt>
                <c:pt idx="187">
                  <c:v>0.18718718718718774</c:v>
                </c:pt>
                <c:pt idx="188">
                  <c:v>0.18818818818818875</c:v>
                </c:pt>
                <c:pt idx="189">
                  <c:v>0.18918918918918975</c:v>
                </c:pt>
                <c:pt idx="190">
                  <c:v>0.19019019019019076</c:v>
                </c:pt>
                <c:pt idx="191">
                  <c:v>0.19119119119119177</c:v>
                </c:pt>
                <c:pt idx="192">
                  <c:v>0.19219219219219277</c:v>
                </c:pt>
                <c:pt idx="193">
                  <c:v>0.19319319319319378</c:v>
                </c:pt>
                <c:pt idx="194">
                  <c:v>0.19419419419419479</c:v>
                </c:pt>
                <c:pt idx="195">
                  <c:v>0.19519519519519579</c:v>
                </c:pt>
                <c:pt idx="196">
                  <c:v>0.1961961961961968</c:v>
                </c:pt>
                <c:pt idx="197">
                  <c:v>0.1971971971971978</c:v>
                </c:pt>
                <c:pt idx="198">
                  <c:v>0.19819819819819881</c:v>
                </c:pt>
                <c:pt idx="199">
                  <c:v>0.19919919919919982</c:v>
                </c:pt>
                <c:pt idx="200">
                  <c:v>0.20020020020020082</c:v>
                </c:pt>
                <c:pt idx="201">
                  <c:v>0.20120120120120183</c:v>
                </c:pt>
                <c:pt idx="202">
                  <c:v>0.20220220220220284</c:v>
                </c:pt>
                <c:pt idx="203">
                  <c:v>0.20320320320320384</c:v>
                </c:pt>
                <c:pt idx="204">
                  <c:v>0.20420420420420485</c:v>
                </c:pt>
                <c:pt idx="205">
                  <c:v>0.20520520520520585</c:v>
                </c:pt>
                <c:pt idx="206">
                  <c:v>0.20620620620620686</c:v>
                </c:pt>
                <c:pt idx="207">
                  <c:v>0.20720720720720787</c:v>
                </c:pt>
                <c:pt idx="208">
                  <c:v>0.20820820820820887</c:v>
                </c:pt>
                <c:pt idx="209">
                  <c:v>0.20920920920920988</c:v>
                </c:pt>
                <c:pt idx="210">
                  <c:v>0.21021021021021088</c:v>
                </c:pt>
                <c:pt idx="211">
                  <c:v>0.21121121121121189</c:v>
                </c:pt>
                <c:pt idx="212">
                  <c:v>0.2122122122122129</c:v>
                </c:pt>
                <c:pt idx="213">
                  <c:v>0.2132132132132139</c:v>
                </c:pt>
                <c:pt idx="214">
                  <c:v>0.21421421421421491</c:v>
                </c:pt>
                <c:pt idx="215">
                  <c:v>0.21521521521521592</c:v>
                </c:pt>
                <c:pt idx="216">
                  <c:v>0.21621621621621692</c:v>
                </c:pt>
                <c:pt idx="217">
                  <c:v>0.21721721721721793</c:v>
                </c:pt>
                <c:pt idx="218">
                  <c:v>0.21821821821821893</c:v>
                </c:pt>
                <c:pt idx="219">
                  <c:v>0.21921921921921994</c:v>
                </c:pt>
                <c:pt idx="220">
                  <c:v>0.22022022022022095</c:v>
                </c:pt>
                <c:pt idx="221">
                  <c:v>0.22122122122122195</c:v>
                </c:pt>
                <c:pt idx="222">
                  <c:v>0.22222222222222296</c:v>
                </c:pt>
                <c:pt idx="223">
                  <c:v>0.22322322322322397</c:v>
                </c:pt>
                <c:pt idx="224">
                  <c:v>0.22422422422422497</c:v>
                </c:pt>
                <c:pt idx="225">
                  <c:v>0.22522522522522598</c:v>
                </c:pt>
                <c:pt idx="226">
                  <c:v>0.22622622622622698</c:v>
                </c:pt>
                <c:pt idx="227">
                  <c:v>0.22722722722722799</c:v>
                </c:pt>
                <c:pt idx="228">
                  <c:v>0.228228228228229</c:v>
                </c:pt>
                <c:pt idx="229">
                  <c:v>0.22922922922923</c:v>
                </c:pt>
                <c:pt idx="230">
                  <c:v>0.23023023023023101</c:v>
                </c:pt>
                <c:pt idx="231">
                  <c:v>0.23123123123123202</c:v>
                </c:pt>
                <c:pt idx="232">
                  <c:v>0.23223223223223302</c:v>
                </c:pt>
                <c:pt idx="233">
                  <c:v>0.23323323323323403</c:v>
                </c:pt>
                <c:pt idx="234">
                  <c:v>0.23423423423423503</c:v>
                </c:pt>
                <c:pt idx="235">
                  <c:v>0.23523523523523604</c:v>
                </c:pt>
                <c:pt idx="236">
                  <c:v>0.23623623623623705</c:v>
                </c:pt>
                <c:pt idx="237">
                  <c:v>0.23723723723723805</c:v>
                </c:pt>
                <c:pt idx="238">
                  <c:v>0.23823823823823906</c:v>
                </c:pt>
                <c:pt idx="239">
                  <c:v>0.23923923923924006</c:v>
                </c:pt>
                <c:pt idx="240">
                  <c:v>0.24024024024024107</c:v>
                </c:pt>
                <c:pt idx="241">
                  <c:v>0.24124124124124208</c:v>
                </c:pt>
                <c:pt idx="242">
                  <c:v>0.24224224224224308</c:v>
                </c:pt>
                <c:pt idx="243">
                  <c:v>0.24324324324324409</c:v>
                </c:pt>
                <c:pt idx="244">
                  <c:v>0.2442442442442451</c:v>
                </c:pt>
                <c:pt idx="245">
                  <c:v>0.2452452452452461</c:v>
                </c:pt>
                <c:pt idx="246">
                  <c:v>0.24624624624624711</c:v>
                </c:pt>
                <c:pt idx="247">
                  <c:v>0.24724724724724811</c:v>
                </c:pt>
                <c:pt idx="248">
                  <c:v>0.24824824824824912</c:v>
                </c:pt>
                <c:pt idx="249">
                  <c:v>0.24924924924925013</c:v>
                </c:pt>
                <c:pt idx="250">
                  <c:v>0.25025025025025111</c:v>
                </c:pt>
                <c:pt idx="251">
                  <c:v>0.25125125125125208</c:v>
                </c:pt>
                <c:pt idx="252">
                  <c:v>0.25225225225225306</c:v>
                </c:pt>
                <c:pt idx="253">
                  <c:v>0.25325325325325404</c:v>
                </c:pt>
                <c:pt idx="254">
                  <c:v>0.25425425425425502</c:v>
                </c:pt>
                <c:pt idx="255">
                  <c:v>0.255255255255256</c:v>
                </c:pt>
                <c:pt idx="256">
                  <c:v>0.25625625625625698</c:v>
                </c:pt>
                <c:pt idx="257">
                  <c:v>0.25725725725725795</c:v>
                </c:pt>
                <c:pt idx="258">
                  <c:v>0.25825825825825893</c:v>
                </c:pt>
                <c:pt idx="259">
                  <c:v>0.25925925925925991</c:v>
                </c:pt>
                <c:pt idx="260">
                  <c:v>0.26026026026026089</c:v>
                </c:pt>
                <c:pt idx="261">
                  <c:v>0.26126126126126187</c:v>
                </c:pt>
                <c:pt idx="262">
                  <c:v>0.26226226226226285</c:v>
                </c:pt>
                <c:pt idx="263">
                  <c:v>0.26326326326326382</c:v>
                </c:pt>
                <c:pt idx="264">
                  <c:v>0.2642642642642648</c:v>
                </c:pt>
                <c:pt idx="265">
                  <c:v>0.26526526526526578</c:v>
                </c:pt>
                <c:pt idx="266">
                  <c:v>0.26626626626626676</c:v>
                </c:pt>
                <c:pt idx="267">
                  <c:v>0.26726726726726774</c:v>
                </c:pt>
                <c:pt idx="268">
                  <c:v>0.26826826826826872</c:v>
                </c:pt>
                <c:pt idx="269">
                  <c:v>0.2692692692692697</c:v>
                </c:pt>
                <c:pt idx="270">
                  <c:v>0.27027027027027067</c:v>
                </c:pt>
                <c:pt idx="271">
                  <c:v>0.27127127127127165</c:v>
                </c:pt>
                <c:pt idx="272">
                  <c:v>0.27227227227227263</c:v>
                </c:pt>
                <c:pt idx="273">
                  <c:v>0.27327327327327361</c:v>
                </c:pt>
                <c:pt idx="274">
                  <c:v>0.27427427427427459</c:v>
                </c:pt>
                <c:pt idx="275">
                  <c:v>0.27527527527527557</c:v>
                </c:pt>
                <c:pt idx="276">
                  <c:v>0.27627627627627654</c:v>
                </c:pt>
                <c:pt idx="277">
                  <c:v>0.27727727727727752</c:v>
                </c:pt>
                <c:pt idx="278">
                  <c:v>0.2782782782782785</c:v>
                </c:pt>
                <c:pt idx="279">
                  <c:v>0.27927927927927948</c:v>
                </c:pt>
                <c:pt idx="280">
                  <c:v>0.28028028028028046</c:v>
                </c:pt>
                <c:pt idx="281">
                  <c:v>0.28128128128128144</c:v>
                </c:pt>
                <c:pt idx="282">
                  <c:v>0.28228228228228242</c:v>
                </c:pt>
                <c:pt idx="283">
                  <c:v>0.28328328328328339</c:v>
                </c:pt>
                <c:pt idx="284">
                  <c:v>0.28428428428428437</c:v>
                </c:pt>
                <c:pt idx="285">
                  <c:v>0.28528528528528535</c:v>
                </c:pt>
                <c:pt idx="286">
                  <c:v>0.28628628628628633</c:v>
                </c:pt>
                <c:pt idx="287">
                  <c:v>0.28728728728728731</c:v>
                </c:pt>
                <c:pt idx="288">
                  <c:v>0.28828828828828829</c:v>
                </c:pt>
                <c:pt idx="289">
                  <c:v>0.28928928928928926</c:v>
                </c:pt>
                <c:pt idx="290">
                  <c:v>0.29029029029029024</c:v>
                </c:pt>
                <c:pt idx="291">
                  <c:v>0.29129129129129122</c:v>
                </c:pt>
                <c:pt idx="292">
                  <c:v>0.2922922922922922</c:v>
                </c:pt>
                <c:pt idx="293">
                  <c:v>0.29329329329329318</c:v>
                </c:pt>
                <c:pt idx="294">
                  <c:v>0.29429429429429416</c:v>
                </c:pt>
                <c:pt idx="295">
                  <c:v>0.29529529529529513</c:v>
                </c:pt>
                <c:pt idx="296">
                  <c:v>0.29629629629629611</c:v>
                </c:pt>
                <c:pt idx="297">
                  <c:v>0.29729729729729709</c:v>
                </c:pt>
                <c:pt idx="298">
                  <c:v>0.29829829829829807</c:v>
                </c:pt>
                <c:pt idx="299">
                  <c:v>0.29929929929929905</c:v>
                </c:pt>
                <c:pt idx="300">
                  <c:v>0.30030030030030003</c:v>
                </c:pt>
                <c:pt idx="301">
                  <c:v>0.30130130130130101</c:v>
                </c:pt>
                <c:pt idx="302">
                  <c:v>0.30230230230230198</c:v>
                </c:pt>
                <c:pt idx="303">
                  <c:v>0.30330330330330296</c:v>
                </c:pt>
                <c:pt idx="304">
                  <c:v>0.30430430430430394</c:v>
                </c:pt>
                <c:pt idx="305">
                  <c:v>0.30530530530530492</c:v>
                </c:pt>
                <c:pt idx="306">
                  <c:v>0.3063063063063059</c:v>
                </c:pt>
                <c:pt idx="307">
                  <c:v>0.30730730730730688</c:v>
                </c:pt>
                <c:pt idx="308">
                  <c:v>0.30830830830830785</c:v>
                </c:pt>
                <c:pt idx="309">
                  <c:v>0.30930930930930883</c:v>
                </c:pt>
                <c:pt idx="310">
                  <c:v>0.31031031031030981</c:v>
                </c:pt>
                <c:pt idx="311">
                  <c:v>0.31131131131131079</c:v>
                </c:pt>
                <c:pt idx="312">
                  <c:v>0.31231231231231177</c:v>
                </c:pt>
                <c:pt idx="313">
                  <c:v>0.31331331331331275</c:v>
                </c:pt>
                <c:pt idx="314">
                  <c:v>0.31431431431431373</c:v>
                </c:pt>
                <c:pt idx="315">
                  <c:v>0.3153153153153147</c:v>
                </c:pt>
                <c:pt idx="316">
                  <c:v>0.31631631631631568</c:v>
                </c:pt>
                <c:pt idx="317">
                  <c:v>0.31731731731731666</c:v>
                </c:pt>
                <c:pt idx="318">
                  <c:v>0.31831831831831764</c:v>
                </c:pt>
                <c:pt idx="319">
                  <c:v>0.31931931931931862</c:v>
                </c:pt>
                <c:pt idx="320">
                  <c:v>0.3203203203203196</c:v>
                </c:pt>
                <c:pt idx="321">
                  <c:v>0.32132132132132057</c:v>
                </c:pt>
                <c:pt idx="322">
                  <c:v>0.32232232232232155</c:v>
                </c:pt>
                <c:pt idx="323">
                  <c:v>0.32332332332332253</c:v>
                </c:pt>
                <c:pt idx="324">
                  <c:v>0.32432432432432351</c:v>
                </c:pt>
                <c:pt idx="325">
                  <c:v>0.32532532532532449</c:v>
                </c:pt>
                <c:pt idx="326">
                  <c:v>0.32632632632632547</c:v>
                </c:pt>
                <c:pt idx="327">
                  <c:v>0.32732732732732644</c:v>
                </c:pt>
                <c:pt idx="328">
                  <c:v>0.32832832832832742</c:v>
                </c:pt>
                <c:pt idx="329">
                  <c:v>0.3293293293293284</c:v>
                </c:pt>
                <c:pt idx="330">
                  <c:v>0.33033033033032938</c:v>
                </c:pt>
                <c:pt idx="331">
                  <c:v>0.33133133133133036</c:v>
                </c:pt>
                <c:pt idx="332">
                  <c:v>0.33233233233233134</c:v>
                </c:pt>
                <c:pt idx="333">
                  <c:v>0.33333333333333232</c:v>
                </c:pt>
                <c:pt idx="334">
                  <c:v>0.33433433433433329</c:v>
                </c:pt>
                <c:pt idx="335">
                  <c:v>0.33533533533533427</c:v>
                </c:pt>
                <c:pt idx="336">
                  <c:v>0.33633633633633525</c:v>
                </c:pt>
                <c:pt idx="337">
                  <c:v>0.33733733733733623</c:v>
                </c:pt>
                <c:pt idx="338">
                  <c:v>0.33833833833833721</c:v>
                </c:pt>
                <c:pt idx="339">
                  <c:v>0.33933933933933819</c:v>
                </c:pt>
                <c:pt idx="340">
                  <c:v>0.34034034034033916</c:v>
                </c:pt>
                <c:pt idx="341">
                  <c:v>0.34134134134134014</c:v>
                </c:pt>
                <c:pt idx="342">
                  <c:v>0.34234234234234112</c:v>
                </c:pt>
                <c:pt idx="343">
                  <c:v>0.3433433433433421</c:v>
                </c:pt>
                <c:pt idx="344">
                  <c:v>0.34434434434434308</c:v>
                </c:pt>
                <c:pt idx="345">
                  <c:v>0.34534534534534406</c:v>
                </c:pt>
                <c:pt idx="346">
                  <c:v>0.34634634634634504</c:v>
                </c:pt>
                <c:pt idx="347">
                  <c:v>0.34734734734734601</c:v>
                </c:pt>
                <c:pt idx="348">
                  <c:v>0.34834834834834699</c:v>
                </c:pt>
                <c:pt idx="349">
                  <c:v>0.34934934934934797</c:v>
                </c:pt>
                <c:pt idx="350">
                  <c:v>0.35035035035034895</c:v>
                </c:pt>
                <c:pt idx="351">
                  <c:v>0.35135135135134993</c:v>
                </c:pt>
                <c:pt idx="352">
                  <c:v>0.35235235235235091</c:v>
                </c:pt>
                <c:pt idx="353">
                  <c:v>0.35335335335335188</c:v>
                </c:pt>
                <c:pt idx="354">
                  <c:v>0.35435435435435286</c:v>
                </c:pt>
                <c:pt idx="355">
                  <c:v>0.35535535535535384</c:v>
                </c:pt>
                <c:pt idx="356">
                  <c:v>0.35635635635635482</c:v>
                </c:pt>
                <c:pt idx="357">
                  <c:v>0.3573573573573558</c:v>
                </c:pt>
                <c:pt idx="358">
                  <c:v>0.35835835835835678</c:v>
                </c:pt>
                <c:pt idx="359">
                  <c:v>0.35935935935935776</c:v>
                </c:pt>
                <c:pt idx="360">
                  <c:v>0.36036036036035873</c:v>
                </c:pt>
                <c:pt idx="361">
                  <c:v>0.36136136136135971</c:v>
                </c:pt>
                <c:pt idx="362">
                  <c:v>0.36236236236236069</c:v>
                </c:pt>
                <c:pt idx="363">
                  <c:v>0.36336336336336167</c:v>
                </c:pt>
                <c:pt idx="364">
                  <c:v>0.36436436436436265</c:v>
                </c:pt>
                <c:pt idx="365">
                  <c:v>0.36536536536536363</c:v>
                </c:pt>
                <c:pt idx="366">
                  <c:v>0.3663663663663646</c:v>
                </c:pt>
                <c:pt idx="367">
                  <c:v>0.36736736736736558</c:v>
                </c:pt>
                <c:pt idx="368">
                  <c:v>0.36836836836836656</c:v>
                </c:pt>
                <c:pt idx="369">
                  <c:v>0.36936936936936754</c:v>
                </c:pt>
                <c:pt idx="370">
                  <c:v>0.37037037037036852</c:v>
                </c:pt>
                <c:pt idx="371">
                  <c:v>0.3713713713713695</c:v>
                </c:pt>
                <c:pt idx="372">
                  <c:v>0.37237237237237047</c:v>
                </c:pt>
                <c:pt idx="373">
                  <c:v>0.37337337337337145</c:v>
                </c:pt>
                <c:pt idx="374">
                  <c:v>0.37437437437437243</c:v>
                </c:pt>
                <c:pt idx="375">
                  <c:v>0.37537537537537341</c:v>
                </c:pt>
                <c:pt idx="376">
                  <c:v>0.37637637637637439</c:v>
                </c:pt>
                <c:pt idx="377">
                  <c:v>0.37737737737737537</c:v>
                </c:pt>
                <c:pt idx="378">
                  <c:v>0.37837837837837635</c:v>
                </c:pt>
                <c:pt idx="379">
                  <c:v>0.37937937937937732</c:v>
                </c:pt>
                <c:pt idx="380">
                  <c:v>0.3803803803803783</c:v>
                </c:pt>
                <c:pt idx="381">
                  <c:v>0.38138138138137928</c:v>
                </c:pt>
                <c:pt idx="382">
                  <c:v>0.38238238238238026</c:v>
                </c:pt>
                <c:pt idx="383">
                  <c:v>0.38338338338338124</c:v>
                </c:pt>
                <c:pt idx="384">
                  <c:v>0.38438438438438222</c:v>
                </c:pt>
                <c:pt idx="385">
                  <c:v>0.38538538538538319</c:v>
                </c:pt>
                <c:pt idx="386">
                  <c:v>0.38638638638638417</c:v>
                </c:pt>
                <c:pt idx="387">
                  <c:v>0.38738738738738515</c:v>
                </c:pt>
                <c:pt idx="388">
                  <c:v>0.38838838838838613</c:v>
                </c:pt>
                <c:pt idx="389">
                  <c:v>0.38938938938938711</c:v>
                </c:pt>
                <c:pt idx="390">
                  <c:v>0.39039039039038809</c:v>
                </c:pt>
                <c:pt idx="391">
                  <c:v>0.39139139139138907</c:v>
                </c:pt>
                <c:pt idx="392">
                  <c:v>0.39239239239239004</c:v>
                </c:pt>
                <c:pt idx="393">
                  <c:v>0.39339339339339102</c:v>
                </c:pt>
                <c:pt idx="394">
                  <c:v>0.394394394394392</c:v>
                </c:pt>
                <c:pt idx="395">
                  <c:v>0.39539539539539298</c:v>
                </c:pt>
                <c:pt idx="396">
                  <c:v>0.39639639639639396</c:v>
                </c:pt>
                <c:pt idx="397">
                  <c:v>0.39739739739739494</c:v>
                </c:pt>
                <c:pt idx="398">
                  <c:v>0.39839839839839591</c:v>
                </c:pt>
                <c:pt idx="399">
                  <c:v>0.39939939939939689</c:v>
                </c:pt>
                <c:pt idx="400">
                  <c:v>0.40040040040039787</c:v>
                </c:pt>
                <c:pt idx="401">
                  <c:v>0.40140140140139885</c:v>
                </c:pt>
                <c:pt idx="402">
                  <c:v>0.40240240240239983</c:v>
                </c:pt>
                <c:pt idx="403">
                  <c:v>0.40340340340340081</c:v>
                </c:pt>
                <c:pt idx="404">
                  <c:v>0.40440440440440178</c:v>
                </c:pt>
                <c:pt idx="405">
                  <c:v>0.40540540540540276</c:v>
                </c:pt>
                <c:pt idx="406">
                  <c:v>0.40640640640640374</c:v>
                </c:pt>
                <c:pt idx="407">
                  <c:v>0.40740740740740472</c:v>
                </c:pt>
                <c:pt idx="408">
                  <c:v>0.4084084084084057</c:v>
                </c:pt>
                <c:pt idx="409">
                  <c:v>0.40940940940940668</c:v>
                </c:pt>
                <c:pt idx="410">
                  <c:v>0.41041041041040766</c:v>
                </c:pt>
                <c:pt idx="411">
                  <c:v>0.41141141141140863</c:v>
                </c:pt>
                <c:pt idx="412">
                  <c:v>0.41241241241240961</c:v>
                </c:pt>
                <c:pt idx="413">
                  <c:v>0.41341341341341059</c:v>
                </c:pt>
                <c:pt idx="414">
                  <c:v>0.41441441441441157</c:v>
                </c:pt>
                <c:pt idx="415">
                  <c:v>0.41541541541541255</c:v>
                </c:pt>
                <c:pt idx="416">
                  <c:v>0.41641641641641353</c:v>
                </c:pt>
                <c:pt idx="417">
                  <c:v>0.4174174174174145</c:v>
                </c:pt>
                <c:pt idx="418">
                  <c:v>0.41841841841841548</c:v>
                </c:pt>
                <c:pt idx="419">
                  <c:v>0.41941941941941646</c:v>
                </c:pt>
                <c:pt idx="420">
                  <c:v>0.42042042042041744</c:v>
                </c:pt>
                <c:pt idx="421">
                  <c:v>0.42142142142141842</c:v>
                </c:pt>
                <c:pt idx="422">
                  <c:v>0.4224224224224194</c:v>
                </c:pt>
                <c:pt idx="423">
                  <c:v>0.42342342342342038</c:v>
                </c:pt>
                <c:pt idx="424">
                  <c:v>0.42442442442442135</c:v>
                </c:pt>
                <c:pt idx="425">
                  <c:v>0.42542542542542233</c:v>
                </c:pt>
                <c:pt idx="426">
                  <c:v>0.42642642642642331</c:v>
                </c:pt>
                <c:pt idx="427">
                  <c:v>0.42742742742742429</c:v>
                </c:pt>
                <c:pt idx="428">
                  <c:v>0.42842842842842527</c:v>
                </c:pt>
                <c:pt idx="429">
                  <c:v>0.42942942942942625</c:v>
                </c:pt>
                <c:pt idx="430">
                  <c:v>0.43043043043042722</c:v>
                </c:pt>
                <c:pt idx="431">
                  <c:v>0.4314314314314282</c:v>
                </c:pt>
                <c:pt idx="432">
                  <c:v>0.43243243243242918</c:v>
                </c:pt>
                <c:pt idx="433">
                  <c:v>0.43343343343343016</c:v>
                </c:pt>
                <c:pt idx="434">
                  <c:v>0.43443443443443114</c:v>
                </c:pt>
                <c:pt idx="435">
                  <c:v>0.43543543543543212</c:v>
                </c:pt>
                <c:pt idx="436">
                  <c:v>0.4364364364364331</c:v>
                </c:pt>
                <c:pt idx="437">
                  <c:v>0.43743743743743407</c:v>
                </c:pt>
                <c:pt idx="438">
                  <c:v>0.43843843843843505</c:v>
                </c:pt>
                <c:pt idx="439">
                  <c:v>0.43943943943943603</c:v>
                </c:pt>
                <c:pt idx="440">
                  <c:v>0.44044044044043701</c:v>
                </c:pt>
                <c:pt idx="441">
                  <c:v>0.44144144144143799</c:v>
                </c:pt>
                <c:pt idx="442">
                  <c:v>0.44244244244243897</c:v>
                </c:pt>
                <c:pt idx="443">
                  <c:v>0.44344344344343994</c:v>
                </c:pt>
                <c:pt idx="444">
                  <c:v>0.44444444444444092</c:v>
                </c:pt>
                <c:pt idx="445">
                  <c:v>0.4454454454454419</c:v>
                </c:pt>
                <c:pt idx="446">
                  <c:v>0.44644644644644288</c:v>
                </c:pt>
                <c:pt idx="447">
                  <c:v>0.44744744744744386</c:v>
                </c:pt>
                <c:pt idx="448">
                  <c:v>0.44844844844844484</c:v>
                </c:pt>
                <c:pt idx="449">
                  <c:v>0.44944944944944581</c:v>
                </c:pt>
                <c:pt idx="450">
                  <c:v>0.45045045045044679</c:v>
                </c:pt>
                <c:pt idx="451">
                  <c:v>0.45145145145144777</c:v>
                </c:pt>
                <c:pt idx="452">
                  <c:v>0.45245245245244875</c:v>
                </c:pt>
                <c:pt idx="453">
                  <c:v>0.45345345345344973</c:v>
                </c:pt>
                <c:pt idx="454">
                  <c:v>0.45445445445445071</c:v>
                </c:pt>
                <c:pt idx="455">
                  <c:v>0.45545545545545169</c:v>
                </c:pt>
                <c:pt idx="456">
                  <c:v>0.45645645645645266</c:v>
                </c:pt>
                <c:pt idx="457">
                  <c:v>0.45745745745745364</c:v>
                </c:pt>
                <c:pt idx="458">
                  <c:v>0.45845845845845462</c:v>
                </c:pt>
                <c:pt idx="459">
                  <c:v>0.4594594594594556</c:v>
                </c:pt>
                <c:pt idx="460">
                  <c:v>0.46046046046045658</c:v>
                </c:pt>
                <c:pt idx="461">
                  <c:v>0.46146146146145756</c:v>
                </c:pt>
                <c:pt idx="462">
                  <c:v>0.46246246246245853</c:v>
                </c:pt>
                <c:pt idx="463">
                  <c:v>0.46346346346345951</c:v>
                </c:pt>
                <c:pt idx="464">
                  <c:v>0.46446446446446049</c:v>
                </c:pt>
                <c:pt idx="465">
                  <c:v>0.46546546546546147</c:v>
                </c:pt>
                <c:pt idx="466">
                  <c:v>0.46646646646646245</c:v>
                </c:pt>
                <c:pt idx="467">
                  <c:v>0.46746746746746343</c:v>
                </c:pt>
                <c:pt idx="468">
                  <c:v>0.46846846846846441</c:v>
                </c:pt>
                <c:pt idx="469">
                  <c:v>0.46946946946946538</c:v>
                </c:pt>
                <c:pt idx="470">
                  <c:v>0.47047047047046636</c:v>
                </c:pt>
                <c:pt idx="471">
                  <c:v>0.47147147147146734</c:v>
                </c:pt>
                <c:pt idx="472">
                  <c:v>0.47247247247246832</c:v>
                </c:pt>
                <c:pt idx="473">
                  <c:v>0.4734734734734693</c:v>
                </c:pt>
                <c:pt idx="474">
                  <c:v>0.47447447447447028</c:v>
                </c:pt>
                <c:pt idx="475">
                  <c:v>0.47547547547547125</c:v>
                </c:pt>
                <c:pt idx="476">
                  <c:v>0.47647647647647223</c:v>
                </c:pt>
                <c:pt idx="477">
                  <c:v>0.47747747747747321</c:v>
                </c:pt>
                <c:pt idx="478">
                  <c:v>0.47847847847847419</c:v>
                </c:pt>
                <c:pt idx="479">
                  <c:v>0.47947947947947517</c:v>
                </c:pt>
                <c:pt idx="480">
                  <c:v>0.48048048048047615</c:v>
                </c:pt>
                <c:pt idx="481">
                  <c:v>0.48148148148147712</c:v>
                </c:pt>
                <c:pt idx="482">
                  <c:v>0.4824824824824781</c:v>
                </c:pt>
                <c:pt idx="483">
                  <c:v>0.48348348348347908</c:v>
                </c:pt>
                <c:pt idx="484">
                  <c:v>0.48448448448448006</c:v>
                </c:pt>
                <c:pt idx="485">
                  <c:v>0.48548548548548104</c:v>
                </c:pt>
                <c:pt idx="486">
                  <c:v>0.48648648648648202</c:v>
                </c:pt>
                <c:pt idx="487">
                  <c:v>0.487487487487483</c:v>
                </c:pt>
                <c:pt idx="488">
                  <c:v>0.48848848848848397</c:v>
                </c:pt>
                <c:pt idx="489">
                  <c:v>0.48948948948948495</c:v>
                </c:pt>
                <c:pt idx="490">
                  <c:v>0.49049049049048593</c:v>
                </c:pt>
                <c:pt idx="491">
                  <c:v>0.49149149149148691</c:v>
                </c:pt>
                <c:pt idx="492">
                  <c:v>0.49249249249248789</c:v>
                </c:pt>
                <c:pt idx="493">
                  <c:v>0.49349349349348887</c:v>
                </c:pt>
                <c:pt idx="494">
                  <c:v>0.49449449449448984</c:v>
                </c:pt>
                <c:pt idx="495">
                  <c:v>0.49549549549549082</c:v>
                </c:pt>
                <c:pt idx="496">
                  <c:v>0.4964964964964918</c:v>
                </c:pt>
                <c:pt idx="497">
                  <c:v>0.49749749749749278</c:v>
                </c:pt>
                <c:pt idx="498">
                  <c:v>0.49849849849849376</c:v>
                </c:pt>
                <c:pt idx="499">
                  <c:v>0.49949949949949474</c:v>
                </c:pt>
                <c:pt idx="500">
                  <c:v>0.50050050050049577</c:v>
                </c:pt>
                <c:pt idx="501">
                  <c:v>0.50150150150149675</c:v>
                </c:pt>
                <c:pt idx="502">
                  <c:v>0.50250250250249773</c:v>
                </c:pt>
                <c:pt idx="503">
                  <c:v>0.50350350350349871</c:v>
                </c:pt>
                <c:pt idx="504">
                  <c:v>0.50450450450449968</c:v>
                </c:pt>
                <c:pt idx="505">
                  <c:v>0.50550550550550066</c:v>
                </c:pt>
                <c:pt idx="506">
                  <c:v>0.50650650650650164</c:v>
                </c:pt>
                <c:pt idx="507">
                  <c:v>0.50750750750750262</c:v>
                </c:pt>
                <c:pt idx="508">
                  <c:v>0.5085085085085036</c:v>
                </c:pt>
                <c:pt idx="509">
                  <c:v>0.50950950950950458</c:v>
                </c:pt>
                <c:pt idx="510">
                  <c:v>0.51051051051050556</c:v>
                </c:pt>
                <c:pt idx="511">
                  <c:v>0.51151151151150653</c:v>
                </c:pt>
                <c:pt idx="512">
                  <c:v>0.51251251251250751</c:v>
                </c:pt>
                <c:pt idx="513">
                  <c:v>0.51351351351350849</c:v>
                </c:pt>
                <c:pt idx="514">
                  <c:v>0.51451451451450947</c:v>
                </c:pt>
                <c:pt idx="515">
                  <c:v>0.51551551551551045</c:v>
                </c:pt>
                <c:pt idx="516">
                  <c:v>0.51651651651651143</c:v>
                </c:pt>
                <c:pt idx="517">
                  <c:v>0.5175175175175124</c:v>
                </c:pt>
                <c:pt idx="518">
                  <c:v>0.51851851851851338</c:v>
                </c:pt>
                <c:pt idx="519">
                  <c:v>0.51951951951951436</c:v>
                </c:pt>
                <c:pt idx="520">
                  <c:v>0.52052052052051534</c:v>
                </c:pt>
                <c:pt idx="521">
                  <c:v>0.52152152152151632</c:v>
                </c:pt>
                <c:pt idx="522">
                  <c:v>0.5225225225225173</c:v>
                </c:pt>
                <c:pt idx="523">
                  <c:v>0.52352352352351827</c:v>
                </c:pt>
                <c:pt idx="524">
                  <c:v>0.52452452452451925</c:v>
                </c:pt>
                <c:pt idx="525">
                  <c:v>0.52552552552552023</c:v>
                </c:pt>
                <c:pt idx="526">
                  <c:v>0.52652652652652121</c:v>
                </c:pt>
                <c:pt idx="527">
                  <c:v>0.52752752752752219</c:v>
                </c:pt>
                <c:pt idx="528">
                  <c:v>0.52852852852852317</c:v>
                </c:pt>
                <c:pt idx="529">
                  <c:v>0.52952952952952415</c:v>
                </c:pt>
                <c:pt idx="530">
                  <c:v>0.53053053053052512</c:v>
                </c:pt>
                <c:pt idx="531">
                  <c:v>0.5315315315315261</c:v>
                </c:pt>
                <c:pt idx="532">
                  <c:v>0.53253253253252708</c:v>
                </c:pt>
                <c:pt idx="533">
                  <c:v>0.53353353353352806</c:v>
                </c:pt>
                <c:pt idx="534">
                  <c:v>0.53453453453452904</c:v>
                </c:pt>
                <c:pt idx="535">
                  <c:v>0.53553553553553002</c:v>
                </c:pt>
                <c:pt idx="536">
                  <c:v>0.53653653653653099</c:v>
                </c:pt>
                <c:pt idx="537">
                  <c:v>0.53753753753753197</c:v>
                </c:pt>
                <c:pt idx="538">
                  <c:v>0.53853853853853295</c:v>
                </c:pt>
                <c:pt idx="539">
                  <c:v>0.53953953953953393</c:v>
                </c:pt>
                <c:pt idx="540">
                  <c:v>0.54054054054053491</c:v>
                </c:pt>
                <c:pt idx="541">
                  <c:v>0.54154154154153589</c:v>
                </c:pt>
                <c:pt idx="542">
                  <c:v>0.54254254254253687</c:v>
                </c:pt>
                <c:pt idx="543">
                  <c:v>0.54354354354353784</c:v>
                </c:pt>
                <c:pt idx="544">
                  <c:v>0.54454454454453882</c:v>
                </c:pt>
                <c:pt idx="545">
                  <c:v>0.5455455455455398</c:v>
                </c:pt>
                <c:pt idx="546">
                  <c:v>0.54654654654654078</c:v>
                </c:pt>
                <c:pt idx="547">
                  <c:v>0.54754754754754176</c:v>
                </c:pt>
                <c:pt idx="548">
                  <c:v>0.54854854854854274</c:v>
                </c:pt>
                <c:pt idx="549">
                  <c:v>0.54954954954954371</c:v>
                </c:pt>
                <c:pt idx="550">
                  <c:v>0.55055055055054469</c:v>
                </c:pt>
                <c:pt idx="551">
                  <c:v>0.55155155155154567</c:v>
                </c:pt>
                <c:pt idx="552">
                  <c:v>0.55255255255254665</c:v>
                </c:pt>
                <c:pt idx="553">
                  <c:v>0.55355355355354763</c:v>
                </c:pt>
                <c:pt idx="554">
                  <c:v>0.55455455455454861</c:v>
                </c:pt>
                <c:pt idx="555">
                  <c:v>0.55555555555554959</c:v>
                </c:pt>
                <c:pt idx="556">
                  <c:v>0.55655655655655056</c:v>
                </c:pt>
                <c:pt idx="557">
                  <c:v>0.55755755755755154</c:v>
                </c:pt>
                <c:pt idx="558">
                  <c:v>0.55855855855855252</c:v>
                </c:pt>
                <c:pt idx="559">
                  <c:v>0.5595595595595535</c:v>
                </c:pt>
                <c:pt idx="560">
                  <c:v>0.56056056056055448</c:v>
                </c:pt>
                <c:pt idx="561">
                  <c:v>0.56156156156155546</c:v>
                </c:pt>
                <c:pt idx="562">
                  <c:v>0.56256256256255643</c:v>
                </c:pt>
                <c:pt idx="563">
                  <c:v>0.56356356356355741</c:v>
                </c:pt>
                <c:pt idx="564">
                  <c:v>0.56456456456455839</c:v>
                </c:pt>
                <c:pt idx="565">
                  <c:v>0.56556556556555937</c:v>
                </c:pt>
                <c:pt idx="566">
                  <c:v>0.56656656656656035</c:v>
                </c:pt>
                <c:pt idx="567">
                  <c:v>0.56756756756756133</c:v>
                </c:pt>
                <c:pt idx="568">
                  <c:v>0.5685685685685623</c:v>
                </c:pt>
                <c:pt idx="569">
                  <c:v>0.56956956956956328</c:v>
                </c:pt>
                <c:pt idx="570">
                  <c:v>0.57057057057056426</c:v>
                </c:pt>
                <c:pt idx="571">
                  <c:v>0.57157157157156524</c:v>
                </c:pt>
                <c:pt idx="572">
                  <c:v>0.57257257257256622</c:v>
                </c:pt>
                <c:pt idx="573">
                  <c:v>0.5735735735735672</c:v>
                </c:pt>
                <c:pt idx="574">
                  <c:v>0.57457457457456818</c:v>
                </c:pt>
                <c:pt idx="575">
                  <c:v>0.57557557557556915</c:v>
                </c:pt>
                <c:pt idx="576">
                  <c:v>0.57657657657657013</c:v>
                </c:pt>
                <c:pt idx="577">
                  <c:v>0.57757757757757111</c:v>
                </c:pt>
                <c:pt idx="578">
                  <c:v>0.57857857857857209</c:v>
                </c:pt>
                <c:pt idx="579">
                  <c:v>0.57957957957957307</c:v>
                </c:pt>
                <c:pt idx="580">
                  <c:v>0.58058058058057405</c:v>
                </c:pt>
                <c:pt idx="581">
                  <c:v>0.58158158158157502</c:v>
                </c:pt>
                <c:pt idx="582">
                  <c:v>0.582582582582576</c:v>
                </c:pt>
                <c:pt idx="583">
                  <c:v>0.58358358358357698</c:v>
                </c:pt>
                <c:pt idx="584">
                  <c:v>0.58458458458457796</c:v>
                </c:pt>
                <c:pt idx="585">
                  <c:v>0.58558558558557894</c:v>
                </c:pt>
                <c:pt idx="586">
                  <c:v>0.58658658658657992</c:v>
                </c:pt>
                <c:pt idx="587">
                  <c:v>0.5875875875875809</c:v>
                </c:pt>
                <c:pt idx="588">
                  <c:v>0.58858858858858187</c:v>
                </c:pt>
                <c:pt idx="589">
                  <c:v>0.58958958958958285</c:v>
                </c:pt>
                <c:pt idx="590">
                  <c:v>0.59059059059058383</c:v>
                </c:pt>
                <c:pt idx="591">
                  <c:v>0.59159159159158481</c:v>
                </c:pt>
                <c:pt idx="592">
                  <c:v>0.59259259259258579</c:v>
                </c:pt>
                <c:pt idx="593">
                  <c:v>0.59359359359358677</c:v>
                </c:pt>
                <c:pt idx="594">
                  <c:v>0.59459459459458774</c:v>
                </c:pt>
                <c:pt idx="595">
                  <c:v>0.59559559559558872</c:v>
                </c:pt>
                <c:pt idx="596">
                  <c:v>0.5965965965965897</c:v>
                </c:pt>
                <c:pt idx="597">
                  <c:v>0.59759759759759068</c:v>
                </c:pt>
                <c:pt idx="598">
                  <c:v>0.59859859859859166</c:v>
                </c:pt>
                <c:pt idx="599">
                  <c:v>0.59959959959959264</c:v>
                </c:pt>
                <c:pt idx="600">
                  <c:v>0.60060060060059361</c:v>
                </c:pt>
                <c:pt idx="601">
                  <c:v>0.60160160160159459</c:v>
                </c:pt>
                <c:pt idx="602">
                  <c:v>0.60260260260259557</c:v>
                </c:pt>
                <c:pt idx="603">
                  <c:v>0.60360360360359655</c:v>
                </c:pt>
                <c:pt idx="604">
                  <c:v>0.60460460460459753</c:v>
                </c:pt>
                <c:pt idx="605">
                  <c:v>0.60560560560559851</c:v>
                </c:pt>
                <c:pt idx="606">
                  <c:v>0.60660660660659949</c:v>
                </c:pt>
                <c:pt idx="607">
                  <c:v>0.60760760760760046</c:v>
                </c:pt>
                <c:pt idx="608">
                  <c:v>0.60860860860860144</c:v>
                </c:pt>
                <c:pt idx="609">
                  <c:v>0.60960960960960242</c:v>
                </c:pt>
                <c:pt idx="610">
                  <c:v>0.6106106106106034</c:v>
                </c:pt>
                <c:pt idx="611">
                  <c:v>0.61161161161160438</c:v>
                </c:pt>
                <c:pt idx="612">
                  <c:v>0.61261261261260536</c:v>
                </c:pt>
                <c:pt idx="613">
                  <c:v>0.61361361361360633</c:v>
                </c:pt>
                <c:pt idx="614">
                  <c:v>0.61461461461460731</c:v>
                </c:pt>
                <c:pt idx="615">
                  <c:v>0.61561561561560829</c:v>
                </c:pt>
                <c:pt idx="616">
                  <c:v>0.61661661661660927</c:v>
                </c:pt>
                <c:pt idx="617">
                  <c:v>0.61761761761761025</c:v>
                </c:pt>
                <c:pt idx="618">
                  <c:v>0.61861861861861123</c:v>
                </c:pt>
                <c:pt idx="619">
                  <c:v>0.61961961961961221</c:v>
                </c:pt>
                <c:pt idx="620">
                  <c:v>0.62062062062061318</c:v>
                </c:pt>
                <c:pt idx="621">
                  <c:v>0.62162162162161416</c:v>
                </c:pt>
                <c:pt idx="622">
                  <c:v>0.62262262262261514</c:v>
                </c:pt>
                <c:pt idx="623">
                  <c:v>0.62362362362361612</c:v>
                </c:pt>
                <c:pt idx="624">
                  <c:v>0.6246246246246171</c:v>
                </c:pt>
                <c:pt idx="625">
                  <c:v>0.62562562562561808</c:v>
                </c:pt>
                <c:pt idx="626">
                  <c:v>0.62662662662661905</c:v>
                </c:pt>
                <c:pt idx="627">
                  <c:v>0.62762762762762003</c:v>
                </c:pt>
                <c:pt idx="628">
                  <c:v>0.62862862862862101</c:v>
                </c:pt>
                <c:pt idx="629">
                  <c:v>0.62962962962962199</c:v>
                </c:pt>
                <c:pt idx="630">
                  <c:v>0.63063063063062297</c:v>
                </c:pt>
                <c:pt idx="631">
                  <c:v>0.63163163163162395</c:v>
                </c:pt>
                <c:pt idx="632">
                  <c:v>0.63263263263262492</c:v>
                </c:pt>
                <c:pt idx="633">
                  <c:v>0.6336336336336259</c:v>
                </c:pt>
                <c:pt idx="634">
                  <c:v>0.63463463463462688</c:v>
                </c:pt>
                <c:pt idx="635">
                  <c:v>0.63563563563562786</c:v>
                </c:pt>
                <c:pt idx="636">
                  <c:v>0.63663663663662884</c:v>
                </c:pt>
                <c:pt idx="637">
                  <c:v>0.63763763763762982</c:v>
                </c:pt>
                <c:pt idx="638">
                  <c:v>0.6386386386386308</c:v>
                </c:pt>
                <c:pt idx="639">
                  <c:v>0.63963963963963177</c:v>
                </c:pt>
                <c:pt idx="640">
                  <c:v>0.64064064064063275</c:v>
                </c:pt>
                <c:pt idx="641">
                  <c:v>0.64164164164163373</c:v>
                </c:pt>
                <c:pt idx="642">
                  <c:v>0.64264264264263471</c:v>
                </c:pt>
                <c:pt idx="643">
                  <c:v>0.64364364364363569</c:v>
                </c:pt>
                <c:pt idx="644">
                  <c:v>0.64464464464463667</c:v>
                </c:pt>
                <c:pt idx="645">
                  <c:v>0.64564564564563764</c:v>
                </c:pt>
                <c:pt idx="646">
                  <c:v>0.64664664664663862</c:v>
                </c:pt>
                <c:pt idx="647">
                  <c:v>0.6476476476476396</c:v>
                </c:pt>
                <c:pt idx="648">
                  <c:v>0.64864864864864058</c:v>
                </c:pt>
                <c:pt idx="649">
                  <c:v>0.64964964964964156</c:v>
                </c:pt>
                <c:pt idx="650">
                  <c:v>0.65065065065064254</c:v>
                </c:pt>
                <c:pt idx="651">
                  <c:v>0.65165165165164352</c:v>
                </c:pt>
                <c:pt idx="652">
                  <c:v>0.65265265265264449</c:v>
                </c:pt>
                <c:pt idx="653">
                  <c:v>0.65365365365364547</c:v>
                </c:pt>
                <c:pt idx="654">
                  <c:v>0.65465465465464645</c:v>
                </c:pt>
                <c:pt idx="655">
                  <c:v>0.65565565565564743</c:v>
                </c:pt>
                <c:pt idx="656">
                  <c:v>0.65665665665664841</c:v>
                </c:pt>
                <c:pt idx="657">
                  <c:v>0.65765765765764939</c:v>
                </c:pt>
                <c:pt idx="658">
                  <c:v>0.65865865865865036</c:v>
                </c:pt>
                <c:pt idx="659">
                  <c:v>0.65965965965965134</c:v>
                </c:pt>
                <c:pt idx="660">
                  <c:v>0.66066066066065232</c:v>
                </c:pt>
                <c:pt idx="661">
                  <c:v>0.6616616616616533</c:v>
                </c:pt>
                <c:pt idx="662">
                  <c:v>0.66266266266265428</c:v>
                </c:pt>
                <c:pt idx="663">
                  <c:v>0.66366366366365526</c:v>
                </c:pt>
                <c:pt idx="664">
                  <c:v>0.66466466466465624</c:v>
                </c:pt>
                <c:pt idx="665">
                  <c:v>0.66566566566565721</c:v>
                </c:pt>
                <c:pt idx="666">
                  <c:v>0.66666666666665819</c:v>
                </c:pt>
                <c:pt idx="667">
                  <c:v>0.66766766766765917</c:v>
                </c:pt>
                <c:pt idx="668">
                  <c:v>0.66866866866866015</c:v>
                </c:pt>
                <c:pt idx="669">
                  <c:v>0.66966966966966113</c:v>
                </c:pt>
                <c:pt idx="670">
                  <c:v>0.67067067067066211</c:v>
                </c:pt>
                <c:pt idx="671">
                  <c:v>0.67167167167166308</c:v>
                </c:pt>
                <c:pt idx="672">
                  <c:v>0.67267267267266406</c:v>
                </c:pt>
                <c:pt idx="673">
                  <c:v>0.67367367367366504</c:v>
                </c:pt>
                <c:pt idx="674">
                  <c:v>0.67467467467466602</c:v>
                </c:pt>
                <c:pt idx="675">
                  <c:v>0.675675675675667</c:v>
                </c:pt>
                <c:pt idx="676">
                  <c:v>0.67667667667666798</c:v>
                </c:pt>
                <c:pt idx="677">
                  <c:v>0.67767767767766895</c:v>
                </c:pt>
                <c:pt idx="678">
                  <c:v>0.67867867867866993</c:v>
                </c:pt>
                <c:pt idx="679">
                  <c:v>0.67967967967967091</c:v>
                </c:pt>
                <c:pt idx="680">
                  <c:v>0.68068068068067189</c:v>
                </c:pt>
                <c:pt idx="681">
                  <c:v>0.68168168168167287</c:v>
                </c:pt>
                <c:pt idx="682">
                  <c:v>0.68268268268267385</c:v>
                </c:pt>
                <c:pt idx="683">
                  <c:v>0.68368368368367483</c:v>
                </c:pt>
                <c:pt idx="684">
                  <c:v>0.6846846846846758</c:v>
                </c:pt>
                <c:pt idx="685">
                  <c:v>0.68568568568567678</c:v>
                </c:pt>
                <c:pt idx="686">
                  <c:v>0.68668668668667776</c:v>
                </c:pt>
                <c:pt idx="687">
                  <c:v>0.68768768768767874</c:v>
                </c:pt>
                <c:pt idx="688">
                  <c:v>0.68868868868867972</c:v>
                </c:pt>
                <c:pt idx="689">
                  <c:v>0.6896896896896807</c:v>
                </c:pt>
                <c:pt idx="690">
                  <c:v>0.69069069069068167</c:v>
                </c:pt>
                <c:pt idx="691">
                  <c:v>0.69169169169168265</c:v>
                </c:pt>
                <c:pt idx="692">
                  <c:v>0.69269269269268363</c:v>
                </c:pt>
                <c:pt idx="693">
                  <c:v>0.69369369369368461</c:v>
                </c:pt>
                <c:pt idx="694">
                  <c:v>0.69469469469468559</c:v>
                </c:pt>
                <c:pt idx="695">
                  <c:v>0.69569569569568657</c:v>
                </c:pt>
                <c:pt idx="696">
                  <c:v>0.69669669669668755</c:v>
                </c:pt>
                <c:pt idx="697">
                  <c:v>0.69769769769768852</c:v>
                </c:pt>
                <c:pt idx="698">
                  <c:v>0.6986986986986895</c:v>
                </c:pt>
                <c:pt idx="699">
                  <c:v>0.69969969969969048</c:v>
                </c:pt>
                <c:pt idx="700">
                  <c:v>0.70070070070069146</c:v>
                </c:pt>
                <c:pt idx="701">
                  <c:v>0.70170170170169244</c:v>
                </c:pt>
                <c:pt idx="702">
                  <c:v>0.70270270270269342</c:v>
                </c:pt>
                <c:pt idx="703">
                  <c:v>0.70370370370369439</c:v>
                </c:pt>
                <c:pt idx="704">
                  <c:v>0.70470470470469537</c:v>
                </c:pt>
                <c:pt idx="705">
                  <c:v>0.70570570570569635</c:v>
                </c:pt>
                <c:pt idx="706">
                  <c:v>0.70670670670669733</c:v>
                </c:pt>
                <c:pt idx="707">
                  <c:v>0.70770770770769831</c:v>
                </c:pt>
                <c:pt idx="708">
                  <c:v>0.70870870870869929</c:v>
                </c:pt>
                <c:pt idx="709">
                  <c:v>0.70970970970970026</c:v>
                </c:pt>
                <c:pt idx="710">
                  <c:v>0.71071071071070124</c:v>
                </c:pt>
                <c:pt idx="711">
                  <c:v>0.71171171171170222</c:v>
                </c:pt>
                <c:pt idx="712">
                  <c:v>0.7127127127127032</c:v>
                </c:pt>
                <c:pt idx="713">
                  <c:v>0.71371371371370418</c:v>
                </c:pt>
                <c:pt idx="714">
                  <c:v>0.71471471471470516</c:v>
                </c:pt>
                <c:pt idx="715">
                  <c:v>0.71571571571570614</c:v>
                </c:pt>
                <c:pt idx="716">
                  <c:v>0.71671671671670711</c:v>
                </c:pt>
                <c:pt idx="717">
                  <c:v>0.71771771771770809</c:v>
                </c:pt>
                <c:pt idx="718">
                  <c:v>0.71871871871870907</c:v>
                </c:pt>
                <c:pt idx="719">
                  <c:v>0.71971971971971005</c:v>
                </c:pt>
                <c:pt idx="720">
                  <c:v>0.72072072072071103</c:v>
                </c:pt>
                <c:pt idx="721">
                  <c:v>0.72172172172171201</c:v>
                </c:pt>
                <c:pt idx="722">
                  <c:v>0.72272272272271298</c:v>
                </c:pt>
                <c:pt idx="723">
                  <c:v>0.72372372372371396</c:v>
                </c:pt>
                <c:pt idx="724">
                  <c:v>0.72472472472471494</c:v>
                </c:pt>
                <c:pt idx="725">
                  <c:v>0.72572572572571592</c:v>
                </c:pt>
                <c:pt idx="726">
                  <c:v>0.7267267267267169</c:v>
                </c:pt>
                <c:pt idx="727">
                  <c:v>0.72772772772771788</c:v>
                </c:pt>
                <c:pt idx="728">
                  <c:v>0.72872872872871886</c:v>
                </c:pt>
                <c:pt idx="729">
                  <c:v>0.72972972972971983</c:v>
                </c:pt>
                <c:pt idx="730">
                  <c:v>0.73073073073072081</c:v>
                </c:pt>
                <c:pt idx="731">
                  <c:v>0.73173173173172179</c:v>
                </c:pt>
                <c:pt idx="732">
                  <c:v>0.73273273273272277</c:v>
                </c:pt>
                <c:pt idx="733">
                  <c:v>0.73373373373372375</c:v>
                </c:pt>
                <c:pt idx="734">
                  <c:v>0.73473473473472473</c:v>
                </c:pt>
                <c:pt idx="735">
                  <c:v>0.7357357357357257</c:v>
                </c:pt>
                <c:pt idx="736">
                  <c:v>0.73673673673672668</c:v>
                </c:pt>
                <c:pt idx="737">
                  <c:v>0.73773773773772766</c:v>
                </c:pt>
                <c:pt idx="738">
                  <c:v>0.73873873873872864</c:v>
                </c:pt>
                <c:pt idx="739">
                  <c:v>0.73973973973972962</c:v>
                </c:pt>
                <c:pt idx="740">
                  <c:v>0.7407407407407306</c:v>
                </c:pt>
                <c:pt idx="741">
                  <c:v>0.74174174174173158</c:v>
                </c:pt>
                <c:pt idx="742">
                  <c:v>0.74274274274273255</c:v>
                </c:pt>
                <c:pt idx="743">
                  <c:v>0.74374374374373353</c:v>
                </c:pt>
                <c:pt idx="744">
                  <c:v>0.74474474474473451</c:v>
                </c:pt>
                <c:pt idx="745">
                  <c:v>0.74574574574573549</c:v>
                </c:pt>
                <c:pt idx="746">
                  <c:v>0.74674674674673647</c:v>
                </c:pt>
                <c:pt idx="747">
                  <c:v>0.74774774774773745</c:v>
                </c:pt>
                <c:pt idx="748">
                  <c:v>0.74874874874873842</c:v>
                </c:pt>
                <c:pt idx="749">
                  <c:v>0.7497497497497394</c:v>
                </c:pt>
                <c:pt idx="750">
                  <c:v>0.75075075075074038</c:v>
                </c:pt>
                <c:pt idx="751">
                  <c:v>0.75175175175174136</c:v>
                </c:pt>
                <c:pt idx="752">
                  <c:v>0.75275275275274234</c:v>
                </c:pt>
                <c:pt idx="753">
                  <c:v>0.75375375375374332</c:v>
                </c:pt>
                <c:pt idx="754">
                  <c:v>0.75475475475474429</c:v>
                </c:pt>
                <c:pt idx="755">
                  <c:v>0.75575575575574527</c:v>
                </c:pt>
                <c:pt idx="756">
                  <c:v>0.75675675675674625</c:v>
                </c:pt>
                <c:pt idx="757">
                  <c:v>0.75775775775774723</c:v>
                </c:pt>
                <c:pt idx="758">
                  <c:v>0.75875875875874821</c:v>
                </c:pt>
                <c:pt idx="759">
                  <c:v>0.75975975975974919</c:v>
                </c:pt>
                <c:pt idx="760">
                  <c:v>0.76076076076075017</c:v>
                </c:pt>
                <c:pt idx="761">
                  <c:v>0.76176176176175114</c:v>
                </c:pt>
                <c:pt idx="762">
                  <c:v>0.76276276276275212</c:v>
                </c:pt>
                <c:pt idx="763">
                  <c:v>0.7637637637637531</c:v>
                </c:pt>
                <c:pt idx="764">
                  <c:v>0.76476476476475408</c:v>
                </c:pt>
                <c:pt idx="765">
                  <c:v>0.76576576576575506</c:v>
                </c:pt>
                <c:pt idx="766">
                  <c:v>0.76676676676675604</c:v>
                </c:pt>
                <c:pt idx="767">
                  <c:v>0.76776776776775701</c:v>
                </c:pt>
                <c:pt idx="768">
                  <c:v>0.76876876876875799</c:v>
                </c:pt>
                <c:pt idx="769">
                  <c:v>0.76976976976975897</c:v>
                </c:pt>
                <c:pt idx="770">
                  <c:v>0.77077077077075995</c:v>
                </c:pt>
                <c:pt idx="771">
                  <c:v>0.77177177177176093</c:v>
                </c:pt>
                <c:pt idx="772">
                  <c:v>0.77277277277276191</c:v>
                </c:pt>
                <c:pt idx="773">
                  <c:v>0.77377377377376289</c:v>
                </c:pt>
                <c:pt idx="774">
                  <c:v>0.77477477477476386</c:v>
                </c:pt>
                <c:pt idx="775">
                  <c:v>0.77577577577576484</c:v>
                </c:pt>
                <c:pt idx="776">
                  <c:v>0.77677677677676582</c:v>
                </c:pt>
                <c:pt idx="777">
                  <c:v>0.7777777777777668</c:v>
                </c:pt>
                <c:pt idx="778">
                  <c:v>0.77877877877876778</c:v>
                </c:pt>
                <c:pt idx="779">
                  <c:v>0.77977977977976876</c:v>
                </c:pt>
                <c:pt idx="780">
                  <c:v>0.78078078078076973</c:v>
                </c:pt>
                <c:pt idx="781">
                  <c:v>0.78178178178177071</c:v>
                </c:pt>
                <c:pt idx="782">
                  <c:v>0.78278278278277169</c:v>
                </c:pt>
                <c:pt idx="783">
                  <c:v>0.78378378378377267</c:v>
                </c:pt>
                <c:pt idx="784">
                  <c:v>0.78478478478477365</c:v>
                </c:pt>
                <c:pt idx="785">
                  <c:v>0.78578578578577463</c:v>
                </c:pt>
                <c:pt idx="786">
                  <c:v>0.7867867867867756</c:v>
                </c:pt>
                <c:pt idx="787">
                  <c:v>0.78778778778777658</c:v>
                </c:pt>
                <c:pt idx="788">
                  <c:v>0.78878878878877756</c:v>
                </c:pt>
                <c:pt idx="789">
                  <c:v>0.78978978978977854</c:v>
                </c:pt>
                <c:pt idx="790">
                  <c:v>0.79079079079077952</c:v>
                </c:pt>
                <c:pt idx="791">
                  <c:v>0.7917917917917805</c:v>
                </c:pt>
                <c:pt idx="792">
                  <c:v>0.79279279279278148</c:v>
                </c:pt>
                <c:pt idx="793">
                  <c:v>0.79379379379378245</c:v>
                </c:pt>
                <c:pt idx="794">
                  <c:v>0.79479479479478343</c:v>
                </c:pt>
                <c:pt idx="795">
                  <c:v>0.79579579579578441</c:v>
                </c:pt>
                <c:pt idx="796">
                  <c:v>0.79679679679678539</c:v>
                </c:pt>
                <c:pt idx="797">
                  <c:v>0.79779779779778637</c:v>
                </c:pt>
                <c:pt idx="798">
                  <c:v>0.79879879879878735</c:v>
                </c:pt>
                <c:pt idx="799">
                  <c:v>0.79979979979978832</c:v>
                </c:pt>
                <c:pt idx="800">
                  <c:v>0.8008008008007893</c:v>
                </c:pt>
                <c:pt idx="801">
                  <c:v>0.80180180180179028</c:v>
                </c:pt>
                <c:pt idx="802">
                  <c:v>0.80280280280279126</c:v>
                </c:pt>
                <c:pt idx="803">
                  <c:v>0.80380380380379224</c:v>
                </c:pt>
                <c:pt idx="804">
                  <c:v>0.80480480480479322</c:v>
                </c:pt>
                <c:pt idx="805">
                  <c:v>0.8058058058057942</c:v>
                </c:pt>
                <c:pt idx="806">
                  <c:v>0.80680680680679517</c:v>
                </c:pt>
                <c:pt idx="807">
                  <c:v>0.80780780780779615</c:v>
                </c:pt>
                <c:pt idx="808">
                  <c:v>0.80880880880879713</c:v>
                </c:pt>
                <c:pt idx="809">
                  <c:v>0.80980980980979811</c:v>
                </c:pt>
                <c:pt idx="810">
                  <c:v>0.81081081081079909</c:v>
                </c:pt>
                <c:pt idx="811">
                  <c:v>0.81181181181180007</c:v>
                </c:pt>
                <c:pt idx="812">
                  <c:v>0.81281281281280104</c:v>
                </c:pt>
                <c:pt idx="813">
                  <c:v>0.81381381381380202</c:v>
                </c:pt>
                <c:pt idx="814">
                  <c:v>0.814814814814803</c:v>
                </c:pt>
                <c:pt idx="815">
                  <c:v>0.81581581581580398</c:v>
                </c:pt>
                <c:pt idx="816">
                  <c:v>0.81681681681680496</c:v>
                </c:pt>
                <c:pt idx="817">
                  <c:v>0.81781781781780594</c:v>
                </c:pt>
                <c:pt idx="818">
                  <c:v>0.81881881881880691</c:v>
                </c:pt>
                <c:pt idx="819">
                  <c:v>0.81981981981980789</c:v>
                </c:pt>
                <c:pt idx="820">
                  <c:v>0.82082082082080887</c:v>
                </c:pt>
                <c:pt idx="821">
                  <c:v>0.82182182182180985</c:v>
                </c:pt>
                <c:pt idx="822">
                  <c:v>0.82282282282281083</c:v>
                </c:pt>
                <c:pt idx="823">
                  <c:v>0.82382382382381181</c:v>
                </c:pt>
                <c:pt idx="824">
                  <c:v>0.82482482482481279</c:v>
                </c:pt>
                <c:pt idx="825">
                  <c:v>0.82582582582581376</c:v>
                </c:pt>
                <c:pt idx="826">
                  <c:v>0.82682682682681474</c:v>
                </c:pt>
                <c:pt idx="827">
                  <c:v>0.82782782782781572</c:v>
                </c:pt>
                <c:pt idx="828">
                  <c:v>0.8288288288288167</c:v>
                </c:pt>
                <c:pt idx="829">
                  <c:v>0.82982982982981768</c:v>
                </c:pt>
                <c:pt idx="830">
                  <c:v>0.83083083083081866</c:v>
                </c:pt>
                <c:pt idx="831">
                  <c:v>0.83183183183181963</c:v>
                </c:pt>
                <c:pt idx="832">
                  <c:v>0.83283283283282061</c:v>
                </c:pt>
                <c:pt idx="833">
                  <c:v>0.83383383383382159</c:v>
                </c:pt>
                <c:pt idx="834">
                  <c:v>0.83483483483482257</c:v>
                </c:pt>
                <c:pt idx="835">
                  <c:v>0.83583583583582355</c:v>
                </c:pt>
                <c:pt idx="836">
                  <c:v>0.83683683683682453</c:v>
                </c:pt>
                <c:pt idx="837">
                  <c:v>0.83783783783782551</c:v>
                </c:pt>
                <c:pt idx="838">
                  <c:v>0.83883883883882648</c:v>
                </c:pt>
                <c:pt idx="839">
                  <c:v>0.83983983983982746</c:v>
                </c:pt>
                <c:pt idx="840">
                  <c:v>0.84084084084082844</c:v>
                </c:pt>
                <c:pt idx="841">
                  <c:v>0.84184184184182942</c:v>
                </c:pt>
                <c:pt idx="842">
                  <c:v>0.8428428428428304</c:v>
                </c:pt>
                <c:pt idx="843">
                  <c:v>0.84384384384383138</c:v>
                </c:pt>
                <c:pt idx="844">
                  <c:v>0.84484484484483235</c:v>
                </c:pt>
                <c:pt idx="845">
                  <c:v>0.84584584584583333</c:v>
                </c:pt>
                <c:pt idx="846">
                  <c:v>0.84684684684683431</c:v>
                </c:pt>
                <c:pt idx="847">
                  <c:v>0.84784784784783529</c:v>
                </c:pt>
                <c:pt idx="848">
                  <c:v>0.84884884884883627</c:v>
                </c:pt>
                <c:pt idx="849">
                  <c:v>0.84984984984983725</c:v>
                </c:pt>
                <c:pt idx="850">
                  <c:v>0.85085085085083823</c:v>
                </c:pt>
                <c:pt idx="851">
                  <c:v>0.8518518518518392</c:v>
                </c:pt>
                <c:pt idx="852">
                  <c:v>0.85285285285284018</c:v>
                </c:pt>
                <c:pt idx="853">
                  <c:v>0.85385385385384116</c:v>
                </c:pt>
                <c:pt idx="854">
                  <c:v>0.85485485485484214</c:v>
                </c:pt>
                <c:pt idx="855">
                  <c:v>0.85585585585584312</c:v>
                </c:pt>
                <c:pt idx="856">
                  <c:v>0.8568568568568441</c:v>
                </c:pt>
                <c:pt idx="857">
                  <c:v>0.85785785785784507</c:v>
                </c:pt>
                <c:pt idx="858">
                  <c:v>0.85885885885884605</c:v>
                </c:pt>
                <c:pt idx="859">
                  <c:v>0.85985985985984703</c:v>
                </c:pt>
                <c:pt idx="860">
                  <c:v>0.86086086086084801</c:v>
                </c:pt>
                <c:pt idx="861">
                  <c:v>0.86186186186184899</c:v>
                </c:pt>
                <c:pt idx="862">
                  <c:v>0.86286286286284997</c:v>
                </c:pt>
                <c:pt idx="863">
                  <c:v>0.86386386386385094</c:v>
                </c:pt>
                <c:pt idx="864">
                  <c:v>0.86486486486485192</c:v>
                </c:pt>
                <c:pt idx="865">
                  <c:v>0.8658658658658529</c:v>
                </c:pt>
                <c:pt idx="866">
                  <c:v>0.86686686686685388</c:v>
                </c:pt>
                <c:pt idx="867">
                  <c:v>0.86786786786785486</c:v>
                </c:pt>
                <c:pt idx="868">
                  <c:v>0.86886886886885584</c:v>
                </c:pt>
                <c:pt idx="869">
                  <c:v>0.86986986986985682</c:v>
                </c:pt>
                <c:pt idx="870">
                  <c:v>0.87087087087085779</c:v>
                </c:pt>
                <c:pt idx="871">
                  <c:v>0.87187187187185877</c:v>
                </c:pt>
                <c:pt idx="872">
                  <c:v>0.87287287287285975</c:v>
                </c:pt>
                <c:pt idx="873">
                  <c:v>0.87387387387386073</c:v>
                </c:pt>
                <c:pt idx="874">
                  <c:v>0.87487487487486171</c:v>
                </c:pt>
                <c:pt idx="875">
                  <c:v>0.87587587587586269</c:v>
                </c:pt>
                <c:pt idx="876">
                  <c:v>0.87687687687686366</c:v>
                </c:pt>
                <c:pt idx="877">
                  <c:v>0.87787787787786464</c:v>
                </c:pt>
                <c:pt idx="878">
                  <c:v>0.87887887887886562</c:v>
                </c:pt>
                <c:pt idx="879">
                  <c:v>0.8798798798798666</c:v>
                </c:pt>
                <c:pt idx="880">
                  <c:v>0.88088088088086758</c:v>
                </c:pt>
                <c:pt idx="881">
                  <c:v>0.88188188188186856</c:v>
                </c:pt>
                <c:pt idx="882">
                  <c:v>0.88288288288286954</c:v>
                </c:pt>
                <c:pt idx="883">
                  <c:v>0.88388388388387051</c:v>
                </c:pt>
                <c:pt idx="884">
                  <c:v>0.88488488488487149</c:v>
                </c:pt>
                <c:pt idx="885">
                  <c:v>0.88588588588587247</c:v>
                </c:pt>
                <c:pt idx="886">
                  <c:v>0.88688688688687345</c:v>
                </c:pt>
                <c:pt idx="887">
                  <c:v>0.88788788788787443</c:v>
                </c:pt>
                <c:pt idx="888">
                  <c:v>0.88888888888887541</c:v>
                </c:pt>
                <c:pt idx="889">
                  <c:v>0.88988988988987638</c:v>
                </c:pt>
                <c:pt idx="890">
                  <c:v>0.89089089089087736</c:v>
                </c:pt>
                <c:pt idx="891">
                  <c:v>0.89189189189187834</c:v>
                </c:pt>
                <c:pt idx="892">
                  <c:v>0.89289289289287932</c:v>
                </c:pt>
                <c:pt idx="893">
                  <c:v>0.8938938938938803</c:v>
                </c:pt>
                <c:pt idx="894">
                  <c:v>0.89489489489488128</c:v>
                </c:pt>
                <c:pt idx="895">
                  <c:v>0.89589589589588225</c:v>
                </c:pt>
                <c:pt idx="896">
                  <c:v>0.89689689689688323</c:v>
                </c:pt>
                <c:pt idx="897">
                  <c:v>0.89789789789788421</c:v>
                </c:pt>
                <c:pt idx="898">
                  <c:v>0.89889889889888519</c:v>
                </c:pt>
                <c:pt idx="899">
                  <c:v>0.89989989989988617</c:v>
                </c:pt>
                <c:pt idx="900">
                  <c:v>0.90090090090088715</c:v>
                </c:pt>
                <c:pt idx="901">
                  <c:v>0.90190190190188813</c:v>
                </c:pt>
                <c:pt idx="902">
                  <c:v>0.9029029029028891</c:v>
                </c:pt>
                <c:pt idx="903">
                  <c:v>0.90390390390389008</c:v>
                </c:pt>
                <c:pt idx="904">
                  <c:v>0.90490490490489106</c:v>
                </c:pt>
                <c:pt idx="905">
                  <c:v>0.90590590590589204</c:v>
                </c:pt>
                <c:pt idx="906">
                  <c:v>0.90690690690689302</c:v>
                </c:pt>
                <c:pt idx="907">
                  <c:v>0.907907907907894</c:v>
                </c:pt>
                <c:pt idx="908">
                  <c:v>0.90890890890889497</c:v>
                </c:pt>
                <c:pt idx="909">
                  <c:v>0.90990990990989595</c:v>
                </c:pt>
                <c:pt idx="910">
                  <c:v>0.91091091091089693</c:v>
                </c:pt>
                <c:pt idx="911">
                  <c:v>0.91191191191189791</c:v>
                </c:pt>
                <c:pt idx="912">
                  <c:v>0.91291291291289889</c:v>
                </c:pt>
                <c:pt idx="913">
                  <c:v>0.91391391391389987</c:v>
                </c:pt>
                <c:pt idx="914">
                  <c:v>0.91491491491490085</c:v>
                </c:pt>
                <c:pt idx="915">
                  <c:v>0.91591591591590182</c:v>
                </c:pt>
                <c:pt idx="916">
                  <c:v>0.9169169169169028</c:v>
                </c:pt>
                <c:pt idx="917">
                  <c:v>0.91791791791790378</c:v>
                </c:pt>
                <c:pt idx="918">
                  <c:v>0.91891891891890476</c:v>
                </c:pt>
                <c:pt idx="919">
                  <c:v>0.91991991991990574</c:v>
                </c:pt>
                <c:pt idx="920">
                  <c:v>0.92092092092090672</c:v>
                </c:pt>
                <c:pt idx="921">
                  <c:v>0.92192192192190769</c:v>
                </c:pt>
                <c:pt idx="922">
                  <c:v>0.92292292292290867</c:v>
                </c:pt>
                <c:pt idx="923">
                  <c:v>0.92392392392390965</c:v>
                </c:pt>
                <c:pt idx="924">
                  <c:v>0.92492492492491063</c:v>
                </c:pt>
                <c:pt idx="925">
                  <c:v>0.92592592592591161</c:v>
                </c:pt>
                <c:pt idx="926">
                  <c:v>0.92692692692691259</c:v>
                </c:pt>
                <c:pt idx="927">
                  <c:v>0.92792792792791357</c:v>
                </c:pt>
                <c:pt idx="928">
                  <c:v>0.92892892892891454</c:v>
                </c:pt>
                <c:pt idx="929">
                  <c:v>0.92992992992991552</c:v>
                </c:pt>
                <c:pt idx="930">
                  <c:v>0.9309309309309165</c:v>
                </c:pt>
                <c:pt idx="931">
                  <c:v>0.93193193193191748</c:v>
                </c:pt>
                <c:pt idx="932">
                  <c:v>0.93293293293291846</c:v>
                </c:pt>
                <c:pt idx="933">
                  <c:v>0.93393393393391944</c:v>
                </c:pt>
                <c:pt idx="934">
                  <c:v>0.93493493493492041</c:v>
                </c:pt>
                <c:pt idx="935">
                  <c:v>0.93593593593592139</c:v>
                </c:pt>
                <c:pt idx="936">
                  <c:v>0.93693693693692237</c:v>
                </c:pt>
                <c:pt idx="937">
                  <c:v>0.93793793793792335</c:v>
                </c:pt>
                <c:pt idx="938">
                  <c:v>0.93893893893892433</c:v>
                </c:pt>
                <c:pt idx="939">
                  <c:v>0.93993993993992531</c:v>
                </c:pt>
                <c:pt idx="940">
                  <c:v>0.94094094094092628</c:v>
                </c:pt>
                <c:pt idx="941">
                  <c:v>0.94194194194192726</c:v>
                </c:pt>
                <c:pt idx="942">
                  <c:v>0.94294294294292824</c:v>
                </c:pt>
                <c:pt idx="943">
                  <c:v>0.94394394394392922</c:v>
                </c:pt>
                <c:pt idx="944">
                  <c:v>0.9449449449449302</c:v>
                </c:pt>
                <c:pt idx="945">
                  <c:v>0.94594594594593118</c:v>
                </c:pt>
                <c:pt idx="946">
                  <c:v>0.94694694694693216</c:v>
                </c:pt>
                <c:pt idx="947">
                  <c:v>0.94794794794793313</c:v>
                </c:pt>
                <c:pt idx="948">
                  <c:v>0.94894894894893411</c:v>
                </c:pt>
                <c:pt idx="949">
                  <c:v>0.94994994994993509</c:v>
                </c:pt>
                <c:pt idx="950">
                  <c:v>0.95095095095093607</c:v>
                </c:pt>
                <c:pt idx="951">
                  <c:v>0.95195195195193705</c:v>
                </c:pt>
                <c:pt idx="952">
                  <c:v>0.95295295295293803</c:v>
                </c:pt>
                <c:pt idx="953">
                  <c:v>0.953953953953939</c:v>
                </c:pt>
                <c:pt idx="954">
                  <c:v>0.95495495495493998</c:v>
                </c:pt>
                <c:pt idx="955">
                  <c:v>0.95595595595594096</c:v>
                </c:pt>
                <c:pt idx="956">
                  <c:v>0.95695695695694194</c:v>
                </c:pt>
                <c:pt idx="957">
                  <c:v>0.95795795795794292</c:v>
                </c:pt>
                <c:pt idx="958">
                  <c:v>0.9589589589589439</c:v>
                </c:pt>
                <c:pt idx="959">
                  <c:v>0.95995995995994488</c:v>
                </c:pt>
                <c:pt idx="960">
                  <c:v>0.96096096096094585</c:v>
                </c:pt>
                <c:pt idx="961">
                  <c:v>0.96196196196194683</c:v>
                </c:pt>
                <c:pt idx="962">
                  <c:v>0.96296296296294781</c:v>
                </c:pt>
                <c:pt idx="963">
                  <c:v>0.96396396396394879</c:v>
                </c:pt>
                <c:pt idx="964">
                  <c:v>0.96496496496494977</c:v>
                </c:pt>
                <c:pt idx="965">
                  <c:v>0.96596596596595075</c:v>
                </c:pt>
                <c:pt idx="966">
                  <c:v>0.96696696696695172</c:v>
                </c:pt>
                <c:pt idx="967">
                  <c:v>0.9679679679679527</c:v>
                </c:pt>
                <c:pt idx="968">
                  <c:v>0.96896896896895368</c:v>
                </c:pt>
                <c:pt idx="969">
                  <c:v>0.96996996996995466</c:v>
                </c:pt>
                <c:pt idx="970">
                  <c:v>0.97097097097095564</c:v>
                </c:pt>
                <c:pt idx="971">
                  <c:v>0.97197197197195662</c:v>
                </c:pt>
                <c:pt idx="972">
                  <c:v>0.97297297297295759</c:v>
                </c:pt>
                <c:pt idx="973">
                  <c:v>0.97397397397395857</c:v>
                </c:pt>
                <c:pt idx="974">
                  <c:v>0.97497497497495955</c:v>
                </c:pt>
                <c:pt idx="975">
                  <c:v>0.97597597597596053</c:v>
                </c:pt>
                <c:pt idx="976">
                  <c:v>0.97697697697696151</c:v>
                </c:pt>
                <c:pt idx="977">
                  <c:v>0.97797797797796249</c:v>
                </c:pt>
                <c:pt idx="978">
                  <c:v>0.97897897897896347</c:v>
                </c:pt>
                <c:pt idx="979">
                  <c:v>0.97997997997996444</c:v>
                </c:pt>
                <c:pt idx="980">
                  <c:v>0.98098098098096542</c:v>
                </c:pt>
                <c:pt idx="981">
                  <c:v>0.9819819819819664</c:v>
                </c:pt>
                <c:pt idx="982">
                  <c:v>0.98298298298296738</c:v>
                </c:pt>
                <c:pt idx="983">
                  <c:v>0.98398398398396836</c:v>
                </c:pt>
                <c:pt idx="984">
                  <c:v>0.98498498498496934</c:v>
                </c:pt>
                <c:pt idx="985">
                  <c:v>0.98598598598597031</c:v>
                </c:pt>
                <c:pt idx="986">
                  <c:v>0.98698698698697129</c:v>
                </c:pt>
                <c:pt idx="987">
                  <c:v>0.98798798798797227</c:v>
                </c:pt>
                <c:pt idx="988">
                  <c:v>0.98898898898897325</c:v>
                </c:pt>
                <c:pt idx="989">
                  <c:v>0.98998998998997423</c:v>
                </c:pt>
                <c:pt idx="990">
                  <c:v>0.99099099099097521</c:v>
                </c:pt>
                <c:pt idx="991">
                  <c:v>0.99199199199197619</c:v>
                </c:pt>
                <c:pt idx="992">
                  <c:v>0.99299299299297716</c:v>
                </c:pt>
                <c:pt idx="993">
                  <c:v>0.99399399399397814</c:v>
                </c:pt>
                <c:pt idx="994">
                  <c:v>0.99499499499497912</c:v>
                </c:pt>
                <c:pt idx="995">
                  <c:v>0.9959959959959801</c:v>
                </c:pt>
                <c:pt idx="996">
                  <c:v>0.99699699699698108</c:v>
                </c:pt>
                <c:pt idx="997">
                  <c:v>0.99799799799798206</c:v>
                </c:pt>
                <c:pt idx="998">
                  <c:v>0.99899899899898303</c:v>
                </c:pt>
                <c:pt idx="999">
                  <c:v>0.99999999999998401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SimData1000!$L$1009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SimData1000!$L$1010:$L$2009</c:f>
              <c:numCache>
                <c:formatCode>General</c:formatCode>
                <c:ptCount val="1000"/>
                <c:pt idx="0">
                  <c:v>1.3541062799049541E-3</c:v>
                </c:pt>
                <c:pt idx="1">
                  <c:v>1.6915183850869653E-3</c:v>
                </c:pt>
                <c:pt idx="2">
                  <c:v>2.1343523594623548E-3</c:v>
                </c:pt>
                <c:pt idx="3">
                  <c:v>3.9900616402519518E-3</c:v>
                </c:pt>
                <c:pt idx="4">
                  <c:v>5.7340219100296963E-3</c:v>
                </c:pt>
                <c:pt idx="5">
                  <c:v>6.1053197887304123E-3</c:v>
                </c:pt>
                <c:pt idx="6">
                  <c:v>6.1953352505952353E-3</c:v>
                </c:pt>
                <c:pt idx="7">
                  <c:v>6.7399017652860493E-3</c:v>
                </c:pt>
                <c:pt idx="8">
                  <c:v>8.7011098921720986E-3</c:v>
                </c:pt>
                <c:pt idx="9">
                  <c:v>8.7280524785455782E-3</c:v>
                </c:pt>
                <c:pt idx="10">
                  <c:v>9.637631565965421E-3</c:v>
                </c:pt>
                <c:pt idx="11">
                  <c:v>9.776662863259844E-3</c:v>
                </c:pt>
                <c:pt idx="12">
                  <c:v>1.0215160431471304E-2</c:v>
                </c:pt>
                <c:pt idx="13">
                  <c:v>1.1211351866222685E-2</c:v>
                </c:pt>
                <c:pt idx="14">
                  <c:v>1.1858088029839564E-2</c:v>
                </c:pt>
                <c:pt idx="15">
                  <c:v>1.3598933372122701E-2</c:v>
                </c:pt>
                <c:pt idx="16">
                  <c:v>1.4475112452601024E-2</c:v>
                </c:pt>
                <c:pt idx="17">
                  <c:v>1.4872851552354405E-2</c:v>
                </c:pt>
                <c:pt idx="18">
                  <c:v>1.6182267712792964E-2</c:v>
                </c:pt>
                <c:pt idx="19">
                  <c:v>1.6810126519885671E-2</c:v>
                </c:pt>
                <c:pt idx="20">
                  <c:v>1.7457077196013415E-2</c:v>
                </c:pt>
                <c:pt idx="21">
                  <c:v>1.7608963148632029E-2</c:v>
                </c:pt>
                <c:pt idx="22">
                  <c:v>1.9651275393698597E-2</c:v>
                </c:pt>
                <c:pt idx="23">
                  <c:v>1.9754879182983132E-2</c:v>
                </c:pt>
                <c:pt idx="24">
                  <c:v>2.1180632570576563E-2</c:v>
                </c:pt>
                <c:pt idx="25">
                  <c:v>2.219845684885513E-2</c:v>
                </c:pt>
                <c:pt idx="26">
                  <c:v>2.4623832653560385E-2</c:v>
                </c:pt>
                <c:pt idx="27">
                  <c:v>2.5346385492412082E-2</c:v>
                </c:pt>
                <c:pt idx="28">
                  <c:v>2.5585112215594563E-2</c:v>
                </c:pt>
                <c:pt idx="29">
                  <c:v>3.0662406963529065E-2</c:v>
                </c:pt>
                <c:pt idx="30">
                  <c:v>3.1465156617741741E-2</c:v>
                </c:pt>
                <c:pt idx="31">
                  <c:v>3.2954708040051628E-2</c:v>
                </c:pt>
                <c:pt idx="32">
                  <c:v>3.4229346257234283E-2</c:v>
                </c:pt>
                <c:pt idx="33">
                  <c:v>3.5035172359130229E-2</c:v>
                </c:pt>
                <c:pt idx="34">
                  <c:v>3.5850358423886064E-2</c:v>
                </c:pt>
                <c:pt idx="35">
                  <c:v>3.8460968570689147E-2</c:v>
                </c:pt>
                <c:pt idx="36">
                  <c:v>3.9676028753092396E-2</c:v>
                </c:pt>
                <c:pt idx="37">
                  <c:v>4.1364951142895734E-2</c:v>
                </c:pt>
                <c:pt idx="38">
                  <c:v>4.1417087769332284E-2</c:v>
                </c:pt>
                <c:pt idx="39">
                  <c:v>4.2773981163009012E-2</c:v>
                </c:pt>
                <c:pt idx="40">
                  <c:v>4.6573462764172291E-2</c:v>
                </c:pt>
                <c:pt idx="41">
                  <c:v>4.7318216405074054E-2</c:v>
                </c:pt>
                <c:pt idx="42">
                  <c:v>4.7405520890606567E-2</c:v>
                </c:pt>
                <c:pt idx="43">
                  <c:v>4.9244369748521422E-2</c:v>
                </c:pt>
                <c:pt idx="44">
                  <c:v>4.9619463712588185E-2</c:v>
                </c:pt>
                <c:pt idx="45">
                  <c:v>5.0085400844182004E-2</c:v>
                </c:pt>
                <c:pt idx="46">
                  <c:v>5.3026577601485769E-2</c:v>
                </c:pt>
                <c:pt idx="47">
                  <c:v>5.5186146707455919E-2</c:v>
                </c:pt>
                <c:pt idx="48">
                  <c:v>5.6125780625734478E-2</c:v>
                </c:pt>
                <c:pt idx="49">
                  <c:v>5.6669475039598183E-2</c:v>
                </c:pt>
                <c:pt idx="50">
                  <c:v>5.7200194591132458E-2</c:v>
                </c:pt>
                <c:pt idx="51">
                  <c:v>5.7870081588589528E-2</c:v>
                </c:pt>
                <c:pt idx="52">
                  <c:v>5.9466636594152078E-2</c:v>
                </c:pt>
                <c:pt idx="53">
                  <c:v>6.0616261922859849E-2</c:v>
                </c:pt>
                <c:pt idx="54">
                  <c:v>6.1184940773273411E-2</c:v>
                </c:pt>
                <c:pt idx="55">
                  <c:v>6.1290174009627663E-2</c:v>
                </c:pt>
                <c:pt idx="56">
                  <c:v>6.2322208959812997E-2</c:v>
                </c:pt>
                <c:pt idx="57">
                  <c:v>6.313671932912257E-2</c:v>
                </c:pt>
                <c:pt idx="58">
                  <c:v>6.3751215485353896E-2</c:v>
                </c:pt>
                <c:pt idx="59">
                  <c:v>6.4133336339182279E-2</c:v>
                </c:pt>
                <c:pt idx="60">
                  <c:v>6.4766973167934339E-2</c:v>
                </c:pt>
                <c:pt idx="61">
                  <c:v>6.6651941478994559E-2</c:v>
                </c:pt>
                <c:pt idx="62">
                  <c:v>6.7452163040798041E-2</c:v>
                </c:pt>
                <c:pt idx="63">
                  <c:v>6.7718517536377476E-2</c:v>
                </c:pt>
                <c:pt idx="64">
                  <c:v>6.7729326600783679E-2</c:v>
                </c:pt>
                <c:pt idx="65">
                  <c:v>6.779643397021573E-2</c:v>
                </c:pt>
                <c:pt idx="66">
                  <c:v>6.8769444711506367E-2</c:v>
                </c:pt>
                <c:pt idx="67">
                  <c:v>6.9844415974330332E-2</c:v>
                </c:pt>
                <c:pt idx="68">
                  <c:v>7.0581609260443656E-2</c:v>
                </c:pt>
                <c:pt idx="69">
                  <c:v>7.0603153805677721E-2</c:v>
                </c:pt>
                <c:pt idx="70">
                  <c:v>7.3181685279450903E-2</c:v>
                </c:pt>
                <c:pt idx="71">
                  <c:v>7.3585749507401488E-2</c:v>
                </c:pt>
                <c:pt idx="72">
                  <c:v>7.4625878911319887E-2</c:v>
                </c:pt>
                <c:pt idx="73">
                  <c:v>7.5072056588396663E-2</c:v>
                </c:pt>
                <c:pt idx="74">
                  <c:v>7.5478787507563538E-2</c:v>
                </c:pt>
                <c:pt idx="75">
                  <c:v>7.5908599094873352E-2</c:v>
                </c:pt>
                <c:pt idx="76">
                  <c:v>7.5927759563455766E-2</c:v>
                </c:pt>
                <c:pt idx="77">
                  <c:v>7.7126953827246325E-2</c:v>
                </c:pt>
                <c:pt idx="78">
                  <c:v>7.8167716152165667E-2</c:v>
                </c:pt>
                <c:pt idx="79">
                  <c:v>7.9111905313766329E-2</c:v>
                </c:pt>
                <c:pt idx="80">
                  <c:v>7.9114407742054027E-2</c:v>
                </c:pt>
                <c:pt idx="81">
                  <c:v>8.0550030313133902E-2</c:v>
                </c:pt>
                <c:pt idx="82">
                  <c:v>8.1371748452511383E-2</c:v>
                </c:pt>
                <c:pt idx="83">
                  <c:v>8.2086765857638966E-2</c:v>
                </c:pt>
                <c:pt idx="84">
                  <c:v>8.2411339530153782E-2</c:v>
                </c:pt>
                <c:pt idx="85">
                  <c:v>8.4886834432836622E-2</c:v>
                </c:pt>
                <c:pt idx="86">
                  <c:v>8.5056970044206537E-2</c:v>
                </c:pt>
                <c:pt idx="87">
                  <c:v>8.5208603014507389E-2</c:v>
                </c:pt>
                <c:pt idx="88">
                  <c:v>8.637576969613292E-2</c:v>
                </c:pt>
                <c:pt idx="89">
                  <c:v>8.6698461459519649E-2</c:v>
                </c:pt>
                <c:pt idx="90">
                  <c:v>8.8533418977021938E-2</c:v>
                </c:pt>
                <c:pt idx="91">
                  <c:v>8.9283092125697294E-2</c:v>
                </c:pt>
                <c:pt idx="92">
                  <c:v>8.9510644369511283E-2</c:v>
                </c:pt>
                <c:pt idx="93">
                  <c:v>8.9712644357859972E-2</c:v>
                </c:pt>
                <c:pt idx="94">
                  <c:v>9.1435151643963763E-2</c:v>
                </c:pt>
                <c:pt idx="95">
                  <c:v>9.2433231820905348E-2</c:v>
                </c:pt>
                <c:pt idx="96">
                  <c:v>9.2446410824777558E-2</c:v>
                </c:pt>
                <c:pt idx="97">
                  <c:v>9.2658725235196471E-2</c:v>
                </c:pt>
                <c:pt idx="98">
                  <c:v>9.3678516965155723E-2</c:v>
                </c:pt>
                <c:pt idx="99">
                  <c:v>9.3854593867945368E-2</c:v>
                </c:pt>
                <c:pt idx="100">
                  <c:v>9.4993514558154857E-2</c:v>
                </c:pt>
                <c:pt idx="101">
                  <c:v>9.6180386862215528E-2</c:v>
                </c:pt>
                <c:pt idx="102">
                  <c:v>9.8295434565471851E-2</c:v>
                </c:pt>
                <c:pt idx="103">
                  <c:v>9.9767317274228162E-2</c:v>
                </c:pt>
                <c:pt idx="104">
                  <c:v>9.9984885983758431E-2</c:v>
                </c:pt>
                <c:pt idx="105">
                  <c:v>0.10066162333168904</c:v>
                </c:pt>
                <c:pt idx="106">
                  <c:v>0.10339972395286168</c:v>
                </c:pt>
                <c:pt idx="107">
                  <c:v>0.10361097731038171</c:v>
                </c:pt>
                <c:pt idx="108">
                  <c:v>0.10462125325648231</c:v>
                </c:pt>
                <c:pt idx="109">
                  <c:v>0.10690202704608964</c:v>
                </c:pt>
                <c:pt idx="110">
                  <c:v>0.11204560420446796</c:v>
                </c:pt>
                <c:pt idx="111">
                  <c:v>0.1142468187636041</c:v>
                </c:pt>
                <c:pt idx="112">
                  <c:v>0.11520144727546722</c:v>
                </c:pt>
                <c:pt idx="113">
                  <c:v>0.11545731188653008</c:v>
                </c:pt>
                <c:pt idx="114">
                  <c:v>0.11589875245772419</c:v>
                </c:pt>
                <c:pt idx="115">
                  <c:v>0.11632891845329141</c:v>
                </c:pt>
                <c:pt idx="116">
                  <c:v>0.1177161209834594</c:v>
                </c:pt>
                <c:pt idx="117">
                  <c:v>0.11794379117691278</c:v>
                </c:pt>
                <c:pt idx="118">
                  <c:v>0.11857215411964717</c:v>
                </c:pt>
                <c:pt idx="119">
                  <c:v>0.11858161232157727</c:v>
                </c:pt>
                <c:pt idx="120">
                  <c:v>0.12095238563779276</c:v>
                </c:pt>
                <c:pt idx="121">
                  <c:v>0.12119521447357329</c:v>
                </c:pt>
                <c:pt idx="122">
                  <c:v>0.12154684669985727</c:v>
                </c:pt>
                <c:pt idx="123">
                  <c:v>0.1220198289011023</c:v>
                </c:pt>
                <c:pt idx="124">
                  <c:v>0.12235107513242838</c:v>
                </c:pt>
                <c:pt idx="125">
                  <c:v>0.12246310320279008</c:v>
                </c:pt>
                <c:pt idx="126">
                  <c:v>0.12295190836994152</c:v>
                </c:pt>
                <c:pt idx="127">
                  <c:v>0.12378173367505951</c:v>
                </c:pt>
                <c:pt idx="128">
                  <c:v>0.12566497757234174</c:v>
                </c:pt>
                <c:pt idx="129">
                  <c:v>0.12581602437876427</c:v>
                </c:pt>
                <c:pt idx="130">
                  <c:v>0.12641923727190374</c:v>
                </c:pt>
                <c:pt idx="131">
                  <c:v>0.12701995021143375</c:v>
                </c:pt>
                <c:pt idx="132">
                  <c:v>0.12774671748491073</c:v>
                </c:pt>
                <c:pt idx="133">
                  <c:v>0.12796282010276627</c:v>
                </c:pt>
                <c:pt idx="134">
                  <c:v>0.12812633943212859</c:v>
                </c:pt>
                <c:pt idx="135">
                  <c:v>0.12864359425748262</c:v>
                </c:pt>
                <c:pt idx="136">
                  <c:v>0.1305280697552007</c:v>
                </c:pt>
                <c:pt idx="137">
                  <c:v>0.13086145589295484</c:v>
                </c:pt>
                <c:pt idx="138">
                  <c:v>0.13176310583003215</c:v>
                </c:pt>
                <c:pt idx="139">
                  <c:v>0.13317093108616973</c:v>
                </c:pt>
                <c:pt idx="140">
                  <c:v>0.13468638914946496</c:v>
                </c:pt>
                <c:pt idx="141">
                  <c:v>0.13477070219325071</c:v>
                </c:pt>
                <c:pt idx="142">
                  <c:v>0.13477509571839619</c:v>
                </c:pt>
                <c:pt idx="143">
                  <c:v>0.13739435827028501</c:v>
                </c:pt>
                <c:pt idx="144">
                  <c:v>0.13749611074217682</c:v>
                </c:pt>
                <c:pt idx="145">
                  <c:v>0.13873947016418242</c:v>
                </c:pt>
                <c:pt idx="146">
                  <c:v>0.13979048666442395</c:v>
                </c:pt>
                <c:pt idx="147">
                  <c:v>0.13993456459866138</c:v>
                </c:pt>
                <c:pt idx="148">
                  <c:v>0.14005904176883632</c:v>
                </c:pt>
                <c:pt idx="149">
                  <c:v>0.14031399861414684</c:v>
                </c:pt>
                <c:pt idx="150">
                  <c:v>0.14224409577673214</c:v>
                </c:pt>
                <c:pt idx="151">
                  <c:v>0.14240312412766798</c:v>
                </c:pt>
                <c:pt idx="152">
                  <c:v>0.14253625710534834</c:v>
                </c:pt>
                <c:pt idx="153">
                  <c:v>0.14257018552325462</c:v>
                </c:pt>
                <c:pt idx="154">
                  <c:v>0.14296546031619073</c:v>
                </c:pt>
                <c:pt idx="155">
                  <c:v>0.14414175132696982</c:v>
                </c:pt>
                <c:pt idx="156">
                  <c:v>0.14420157507720432</c:v>
                </c:pt>
                <c:pt idx="157">
                  <c:v>0.14806320895149838</c:v>
                </c:pt>
                <c:pt idx="158">
                  <c:v>0.14829745900078706</c:v>
                </c:pt>
                <c:pt idx="159">
                  <c:v>0.14866608178726892</c:v>
                </c:pt>
                <c:pt idx="160">
                  <c:v>0.14875065864816861</c:v>
                </c:pt>
                <c:pt idx="161">
                  <c:v>0.14932944509200752</c:v>
                </c:pt>
                <c:pt idx="162">
                  <c:v>0.15052026236753591</c:v>
                </c:pt>
                <c:pt idx="163">
                  <c:v>0.15122806285216939</c:v>
                </c:pt>
                <c:pt idx="164">
                  <c:v>0.1539916617448398</c:v>
                </c:pt>
                <c:pt idx="165">
                  <c:v>0.1550285696193896</c:v>
                </c:pt>
                <c:pt idx="166">
                  <c:v>0.15525843317300314</c:v>
                </c:pt>
                <c:pt idx="167">
                  <c:v>0.15576672203951603</c:v>
                </c:pt>
                <c:pt idx="168">
                  <c:v>0.15588621823098947</c:v>
                </c:pt>
                <c:pt idx="169">
                  <c:v>0.16287136202299735</c:v>
                </c:pt>
                <c:pt idx="170">
                  <c:v>0.16665519943762774</c:v>
                </c:pt>
                <c:pt idx="171">
                  <c:v>0.167092307623534</c:v>
                </c:pt>
                <c:pt idx="172">
                  <c:v>0.16792007715048385</c:v>
                </c:pt>
                <c:pt idx="173">
                  <c:v>0.17116357205577515</c:v>
                </c:pt>
                <c:pt idx="174">
                  <c:v>0.1718246622785955</c:v>
                </c:pt>
                <c:pt idx="175">
                  <c:v>0.17184062359501695</c:v>
                </c:pt>
                <c:pt idx="176">
                  <c:v>0.17214207994811659</c:v>
                </c:pt>
                <c:pt idx="177">
                  <c:v>0.17234301243661321</c:v>
                </c:pt>
                <c:pt idx="178">
                  <c:v>0.17330018997745356</c:v>
                </c:pt>
                <c:pt idx="179">
                  <c:v>0.17331556407498283</c:v>
                </c:pt>
                <c:pt idx="180">
                  <c:v>0.17455968860485882</c:v>
                </c:pt>
                <c:pt idx="181">
                  <c:v>0.17772801541468652</c:v>
                </c:pt>
                <c:pt idx="182">
                  <c:v>0.17959841013271216</c:v>
                </c:pt>
                <c:pt idx="183">
                  <c:v>0.1796294254336317</c:v>
                </c:pt>
                <c:pt idx="184">
                  <c:v>0.18194433067310456</c:v>
                </c:pt>
                <c:pt idx="185">
                  <c:v>0.1823722428707697</c:v>
                </c:pt>
                <c:pt idx="186">
                  <c:v>0.18264573962915165</c:v>
                </c:pt>
                <c:pt idx="187">
                  <c:v>0.18268209954388226</c:v>
                </c:pt>
                <c:pt idx="188">
                  <c:v>0.1828568440860181</c:v>
                </c:pt>
                <c:pt idx="189">
                  <c:v>0.18304104221078887</c:v>
                </c:pt>
                <c:pt idx="190">
                  <c:v>0.18389494629991532</c:v>
                </c:pt>
                <c:pt idx="191">
                  <c:v>0.18559310525870387</c:v>
                </c:pt>
                <c:pt idx="192">
                  <c:v>0.18824948865221813</c:v>
                </c:pt>
                <c:pt idx="193">
                  <c:v>0.18927491119302431</c:v>
                </c:pt>
                <c:pt idx="194">
                  <c:v>0.18980447274407197</c:v>
                </c:pt>
                <c:pt idx="195">
                  <c:v>0.19121212681147881</c:v>
                </c:pt>
                <c:pt idx="196">
                  <c:v>0.19337644457846181</c:v>
                </c:pt>
                <c:pt idx="197">
                  <c:v>0.19592009082771256</c:v>
                </c:pt>
                <c:pt idx="198">
                  <c:v>0.19665817864279234</c:v>
                </c:pt>
                <c:pt idx="199">
                  <c:v>0.19712435427572927</c:v>
                </c:pt>
                <c:pt idx="200">
                  <c:v>0.19850580271577201</c:v>
                </c:pt>
                <c:pt idx="201">
                  <c:v>0.19876996492166654</c:v>
                </c:pt>
                <c:pt idx="202">
                  <c:v>0.19882929489722301</c:v>
                </c:pt>
                <c:pt idx="203">
                  <c:v>0.20094718594555161</c:v>
                </c:pt>
                <c:pt idx="204">
                  <c:v>0.20110635706259927</c:v>
                </c:pt>
                <c:pt idx="205">
                  <c:v>0.20122626526426757</c:v>
                </c:pt>
                <c:pt idx="206">
                  <c:v>0.20375365903055354</c:v>
                </c:pt>
                <c:pt idx="207">
                  <c:v>0.2042467570881854</c:v>
                </c:pt>
                <c:pt idx="208">
                  <c:v>0.20468199382958119</c:v>
                </c:pt>
                <c:pt idx="209">
                  <c:v>0.20816924645532708</c:v>
                </c:pt>
                <c:pt idx="210">
                  <c:v>0.20852693174037995</c:v>
                </c:pt>
                <c:pt idx="211">
                  <c:v>0.20853419544982899</c:v>
                </c:pt>
                <c:pt idx="212">
                  <c:v>0.20856358485525561</c:v>
                </c:pt>
                <c:pt idx="213">
                  <c:v>0.2086689572161049</c:v>
                </c:pt>
                <c:pt idx="214">
                  <c:v>0.2109049469090678</c:v>
                </c:pt>
                <c:pt idx="215">
                  <c:v>0.21116439590423397</c:v>
                </c:pt>
                <c:pt idx="216">
                  <c:v>0.2112260154390242</c:v>
                </c:pt>
                <c:pt idx="217">
                  <c:v>0.21322359210716968</c:v>
                </c:pt>
                <c:pt idx="218">
                  <c:v>0.21464673546597623</c:v>
                </c:pt>
                <c:pt idx="219">
                  <c:v>0.21490836291286541</c:v>
                </c:pt>
                <c:pt idx="220">
                  <c:v>0.21753738029292435</c:v>
                </c:pt>
                <c:pt idx="221">
                  <c:v>0.21804524127946934</c:v>
                </c:pt>
                <c:pt idx="222">
                  <c:v>0.22164918175258208</c:v>
                </c:pt>
                <c:pt idx="223">
                  <c:v>0.22214965293187561</c:v>
                </c:pt>
                <c:pt idx="224">
                  <c:v>0.22247557032733312</c:v>
                </c:pt>
                <c:pt idx="225">
                  <c:v>0.22596488724866504</c:v>
                </c:pt>
                <c:pt idx="226">
                  <c:v>0.22663726956579922</c:v>
                </c:pt>
                <c:pt idx="227">
                  <c:v>0.22736782884294371</c:v>
                </c:pt>
                <c:pt idx="228">
                  <c:v>0.23123613498682971</c:v>
                </c:pt>
                <c:pt idx="229">
                  <c:v>0.23360959228557476</c:v>
                </c:pt>
                <c:pt idx="230">
                  <c:v>0.23370129555041785</c:v>
                </c:pt>
                <c:pt idx="231">
                  <c:v>0.23401609671782353</c:v>
                </c:pt>
                <c:pt idx="232">
                  <c:v>0.23593191743475472</c:v>
                </c:pt>
                <c:pt idx="233">
                  <c:v>0.23642485586242401</c:v>
                </c:pt>
                <c:pt idx="234">
                  <c:v>0.23713252089692105</c:v>
                </c:pt>
                <c:pt idx="235">
                  <c:v>0.2385945088826702</c:v>
                </c:pt>
                <c:pt idx="236">
                  <c:v>0.23911188559486618</c:v>
                </c:pt>
                <c:pt idx="237">
                  <c:v>0.23927700463354995</c:v>
                </c:pt>
                <c:pt idx="238">
                  <c:v>0.23960426488702069</c:v>
                </c:pt>
                <c:pt idx="239">
                  <c:v>0.24001445007525035</c:v>
                </c:pt>
                <c:pt idx="240">
                  <c:v>0.24030060931727348</c:v>
                </c:pt>
                <c:pt idx="241">
                  <c:v>0.24046622457717604</c:v>
                </c:pt>
                <c:pt idx="242">
                  <c:v>0.24234927344696189</c:v>
                </c:pt>
                <c:pt idx="243">
                  <c:v>0.24264374302492797</c:v>
                </c:pt>
                <c:pt idx="244">
                  <c:v>0.243104803512324</c:v>
                </c:pt>
                <c:pt idx="245">
                  <c:v>0.24348613125675911</c:v>
                </c:pt>
                <c:pt idx="246">
                  <c:v>0.24500987576357147</c:v>
                </c:pt>
                <c:pt idx="247">
                  <c:v>0.24516444307664642</c:v>
                </c:pt>
                <c:pt idx="248">
                  <c:v>0.24906562103387841</c:v>
                </c:pt>
                <c:pt idx="249">
                  <c:v>0.24924204435046704</c:v>
                </c:pt>
                <c:pt idx="250">
                  <c:v>0.24965677803356812</c:v>
                </c:pt>
                <c:pt idx="251">
                  <c:v>0.24968690789683023</c:v>
                </c:pt>
                <c:pt idx="252">
                  <c:v>0.25018821095090971</c:v>
                </c:pt>
                <c:pt idx="253">
                  <c:v>0.25175295530334552</c:v>
                </c:pt>
                <c:pt idx="254">
                  <c:v>0.25288063476364186</c:v>
                </c:pt>
                <c:pt idx="255">
                  <c:v>0.25398549304009066</c:v>
                </c:pt>
                <c:pt idx="256">
                  <c:v>0.25409447286801878</c:v>
                </c:pt>
                <c:pt idx="257">
                  <c:v>0.25473558471821889</c:v>
                </c:pt>
                <c:pt idx="258">
                  <c:v>0.26014276296427852</c:v>
                </c:pt>
                <c:pt idx="259">
                  <c:v>0.26162993422531144</c:v>
                </c:pt>
                <c:pt idx="260">
                  <c:v>0.2640569900686387</c:v>
                </c:pt>
                <c:pt idx="261">
                  <c:v>0.26430631068069488</c:v>
                </c:pt>
                <c:pt idx="262">
                  <c:v>0.26475417244637356</c:v>
                </c:pt>
                <c:pt idx="263">
                  <c:v>0.26503907991991582</c:v>
                </c:pt>
                <c:pt idx="264">
                  <c:v>0.26544222295797226</c:v>
                </c:pt>
                <c:pt idx="265">
                  <c:v>0.26688230859599571</c:v>
                </c:pt>
                <c:pt idx="266">
                  <c:v>0.26798303005762136</c:v>
                </c:pt>
                <c:pt idx="267">
                  <c:v>0.27011121740724775</c:v>
                </c:pt>
                <c:pt idx="268">
                  <c:v>0.27028623929709283</c:v>
                </c:pt>
                <c:pt idx="269">
                  <c:v>0.2703766948707198</c:v>
                </c:pt>
                <c:pt idx="270">
                  <c:v>0.27059642691438057</c:v>
                </c:pt>
                <c:pt idx="271">
                  <c:v>0.27073589260453446</c:v>
                </c:pt>
                <c:pt idx="272">
                  <c:v>0.27175056943087839</c:v>
                </c:pt>
                <c:pt idx="273">
                  <c:v>0.27190750237605243</c:v>
                </c:pt>
                <c:pt idx="274">
                  <c:v>0.27364792109619884</c:v>
                </c:pt>
                <c:pt idx="275">
                  <c:v>0.2738405067466374</c:v>
                </c:pt>
                <c:pt idx="276">
                  <c:v>0.27444819771608309</c:v>
                </c:pt>
                <c:pt idx="277">
                  <c:v>0.27605206057614851</c:v>
                </c:pt>
                <c:pt idx="278">
                  <c:v>0.2760937085331534</c:v>
                </c:pt>
                <c:pt idx="279">
                  <c:v>0.27647046505808248</c:v>
                </c:pt>
                <c:pt idx="280">
                  <c:v>0.27672107212856645</c:v>
                </c:pt>
                <c:pt idx="281">
                  <c:v>0.27772327210550429</c:v>
                </c:pt>
                <c:pt idx="282">
                  <c:v>0.27791284618342615</c:v>
                </c:pt>
                <c:pt idx="283">
                  <c:v>0.27853090019289084</c:v>
                </c:pt>
                <c:pt idx="284">
                  <c:v>0.27880831695165398</c:v>
                </c:pt>
                <c:pt idx="285">
                  <c:v>0.27916761522646993</c:v>
                </c:pt>
                <c:pt idx="286">
                  <c:v>0.28056619398466864</c:v>
                </c:pt>
                <c:pt idx="287">
                  <c:v>0.28068192672708392</c:v>
                </c:pt>
                <c:pt idx="288">
                  <c:v>0.28108064131811261</c:v>
                </c:pt>
                <c:pt idx="289">
                  <c:v>0.28119547501592024</c:v>
                </c:pt>
                <c:pt idx="290">
                  <c:v>0.28145624904209399</c:v>
                </c:pt>
                <c:pt idx="291">
                  <c:v>0.28159214782408526</c:v>
                </c:pt>
                <c:pt idx="292">
                  <c:v>0.28415492639580009</c:v>
                </c:pt>
                <c:pt idx="293">
                  <c:v>0.28726741998798389</c:v>
                </c:pt>
                <c:pt idx="294">
                  <c:v>0.28888959381129098</c:v>
                </c:pt>
                <c:pt idx="295">
                  <c:v>0.28923570066126558</c:v>
                </c:pt>
                <c:pt idx="296">
                  <c:v>0.28983927239460172</c:v>
                </c:pt>
                <c:pt idx="297">
                  <c:v>0.29059891763881751</c:v>
                </c:pt>
                <c:pt idx="298">
                  <c:v>0.29217183981199923</c:v>
                </c:pt>
                <c:pt idx="299">
                  <c:v>0.29317600681406475</c:v>
                </c:pt>
                <c:pt idx="300">
                  <c:v>0.29401660024177545</c:v>
                </c:pt>
                <c:pt idx="301">
                  <c:v>0.29441384320307407</c:v>
                </c:pt>
                <c:pt idx="302">
                  <c:v>0.29461533405537921</c:v>
                </c:pt>
                <c:pt idx="303">
                  <c:v>0.29473292099100945</c:v>
                </c:pt>
                <c:pt idx="304">
                  <c:v>0.29570652678103215</c:v>
                </c:pt>
                <c:pt idx="305">
                  <c:v>0.2978686901715264</c:v>
                </c:pt>
                <c:pt idx="306">
                  <c:v>0.29886063253434259</c:v>
                </c:pt>
                <c:pt idx="307">
                  <c:v>0.2992576046517712</c:v>
                </c:pt>
                <c:pt idx="308">
                  <c:v>0.29957750196990673</c:v>
                </c:pt>
                <c:pt idx="309">
                  <c:v>0.30095983162894413</c:v>
                </c:pt>
                <c:pt idx="310">
                  <c:v>0.3019710314756594</c:v>
                </c:pt>
                <c:pt idx="311">
                  <c:v>0.30493725582527986</c:v>
                </c:pt>
                <c:pt idx="312">
                  <c:v>0.30502930725560873</c:v>
                </c:pt>
                <c:pt idx="313">
                  <c:v>0.30512906826515973</c:v>
                </c:pt>
                <c:pt idx="314">
                  <c:v>0.30599089498173271</c:v>
                </c:pt>
                <c:pt idx="315">
                  <c:v>0.30677981593544246</c:v>
                </c:pt>
                <c:pt idx="316">
                  <c:v>0.30961602991101245</c:v>
                </c:pt>
                <c:pt idx="317">
                  <c:v>0.30962999830626359</c:v>
                </c:pt>
                <c:pt idx="318">
                  <c:v>0.3121393452393022</c:v>
                </c:pt>
                <c:pt idx="319">
                  <c:v>0.3129577178215186</c:v>
                </c:pt>
                <c:pt idx="320">
                  <c:v>0.31342194446096983</c:v>
                </c:pt>
                <c:pt idx="321">
                  <c:v>0.31419831569746748</c:v>
                </c:pt>
                <c:pt idx="322">
                  <c:v>0.31488633305434632</c:v>
                </c:pt>
                <c:pt idx="323">
                  <c:v>0.31546363650977582</c:v>
                </c:pt>
                <c:pt idx="324">
                  <c:v>0.31596744374110131</c:v>
                </c:pt>
                <c:pt idx="325">
                  <c:v>0.31597364853314502</c:v>
                </c:pt>
                <c:pt idx="326">
                  <c:v>0.31598639556614216</c:v>
                </c:pt>
                <c:pt idx="327">
                  <c:v>0.31634418833982636</c:v>
                </c:pt>
                <c:pt idx="328">
                  <c:v>0.31638221481080109</c:v>
                </c:pt>
                <c:pt idx="329">
                  <c:v>0.31689544848813966</c:v>
                </c:pt>
                <c:pt idx="330">
                  <c:v>0.31837282900323771</c:v>
                </c:pt>
                <c:pt idx="331">
                  <c:v>0.31914641256662435</c:v>
                </c:pt>
                <c:pt idx="332">
                  <c:v>0.32024040990381764</c:v>
                </c:pt>
                <c:pt idx="333">
                  <c:v>0.32255886081202334</c:v>
                </c:pt>
                <c:pt idx="334">
                  <c:v>0.32290114903116773</c:v>
                </c:pt>
                <c:pt idx="335">
                  <c:v>0.32301644320796186</c:v>
                </c:pt>
                <c:pt idx="336">
                  <c:v>0.32528553066367749</c:v>
                </c:pt>
                <c:pt idx="337">
                  <c:v>0.32601795886603213</c:v>
                </c:pt>
                <c:pt idx="338">
                  <c:v>0.3270153138673777</c:v>
                </c:pt>
                <c:pt idx="339">
                  <c:v>0.32794278641449637</c:v>
                </c:pt>
                <c:pt idx="340">
                  <c:v>0.33204514208864566</c:v>
                </c:pt>
                <c:pt idx="341">
                  <c:v>0.33269595359615778</c:v>
                </c:pt>
                <c:pt idx="342">
                  <c:v>0.33337159792154125</c:v>
                </c:pt>
                <c:pt idx="343">
                  <c:v>0.33627841973793693</c:v>
                </c:pt>
                <c:pt idx="344">
                  <c:v>0.33691931359498994</c:v>
                </c:pt>
                <c:pt idx="345">
                  <c:v>0.33941879252415674</c:v>
                </c:pt>
                <c:pt idx="346">
                  <c:v>0.34301351003341551</c:v>
                </c:pt>
                <c:pt idx="347">
                  <c:v>0.34307509177415341</c:v>
                </c:pt>
                <c:pt idx="348">
                  <c:v>0.34538369028814486</c:v>
                </c:pt>
                <c:pt idx="349">
                  <c:v>0.34541044804154808</c:v>
                </c:pt>
                <c:pt idx="350">
                  <c:v>0.34663910429753741</c:v>
                </c:pt>
                <c:pt idx="351">
                  <c:v>0.34679093548493256</c:v>
                </c:pt>
                <c:pt idx="352">
                  <c:v>0.34680840028067905</c:v>
                </c:pt>
                <c:pt idx="353">
                  <c:v>0.34723145969110192</c:v>
                </c:pt>
                <c:pt idx="354">
                  <c:v>0.34806509211466619</c:v>
                </c:pt>
                <c:pt idx="355">
                  <c:v>0.35022742743694835</c:v>
                </c:pt>
                <c:pt idx="356">
                  <c:v>0.35169504402711027</c:v>
                </c:pt>
                <c:pt idx="357">
                  <c:v>0.3517841401953774</c:v>
                </c:pt>
                <c:pt idx="358">
                  <c:v>0.35340819403245405</c:v>
                </c:pt>
                <c:pt idx="359">
                  <c:v>0.35357495501830272</c:v>
                </c:pt>
                <c:pt idx="360">
                  <c:v>0.35388406619404122</c:v>
                </c:pt>
                <c:pt idx="361">
                  <c:v>0.35448474416261888</c:v>
                </c:pt>
                <c:pt idx="362">
                  <c:v>0.35491415938668069</c:v>
                </c:pt>
                <c:pt idx="363">
                  <c:v>0.3559429617407659</c:v>
                </c:pt>
                <c:pt idx="364">
                  <c:v>0.35703364805249294</c:v>
                </c:pt>
                <c:pt idx="365">
                  <c:v>0.3603785683217211</c:v>
                </c:pt>
                <c:pt idx="366">
                  <c:v>0.36234473686272395</c:v>
                </c:pt>
                <c:pt idx="367">
                  <c:v>0.36348921390708711</c:v>
                </c:pt>
                <c:pt idx="368">
                  <c:v>0.3653949239933354</c:v>
                </c:pt>
                <c:pt idx="369">
                  <c:v>0.36720495400459185</c:v>
                </c:pt>
                <c:pt idx="370">
                  <c:v>0.36757667632173252</c:v>
                </c:pt>
                <c:pt idx="371">
                  <c:v>0.36781567452089803</c:v>
                </c:pt>
                <c:pt idx="372">
                  <c:v>0.36786580543684977</c:v>
                </c:pt>
                <c:pt idx="373">
                  <c:v>0.3683147834135525</c:v>
                </c:pt>
                <c:pt idx="374">
                  <c:v>0.37078838344859832</c:v>
                </c:pt>
                <c:pt idx="375">
                  <c:v>0.3709702764681424</c:v>
                </c:pt>
                <c:pt idx="376">
                  <c:v>0.37489216112135182</c:v>
                </c:pt>
                <c:pt idx="377">
                  <c:v>0.37506596184084628</c:v>
                </c:pt>
                <c:pt idx="378">
                  <c:v>0.37541726754625415</c:v>
                </c:pt>
                <c:pt idx="379">
                  <c:v>0.37638336416057427</c:v>
                </c:pt>
                <c:pt idx="380">
                  <c:v>0.37680810479105276</c:v>
                </c:pt>
                <c:pt idx="381">
                  <c:v>0.37821797579999838</c:v>
                </c:pt>
                <c:pt idx="382">
                  <c:v>0.38066422262727428</c:v>
                </c:pt>
                <c:pt idx="383">
                  <c:v>0.38072295174697501</c:v>
                </c:pt>
                <c:pt idx="384">
                  <c:v>0.38110401430367347</c:v>
                </c:pt>
                <c:pt idx="385">
                  <c:v>0.38212346540512954</c:v>
                </c:pt>
                <c:pt idx="386">
                  <c:v>0.38253624215212767</c:v>
                </c:pt>
                <c:pt idx="387">
                  <c:v>0.3834104544012007</c:v>
                </c:pt>
                <c:pt idx="388">
                  <c:v>0.38483097153130075</c:v>
                </c:pt>
                <c:pt idx="389">
                  <c:v>0.3858449612489494</c:v>
                </c:pt>
                <c:pt idx="390">
                  <c:v>0.38642328119749436</c:v>
                </c:pt>
                <c:pt idx="391">
                  <c:v>0.38747762818456977</c:v>
                </c:pt>
                <c:pt idx="392">
                  <c:v>0.38752027733971772</c:v>
                </c:pt>
                <c:pt idx="393">
                  <c:v>0.38776236011563014</c:v>
                </c:pt>
                <c:pt idx="394">
                  <c:v>0.38892508618118882</c:v>
                </c:pt>
                <c:pt idx="395">
                  <c:v>0.38975029110042669</c:v>
                </c:pt>
                <c:pt idx="396">
                  <c:v>0.39090351838240167</c:v>
                </c:pt>
                <c:pt idx="397">
                  <c:v>0.39281995855435525</c:v>
                </c:pt>
                <c:pt idx="398">
                  <c:v>0.39383874609484337</c:v>
                </c:pt>
                <c:pt idx="399">
                  <c:v>0.39460370625693031</c:v>
                </c:pt>
                <c:pt idx="400">
                  <c:v>0.3948980562900033</c:v>
                </c:pt>
                <c:pt idx="401">
                  <c:v>0.39627854788068362</c:v>
                </c:pt>
                <c:pt idx="402">
                  <c:v>0.39692118219045369</c:v>
                </c:pt>
                <c:pt idx="403">
                  <c:v>0.40073691393990885</c:v>
                </c:pt>
                <c:pt idx="404">
                  <c:v>0.40108244006205496</c:v>
                </c:pt>
                <c:pt idx="405">
                  <c:v>0.40241369279010542</c:v>
                </c:pt>
                <c:pt idx="406">
                  <c:v>0.40282953860878479</c:v>
                </c:pt>
                <c:pt idx="407">
                  <c:v>0.40402419782822108</c:v>
                </c:pt>
                <c:pt idx="408">
                  <c:v>0.40468014394991769</c:v>
                </c:pt>
                <c:pt idx="409">
                  <c:v>0.40484948276207433</c:v>
                </c:pt>
                <c:pt idx="410">
                  <c:v>0.40571831842316897</c:v>
                </c:pt>
                <c:pt idx="411">
                  <c:v>0.40573578970634117</c:v>
                </c:pt>
                <c:pt idx="412">
                  <c:v>0.40579505188634357</c:v>
                </c:pt>
                <c:pt idx="413">
                  <c:v>0.40602156301611103</c:v>
                </c:pt>
                <c:pt idx="414">
                  <c:v>0.40994146398317355</c:v>
                </c:pt>
                <c:pt idx="415">
                  <c:v>0.41023555636547826</c:v>
                </c:pt>
                <c:pt idx="416">
                  <c:v>0.41073821998998028</c:v>
                </c:pt>
                <c:pt idx="417">
                  <c:v>0.41098349089770636</c:v>
                </c:pt>
                <c:pt idx="418">
                  <c:v>0.41116457814041496</c:v>
                </c:pt>
                <c:pt idx="419">
                  <c:v>0.41137501769301821</c:v>
                </c:pt>
                <c:pt idx="420">
                  <c:v>0.41430827497242717</c:v>
                </c:pt>
                <c:pt idx="421">
                  <c:v>0.41485853944777773</c:v>
                </c:pt>
                <c:pt idx="422">
                  <c:v>0.4164118026073993</c:v>
                </c:pt>
                <c:pt idx="423">
                  <c:v>0.41992112870593701</c:v>
                </c:pt>
                <c:pt idx="424">
                  <c:v>0.42165063945139991</c:v>
                </c:pt>
                <c:pt idx="425">
                  <c:v>0.42186645443143789</c:v>
                </c:pt>
                <c:pt idx="426">
                  <c:v>0.42221240180242603</c:v>
                </c:pt>
                <c:pt idx="427">
                  <c:v>0.42450632259715348</c:v>
                </c:pt>
                <c:pt idx="428">
                  <c:v>0.42462787644763011</c:v>
                </c:pt>
                <c:pt idx="429">
                  <c:v>0.42580793574143172</c:v>
                </c:pt>
                <c:pt idx="430">
                  <c:v>0.42595041485674301</c:v>
                </c:pt>
                <c:pt idx="431">
                  <c:v>0.42636714610216586</c:v>
                </c:pt>
                <c:pt idx="432">
                  <c:v>0.42674811341476016</c:v>
                </c:pt>
                <c:pt idx="433">
                  <c:v>0.42729586083260074</c:v>
                </c:pt>
                <c:pt idx="434">
                  <c:v>0.42785604978598712</c:v>
                </c:pt>
                <c:pt idx="435">
                  <c:v>0.42851340890865686</c:v>
                </c:pt>
                <c:pt idx="436">
                  <c:v>0.42937940469983005</c:v>
                </c:pt>
                <c:pt idx="437">
                  <c:v>0.42947665598785534</c:v>
                </c:pt>
                <c:pt idx="438">
                  <c:v>0.43073627498142741</c:v>
                </c:pt>
                <c:pt idx="439">
                  <c:v>0.43084163194816938</c:v>
                </c:pt>
                <c:pt idx="440">
                  <c:v>0.43167025890852528</c:v>
                </c:pt>
                <c:pt idx="441">
                  <c:v>0.43167293896567571</c:v>
                </c:pt>
                <c:pt idx="442">
                  <c:v>0.4320989307916534</c:v>
                </c:pt>
                <c:pt idx="443">
                  <c:v>0.43496315090487769</c:v>
                </c:pt>
                <c:pt idx="444">
                  <c:v>0.4358467830970767</c:v>
                </c:pt>
                <c:pt idx="445">
                  <c:v>0.43640654359023756</c:v>
                </c:pt>
                <c:pt idx="446">
                  <c:v>0.43757611748424097</c:v>
                </c:pt>
                <c:pt idx="447">
                  <c:v>0.43772230149625102</c:v>
                </c:pt>
                <c:pt idx="448">
                  <c:v>0.43806320784824493</c:v>
                </c:pt>
                <c:pt idx="449">
                  <c:v>0.43843877958988742</c:v>
                </c:pt>
                <c:pt idx="450">
                  <c:v>0.44029054658767564</c:v>
                </c:pt>
                <c:pt idx="451">
                  <c:v>0.44085233415080438</c:v>
                </c:pt>
                <c:pt idx="452">
                  <c:v>0.44337858577546285</c:v>
                </c:pt>
                <c:pt idx="453">
                  <c:v>0.44371546007096185</c:v>
                </c:pt>
                <c:pt idx="454">
                  <c:v>0.44436099736230972</c:v>
                </c:pt>
                <c:pt idx="455">
                  <c:v>0.44447717693947197</c:v>
                </c:pt>
                <c:pt idx="456">
                  <c:v>0.44496200746289105</c:v>
                </c:pt>
                <c:pt idx="457">
                  <c:v>0.44625646310669254</c:v>
                </c:pt>
                <c:pt idx="458">
                  <c:v>0.44631403383755242</c:v>
                </c:pt>
                <c:pt idx="459">
                  <c:v>0.4466651147849916</c:v>
                </c:pt>
                <c:pt idx="460">
                  <c:v>0.44880466156337206</c:v>
                </c:pt>
                <c:pt idx="461">
                  <c:v>0.44914011639775708</c:v>
                </c:pt>
                <c:pt idx="462">
                  <c:v>0.4493603659366272</c:v>
                </c:pt>
                <c:pt idx="463">
                  <c:v>0.45061256986264198</c:v>
                </c:pt>
                <c:pt idx="464">
                  <c:v>0.45119489521493961</c:v>
                </c:pt>
                <c:pt idx="465">
                  <c:v>0.45320939898738288</c:v>
                </c:pt>
                <c:pt idx="466">
                  <c:v>0.45339209054873209</c:v>
                </c:pt>
                <c:pt idx="467">
                  <c:v>0.45451538192264707</c:v>
                </c:pt>
                <c:pt idx="468">
                  <c:v>0.4550469560745114</c:v>
                </c:pt>
                <c:pt idx="469">
                  <c:v>0.45542064315577591</c:v>
                </c:pt>
                <c:pt idx="470">
                  <c:v>0.45641041712769947</c:v>
                </c:pt>
                <c:pt idx="471">
                  <c:v>0.45755011645360355</c:v>
                </c:pt>
                <c:pt idx="472">
                  <c:v>0.45877320046110981</c:v>
                </c:pt>
                <c:pt idx="473">
                  <c:v>0.45916846963973512</c:v>
                </c:pt>
                <c:pt idx="474">
                  <c:v>0.45940595020238106</c:v>
                </c:pt>
                <c:pt idx="475">
                  <c:v>0.46047418450143596</c:v>
                </c:pt>
                <c:pt idx="476">
                  <c:v>0.46147826164906292</c:v>
                </c:pt>
                <c:pt idx="477">
                  <c:v>0.4617304579460324</c:v>
                </c:pt>
                <c:pt idx="478">
                  <c:v>0.46257940633677208</c:v>
                </c:pt>
                <c:pt idx="479">
                  <c:v>0.46261683718785207</c:v>
                </c:pt>
                <c:pt idx="480">
                  <c:v>0.46433187934417219</c:v>
                </c:pt>
                <c:pt idx="481">
                  <c:v>0.46454386447021534</c:v>
                </c:pt>
                <c:pt idx="482">
                  <c:v>0.46681812162569258</c:v>
                </c:pt>
                <c:pt idx="483">
                  <c:v>0.46905111758496787</c:v>
                </c:pt>
                <c:pt idx="484">
                  <c:v>0.46911401085162652</c:v>
                </c:pt>
                <c:pt idx="485">
                  <c:v>0.47133709723402717</c:v>
                </c:pt>
                <c:pt idx="486">
                  <c:v>0.47134103033931751</c:v>
                </c:pt>
                <c:pt idx="487">
                  <c:v>0.47140877932361036</c:v>
                </c:pt>
                <c:pt idx="488">
                  <c:v>0.47147042195592803</c:v>
                </c:pt>
                <c:pt idx="489">
                  <c:v>0.47178048574552633</c:v>
                </c:pt>
                <c:pt idx="490">
                  <c:v>0.47336113527217094</c:v>
                </c:pt>
                <c:pt idx="491">
                  <c:v>0.47770883753764792</c:v>
                </c:pt>
                <c:pt idx="492">
                  <c:v>0.47775459673721343</c:v>
                </c:pt>
                <c:pt idx="493">
                  <c:v>0.47865455654391553</c:v>
                </c:pt>
                <c:pt idx="494">
                  <c:v>0.48169186532962271</c:v>
                </c:pt>
                <c:pt idx="495">
                  <c:v>0.48709744000916544</c:v>
                </c:pt>
                <c:pt idx="496">
                  <c:v>0.49077417528042133</c:v>
                </c:pt>
                <c:pt idx="497">
                  <c:v>0.49156780534394784</c:v>
                </c:pt>
                <c:pt idx="498">
                  <c:v>0.49219854564034904</c:v>
                </c:pt>
                <c:pt idx="499">
                  <c:v>0.49250627188939688</c:v>
                </c:pt>
                <c:pt idx="500">
                  <c:v>0.49704976888824604</c:v>
                </c:pt>
                <c:pt idx="501">
                  <c:v>0.49858657817276253</c:v>
                </c:pt>
                <c:pt idx="502">
                  <c:v>0.49865074897570594</c:v>
                </c:pt>
                <c:pt idx="503">
                  <c:v>0.49991818451781</c:v>
                </c:pt>
                <c:pt idx="504">
                  <c:v>0.49992359939005837</c:v>
                </c:pt>
                <c:pt idx="505">
                  <c:v>0.5027734619243347</c:v>
                </c:pt>
                <c:pt idx="506">
                  <c:v>0.50310082804026024</c:v>
                </c:pt>
                <c:pt idx="507">
                  <c:v>0.50769233861865359</c:v>
                </c:pt>
                <c:pt idx="508">
                  <c:v>0.50808111994228966</c:v>
                </c:pt>
                <c:pt idx="509">
                  <c:v>0.50864953247128142</c:v>
                </c:pt>
                <c:pt idx="510">
                  <c:v>0.50965588690814911</c:v>
                </c:pt>
                <c:pt idx="511">
                  <c:v>0.51010528751066886</c:v>
                </c:pt>
                <c:pt idx="512">
                  <c:v>0.510470550259015</c:v>
                </c:pt>
                <c:pt idx="513">
                  <c:v>0.51145803640793019</c:v>
                </c:pt>
                <c:pt idx="514">
                  <c:v>0.51164029142273648</c:v>
                </c:pt>
                <c:pt idx="515">
                  <c:v>0.51322914557931654</c:v>
                </c:pt>
                <c:pt idx="516">
                  <c:v>0.51340569598232833</c:v>
                </c:pt>
                <c:pt idx="517">
                  <c:v>0.51915665349315532</c:v>
                </c:pt>
                <c:pt idx="518">
                  <c:v>0.52123970360844396</c:v>
                </c:pt>
                <c:pt idx="519">
                  <c:v>0.52159520527038694</c:v>
                </c:pt>
                <c:pt idx="520">
                  <c:v>0.52255323241843143</c:v>
                </c:pt>
                <c:pt idx="521">
                  <c:v>0.52365239494156413</c:v>
                </c:pt>
                <c:pt idx="522">
                  <c:v>0.52450521691207541</c:v>
                </c:pt>
                <c:pt idx="523">
                  <c:v>0.52540664642674528</c:v>
                </c:pt>
                <c:pt idx="524">
                  <c:v>0.52679271468696243</c:v>
                </c:pt>
                <c:pt idx="525">
                  <c:v>0.52716208330366499</c:v>
                </c:pt>
                <c:pt idx="526">
                  <c:v>0.52890887514513452</c:v>
                </c:pt>
                <c:pt idx="527">
                  <c:v>0.52972662807587767</c:v>
                </c:pt>
                <c:pt idx="528">
                  <c:v>0.53271457556729729</c:v>
                </c:pt>
                <c:pt idx="529">
                  <c:v>0.53305991800607444</c:v>
                </c:pt>
                <c:pt idx="530">
                  <c:v>0.53364984019754047</c:v>
                </c:pt>
                <c:pt idx="531">
                  <c:v>0.53416618586834375</c:v>
                </c:pt>
                <c:pt idx="532">
                  <c:v>0.53470918527909816</c:v>
                </c:pt>
                <c:pt idx="533">
                  <c:v>0.53508545986642275</c:v>
                </c:pt>
                <c:pt idx="534">
                  <c:v>0.53998343915043279</c:v>
                </c:pt>
                <c:pt idx="535">
                  <c:v>0.54060405989730498</c:v>
                </c:pt>
                <c:pt idx="536">
                  <c:v>0.54261405585839384</c:v>
                </c:pt>
                <c:pt idx="537">
                  <c:v>0.54409159986698796</c:v>
                </c:pt>
                <c:pt idx="538">
                  <c:v>0.54674145863555168</c:v>
                </c:pt>
                <c:pt idx="539">
                  <c:v>0.5471812419964408</c:v>
                </c:pt>
                <c:pt idx="540">
                  <c:v>0.551465212201947</c:v>
                </c:pt>
                <c:pt idx="541">
                  <c:v>0.55347261179122142</c:v>
                </c:pt>
                <c:pt idx="542">
                  <c:v>0.55431157408656873</c:v>
                </c:pt>
                <c:pt idx="543">
                  <c:v>0.55453297369695065</c:v>
                </c:pt>
                <c:pt idx="544">
                  <c:v>0.55597912781831837</c:v>
                </c:pt>
                <c:pt idx="545">
                  <c:v>0.5582450150832301</c:v>
                </c:pt>
                <c:pt idx="546">
                  <c:v>0.55910674265942362</c:v>
                </c:pt>
                <c:pt idx="547">
                  <c:v>0.56012341007044597</c:v>
                </c:pt>
                <c:pt idx="548">
                  <c:v>0.56063955483205064</c:v>
                </c:pt>
                <c:pt idx="549">
                  <c:v>0.56113429449489516</c:v>
                </c:pt>
                <c:pt idx="550">
                  <c:v>0.56182312865712447</c:v>
                </c:pt>
                <c:pt idx="551">
                  <c:v>0.56195408446637884</c:v>
                </c:pt>
                <c:pt idx="552">
                  <c:v>0.5630778193117294</c:v>
                </c:pt>
                <c:pt idx="553">
                  <c:v>0.56311813146749046</c:v>
                </c:pt>
                <c:pt idx="554">
                  <c:v>0.56370157947276311</c:v>
                </c:pt>
                <c:pt idx="555">
                  <c:v>0.56436818185102311</c:v>
                </c:pt>
                <c:pt idx="556">
                  <c:v>0.56646349930815632</c:v>
                </c:pt>
                <c:pt idx="557">
                  <c:v>0.56706229439350864</c:v>
                </c:pt>
                <c:pt idx="558">
                  <c:v>0.56777245890771155</c:v>
                </c:pt>
                <c:pt idx="559">
                  <c:v>0.56848995892596577</c:v>
                </c:pt>
                <c:pt idx="560">
                  <c:v>0.57012569429025461</c:v>
                </c:pt>
                <c:pt idx="561">
                  <c:v>0.57036920544487657</c:v>
                </c:pt>
                <c:pt idx="562">
                  <c:v>0.57081296183787344</c:v>
                </c:pt>
                <c:pt idx="563">
                  <c:v>0.57145845329432632</c:v>
                </c:pt>
                <c:pt idx="564">
                  <c:v>0.57192242628752865</c:v>
                </c:pt>
                <c:pt idx="565">
                  <c:v>0.5722961044875774</c:v>
                </c:pt>
                <c:pt idx="566">
                  <c:v>0.57246812096855137</c:v>
                </c:pt>
                <c:pt idx="567">
                  <c:v>0.5728932345055</c:v>
                </c:pt>
                <c:pt idx="568">
                  <c:v>0.57480201749240223</c:v>
                </c:pt>
                <c:pt idx="569">
                  <c:v>0.57528032375466864</c:v>
                </c:pt>
                <c:pt idx="570">
                  <c:v>0.57602915501593088</c:v>
                </c:pt>
                <c:pt idx="571">
                  <c:v>0.57619874127067305</c:v>
                </c:pt>
                <c:pt idx="572">
                  <c:v>0.57727785606493853</c:v>
                </c:pt>
                <c:pt idx="573">
                  <c:v>0.57900371583127708</c:v>
                </c:pt>
                <c:pt idx="574">
                  <c:v>0.58098772387802455</c:v>
                </c:pt>
                <c:pt idx="575">
                  <c:v>0.58326307818606438</c:v>
                </c:pt>
                <c:pt idx="576">
                  <c:v>0.5838281658179767</c:v>
                </c:pt>
                <c:pt idx="577">
                  <c:v>0.58455546535788017</c:v>
                </c:pt>
                <c:pt idx="578">
                  <c:v>0.5848307823007417</c:v>
                </c:pt>
                <c:pt idx="579">
                  <c:v>0.58537743740271253</c:v>
                </c:pt>
                <c:pt idx="580">
                  <c:v>0.58632247265086335</c:v>
                </c:pt>
                <c:pt idx="581">
                  <c:v>0.58635464338840393</c:v>
                </c:pt>
                <c:pt idx="582">
                  <c:v>0.5865219197485203</c:v>
                </c:pt>
                <c:pt idx="583">
                  <c:v>0.58761710794897226</c:v>
                </c:pt>
                <c:pt idx="584">
                  <c:v>0.58895861602559307</c:v>
                </c:pt>
                <c:pt idx="585">
                  <c:v>0.59135970350689604</c:v>
                </c:pt>
                <c:pt idx="586">
                  <c:v>0.59165008011586906</c:v>
                </c:pt>
                <c:pt idx="587">
                  <c:v>0.59192875300141168</c:v>
                </c:pt>
                <c:pt idx="588">
                  <c:v>0.59643778062218189</c:v>
                </c:pt>
                <c:pt idx="589">
                  <c:v>0.59728584724871325</c:v>
                </c:pt>
                <c:pt idx="590">
                  <c:v>0.59741750183366094</c:v>
                </c:pt>
                <c:pt idx="591">
                  <c:v>0.59748586817568139</c:v>
                </c:pt>
                <c:pt idx="592">
                  <c:v>0.59756132953407359</c:v>
                </c:pt>
                <c:pt idx="593">
                  <c:v>0.59791619012412411</c:v>
                </c:pt>
                <c:pt idx="594">
                  <c:v>0.59818941653793445</c:v>
                </c:pt>
                <c:pt idx="595">
                  <c:v>0.59848882553887961</c:v>
                </c:pt>
                <c:pt idx="596">
                  <c:v>0.59991843751686247</c:v>
                </c:pt>
                <c:pt idx="597">
                  <c:v>0.60021050975410617</c:v>
                </c:pt>
                <c:pt idx="598">
                  <c:v>0.60188635486156272</c:v>
                </c:pt>
                <c:pt idx="599">
                  <c:v>0.60352132406296732</c:v>
                </c:pt>
                <c:pt idx="600">
                  <c:v>0.60414894976747746</c:v>
                </c:pt>
                <c:pt idx="601">
                  <c:v>0.60716215781212668</c:v>
                </c:pt>
                <c:pt idx="602">
                  <c:v>0.60716668420445785</c:v>
                </c:pt>
                <c:pt idx="603">
                  <c:v>0.60761428138630436</c:v>
                </c:pt>
                <c:pt idx="604">
                  <c:v>0.60818402490531298</c:v>
                </c:pt>
                <c:pt idx="605">
                  <c:v>0.61268728870710731</c:v>
                </c:pt>
                <c:pt idx="606">
                  <c:v>0.61321152800701384</c:v>
                </c:pt>
                <c:pt idx="607">
                  <c:v>0.61384718891713419</c:v>
                </c:pt>
                <c:pt idx="608">
                  <c:v>0.61624676004430512</c:v>
                </c:pt>
                <c:pt idx="609">
                  <c:v>0.61647728255775291</c:v>
                </c:pt>
                <c:pt idx="610">
                  <c:v>0.61918620299456961</c:v>
                </c:pt>
                <c:pt idx="611">
                  <c:v>0.61924316611839458</c:v>
                </c:pt>
                <c:pt idx="612">
                  <c:v>0.62177289581359219</c:v>
                </c:pt>
                <c:pt idx="613">
                  <c:v>0.62285364005947486</c:v>
                </c:pt>
                <c:pt idx="614">
                  <c:v>0.62411452308970183</c:v>
                </c:pt>
                <c:pt idx="615">
                  <c:v>0.62413702898811607</c:v>
                </c:pt>
                <c:pt idx="616">
                  <c:v>0.62517656488398643</c:v>
                </c:pt>
                <c:pt idx="617">
                  <c:v>0.62534255293849128</c:v>
                </c:pt>
                <c:pt idx="618">
                  <c:v>0.62585863891581539</c:v>
                </c:pt>
                <c:pt idx="619">
                  <c:v>0.62630863142021553</c:v>
                </c:pt>
                <c:pt idx="620">
                  <c:v>0.62941049054279574</c:v>
                </c:pt>
                <c:pt idx="621">
                  <c:v>0.63058535879918054</c:v>
                </c:pt>
                <c:pt idx="622">
                  <c:v>0.63085004297681735</c:v>
                </c:pt>
                <c:pt idx="623">
                  <c:v>0.63198150013977283</c:v>
                </c:pt>
                <c:pt idx="624">
                  <c:v>0.6337790408224464</c:v>
                </c:pt>
                <c:pt idx="625">
                  <c:v>0.63868898534110485</c:v>
                </c:pt>
                <c:pt idx="626">
                  <c:v>0.64002171792074591</c:v>
                </c:pt>
                <c:pt idx="627">
                  <c:v>0.64048786663988722</c:v>
                </c:pt>
                <c:pt idx="628">
                  <c:v>0.64149573272698035</c:v>
                </c:pt>
                <c:pt idx="629">
                  <c:v>0.64338315172608418</c:v>
                </c:pt>
                <c:pt idx="630">
                  <c:v>0.64403687044159597</c:v>
                </c:pt>
                <c:pt idx="631">
                  <c:v>0.64499929159501335</c:v>
                </c:pt>
                <c:pt idx="632">
                  <c:v>0.64560729834556696</c:v>
                </c:pt>
                <c:pt idx="633">
                  <c:v>0.64597992667768267</c:v>
                </c:pt>
                <c:pt idx="634">
                  <c:v>0.64643109775897756</c:v>
                </c:pt>
                <c:pt idx="635">
                  <c:v>0.64657923258346273</c:v>
                </c:pt>
                <c:pt idx="636">
                  <c:v>0.65164229952006281</c:v>
                </c:pt>
                <c:pt idx="637">
                  <c:v>0.65295221809810755</c:v>
                </c:pt>
                <c:pt idx="638">
                  <c:v>0.65324215922373696</c:v>
                </c:pt>
                <c:pt idx="639">
                  <c:v>0.65387954883408383</c:v>
                </c:pt>
                <c:pt idx="640">
                  <c:v>0.65467555821669521</c:v>
                </c:pt>
                <c:pt idx="641">
                  <c:v>0.65582397986781871</c:v>
                </c:pt>
                <c:pt idx="642">
                  <c:v>0.65646080310671096</c:v>
                </c:pt>
                <c:pt idx="643">
                  <c:v>0.65684751647404482</c:v>
                </c:pt>
                <c:pt idx="644">
                  <c:v>0.66069327099012298</c:v>
                </c:pt>
                <c:pt idx="645">
                  <c:v>0.66252409821026959</c:v>
                </c:pt>
                <c:pt idx="646">
                  <c:v>0.66457336329949612</c:v>
                </c:pt>
                <c:pt idx="647">
                  <c:v>0.66480672298894206</c:v>
                </c:pt>
                <c:pt idx="648">
                  <c:v>0.6649478843878569</c:v>
                </c:pt>
                <c:pt idx="649">
                  <c:v>0.66544606825209485</c:v>
                </c:pt>
                <c:pt idx="650">
                  <c:v>0.66846964420255972</c:v>
                </c:pt>
                <c:pt idx="651">
                  <c:v>0.6685809960390543</c:v>
                </c:pt>
                <c:pt idx="652">
                  <c:v>0.66953612393808726</c:v>
                </c:pt>
                <c:pt idx="653">
                  <c:v>0.67082098672835855</c:v>
                </c:pt>
                <c:pt idx="654">
                  <c:v>0.67089675309489394</c:v>
                </c:pt>
                <c:pt idx="655">
                  <c:v>0.6722677920561182</c:v>
                </c:pt>
                <c:pt idx="656">
                  <c:v>0.67314432911553013</c:v>
                </c:pt>
                <c:pt idx="657">
                  <c:v>0.67413370506983483</c:v>
                </c:pt>
                <c:pt idx="658">
                  <c:v>0.67636473949278297</c:v>
                </c:pt>
                <c:pt idx="659">
                  <c:v>0.67801829313430062</c:v>
                </c:pt>
                <c:pt idx="660">
                  <c:v>0.67852694802786573</c:v>
                </c:pt>
                <c:pt idx="661">
                  <c:v>0.67880071351191873</c:v>
                </c:pt>
                <c:pt idx="662">
                  <c:v>0.67905947210965678</c:v>
                </c:pt>
                <c:pt idx="663">
                  <c:v>0.67922662035380199</c:v>
                </c:pt>
                <c:pt idx="664">
                  <c:v>0.67937099904156639</c:v>
                </c:pt>
                <c:pt idx="665">
                  <c:v>0.68421274418869871</c:v>
                </c:pt>
                <c:pt idx="666">
                  <c:v>0.68590618699454353</c:v>
                </c:pt>
                <c:pt idx="667">
                  <c:v>0.68653343366349873</c:v>
                </c:pt>
                <c:pt idx="668">
                  <c:v>0.68764020429534867</c:v>
                </c:pt>
                <c:pt idx="669">
                  <c:v>0.68818907093827875</c:v>
                </c:pt>
                <c:pt idx="670">
                  <c:v>0.68852516524657403</c:v>
                </c:pt>
                <c:pt idx="671">
                  <c:v>0.68987581660712749</c:v>
                </c:pt>
                <c:pt idx="672">
                  <c:v>0.690007689057893</c:v>
                </c:pt>
                <c:pt idx="673">
                  <c:v>0.69022376991779311</c:v>
                </c:pt>
                <c:pt idx="674">
                  <c:v>0.69070904248565057</c:v>
                </c:pt>
                <c:pt idx="675">
                  <c:v>0.69249590341314615</c:v>
                </c:pt>
                <c:pt idx="676">
                  <c:v>0.6925228079298904</c:v>
                </c:pt>
                <c:pt idx="677">
                  <c:v>0.69284044241067022</c:v>
                </c:pt>
                <c:pt idx="678">
                  <c:v>0.69342594569570792</c:v>
                </c:pt>
                <c:pt idx="679">
                  <c:v>0.69400051659067685</c:v>
                </c:pt>
                <c:pt idx="680">
                  <c:v>0.69414146704275481</c:v>
                </c:pt>
                <c:pt idx="681">
                  <c:v>0.69557953748426371</c:v>
                </c:pt>
                <c:pt idx="682">
                  <c:v>0.69669109199230661</c:v>
                </c:pt>
                <c:pt idx="683">
                  <c:v>0.69702433614565962</c:v>
                </c:pt>
                <c:pt idx="684">
                  <c:v>0.69720927547587053</c:v>
                </c:pt>
                <c:pt idx="685">
                  <c:v>0.69762991147035791</c:v>
                </c:pt>
                <c:pt idx="686">
                  <c:v>0.69767062781284039</c:v>
                </c:pt>
                <c:pt idx="687">
                  <c:v>0.69961061000049085</c:v>
                </c:pt>
                <c:pt idx="688">
                  <c:v>0.70535655036383105</c:v>
                </c:pt>
                <c:pt idx="689">
                  <c:v>0.71065048013042542</c:v>
                </c:pt>
                <c:pt idx="690">
                  <c:v>0.71099291746304516</c:v>
                </c:pt>
                <c:pt idx="691">
                  <c:v>0.71163366854125343</c:v>
                </c:pt>
                <c:pt idx="692">
                  <c:v>0.71198228797857155</c:v>
                </c:pt>
                <c:pt idx="693">
                  <c:v>0.7126099371471355</c:v>
                </c:pt>
                <c:pt idx="694">
                  <c:v>0.71271031523428974</c:v>
                </c:pt>
                <c:pt idx="695">
                  <c:v>0.71312437234064419</c:v>
                </c:pt>
                <c:pt idx="696">
                  <c:v>0.71353758498571551</c:v>
                </c:pt>
                <c:pt idx="697">
                  <c:v>0.71355373226288066</c:v>
                </c:pt>
                <c:pt idx="698">
                  <c:v>0.7146033065746451</c:v>
                </c:pt>
                <c:pt idx="699">
                  <c:v>0.71499903698349954</c:v>
                </c:pt>
                <c:pt idx="700">
                  <c:v>0.71584233395151387</c:v>
                </c:pt>
                <c:pt idx="701">
                  <c:v>0.71665390675298113</c:v>
                </c:pt>
                <c:pt idx="702">
                  <c:v>0.71863126572316105</c:v>
                </c:pt>
                <c:pt idx="703">
                  <c:v>0.7187320198127054</c:v>
                </c:pt>
                <c:pt idx="704">
                  <c:v>0.7196576632304641</c:v>
                </c:pt>
                <c:pt idx="705">
                  <c:v>0.72039382176717481</c:v>
                </c:pt>
                <c:pt idx="706">
                  <c:v>0.72162215921434836</c:v>
                </c:pt>
                <c:pt idx="707">
                  <c:v>0.72167692540278949</c:v>
                </c:pt>
                <c:pt idx="708">
                  <c:v>0.72346077570455236</c:v>
                </c:pt>
                <c:pt idx="709">
                  <c:v>0.72359124665126728</c:v>
                </c:pt>
                <c:pt idx="710">
                  <c:v>0.72379080694099684</c:v>
                </c:pt>
                <c:pt idx="711">
                  <c:v>0.72410950141147623</c:v>
                </c:pt>
                <c:pt idx="712">
                  <c:v>0.72499969336968206</c:v>
                </c:pt>
                <c:pt idx="713">
                  <c:v>0.72526797954742506</c:v>
                </c:pt>
                <c:pt idx="714">
                  <c:v>0.72572060326729115</c:v>
                </c:pt>
                <c:pt idx="715">
                  <c:v>0.72596872136637103</c:v>
                </c:pt>
                <c:pt idx="716">
                  <c:v>0.72599417171022651</c:v>
                </c:pt>
                <c:pt idx="717">
                  <c:v>0.72609421212018788</c:v>
                </c:pt>
                <c:pt idx="718">
                  <c:v>0.72669901884000865</c:v>
                </c:pt>
                <c:pt idx="719">
                  <c:v>0.72740181364315504</c:v>
                </c:pt>
                <c:pt idx="720">
                  <c:v>0.72755115150175698</c:v>
                </c:pt>
                <c:pt idx="721">
                  <c:v>0.72757546508910309</c:v>
                </c:pt>
                <c:pt idx="722">
                  <c:v>0.72896554950420978</c:v>
                </c:pt>
                <c:pt idx="723">
                  <c:v>0.72974117471312638</c:v>
                </c:pt>
                <c:pt idx="724">
                  <c:v>0.73065162816419615</c:v>
                </c:pt>
                <c:pt idx="725">
                  <c:v>0.73115578150191141</c:v>
                </c:pt>
                <c:pt idx="726">
                  <c:v>0.7322390755662127</c:v>
                </c:pt>
                <c:pt idx="727">
                  <c:v>0.73270541633246467</c:v>
                </c:pt>
                <c:pt idx="728">
                  <c:v>0.73276416439512104</c:v>
                </c:pt>
                <c:pt idx="729">
                  <c:v>0.73370020669153746</c:v>
                </c:pt>
                <c:pt idx="730">
                  <c:v>0.73389185857013217</c:v>
                </c:pt>
                <c:pt idx="731">
                  <c:v>0.73637939480613568</c:v>
                </c:pt>
                <c:pt idx="732">
                  <c:v>0.73749485772623302</c:v>
                </c:pt>
                <c:pt idx="733">
                  <c:v>0.73785113313988404</c:v>
                </c:pt>
                <c:pt idx="734">
                  <c:v>0.73789562923138874</c:v>
                </c:pt>
                <c:pt idx="735">
                  <c:v>0.74005953161031357</c:v>
                </c:pt>
                <c:pt idx="736">
                  <c:v>0.7438303721801276</c:v>
                </c:pt>
                <c:pt idx="737">
                  <c:v>0.74523847288584477</c:v>
                </c:pt>
                <c:pt idx="738">
                  <c:v>0.74648158603213233</c:v>
                </c:pt>
                <c:pt idx="739">
                  <c:v>0.74953925657337095</c:v>
                </c:pt>
                <c:pt idx="740">
                  <c:v>0.75086136362642719</c:v>
                </c:pt>
                <c:pt idx="741">
                  <c:v>0.75257298714768694</c:v>
                </c:pt>
                <c:pt idx="742">
                  <c:v>0.75272891046824952</c:v>
                </c:pt>
                <c:pt idx="743">
                  <c:v>0.75601721350631124</c:v>
                </c:pt>
                <c:pt idx="744">
                  <c:v>0.7572515536321589</c:v>
                </c:pt>
                <c:pt idx="745">
                  <c:v>0.75875065598938818</c:v>
                </c:pt>
                <c:pt idx="746">
                  <c:v>0.76004762084266986</c:v>
                </c:pt>
                <c:pt idx="747">
                  <c:v>0.7602289505139197</c:v>
                </c:pt>
                <c:pt idx="748">
                  <c:v>0.76072300502073631</c:v>
                </c:pt>
                <c:pt idx="749">
                  <c:v>0.76106156962305249</c:v>
                </c:pt>
                <c:pt idx="750">
                  <c:v>0.76149610074935481</c:v>
                </c:pt>
                <c:pt idx="751">
                  <c:v>0.76223185879553057</c:v>
                </c:pt>
                <c:pt idx="752">
                  <c:v>0.76271080060905661</c:v>
                </c:pt>
                <c:pt idx="753">
                  <c:v>0.76488259567122441</c:v>
                </c:pt>
                <c:pt idx="754">
                  <c:v>0.76497988029041153</c:v>
                </c:pt>
                <c:pt idx="755">
                  <c:v>0.765210472295621</c:v>
                </c:pt>
                <c:pt idx="756">
                  <c:v>0.76618895395495201</c:v>
                </c:pt>
                <c:pt idx="757">
                  <c:v>0.7667252253722836</c:v>
                </c:pt>
                <c:pt idx="758">
                  <c:v>0.76715316024728963</c:v>
                </c:pt>
                <c:pt idx="759">
                  <c:v>0.76759250475697627</c:v>
                </c:pt>
                <c:pt idx="760">
                  <c:v>0.7682400824405704</c:v>
                </c:pt>
                <c:pt idx="761">
                  <c:v>0.77027808194270619</c:v>
                </c:pt>
                <c:pt idx="762">
                  <c:v>0.77043876223615371</c:v>
                </c:pt>
                <c:pt idx="763">
                  <c:v>0.77057075981156231</c:v>
                </c:pt>
                <c:pt idx="764">
                  <c:v>0.77060163331680087</c:v>
                </c:pt>
                <c:pt idx="765">
                  <c:v>0.77238745451995783</c:v>
                </c:pt>
                <c:pt idx="766">
                  <c:v>0.77338045784381393</c:v>
                </c:pt>
                <c:pt idx="767">
                  <c:v>0.77345089123627986</c:v>
                </c:pt>
                <c:pt idx="768">
                  <c:v>0.77537238994500512</c:v>
                </c:pt>
                <c:pt idx="769">
                  <c:v>0.77572177884849225</c:v>
                </c:pt>
                <c:pt idx="770">
                  <c:v>0.77617174779061315</c:v>
                </c:pt>
                <c:pt idx="771">
                  <c:v>0.7765289766866772</c:v>
                </c:pt>
                <c:pt idx="772">
                  <c:v>0.77720025398684811</c:v>
                </c:pt>
                <c:pt idx="773">
                  <c:v>0.77780808137765689</c:v>
                </c:pt>
                <c:pt idx="774">
                  <c:v>0.77846895064885757</c:v>
                </c:pt>
                <c:pt idx="775">
                  <c:v>0.77849731734931993</c:v>
                </c:pt>
                <c:pt idx="776">
                  <c:v>0.77880237924910034</c:v>
                </c:pt>
                <c:pt idx="777">
                  <c:v>0.77992987184552476</c:v>
                </c:pt>
                <c:pt idx="778">
                  <c:v>0.78010737011572928</c:v>
                </c:pt>
                <c:pt idx="779">
                  <c:v>0.78090730154599441</c:v>
                </c:pt>
                <c:pt idx="780">
                  <c:v>0.78244427614299639</c:v>
                </c:pt>
                <c:pt idx="781">
                  <c:v>0.78684633772627421</c:v>
                </c:pt>
                <c:pt idx="782">
                  <c:v>0.78778476277693699</c:v>
                </c:pt>
                <c:pt idx="783">
                  <c:v>0.78839414218236925</c:v>
                </c:pt>
                <c:pt idx="784">
                  <c:v>0.79073019255883992</c:v>
                </c:pt>
                <c:pt idx="785">
                  <c:v>0.79139856009987852</c:v>
                </c:pt>
                <c:pt idx="786">
                  <c:v>0.79496954564274347</c:v>
                </c:pt>
                <c:pt idx="787">
                  <c:v>0.79558003371494124</c:v>
                </c:pt>
                <c:pt idx="788">
                  <c:v>0.79615195633959956</c:v>
                </c:pt>
                <c:pt idx="789">
                  <c:v>0.79650574645165761</c:v>
                </c:pt>
                <c:pt idx="790">
                  <c:v>0.79679797752760351</c:v>
                </c:pt>
                <c:pt idx="791">
                  <c:v>0.80054947831922618</c:v>
                </c:pt>
                <c:pt idx="792">
                  <c:v>0.80076939302671235</c:v>
                </c:pt>
                <c:pt idx="793">
                  <c:v>0.80219974133251526</c:v>
                </c:pt>
                <c:pt idx="794">
                  <c:v>0.80304482507017383</c:v>
                </c:pt>
                <c:pt idx="795">
                  <c:v>0.80517359230179864</c:v>
                </c:pt>
                <c:pt idx="796">
                  <c:v>0.80799527003910043</c:v>
                </c:pt>
                <c:pt idx="797">
                  <c:v>0.80859353302548698</c:v>
                </c:pt>
                <c:pt idx="798">
                  <c:v>0.80948647834884468</c:v>
                </c:pt>
                <c:pt idx="799">
                  <c:v>0.8095872410958691</c:v>
                </c:pt>
                <c:pt idx="800">
                  <c:v>0.8098844990336147</c:v>
                </c:pt>
                <c:pt idx="801">
                  <c:v>0.8117268876549133</c:v>
                </c:pt>
                <c:pt idx="802">
                  <c:v>0.81190988582056889</c:v>
                </c:pt>
                <c:pt idx="803">
                  <c:v>0.81255155289909453</c:v>
                </c:pt>
                <c:pt idx="804">
                  <c:v>0.81316905278799823</c:v>
                </c:pt>
                <c:pt idx="805">
                  <c:v>0.81468572247740667</c:v>
                </c:pt>
                <c:pt idx="806">
                  <c:v>0.81613439558077516</c:v>
                </c:pt>
                <c:pt idx="807">
                  <c:v>0.81685195036970981</c:v>
                </c:pt>
                <c:pt idx="808">
                  <c:v>0.81922624388971599</c:v>
                </c:pt>
                <c:pt idx="809">
                  <c:v>0.81984975390150794</c:v>
                </c:pt>
                <c:pt idx="810">
                  <c:v>0.82014801379682467</c:v>
                </c:pt>
                <c:pt idx="811">
                  <c:v>0.82021759657709481</c:v>
                </c:pt>
                <c:pt idx="812">
                  <c:v>0.82153051697241608</c:v>
                </c:pt>
                <c:pt idx="813">
                  <c:v>0.82215299775270978</c:v>
                </c:pt>
                <c:pt idx="814">
                  <c:v>0.82225276733333885</c:v>
                </c:pt>
                <c:pt idx="815">
                  <c:v>0.82268778862271574</c:v>
                </c:pt>
                <c:pt idx="816">
                  <c:v>0.82277865856576682</c:v>
                </c:pt>
                <c:pt idx="817">
                  <c:v>0.8258204758994907</c:v>
                </c:pt>
                <c:pt idx="818">
                  <c:v>0.82673560678995273</c:v>
                </c:pt>
                <c:pt idx="819">
                  <c:v>0.82695138258441148</c:v>
                </c:pt>
                <c:pt idx="820">
                  <c:v>0.82747371812001802</c:v>
                </c:pt>
                <c:pt idx="821">
                  <c:v>0.82919368332477461</c:v>
                </c:pt>
                <c:pt idx="822">
                  <c:v>0.83055945326306713</c:v>
                </c:pt>
                <c:pt idx="823">
                  <c:v>0.83062750261797191</c:v>
                </c:pt>
                <c:pt idx="824">
                  <c:v>0.83100903702688811</c:v>
                </c:pt>
                <c:pt idx="825">
                  <c:v>0.83105477192475519</c:v>
                </c:pt>
                <c:pt idx="826">
                  <c:v>0.83170917319330329</c:v>
                </c:pt>
                <c:pt idx="827">
                  <c:v>0.83228986097130075</c:v>
                </c:pt>
                <c:pt idx="828">
                  <c:v>0.83330718954312033</c:v>
                </c:pt>
                <c:pt idx="829">
                  <c:v>0.83458201761095552</c:v>
                </c:pt>
                <c:pt idx="830">
                  <c:v>0.83618771260080393</c:v>
                </c:pt>
                <c:pt idx="831">
                  <c:v>0.83640567773454677</c:v>
                </c:pt>
                <c:pt idx="832">
                  <c:v>0.83651759474105347</c:v>
                </c:pt>
                <c:pt idx="833">
                  <c:v>0.83680124634338426</c:v>
                </c:pt>
                <c:pt idx="834">
                  <c:v>0.83691953719699086</c:v>
                </c:pt>
                <c:pt idx="835">
                  <c:v>0.84175409339650287</c:v>
                </c:pt>
                <c:pt idx="836">
                  <c:v>0.84304602224801783</c:v>
                </c:pt>
                <c:pt idx="837">
                  <c:v>0.84471882810612442</c:v>
                </c:pt>
                <c:pt idx="838">
                  <c:v>0.8449904979834173</c:v>
                </c:pt>
                <c:pt idx="839">
                  <c:v>0.84625704393693013</c:v>
                </c:pt>
                <c:pt idx="840">
                  <c:v>0.84679934702035098</c:v>
                </c:pt>
                <c:pt idx="841">
                  <c:v>0.8475030132676693</c:v>
                </c:pt>
                <c:pt idx="842">
                  <c:v>0.84865515832552774</c:v>
                </c:pt>
                <c:pt idx="843">
                  <c:v>0.84949567095100065</c:v>
                </c:pt>
                <c:pt idx="844">
                  <c:v>0.85014557462318407</c:v>
                </c:pt>
                <c:pt idx="845">
                  <c:v>0.85026120443671971</c:v>
                </c:pt>
                <c:pt idx="846">
                  <c:v>0.85032806432539587</c:v>
                </c:pt>
                <c:pt idx="847">
                  <c:v>0.85039751319345669</c:v>
                </c:pt>
                <c:pt idx="848">
                  <c:v>0.8527877181822987</c:v>
                </c:pt>
                <c:pt idx="849">
                  <c:v>0.85373983755562222</c:v>
                </c:pt>
                <c:pt idx="850">
                  <c:v>0.85418413361003331</c:v>
                </c:pt>
                <c:pt idx="851">
                  <c:v>0.85488681614515372</c:v>
                </c:pt>
                <c:pt idx="852">
                  <c:v>0.85622485152180161</c:v>
                </c:pt>
                <c:pt idx="853">
                  <c:v>0.85767972178291529</c:v>
                </c:pt>
                <c:pt idx="854">
                  <c:v>0.85786455630477576</c:v>
                </c:pt>
                <c:pt idx="855">
                  <c:v>0.8580041649101986</c:v>
                </c:pt>
                <c:pt idx="856">
                  <c:v>0.85826560392797546</c:v>
                </c:pt>
                <c:pt idx="857">
                  <c:v>0.85884389926198423</c:v>
                </c:pt>
                <c:pt idx="858">
                  <c:v>0.85885128346581041</c:v>
                </c:pt>
                <c:pt idx="859">
                  <c:v>0.85897643282351055</c:v>
                </c:pt>
                <c:pt idx="860">
                  <c:v>0.8615948895112524</c:v>
                </c:pt>
                <c:pt idx="861">
                  <c:v>0.86438267019821069</c:v>
                </c:pt>
                <c:pt idx="862">
                  <c:v>0.86513249309155071</c:v>
                </c:pt>
                <c:pt idx="863">
                  <c:v>0.86665274431743455</c:v>
                </c:pt>
                <c:pt idx="864">
                  <c:v>0.86820171762155951</c:v>
                </c:pt>
                <c:pt idx="865">
                  <c:v>0.86853126696405525</c:v>
                </c:pt>
                <c:pt idx="866">
                  <c:v>0.87197915485376143</c:v>
                </c:pt>
                <c:pt idx="867">
                  <c:v>0.8722354996989452</c:v>
                </c:pt>
                <c:pt idx="868">
                  <c:v>0.87381883972011565</c:v>
                </c:pt>
                <c:pt idx="869">
                  <c:v>0.87525524830198265</c:v>
                </c:pt>
                <c:pt idx="870">
                  <c:v>0.87997934761187935</c:v>
                </c:pt>
                <c:pt idx="871">
                  <c:v>0.88030614219587733</c:v>
                </c:pt>
                <c:pt idx="872">
                  <c:v>0.88169139013552922</c:v>
                </c:pt>
                <c:pt idx="873">
                  <c:v>0.88202298518808675</c:v>
                </c:pt>
                <c:pt idx="874">
                  <c:v>0.88293652376978571</c:v>
                </c:pt>
                <c:pt idx="875">
                  <c:v>0.88317118227132596</c:v>
                </c:pt>
                <c:pt idx="876">
                  <c:v>0.88328667397036043</c:v>
                </c:pt>
                <c:pt idx="877">
                  <c:v>0.88408386593891919</c:v>
                </c:pt>
                <c:pt idx="878">
                  <c:v>0.88439864600877627</c:v>
                </c:pt>
                <c:pt idx="879">
                  <c:v>0.88720635695064232</c:v>
                </c:pt>
                <c:pt idx="880">
                  <c:v>0.88765662386867916</c:v>
                </c:pt>
                <c:pt idx="881">
                  <c:v>0.88886702168201737</c:v>
                </c:pt>
                <c:pt idx="882">
                  <c:v>0.89180758055863407</c:v>
                </c:pt>
                <c:pt idx="883">
                  <c:v>0.89231223170372687</c:v>
                </c:pt>
                <c:pt idx="884">
                  <c:v>0.89248467413020194</c:v>
                </c:pt>
                <c:pt idx="885">
                  <c:v>0.89289960372934729</c:v>
                </c:pt>
                <c:pt idx="886">
                  <c:v>0.89661515691386739</c:v>
                </c:pt>
                <c:pt idx="887">
                  <c:v>0.89744408755086624</c:v>
                </c:pt>
                <c:pt idx="888">
                  <c:v>0.89805918282854691</c:v>
                </c:pt>
                <c:pt idx="889">
                  <c:v>0.89938482189157298</c:v>
                </c:pt>
                <c:pt idx="890">
                  <c:v>0.8996989098859558</c:v>
                </c:pt>
                <c:pt idx="891">
                  <c:v>0.89977254776840709</c:v>
                </c:pt>
                <c:pt idx="892">
                  <c:v>0.90084247243339632</c:v>
                </c:pt>
                <c:pt idx="893">
                  <c:v>0.90118241113214026</c:v>
                </c:pt>
                <c:pt idx="894">
                  <c:v>0.90123890086670144</c:v>
                </c:pt>
                <c:pt idx="895">
                  <c:v>0.90346178428626445</c:v>
                </c:pt>
                <c:pt idx="896">
                  <c:v>0.90400538492667692</c:v>
                </c:pt>
                <c:pt idx="897">
                  <c:v>0.90498777965785848</c:v>
                </c:pt>
                <c:pt idx="898">
                  <c:v>0.90867303863433335</c:v>
                </c:pt>
                <c:pt idx="899">
                  <c:v>0.90959196527910535</c:v>
                </c:pt>
                <c:pt idx="900">
                  <c:v>0.91047418771813682</c:v>
                </c:pt>
                <c:pt idx="901">
                  <c:v>0.91130472509212268</c:v>
                </c:pt>
                <c:pt idx="902">
                  <c:v>0.91240697912780888</c:v>
                </c:pt>
                <c:pt idx="903">
                  <c:v>0.91251152165568783</c:v>
                </c:pt>
                <c:pt idx="904">
                  <c:v>0.91329601434608776</c:v>
                </c:pt>
                <c:pt idx="905">
                  <c:v>0.91389334499945107</c:v>
                </c:pt>
                <c:pt idx="906">
                  <c:v>0.91405702342945006</c:v>
                </c:pt>
                <c:pt idx="907">
                  <c:v>0.91459075479269814</c:v>
                </c:pt>
                <c:pt idx="908">
                  <c:v>0.91487911742660799</c:v>
                </c:pt>
                <c:pt idx="909">
                  <c:v>0.91588478277117247</c:v>
                </c:pt>
                <c:pt idx="910">
                  <c:v>0.91664060296352545</c:v>
                </c:pt>
                <c:pt idx="911">
                  <c:v>0.9183827348460909</c:v>
                </c:pt>
                <c:pt idx="912">
                  <c:v>0.91963829460564739</c:v>
                </c:pt>
                <c:pt idx="913">
                  <c:v>0.91994314602925442</c:v>
                </c:pt>
                <c:pt idx="914">
                  <c:v>0.9206113036516399</c:v>
                </c:pt>
                <c:pt idx="915">
                  <c:v>0.92124879492439504</c:v>
                </c:pt>
                <c:pt idx="916">
                  <c:v>0.92312180910630559</c:v>
                </c:pt>
                <c:pt idx="917">
                  <c:v>0.924019530753867</c:v>
                </c:pt>
                <c:pt idx="918">
                  <c:v>0.92510919519099843</c:v>
                </c:pt>
                <c:pt idx="919">
                  <c:v>0.92521802245209983</c:v>
                </c:pt>
                <c:pt idx="920">
                  <c:v>0.92769186428995454</c:v>
                </c:pt>
                <c:pt idx="921">
                  <c:v>0.92776442164904438</c:v>
                </c:pt>
                <c:pt idx="922">
                  <c:v>0.92984913565214811</c:v>
                </c:pt>
                <c:pt idx="923">
                  <c:v>0.93113263744817232</c:v>
                </c:pt>
                <c:pt idx="924">
                  <c:v>0.93519278509666037</c:v>
                </c:pt>
                <c:pt idx="925">
                  <c:v>0.93679421620345238</c:v>
                </c:pt>
                <c:pt idx="926">
                  <c:v>0.93836017726880527</c:v>
                </c:pt>
                <c:pt idx="927">
                  <c:v>0.94105559517083748</c:v>
                </c:pt>
                <c:pt idx="928">
                  <c:v>0.94295847858847992</c:v>
                </c:pt>
                <c:pt idx="929">
                  <c:v>0.94317393051642284</c:v>
                </c:pt>
                <c:pt idx="930">
                  <c:v>0.94566757253323885</c:v>
                </c:pt>
                <c:pt idx="931">
                  <c:v>0.94731755028533371</c:v>
                </c:pt>
                <c:pt idx="932">
                  <c:v>0.94849866640288383</c:v>
                </c:pt>
                <c:pt idx="933">
                  <c:v>0.95018477485336916</c:v>
                </c:pt>
                <c:pt idx="934">
                  <c:v>0.95018628761499713</c:v>
                </c:pt>
                <c:pt idx="935">
                  <c:v>0.95024298435509991</c:v>
                </c:pt>
                <c:pt idx="936">
                  <c:v>0.95083732684724964</c:v>
                </c:pt>
                <c:pt idx="937">
                  <c:v>0.95244945328704489</c:v>
                </c:pt>
                <c:pt idx="938">
                  <c:v>0.95330754346286994</c:v>
                </c:pt>
                <c:pt idx="939">
                  <c:v>0.95334774205275608</c:v>
                </c:pt>
                <c:pt idx="940">
                  <c:v>0.95613194783618383</c:v>
                </c:pt>
                <c:pt idx="941">
                  <c:v>0.9572123998468669</c:v>
                </c:pt>
                <c:pt idx="942">
                  <c:v>0.95796621223962575</c:v>
                </c:pt>
                <c:pt idx="943">
                  <c:v>0.95818970272648585</c:v>
                </c:pt>
                <c:pt idx="944">
                  <c:v>0.96165950185513793</c:v>
                </c:pt>
                <c:pt idx="945">
                  <c:v>0.96198868049577868</c:v>
                </c:pt>
                <c:pt idx="946">
                  <c:v>0.96234462529537268</c:v>
                </c:pt>
                <c:pt idx="947">
                  <c:v>0.96276238014161208</c:v>
                </c:pt>
                <c:pt idx="948">
                  <c:v>0.9635206690772975</c:v>
                </c:pt>
                <c:pt idx="949">
                  <c:v>0.96480680523382034</c:v>
                </c:pt>
                <c:pt idx="950">
                  <c:v>0.96486202681990108</c:v>
                </c:pt>
                <c:pt idx="951">
                  <c:v>0.96490225693105458</c:v>
                </c:pt>
                <c:pt idx="952">
                  <c:v>0.96649082482508675</c:v>
                </c:pt>
                <c:pt idx="953">
                  <c:v>0.9667948026835802</c:v>
                </c:pt>
                <c:pt idx="954">
                  <c:v>0.96707505643917102</c:v>
                </c:pt>
                <c:pt idx="955">
                  <c:v>0.9673346397385103</c:v>
                </c:pt>
                <c:pt idx="956">
                  <c:v>0.9675415677465935</c:v>
                </c:pt>
                <c:pt idx="957">
                  <c:v>0.96913666897580697</c:v>
                </c:pt>
                <c:pt idx="958">
                  <c:v>0.96918410968282842</c:v>
                </c:pt>
                <c:pt idx="959">
                  <c:v>0.97028151925042039</c:v>
                </c:pt>
                <c:pt idx="960">
                  <c:v>0.97148636771271413</c:v>
                </c:pt>
                <c:pt idx="961">
                  <c:v>0.9748420887372049</c:v>
                </c:pt>
                <c:pt idx="962">
                  <c:v>0.9768120458620615</c:v>
                </c:pt>
                <c:pt idx="963">
                  <c:v>0.97732044789154315</c:v>
                </c:pt>
                <c:pt idx="964">
                  <c:v>0.98022982498514466</c:v>
                </c:pt>
                <c:pt idx="965">
                  <c:v>0.98130023153589718</c:v>
                </c:pt>
                <c:pt idx="966">
                  <c:v>0.98152402967934904</c:v>
                </c:pt>
                <c:pt idx="967">
                  <c:v>0.98189988151716534</c:v>
                </c:pt>
                <c:pt idx="968">
                  <c:v>0.98224865262818639</c:v>
                </c:pt>
                <c:pt idx="969">
                  <c:v>0.98286481494869804</c:v>
                </c:pt>
                <c:pt idx="970">
                  <c:v>0.9857604806411473</c:v>
                </c:pt>
                <c:pt idx="971">
                  <c:v>0.98604902944134665</c:v>
                </c:pt>
                <c:pt idx="972">
                  <c:v>0.98646332476437237</c:v>
                </c:pt>
                <c:pt idx="973">
                  <c:v>0.98677218408920453</c:v>
                </c:pt>
                <c:pt idx="974">
                  <c:v>0.98702505354685854</c:v>
                </c:pt>
                <c:pt idx="975">
                  <c:v>0.98739930162344081</c:v>
                </c:pt>
                <c:pt idx="976">
                  <c:v>0.98861723686150071</c:v>
                </c:pt>
                <c:pt idx="977">
                  <c:v>0.98895069976242667</c:v>
                </c:pt>
                <c:pt idx="978">
                  <c:v>0.98910734637047426</c:v>
                </c:pt>
                <c:pt idx="979">
                  <c:v>0.98920447871296346</c:v>
                </c:pt>
                <c:pt idx="980">
                  <c:v>0.99034034953729133</c:v>
                </c:pt>
                <c:pt idx="981">
                  <c:v>0.99100932646706497</c:v>
                </c:pt>
                <c:pt idx="982">
                  <c:v>0.99193402930086449</c:v>
                </c:pt>
                <c:pt idx="983">
                  <c:v>0.99211602739433147</c:v>
                </c:pt>
                <c:pt idx="984">
                  <c:v>0.99245110388892499</c:v>
                </c:pt>
                <c:pt idx="985">
                  <c:v>0.99247562022810598</c:v>
                </c:pt>
                <c:pt idx="986">
                  <c:v>0.99271000548196753</c:v>
                </c:pt>
                <c:pt idx="987">
                  <c:v>0.99313408629677724</c:v>
                </c:pt>
                <c:pt idx="988">
                  <c:v>0.99355911416660092</c:v>
                </c:pt>
                <c:pt idx="989">
                  <c:v>0.99458213950856589</c:v>
                </c:pt>
                <c:pt idx="990">
                  <c:v>0.994636948959851</c:v>
                </c:pt>
                <c:pt idx="991">
                  <c:v>0.99619776215422462</c:v>
                </c:pt>
                <c:pt idx="992">
                  <c:v>0.99651625586375303</c:v>
                </c:pt>
                <c:pt idx="993">
                  <c:v>0.99736542394020944</c:v>
                </c:pt>
                <c:pt idx="994">
                  <c:v>0.99799577158501052</c:v>
                </c:pt>
                <c:pt idx="995">
                  <c:v>0.99942941137123853</c:v>
                </c:pt>
                <c:pt idx="996">
                  <c:v>0.99945853382178029</c:v>
                </c:pt>
                <c:pt idx="997">
                  <c:v>0.99950051948599139</c:v>
                </c:pt>
                <c:pt idx="998">
                  <c:v>0.99969829073233996</c:v>
                </c:pt>
                <c:pt idx="999">
                  <c:v>0.99997557083042921</c:v>
                </c:pt>
              </c:numCache>
            </c:numRef>
          </c:xVal>
          <c:yVal>
            <c:numRef>
              <c:f>SimData1000!$M$1010:$M$2009</c:f>
              <c:numCache>
                <c:formatCode>General</c:formatCode>
                <c:ptCount val="1000"/>
                <c:pt idx="0">
                  <c:v>0</c:v>
                </c:pt>
                <c:pt idx="1">
                  <c:v>1.001001001001001E-3</c:v>
                </c:pt>
                <c:pt idx="2">
                  <c:v>2.002002002002002E-3</c:v>
                </c:pt>
                <c:pt idx="3">
                  <c:v>3.003003003003003E-3</c:v>
                </c:pt>
                <c:pt idx="4">
                  <c:v>4.004004004004004E-3</c:v>
                </c:pt>
                <c:pt idx="5">
                  <c:v>5.005005005005005E-3</c:v>
                </c:pt>
                <c:pt idx="6">
                  <c:v>6.006006006006006E-3</c:v>
                </c:pt>
                <c:pt idx="7">
                  <c:v>7.0070070070070069E-3</c:v>
                </c:pt>
                <c:pt idx="8">
                  <c:v>8.0080080080080079E-3</c:v>
                </c:pt>
                <c:pt idx="9">
                  <c:v>9.0090090090090089E-3</c:v>
                </c:pt>
                <c:pt idx="10">
                  <c:v>1.001001001001001E-2</c:v>
                </c:pt>
                <c:pt idx="11">
                  <c:v>1.1011011011011011E-2</c:v>
                </c:pt>
                <c:pt idx="12">
                  <c:v>1.2012012012012012E-2</c:v>
                </c:pt>
                <c:pt idx="13">
                  <c:v>1.3013013013013013E-2</c:v>
                </c:pt>
                <c:pt idx="14">
                  <c:v>1.4014014014014014E-2</c:v>
                </c:pt>
                <c:pt idx="15">
                  <c:v>1.5015015015015015E-2</c:v>
                </c:pt>
                <c:pt idx="16">
                  <c:v>1.6016016016016016E-2</c:v>
                </c:pt>
                <c:pt idx="17">
                  <c:v>1.7017017017017015E-2</c:v>
                </c:pt>
                <c:pt idx="18">
                  <c:v>1.8018018018018014E-2</c:v>
                </c:pt>
                <c:pt idx="19">
                  <c:v>1.9019019019019014E-2</c:v>
                </c:pt>
                <c:pt idx="20">
                  <c:v>2.0020020020020013E-2</c:v>
                </c:pt>
                <c:pt idx="21">
                  <c:v>2.1021021021021012E-2</c:v>
                </c:pt>
                <c:pt idx="22">
                  <c:v>2.2022022022022011E-2</c:v>
                </c:pt>
                <c:pt idx="23">
                  <c:v>2.3023023023023011E-2</c:v>
                </c:pt>
                <c:pt idx="24">
                  <c:v>2.402402402402401E-2</c:v>
                </c:pt>
                <c:pt idx="25">
                  <c:v>2.5025025025025009E-2</c:v>
                </c:pt>
                <c:pt idx="26">
                  <c:v>2.6026026026026008E-2</c:v>
                </c:pt>
                <c:pt idx="27">
                  <c:v>2.7027027027027008E-2</c:v>
                </c:pt>
                <c:pt idx="28">
                  <c:v>2.8028028028028007E-2</c:v>
                </c:pt>
                <c:pt idx="29">
                  <c:v>2.9029029029029006E-2</c:v>
                </c:pt>
                <c:pt idx="30">
                  <c:v>3.0030030030030005E-2</c:v>
                </c:pt>
                <c:pt idx="31">
                  <c:v>3.1031031031031005E-2</c:v>
                </c:pt>
                <c:pt idx="32">
                  <c:v>3.2032032032032004E-2</c:v>
                </c:pt>
                <c:pt idx="33">
                  <c:v>3.3033033033033003E-2</c:v>
                </c:pt>
                <c:pt idx="34">
                  <c:v>3.4034034034034003E-2</c:v>
                </c:pt>
                <c:pt idx="35">
                  <c:v>3.5035035035035002E-2</c:v>
                </c:pt>
                <c:pt idx="36">
                  <c:v>3.6036036036036001E-2</c:v>
                </c:pt>
                <c:pt idx="37">
                  <c:v>3.7037037037037E-2</c:v>
                </c:pt>
                <c:pt idx="38">
                  <c:v>3.8038038038038E-2</c:v>
                </c:pt>
                <c:pt idx="39">
                  <c:v>3.9039039039038999E-2</c:v>
                </c:pt>
                <c:pt idx="40">
                  <c:v>4.0040040040039998E-2</c:v>
                </c:pt>
                <c:pt idx="41">
                  <c:v>4.1041041041040997E-2</c:v>
                </c:pt>
                <c:pt idx="42">
                  <c:v>4.2042042042041997E-2</c:v>
                </c:pt>
                <c:pt idx="43">
                  <c:v>4.3043043043042996E-2</c:v>
                </c:pt>
                <c:pt idx="44">
                  <c:v>4.4044044044043995E-2</c:v>
                </c:pt>
                <c:pt idx="45">
                  <c:v>4.5045045045044994E-2</c:v>
                </c:pt>
                <c:pt idx="46">
                  <c:v>4.6046046046045994E-2</c:v>
                </c:pt>
                <c:pt idx="47">
                  <c:v>4.7047047047046993E-2</c:v>
                </c:pt>
                <c:pt idx="48">
                  <c:v>4.8048048048047992E-2</c:v>
                </c:pt>
                <c:pt idx="49">
                  <c:v>4.9049049049048991E-2</c:v>
                </c:pt>
                <c:pt idx="50">
                  <c:v>5.0050050050049991E-2</c:v>
                </c:pt>
                <c:pt idx="51">
                  <c:v>5.105105105105099E-2</c:v>
                </c:pt>
                <c:pt idx="52">
                  <c:v>5.2052052052051989E-2</c:v>
                </c:pt>
                <c:pt idx="53">
                  <c:v>5.3053053053052988E-2</c:v>
                </c:pt>
                <c:pt idx="54">
                  <c:v>5.4054054054053988E-2</c:v>
                </c:pt>
                <c:pt idx="55">
                  <c:v>5.5055055055054987E-2</c:v>
                </c:pt>
                <c:pt idx="56">
                  <c:v>5.6056056056055986E-2</c:v>
                </c:pt>
                <c:pt idx="57">
                  <c:v>5.7057057057056985E-2</c:v>
                </c:pt>
                <c:pt idx="58">
                  <c:v>5.8058058058057985E-2</c:v>
                </c:pt>
                <c:pt idx="59">
                  <c:v>5.9059059059058984E-2</c:v>
                </c:pt>
                <c:pt idx="60">
                  <c:v>6.0060060060059983E-2</c:v>
                </c:pt>
                <c:pt idx="61">
                  <c:v>6.1061061061060982E-2</c:v>
                </c:pt>
                <c:pt idx="62">
                  <c:v>6.2062062062061982E-2</c:v>
                </c:pt>
                <c:pt idx="63">
                  <c:v>6.3063063063062988E-2</c:v>
                </c:pt>
                <c:pt idx="64">
                  <c:v>6.4064064064063994E-2</c:v>
                </c:pt>
                <c:pt idx="65">
                  <c:v>6.5065065065065E-2</c:v>
                </c:pt>
                <c:pt idx="66">
                  <c:v>6.6066066066066007E-2</c:v>
                </c:pt>
                <c:pt idx="67">
                  <c:v>6.7067067067067013E-2</c:v>
                </c:pt>
                <c:pt idx="68">
                  <c:v>6.8068068068068019E-2</c:v>
                </c:pt>
                <c:pt idx="69">
                  <c:v>6.9069069069069025E-2</c:v>
                </c:pt>
                <c:pt idx="70">
                  <c:v>7.0070070070070031E-2</c:v>
                </c:pt>
                <c:pt idx="71">
                  <c:v>7.1071071071071037E-2</c:v>
                </c:pt>
                <c:pt idx="72">
                  <c:v>7.2072072072072044E-2</c:v>
                </c:pt>
                <c:pt idx="73">
                  <c:v>7.307307307307305E-2</c:v>
                </c:pt>
                <c:pt idx="74">
                  <c:v>7.4074074074074056E-2</c:v>
                </c:pt>
                <c:pt idx="75">
                  <c:v>7.5075075075075062E-2</c:v>
                </c:pt>
                <c:pt idx="76">
                  <c:v>7.6076076076076068E-2</c:v>
                </c:pt>
                <c:pt idx="77">
                  <c:v>7.7077077077077075E-2</c:v>
                </c:pt>
                <c:pt idx="78">
                  <c:v>7.8078078078078081E-2</c:v>
                </c:pt>
                <c:pt idx="79">
                  <c:v>7.9079079079079087E-2</c:v>
                </c:pt>
                <c:pt idx="80">
                  <c:v>8.0080080080080093E-2</c:v>
                </c:pt>
                <c:pt idx="81">
                  <c:v>8.1081081081081099E-2</c:v>
                </c:pt>
                <c:pt idx="82">
                  <c:v>8.2082082082082106E-2</c:v>
                </c:pt>
                <c:pt idx="83">
                  <c:v>8.3083083083083112E-2</c:v>
                </c:pt>
                <c:pt idx="84">
                  <c:v>8.4084084084084118E-2</c:v>
                </c:pt>
                <c:pt idx="85">
                  <c:v>8.5085085085085124E-2</c:v>
                </c:pt>
                <c:pt idx="86">
                  <c:v>8.608608608608613E-2</c:v>
                </c:pt>
                <c:pt idx="87">
                  <c:v>8.7087087087087137E-2</c:v>
                </c:pt>
                <c:pt idx="88">
                  <c:v>8.8088088088088143E-2</c:v>
                </c:pt>
                <c:pt idx="89">
                  <c:v>8.9089089089089149E-2</c:v>
                </c:pt>
                <c:pt idx="90">
                  <c:v>9.0090090090090155E-2</c:v>
                </c:pt>
                <c:pt idx="91">
                  <c:v>9.1091091091091161E-2</c:v>
                </c:pt>
                <c:pt idx="92">
                  <c:v>9.2092092092092168E-2</c:v>
                </c:pt>
                <c:pt idx="93">
                  <c:v>9.3093093093093174E-2</c:v>
                </c:pt>
                <c:pt idx="94">
                  <c:v>9.409409409409418E-2</c:v>
                </c:pt>
                <c:pt idx="95">
                  <c:v>9.5095095095095186E-2</c:v>
                </c:pt>
                <c:pt idx="96">
                  <c:v>9.6096096096096192E-2</c:v>
                </c:pt>
                <c:pt idx="97">
                  <c:v>9.7097097097097199E-2</c:v>
                </c:pt>
                <c:pt idx="98">
                  <c:v>9.8098098098098205E-2</c:v>
                </c:pt>
                <c:pt idx="99">
                  <c:v>9.9099099099099211E-2</c:v>
                </c:pt>
                <c:pt idx="100">
                  <c:v>0.10010010010010022</c:v>
                </c:pt>
                <c:pt idx="101">
                  <c:v>0.10110110110110122</c:v>
                </c:pt>
                <c:pt idx="102">
                  <c:v>0.10210210210210223</c:v>
                </c:pt>
                <c:pt idx="103">
                  <c:v>0.10310310310310324</c:v>
                </c:pt>
                <c:pt idx="104">
                  <c:v>0.10410410410410424</c:v>
                </c:pt>
                <c:pt idx="105">
                  <c:v>0.10510510510510525</c:v>
                </c:pt>
                <c:pt idx="106">
                  <c:v>0.10610610610610625</c:v>
                </c:pt>
                <c:pt idx="107">
                  <c:v>0.10710710710710726</c:v>
                </c:pt>
                <c:pt idx="108">
                  <c:v>0.10810810810810827</c:v>
                </c:pt>
                <c:pt idx="109">
                  <c:v>0.10910910910910927</c:v>
                </c:pt>
                <c:pt idx="110">
                  <c:v>0.11011011011011028</c:v>
                </c:pt>
                <c:pt idx="111">
                  <c:v>0.11111111111111129</c:v>
                </c:pt>
                <c:pt idx="112">
                  <c:v>0.11211211211211229</c:v>
                </c:pt>
                <c:pt idx="113">
                  <c:v>0.1131131131131133</c:v>
                </c:pt>
                <c:pt idx="114">
                  <c:v>0.1141141141141143</c:v>
                </c:pt>
                <c:pt idx="115">
                  <c:v>0.11511511511511531</c:v>
                </c:pt>
                <c:pt idx="116">
                  <c:v>0.11611611611611632</c:v>
                </c:pt>
                <c:pt idx="117">
                  <c:v>0.11711711711711732</c:v>
                </c:pt>
                <c:pt idx="118">
                  <c:v>0.11811811811811833</c:v>
                </c:pt>
                <c:pt idx="119">
                  <c:v>0.11911911911911933</c:v>
                </c:pt>
                <c:pt idx="120">
                  <c:v>0.12012012012012034</c:v>
                </c:pt>
                <c:pt idx="121">
                  <c:v>0.12112112112112135</c:v>
                </c:pt>
                <c:pt idx="122">
                  <c:v>0.12212212212212235</c:v>
                </c:pt>
                <c:pt idx="123">
                  <c:v>0.12312312312312336</c:v>
                </c:pt>
                <c:pt idx="124">
                  <c:v>0.12412412412412437</c:v>
                </c:pt>
                <c:pt idx="125">
                  <c:v>0.12512512512512536</c:v>
                </c:pt>
                <c:pt idx="126">
                  <c:v>0.12612612612612636</c:v>
                </c:pt>
                <c:pt idx="127">
                  <c:v>0.12712712712712737</c:v>
                </c:pt>
                <c:pt idx="128">
                  <c:v>0.12812812812812838</c:v>
                </c:pt>
                <c:pt idx="129">
                  <c:v>0.12912912912912938</c:v>
                </c:pt>
                <c:pt idx="130">
                  <c:v>0.13013013013013039</c:v>
                </c:pt>
                <c:pt idx="131">
                  <c:v>0.1311311311311314</c:v>
                </c:pt>
                <c:pt idx="132">
                  <c:v>0.1321321321321324</c:v>
                </c:pt>
                <c:pt idx="133">
                  <c:v>0.13313313313313341</c:v>
                </c:pt>
                <c:pt idx="134">
                  <c:v>0.13413413413413441</c:v>
                </c:pt>
                <c:pt idx="135">
                  <c:v>0.13513513513513542</c:v>
                </c:pt>
                <c:pt idx="136">
                  <c:v>0.13613613613613643</c:v>
                </c:pt>
                <c:pt idx="137">
                  <c:v>0.13713713713713743</c:v>
                </c:pt>
                <c:pt idx="138">
                  <c:v>0.13813813813813844</c:v>
                </c:pt>
                <c:pt idx="139">
                  <c:v>0.13913913913913944</c:v>
                </c:pt>
                <c:pt idx="140">
                  <c:v>0.14014014014014045</c:v>
                </c:pt>
                <c:pt idx="141">
                  <c:v>0.14114114114114146</c:v>
                </c:pt>
                <c:pt idx="142">
                  <c:v>0.14214214214214246</c:v>
                </c:pt>
                <c:pt idx="143">
                  <c:v>0.14314314314314347</c:v>
                </c:pt>
                <c:pt idx="144">
                  <c:v>0.14414414414414448</c:v>
                </c:pt>
                <c:pt idx="145">
                  <c:v>0.14514514514514548</c:v>
                </c:pt>
                <c:pt idx="146">
                  <c:v>0.14614614614614649</c:v>
                </c:pt>
                <c:pt idx="147">
                  <c:v>0.14714714714714749</c:v>
                </c:pt>
                <c:pt idx="148">
                  <c:v>0.1481481481481485</c:v>
                </c:pt>
                <c:pt idx="149">
                  <c:v>0.14914914914914951</c:v>
                </c:pt>
                <c:pt idx="150">
                  <c:v>0.15015015015015051</c:v>
                </c:pt>
                <c:pt idx="151">
                  <c:v>0.15115115115115152</c:v>
                </c:pt>
                <c:pt idx="152">
                  <c:v>0.15215215215215253</c:v>
                </c:pt>
                <c:pt idx="153">
                  <c:v>0.15315315315315353</c:v>
                </c:pt>
                <c:pt idx="154">
                  <c:v>0.15415415415415454</c:v>
                </c:pt>
                <c:pt idx="155">
                  <c:v>0.15515515515515554</c:v>
                </c:pt>
                <c:pt idx="156">
                  <c:v>0.15615615615615655</c:v>
                </c:pt>
                <c:pt idx="157">
                  <c:v>0.15715715715715756</c:v>
                </c:pt>
                <c:pt idx="158">
                  <c:v>0.15815815815815856</c:v>
                </c:pt>
                <c:pt idx="159">
                  <c:v>0.15915915915915957</c:v>
                </c:pt>
                <c:pt idx="160">
                  <c:v>0.16016016016016058</c:v>
                </c:pt>
                <c:pt idx="161">
                  <c:v>0.16116116116116158</c:v>
                </c:pt>
                <c:pt idx="162">
                  <c:v>0.16216216216216259</c:v>
                </c:pt>
                <c:pt idx="163">
                  <c:v>0.16316316316316359</c:v>
                </c:pt>
                <c:pt idx="164">
                  <c:v>0.1641641641641646</c:v>
                </c:pt>
                <c:pt idx="165">
                  <c:v>0.16516516516516561</c:v>
                </c:pt>
                <c:pt idx="166">
                  <c:v>0.16616616616616661</c:v>
                </c:pt>
                <c:pt idx="167">
                  <c:v>0.16716716716716762</c:v>
                </c:pt>
                <c:pt idx="168">
                  <c:v>0.16816816816816862</c:v>
                </c:pt>
                <c:pt idx="169">
                  <c:v>0.16916916916916963</c:v>
                </c:pt>
                <c:pt idx="170">
                  <c:v>0.17017017017017064</c:v>
                </c:pt>
                <c:pt idx="171">
                  <c:v>0.17117117117117164</c:v>
                </c:pt>
                <c:pt idx="172">
                  <c:v>0.17217217217217265</c:v>
                </c:pt>
                <c:pt idx="173">
                  <c:v>0.17317317317317366</c:v>
                </c:pt>
                <c:pt idx="174">
                  <c:v>0.17417417417417466</c:v>
                </c:pt>
                <c:pt idx="175">
                  <c:v>0.17517517517517567</c:v>
                </c:pt>
                <c:pt idx="176">
                  <c:v>0.17617617617617667</c:v>
                </c:pt>
                <c:pt idx="177">
                  <c:v>0.17717717717717768</c:v>
                </c:pt>
                <c:pt idx="178">
                  <c:v>0.17817817817817869</c:v>
                </c:pt>
                <c:pt idx="179">
                  <c:v>0.17917917917917969</c:v>
                </c:pt>
                <c:pt idx="180">
                  <c:v>0.1801801801801807</c:v>
                </c:pt>
                <c:pt idx="181">
                  <c:v>0.18118118118118171</c:v>
                </c:pt>
                <c:pt idx="182">
                  <c:v>0.18218218218218271</c:v>
                </c:pt>
                <c:pt idx="183">
                  <c:v>0.18318318318318372</c:v>
                </c:pt>
                <c:pt idx="184">
                  <c:v>0.18418418418418472</c:v>
                </c:pt>
                <c:pt idx="185">
                  <c:v>0.18518518518518573</c:v>
                </c:pt>
                <c:pt idx="186">
                  <c:v>0.18618618618618674</c:v>
                </c:pt>
                <c:pt idx="187">
                  <c:v>0.18718718718718774</c:v>
                </c:pt>
                <c:pt idx="188">
                  <c:v>0.18818818818818875</c:v>
                </c:pt>
                <c:pt idx="189">
                  <c:v>0.18918918918918975</c:v>
                </c:pt>
                <c:pt idx="190">
                  <c:v>0.19019019019019076</c:v>
                </c:pt>
                <c:pt idx="191">
                  <c:v>0.19119119119119177</c:v>
                </c:pt>
                <c:pt idx="192">
                  <c:v>0.19219219219219277</c:v>
                </c:pt>
                <c:pt idx="193">
                  <c:v>0.19319319319319378</c:v>
                </c:pt>
                <c:pt idx="194">
                  <c:v>0.19419419419419479</c:v>
                </c:pt>
                <c:pt idx="195">
                  <c:v>0.19519519519519579</c:v>
                </c:pt>
                <c:pt idx="196">
                  <c:v>0.1961961961961968</c:v>
                </c:pt>
                <c:pt idx="197">
                  <c:v>0.1971971971971978</c:v>
                </c:pt>
                <c:pt idx="198">
                  <c:v>0.19819819819819881</c:v>
                </c:pt>
                <c:pt idx="199">
                  <c:v>0.19919919919919982</c:v>
                </c:pt>
                <c:pt idx="200">
                  <c:v>0.20020020020020082</c:v>
                </c:pt>
                <c:pt idx="201">
                  <c:v>0.20120120120120183</c:v>
                </c:pt>
                <c:pt idx="202">
                  <c:v>0.20220220220220284</c:v>
                </c:pt>
                <c:pt idx="203">
                  <c:v>0.20320320320320384</c:v>
                </c:pt>
                <c:pt idx="204">
                  <c:v>0.20420420420420485</c:v>
                </c:pt>
                <c:pt idx="205">
                  <c:v>0.20520520520520585</c:v>
                </c:pt>
                <c:pt idx="206">
                  <c:v>0.20620620620620686</c:v>
                </c:pt>
                <c:pt idx="207">
                  <c:v>0.20720720720720787</c:v>
                </c:pt>
                <c:pt idx="208">
                  <c:v>0.20820820820820887</c:v>
                </c:pt>
                <c:pt idx="209">
                  <c:v>0.20920920920920988</c:v>
                </c:pt>
                <c:pt idx="210">
                  <c:v>0.21021021021021088</c:v>
                </c:pt>
                <c:pt idx="211">
                  <c:v>0.21121121121121189</c:v>
                </c:pt>
                <c:pt idx="212">
                  <c:v>0.2122122122122129</c:v>
                </c:pt>
                <c:pt idx="213">
                  <c:v>0.2132132132132139</c:v>
                </c:pt>
                <c:pt idx="214">
                  <c:v>0.21421421421421491</c:v>
                </c:pt>
                <c:pt idx="215">
                  <c:v>0.21521521521521592</c:v>
                </c:pt>
                <c:pt idx="216">
                  <c:v>0.21621621621621692</c:v>
                </c:pt>
                <c:pt idx="217">
                  <c:v>0.21721721721721793</c:v>
                </c:pt>
                <c:pt idx="218">
                  <c:v>0.21821821821821893</c:v>
                </c:pt>
                <c:pt idx="219">
                  <c:v>0.21921921921921994</c:v>
                </c:pt>
                <c:pt idx="220">
                  <c:v>0.22022022022022095</c:v>
                </c:pt>
                <c:pt idx="221">
                  <c:v>0.22122122122122195</c:v>
                </c:pt>
                <c:pt idx="222">
                  <c:v>0.22222222222222296</c:v>
                </c:pt>
                <c:pt idx="223">
                  <c:v>0.22322322322322397</c:v>
                </c:pt>
                <c:pt idx="224">
                  <c:v>0.22422422422422497</c:v>
                </c:pt>
                <c:pt idx="225">
                  <c:v>0.22522522522522598</c:v>
                </c:pt>
                <c:pt idx="226">
                  <c:v>0.22622622622622698</c:v>
                </c:pt>
                <c:pt idx="227">
                  <c:v>0.22722722722722799</c:v>
                </c:pt>
                <c:pt idx="228">
                  <c:v>0.228228228228229</c:v>
                </c:pt>
                <c:pt idx="229">
                  <c:v>0.22922922922923</c:v>
                </c:pt>
                <c:pt idx="230">
                  <c:v>0.23023023023023101</c:v>
                </c:pt>
                <c:pt idx="231">
                  <c:v>0.23123123123123202</c:v>
                </c:pt>
                <c:pt idx="232">
                  <c:v>0.23223223223223302</c:v>
                </c:pt>
                <c:pt idx="233">
                  <c:v>0.23323323323323403</c:v>
                </c:pt>
                <c:pt idx="234">
                  <c:v>0.23423423423423503</c:v>
                </c:pt>
                <c:pt idx="235">
                  <c:v>0.23523523523523604</c:v>
                </c:pt>
                <c:pt idx="236">
                  <c:v>0.23623623623623705</c:v>
                </c:pt>
                <c:pt idx="237">
                  <c:v>0.23723723723723805</c:v>
                </c:pt>
                <c:pt idx="238">
                  <c:v>0.23823823823823906</c:v>
                </c:pt>
                <c:pt idx="239">
                  <c:v>0.23923923923924006</c:v>
                </c:pt>
                <c:pt idx="240">
                  <c:v>0.24024024024024107</c:v>
                </c:pt>
                <c:pt idx="241">
                  <c:v>0.24124124124124208</c:v>
                </c:pt>
                <c:pt idx="242">
                  <c:v>0.24224224224224308</c:v>
                </c:pt>
                <c:pt idx="243">
                  <c:v>0.24324324324324409</c:v>
                </c:pt>
                <c:pt idx="244">
                  <c:v>0.2442442442442451</c:v>
                </c:pt>
                <c:pt idx="245">
                  <c:v>0.2452452452452461</c:v>
                </c:pt>
                <c:pt idx="246">
                  <c:v>0.24624624624624711</c:v>
                </c:pt>
                <c:pt idx="247">
                  <c:v>0.24724724724724811</c:v>
                </c:pt>
                <c:pt idx="248">
                  <c:v>0.24824824824824912</c:v>
                </c:pt>
                <c:pt idx="249">
                  <c:v>0.24924924924925013</c:v>
                </c:pt>
                <c:pt idx="250">
                  <c:v>0.25025025025025111</c:v>
                </c:pt>
                <c:pt idx="251">
                  <c:v>0.25125125125125208</c:v>
                </c:pt>
                <c:pt idx="252">
                  <c:v>0.25225225225225306</c:v>
                </c:pt>
                <c:pt idx="253">
                  <c:v>0.25325325325325404</c:v>
                </c:pt>
                <c:pt idx="254">
                  <c:v>0.25425425425425502</c:v>
                </c:pt>
                <c:pt idx="255">
                  <c:v>0.255255255255256</c:v>
                </c:pt>
                <c:pt idx="256">
                  <c:v>0.25625625625625698</c:v>
                </c:pt>
                <c:pt idx="257">
                  <c:v>0.25725725725725795</c:v>
                </c:pt>
                <c:pt idx="258">
                  <c:v>0.25825825825825893</c:v>
                </c:pt>
                <c:pt idx="259">
                  <c:v>0.25925925925925991</c:v>
                </c:pt>
                <c:pt idx="260">
                  <c:v>0.26026026026026089</c:v>
                </c:pt>
                <c:pt idx="261">
                  <c:v>0.26126126126126187</c:v>
                </c:pt>
                <c:pt idx="262">
                  <c:v>0.26226226226226285</c:v>
                </c:pt>
                <c:pt idx="263">
                  <c:v>0.26326326326326382</c:v>
                </c:pt>
                <c:pt idx="264">
                  <c:v>0.2642642642642648</c:v>
                </c:pt>
                <c:pt idx="265">
                  <c:v>0.26526526526526578</c:v>
                </c:pt>
                <c:pt idx="266">
                  <c:v>0.26626626626626676</c:v>
                </c:pt>
                <c:pt idx="267">
                  <c:v>0.26726726726726774</c:v>
                </c:pt>
                <c:pt idx="268">
                  <c:v>0.26826826826826872</c:v>
                </c:pt>
                <c:pt idx="269">
                  <c:v>0.2692692692692697</c:v>
                </c:pt>
                <c:pt idx="270">
                  <c:v>0.27027027027027067</c:v>
                </c:pt>
                <c:pt idx="271">
                  <c:v>0.27127127127127165</c:v>
                </c:pt>
                <c:pt idx="272">
                  <c:v>0.27227227227227263</c:v>
                </c:pt>
                <c:pt idx="273">
                  <c:v>0.27327327327327361</c:v>
                </c:pt>
                <c:pt idx="274">
                  <c:v>0.27427427427427459</c:v>
                </c:pt>
                <c:pt idx="275">
                  <c:v>0.27527527527527557</c:v>
                </c:pt>
                <c:pt idx="276">
                  <c:v>0.27627627627627654</c:v>
                </c:pt>
                <c:pt idx="277">
                  <c:v>0.27727727727727752</c:v>
                </c:pt>
                <c:pt idx="278">
                  <c:v>0.2782782782782785</c:v>
                </c:pt>
                <c:pt idx="279">
                  <c:v>0.27927927927927948</c:v>
                </c:pt>
                <c:pt idx="280">
                  <c:v>0.28028028028028046</c:v>
                </c:pt>
                <c:pt idx="281">
                  <c:v>0.28128128128128144</c:v>
                </c:pt>
                <c:pt idx="282">
                  <c:v>0.28228228228228242</c:v>
                </c:pt>
                <c:pt idx="283">
                  <c:v>0.28328328328328339</c:v>
                </c:pt>
                <c:pt idx="284">
                  <c:v>0.28428428428428437</c:v>
                </c:pt>
                <c:pt idx="285">
                  <c:v>0.28528528528528535</c:v>
                </c:pt>
                <c:pt idx="286">
                  <c:v>0.28628628628628633</c:v>
                </c:pt>
                <c:pt idx="287">
                  <c:v>0.28728728728728731</c:v>
                </c:pt>
                <c:pt idx="288">
                  <c:v>0.28828828828828829</c:v>
                </c:pt>
                <c:pt idx="289">
                  <c:v>0.28928928928928926</c:v>
                </c:pt>
                <c:pt idx="290">
                  <c:v>0.29029029029029024</c:v>
                </c:pt>
                <c:pt idx="291">
                  <c:v>0.29129129129129122</c:v>
                </c:pt>
                <c:pt idx="292">
                  <c:v>0.2922922922922922</c:v>
                </c:pt>
                <c:pt idx="293">
                  <c:v>0.29329329329329318</c:v>
                </c:pt>
                <c:pt idx="294">
                  <c:v>0.29429429429429416</c:v>
                </c:pt>
                <c:pt idx="295">
                  <c:v>0.29529529529529513</c:v>
                </c:pt>
                <c:pt idx="296">
                  <c:v>0.29629629629629611</c:v>
                </c:pt>
                <c:pt idx="297">
                  <c:v>0.29729729729729709</c:v>
                </c:pt>
                <c:pt idx="298">
                  <c:v>0.29829829829829807</c:v>
                </c:pt>
                <c:pt idx="299">
                  <c:v>0.29929929929929905</c:v>
                </c:pt>
                <c:pt idx="300">
                  <c:v>0.30030030030030003</c:v>
                </c:pt>
                <c:pt idx="301">
                  <c:v>0.30130130130130101</c:v>
                </c:pt>
                <c:pt idx="302">
                  <c:v>0.30230230230230198</c:v>
                </c:pt>
                <c:pt idx="303">
                  <c:v>0.30330330330330296</c:v>
                </c:pt>
                <c:pt idx="304">
                  <c:v>0.30430430430430394</c:v>
                </c:pt>
                <c:pt idx="305">
                  <c:v>0.30530530530530492</c:v>
                </c:pt>
                <c:pt idx="306">
                  <c:v>0.3063063063063059</c:v>
                </c:pt>
                <c:pt idx="307">
                  <c:v>0.30730730730730688</c:v>
                </c:pt>
                <c:pt idx="308">
                  <c:v>0.30830830830830785</c:v>
                </c:pt>
                <c:pt idx="309">
                  <c:v>0.30930930930930883</c:v>
                </c:pt>
                <c:pt idx="310">
                  <c:v>0.31031031031030981</c:v>
                </c:pt>
                <c:pt idx="311">
                  <c:v>0.31131131131131079</c:v>
                </c:pt>
                <c:pt idx="312">
                  <c:v>0.31231231231231177</c:v>
                </c:pt>
                <c:pt idx="313">
                  <c:v>0.31331331331331275</c:v>
                </c:pt>
                <c:pt idx="314">
                  <c:v>0.31431431431431373</c:v>
                </c:pt>
                <c:pt idx="315">
                  <c:v>0.3153153153153147</c:v>
                </c:pt>
                <c:pt idx="316">
                  <c:v>0.31631631631631568</c:v>
                </c:pt>
                <c:pt idx="317">
                  <c:v>0.31731731731731666</c:v>
                </c:pt>
                <c:pt idx="318">
                  <c:v>0.31831831831831764</c:v>
                </c:pt>
                <c:pt idx="319">
                  <c:v>0.31931931931931862</c:v>
                </c:pt>
                <c:pt idx="320">
                  <c:v>0.3203203203203196</c:v>
                </c:pt>
                <c:pt idx="321">
                  <c:v>0.32132132132132057</c:v>
                </c:pt>
                <c:pt idx="322">
                  <c:v>0.32232232232232155</c:v>
                </c:pt>
                <c:pt idx="323">
                  <c:v>0.32332332332332253</c:v>
                </c:pt>
                <c:pt idx="324">
                  <c:v>0.32432432432432351</c:v>
                </c:pt>
                <c:pt idx="325">
                  <c:v>0.32532532532532449</c:v>
                </c:pt>
                <c:pt idx="326">
                  <c:v>0.32632632632632547</c:v>
                </c:pt>
                <c:pt idx="327">
                  <c:v>0.32732732732732644</c:v>
                </c:pt>
                <c:pt idx="328">
                  <c:v>0.32832832832832742</c:v>
                </c:pt>
                <c:pt idx="329">
                  <c:v>0.3293293293293284</c:v>
                </c:pt>
                <c:pt idx="330">
                  <c:v>0.33033033033032938</c:v>
                </c:pt>
                <c:pt idx="331">
                  <c:v>0.33133133133133036</c:v>
                </c:pt>
                <c:pt idx="332">
                  <c:v>0.33233233233233134</c:v>
                </c:pt>
                <c:pt idx="333">
                  <c:v>0.33333333333333232</c:v>
                </c:pt>
                <c:pt idx="334">
                  <c:v>0.33433433433433329</c:v>
                </c:pt>
                <c:pt idx="335">
                  <c:v>0.33533533533533427</c:v>
                </c:pt>
                <c:pt idx="336">
                  <c:v>0.33633633633633525</c:v>
                </c:pt>
                <c:pt idx="337">
                  <c:v>0.33733733733733623</c:v>
                </c:pt>
                <c:pt idx="338">
                  <c:v>0.33833833833833721</c:v>
                </c:pt>
                <c:pt idx="339">
                  <c:v>0.33933933933933819</c:v>
                </c:pt>
                <c:pt idx="340">
                  <c:v>0.34034034034033916</c:v>
                </c:pt>
                <c:pt idx="341">
                  <c:v>0.34134134134134014</c:v>
                </c:pt>
                <c:pt idx="342">
                  <c:v>0.34234234234234112</c:v>
                </c:pt>
                <c:pt idx="343">
                  <c:v>0.3433433433433421</c:v>
                </c:pt>
                <c:pt idx="344">
                  <c:v>0.34434434434434308</c:v>
                </c:pt>
                <c:pt idx="345">
                  <c:v>0.34534534534534406</c:v>
                </c:pt>
                <c:pt idx="346">
                  <c:v>0.34634634634634504</c:v>
                </c:pt>
                <c:pt idx="347">
                  <c:v>0.34734734734734601</c:v>
                </c:pt>
                <c:pt idx="348">
                  <c:v>0.34834834834834699</c:v>
                </c:pt>
                <c:pt idx="349">
                  <c:v>0.34934934934934797</c:v>
                </c:pt>
                <c:pt idx="350">
                  <c:v>0.35035035035034895</c:v>
                </c:pt>
                <c:pt idx="351">
                  <c:v>0.35135135135134993</c:v>
                </c:pt>
                <c:pt idx="352">
                  <c:v>0.35235235235235091</c:v>
                </c:pt>
                <c:pt idx="353">
                  <c:v>0.35335335335335188</c:v>
                </c:pt>
                <c:pt idx="354">
                  <c:v>0.35435435435435286</c:v>
                </c:pt>
                <c:pt idx="355">
                  <c:v>0.35535535535535384</c:v>
                </c:pt>
                <c:pt idx="356">
                  <c:v>0.35635635635635482</c:v>
                </c:pt>
                <c:pt idx="357">
                  <c:v>0.3573573573573558</c:v>
                </c:pt>
                <c:pt idx="358">
                  <c:v>0.35835835835835678</c:v>
                </c:pt>
                <c:pt idx="359">
                  <c:v>0.35935935935935776</c:v>
                </c:pt>
                <c:pt idx="360">
                  <c:v>0.36036036036035873</c:v>
                </c:pt>
                <c:pt idx="361">
                  <c:v>0.36136136136135971</c:v>
                </c:pt>
                <c:pt idx="362">
                  <c:v>0.36236236236236069</c:v>
                </c:pt>
                <c:pt idx="363">
                  <c:v>0.36336336336336167</c:v>
                </c:pt>
                <c:pt idx="364">
                  <c:v>0.36436436436436265</c:v>
                </c:pt>
                <c:pt idx="365">
                  <c:v>0.36536536536536363</c:v>
                </c:pt>
                <c:pt idx="366">
                  <c:v>0.3663663663663646</c:v>
                </c:pt>
                <c:pt idx="367">
                  <c:v>0.36736736736736558</c:v>
                </c:pt>
                <c:pt idx="368">
                  <c:v>0.36836836836836656</c:v>
                </c:pt>
                <c:pt idx="369">
                  <c:v>0.36936936936936754</c:v>
                </c:pt>
                <c:pt idx="370">
                  <c:v>0.37037037037036852</c:v>
                </c:pt>
                <c:pt idx="371">
                  <c:v>0.3713713713713695</c:v>
                </c:pt>
                <c:pt idx="372">
                  <c:v>0.37237237237237047</c:v>
                </c:pt>
                <c:pt idx="373">
                  <c:v>0.37337337337337145</c:v>
                </c:pt>
                <c:pt idx="374">
                  <c:v>0.37437437437437243</c:v>
                </c:pt>
                <c:pt idx="375">
                  <c:v>0.37537537537537341</c:v>
                </c:pt>
                <c:pt idx="376">
                  <c:v>0.37637637637637439</c:v>
                </c:pt>
                <c:pt idx="377">
                  <c:v>0.37737737737737537</c:v>
                </c:pt>
                <c:pt idx="378">
                  <c:v>0.37837837837837635</c:v>
                </c:pt>
                <c:pt idx="379">
                  <c:v>0.37937937937937732</c:v>
                </c:pt>
                <c:pt idx="380">
                  <c:v>0.3803803803803783</c:v>
                </c:pt>
                <c:pt idx="381">
                  <c:v>0.38138138138137928</c:v>
                </c:pt>
                <c:pt idx="382">
                  <c:v>0.38238238238238026</c:v>
                </c:pt>
                <c:pt idx="383">
                  <c:v>0.38338338338338124</c:v>
                </c:pt>
                <c:pt idx="384">
                  <c:v>0.38438438438438222</c:v>
                </c:pt>
                <c:pt idx="385">
                  <c:v>0.38538538538538319</c:v>
                </c:pt>
                <c:pt idx="386">
                  <c:v>0.38638638638638417</c:v>
                </c:pt>
                <c:pt idx="387">
                  <c:v>0.38738738738738515</c:v>
                </c:pt>
                <c:pt idx="388">
                  <c:v>0.38838838838838613</c:v>
                </c:pt>
                <c:pt idx="389">
                  <c:v>0.38938938938938711</c:v>
                </c:pt>
                <c:pt idx="390">
                  <c:v>0.39039039039038809</c:v>
                </c:pt>
                <c:pt idx="391">
                  <c:v>0.39139139139138907</c:v>
                </c:pt>
                <c:pt idx="392">
                  <c:v>0.39239239239239004</c:v>
                </c:pt>
                <c:pt idx="393">
                  <c:v>0.39339339339339102</c:v>
                </c:pt>
                <c:pt idx="394">
                  <c:v>0.394394394394392</c:v>
                </c:pt>
                <c:pt idx="395">
                  <c:v>0.39539539539539298</c:v>
                </c:pt>
                <c:pt idx="396">
                  <c:v>0.39639639639639396</c:v>
                </c:pt>
                <c:pt idx="397">
                  <c:v>0.39739739739739494</c:v>
                </c:pt>
                <c:pt idx="398">
                  <c:v>0.39839839839839591</c:v>
                </c:pt>
                <c:pt idx="399">
                  <c:v>0.39939939939939689</c:v>
                </c:pt>
                <c:pt idx="400">
                  <c:v>0.40040040040039787</c:v>
                </c:pt>
                <c:pt idx="401">
                  <c:v>0.40140140140139885</c:v>
                </c:pt>
                <c:pt idx="402">
                  <c:v>0.40240240240239983</c:v>
                </c:pt>
                <c:pt idx="403">
                  <c:v>0.40340340340340081</c:v>
                </c:pt>
                <c:pt idx="404">
                  <c:v>0.40440440440440178</c:v>
                </c:pt>
                <c:pt idx="405">
                  <c:v>0.40540540540540276</c:v>
                </c:pt>
                <c:pt idx="406">
                  <c:v>0.40640640640640374</c:v>
                </c:pt>
                <c:pt idx="407">
                  <c:v>0.40740740740740472</c:v>
                </c:pt>
                <c:pt idx="408">
                  <c:v>0.4084084084084057</c:v>
                </c:pt>
                <c:pt idx="409">
                  <c:v>0.40940940940940668</c:v>
                </c:pt>
                <c:pt idx="410">
                  <c:v>0.41041041041040766</c:v>
                </c:pt>
                <c:pt idx="411">
                  <c:v>0.41141141141140863</c:v>
                </c:pt>
                <c:pt idx="412">
                  <c:v>0.41241241241240961</c:v>
                </c:pt>
                <c:pt idx="413">
                  <c:v>0.41341341341341059</c:v>
                </c:pt>
                <c:pt idx="414">
                  <c:v>0.41441441441441157</c:v>
                </c:pt>
                <c:pt idx="415">
                  <c:v>0.41541541541541255</c:v>
                </c:pt>
                <c:pt idx="416">
                  <c:v>0.41641641641641353</c:v>
                </c:pt>
                <c:pt idx="417">
                  <c:v>0.4174174174174145</c:v>
                </c:pt>
                <c:pt idx="418">
                  <c:v>0.41841841841841548</c:v>
                </c:pt>
                <c:pt idx="419">
                  <c:v>0.41941941941941646</c:v>
                </c:pt>
                <c:pt idx="420">
                  <c:v>0.42042042042041744</c:v>
                </c:pt>
                <c:pt idx="421">
                  <c:v>0.42142142142141842</c:v>
                </c:pt>
                <c:pt idx="422">
                  <c:v>0.4224224224224194</c:v>
                </c:pt>
                <c:pt idx="423">
                  <c:v>0.42342342342342038</c:v>
                </c:pt>
                <c:pt idx="424">
                  <c:v>0.42442442442442135</c:v>
                </c:pt>
                <c:pt idx="425">
                  <c:v>0.42542542542542233</c:v>
                </c:pt>
                <c:pt idx="426">
                  <c:v>0.42642642642642331</c:v>
                </c:pt>
                <c:pt idx="427">
                  <c:v>0.42742742742742429</c:v>
                </c:pt>
                <c:pt idx="428">
                  <c:v>0.42842842842842527</c:v>
                </c:pt>
                <c:pt idx="429">
                  <c:v>0.42942942942942625</c:v>
                </c:pt>
                <c:pt idx="430">
                  <c:v>0.43043043043042722</c:v>
                </c:pt>
                <c:pt idx="431">
                  <c:v>0.4314314314314282</c:v>
                </c:pt>
                <c:pt idx="432">
                  <c:v>0.43243243243242918</c:v>
                </c:pt>
                <c:pt idx="433">
                  <c:v>0.43343343343343016</c:v>
                </c:pt>
                <c:pt idx="434">
                  <c:v>0.43443443443443114</c:v>
                </c:pt>
                <c:pt idx="435">
                  <c:v>0.43543543543543212</c:v>
                </c:pt>
                <c:pt idx="436">
                  <c:v>0.4364364364364331</c:v>
                </c:pt>
                <c:pt idx="437">
                  <c:v>0.43743743743743407</c:v>
                </c:pt>
                <c:pt idx="438">
                  <c:v>0.43843843843843505</c:v>
                </c:pt>
                <c:pt idx="439">
                  <c:v>0.43943943943943603</c:v>
                </c:pt>
                <c:pt idx="440">
                  <c:v>0.44044044044043701</c:v>
                </c:pt>
                <c:pt idx="441">
                  <c:v>0.44144144144143799</c:v>
                </c:pt>
                <c:pt idx="442">
                  <c:v>0.44244244244243897</c:v>
                </c:pt>
                <c:pt idx="443">
                  <c:v>0.44344344344343994</c:v>
                </c:pt>
                <c:pt idx="444">
                  <c:v>0.44444444444444092</c:v>
                </c:pt>
                <c:pt idx="445">
                  <c:v>0.4454454454454419</c:v>
                </c:pt>
                <c:pt idx="446">
                  <c:v>0.44644644644644288</c:v>
                </c:pt>
                <c:pt idx="447">
                  <c:v>0.44744744744744386</c:v>
                </c:pt>
                <c:pt idx="448">
                  <c:v>0.44844844844844484</c:v>
                </c:pt>
                <c:pt idx="449">
                  <c:v>0.44944944944944581</c:v>
                </c:pt>
                <c:pt idx="450">
                  <c:v>0.45045045045044679</c:v>
                </c:pt>
                <c:pt idx="451">
                  <c:v>0.45145145145144777</c:v>
                </c:pt>
                <c:pt idx="452">
                  <c:v>0.45245245245244875</c:v>
                </c:pt>
                <c:pt idx="453">
                  <c:v>0.45345345345344973</c:v>
                </c:pt>
                <c:pt idx="454">
                  <c:v>0.45445445445445071</c:v>
                </c:pt>
                <c:pt idx="455">
                  <c:v>0.45545545545545169</c:v>
                </c:pt>
                <c:pt idx="456">
                  <c:v>0.45645645645645266</c:v>
                </c:pt>
                <c:pt idx="457">
                  <c:v>0.45745745745745364</c:v>
                </c:pt>
                <c:pt idx="458">
                  <c:v>0.45845845845845462</c:v>
                </c:pt>
                <c:pt idx="459">
                  <c:v>0.4594594594594556</c:v>
                </c:pt>
                <c:pt idx="460">
                  <c:v>0.46046046046045658</c:v>
                </c:pt>
                <c:pt idx="461">
                  <c:v>0.46146146146145756</c:v>
                </c:pt>
                <c:pt idx="462">
                  <c:v>0.46246246246245853</c:v>
                </c:pt>
                <c:pt idx="463">
                  <c:v>0.46346346346345951</c:v>
                </c:pt>
                <c:pt idx="464">
                  <c:v>0.46446446446446049</c:v>
                </c:pt>
                <c:pt idx="465">
                  <c:v>0.46546546546546147</c:v>
                </c:pt>
                <c:pt idx="466">
                  <c:v>0.46646646646646245</c:v>
                </c:pt>
                <c:pt idx="467">
                  <c:v>0.46746746746746343</c:v>
                </c:pt>
                <c:pt idx="468">
                  <c:v>0.46846846846846441</c:v>
                </c:pt>
                <c:pt idx="469">
                  <c:v>0.46946946946946538</c:v>
                </c:pt>
                <c:pt idx="470">
                  <c:v>0.47047047047046636</c:v>
                </c:pt>
                <c:pt idx="471">
                  <c:v>0.47147147147146734</c:v>
                </c:pt>
                <c:pt idx="472">
                  <c:v>0.47247247247246832</c:v>
                </c:pt>
                <c:pt idx="473">
                  <c:v>0.4734734734734693</c:v>
                </c:pt>
                <c:pt idx="474">
                  <c:v>0.47447447447447028</c:v>
                </c:pt>
                <c:pt idx="475">
                  <c:v>0.47547547547547125</c:v>
                </c:pt>
                <c:pt idx="476">
                  <c:v>0.47647647647647223</c:v>
                </c:pt>
                <c:pt idx="477">
                  <c:v>0.47747747747747321</c:v>
                </c:pt>
                <c:pt idx="478">
                  <c:v>0.47847847847847419</c:v>
                </c:pt>
                <c:pt idx="479">
                  <c:v>0.47947947947947517</c:v>
                </c:pt>
                <c:pt idx="480">
                  <c:v>0.48048048048047615</c:v>
                </c:pt>
                <c:pt idx="481">
                  <c:v>0.48148148148147712</c:v>
                </c:pt>
                <c:pt idx="482">
                  <c:v>0.4824824824824781</c:v>
                </c:pt>
                <c:pt idx="483">
                  <c:v>0.48348348348347908</c:v>
                </c:pt>
                <c:pt idx="484">
                  <c:v>0.48448448448448006</c:v>
                </c:pt>
                <c:pt idx="485">
                  <c:v>0.48548548548548104</c:v>
                </c:pt>
                <c:pt idx="486">
                  <c:v>0.48648648648648202</c:v>
                </c:pt>
                <c:pt idx="487">
                  <c:v>0.487487487487483</c:v>
                </c:pt>
                <c:pt idx="488">
                  <c:v>0.48848848848848397</c:v>
                </c:pt>
                <c:pt idx="489">
                  <c:v>0.48948948948948495</c:v>
                </c:pt>
                <c:pt idx="490">
                  <c:v>0.49049049049048593</c:v>
                </c:pt>
                <c:pt idx="491">
                  <c:v>0.49149149149148691</c:v>
                </c:pt>
                <c:pt idx="492">
                  <c:v>0.49249249249248789</c:v>
                </c:pt>
                <c:pt idx="493">
                  <c:v>0.49349349349348887</c:v>
                </c:pt>
                <c:pt idx="494">
                  <c:v>0.49449449449448984</c:v>
                </c:pt>
                <c:pt idx="495">
                  <c:v>0.49549549549549082</c:v>
                </c:pt>
                <c:pt idx="496">
                  <c:v>0.4964964964964918</c:v>
                </c:pt>
                <c:pt idx="497">
                  <c:v>0.49749749749749278</c:v>
                </c:pt>
                <c:pt idx="498">
                  <c:v>0.49849849849849376</c:v>
                </c:pt>
                <c:pt idx="499">
                  <c:v>0.49949949949949474</c:v>
                </c:pt>
                <c:pt idx="500">
                  <c:v>0.50050050050049577</c:v>
                </c:pt>
                <c:pt idx="501">
                  <c:v>0.50150150150149675</c:v>
                </c:pt>
                <c:pt idx="502">
                  <c:v>0.50250250250249773</c:v>
                </c:pt>
                <c:pt idx="503">
                  <c:v>0.50350350350349871</c:v>
                </c:pt>
                <c:pt idx="504">
                  <c:v>0.50450450450449968</c:v>
                </c:pt>
                <c:pt idx="505">
                  <c:v>0.50550550550550066</c:v>
                </c:pt>
                <c:pt idx="506">
                  <c:v>0.50650650650650164</c:v>
                </c:pt>
                <c:pt idx="507">
                  <c:v>0.50750750750750262</c:v>
                </c:pt>
                <c:pt idx="508">
                  <c:v>0.5085085085085036</c:v>
                </c:pt>
                <c:pt idx="509">
                  <c:v>0.50950950950950458</c:v>
                </c:pt>
                <c:pt idx="510">
                  <c:v>0.51051051051050556</c:v>
                </c:pt>
                <c:pt idx="511">
                  <c:v>0.51151151151150653</c:v>
                </c:pt>
                <c:pt idx="512">
                  <c:v>0.51251251251250751</c:v>
                </c:pt>
                <c:pt idx="513">
                  <c:v>0.51351351351350849</c:v>
                </c:pt>
                <c:pt idx="514">
                  <c:v>0.51451451451450947</c:v>
                </c:pt>
                <c:pt idx="515">
                  <c:v>0.51551551551551045</c:v>
                </c:pt>
                <c:pt idx="516">
                  <c:v>0.51651651651651143</c:v>
                </c:pt>
                <c:pt idx="517">
                  <c:v>0.5175175175175124</c:v>
                </c:pt>
                <c:pt idx="518">
                  <c:v>0.51851851851851338</c:v>
                </c:pt>
                <c:pt idx="519">
                  <c:v>0.51951951951951436</c:v>
                </c:pt>
                <c:pt idx="520">
                  <c:v>0.52052052052051534</c:v>
                </c:pt>
                <c:pt idx="521">
                  <c:v>0.52152152152151632</c:v>
                </c:pt>
                <c:pt idx="522">
                  <c:v>0.5225225225225173</c:v>
                </c:pt>
                <c:pt idx="523">
                  <c:v>0.52352352352351827</c:v>
                </c:pt>
                <c:pt idx="524">
                  <c:v>0.52452452452451925</c:v>
                </c:pt>
                <c:pt idx="525">
                  <c:v>0.52552552552552023</c:v>
                </c:pt>
                <c:pt idx="526">
                  <c:v>0.52652652652652121</c:v>
                </c:pt>
                <c:pt idx="527">
                  <c:v>0.52752752752752219</c:v>
                </c:pt>
                <c:pt idx="528">
                  <c:v>0.52852852852852317</c:v>
                </c:pt>
                <c:pt idx="529">
                  <c:v>0.52952952952952415</c:v>
                </c:pt>
                <c:pt idx="530">
                  <c:v>0.53053053053052512</c:v>
                </c:pt>
                <c:pt idx="531">
                  <c:v>0.5315315315315261</c:v>
                </c:pt>
                <c:pt idx="532">
                  <c:v>0.53253253253252708</c:v>
                </c:pt>
                <c:pt idx="533">
                  <c:v>0.53353353353352806</c:v>
                </c:pt>
                <c:pt idx="534">
                  <c:v>0.53453453453452904</c:v>
                </c:pt>
                <c:pt idx="535">
                  <c:v>0.53553553553553002</c:v>
                </c:pt>
                <c:pt idx="536">
                  <c:v>0.53653653653653099</c:v>
                </c:pt>
                <c:pt idx="537">
                  <c:v>0.53753753753753197</c:v>
                </c:pt>
                <c:pt idx="538">
                  <c:v>0.53853853853853295</c:v>
                </c:pt>
                <c:pt idx="539">
                  <c:v>0.53953953953953393</c:v>
                </c:pt>
                <c:pt idx="540">
                  <c:v>0.54054054054053491</c:v>
                </c:pt>
                <c:pt idx="541">
                  <c:v>0.54154154154153589</c:v>
                </c:pt>
                <c:pt idx="542">
                  <c:v>0.54254254254253687</c:v>
                </c:pt>
                <c:pt idx="543">
                  <c:v>0.54354354354353784</c:v>
                </c:pt>
                <c:pt idx="544">
                  <c:v>0.54454454454453882</c:v>
                </c:pt>
                <c:pt idx="545">
                  <c:v>0.5455455455455398</c:v>
                </c:pt>
                <c:pt idx="546">
                  <c:v>0.54654654654654078</c:v>
                </c:pt>
                <c:pt idx="547">
                  <c:v>0.54754754754754176</c:v>
                </c:pt>
                <c:pt idx="548">
                  <c:v>0.54854854854854274</c:v>
                </c:pt>
                <c:pt idx="549">
                  <c:v>0.54954954954954371</c:v>
                </c:pt>
                <c:pt idx="550">
                  <c:v>0.55055055055054469</c:v>
                </c:pt>
                <c:pt idx="551">
                  <c:v>0.55155155155154567</c:v>
                </c:pt>
                <c:pt idx="552">
                  <c:v>0.55255255255254665</c:v>
                </c:pt>
                <c:pt idx="553">
                  <c:v>0.55355355355354763</c:v>
                </c:pt>
                <c:pt idx="554">
                  <c:v>0.55455455455454861</c:v>
                </c:pt>
                <c:pt idx="555">
                  <c:v>0.55555555555554959</c:v>
                </c:pt>
                <c:pt idx="556">
                  <c:v>0.55655655655655056</c:v>
                </c:pt>
                <c:pt idx="557">
                  <c:v>0.55755755755755154</c:v>
                </c:pt>
                <c:pt idx="558">
                  <c:v>0.55855855855855252</c:v>
                </c:pt>
                <c:pt idx="559">
                  <c:v>0.5595595595595535</c:v>
                </c:pt>
                <c:pt idx="560">
                  <c:v>0.56056056056055448</c:v>
                </c:pt>
                <c:pt idx="561">
                  <c:v>0.56156156156155546</c:v>
                </c:pt>
                <c:pt idx="562">
                  <c:v>0.56256256256255643</c:v>
                </c:pt>
                <c:pt idx="563">
                  <c:v>0.56356356356355741</c:v>
                </c:pt>
                <c:pt idx="564">
                  <c:v>0.56456456456455839</c:v>
                </c:pt>
                <c:pt idx="565">
                  <c:v>0.56556556556555937</c:v>
                </c:pt>
                <c:pt idx="566">
                  <c:v>0.56656656656656035</c:v>
                </c:pt>
                <c:pt idx="567">
                  <c:v>0.56756756756756133</c:v>
                </c:pt>
                <c:pt idx="568">
                  <c:v>0.5685685685685623</c:v>
                </c:pt>
                <c:pt idx="569">
                  <c:v>0.56956956956956328</c:v>
                </c:pt>
                <c:pt idx="570">
                  <c:v>0.57057057057056426</c:v>
                </c:pt>
                <c:pt idx="571">
                  <c:v>0.57157157157156524</c:v>
                </c:pt>
                <c:pt idx="572">
                  <c:v>0.57257257257256622</c:v>
                </c:pt>
                <c:pt idx="573">
                  <c:v>0.5735735735735672</c:v>
                </c:pt>
                <c:pt idx="574">
                  <c:v>0.57457457457456818</c:v>
                </c:pt>
                <c:pt idx="575">
                  <c:v>0.57557557557556915</c:v>
                </c:pt>
                <c:pt idx="576">
                  <c:v>0.57657657657657013</c:v>
                </c:pt>
                <c:pt idx="577">
                  <c:v>0.57757757757757111</c:v>
                </c:pt>
                <c:pt idx="578">
                  <c:v>0.57857857857857209</c:v>
                </c:pt>
                <c:pt idx="579">
                  <c:v>0.57957957957957307</c:v>
                </c:pt>
                <c:pt idx="580">
                  <c:v>0.58058058058057405</c:v>
                </c:pt>
                <c:pt idx="581">
                  <c:v>0.58158158158157502</c:v>
                </c:pt>
                <c:pt idx="582">
                  <c:v>0.582582582582576</c:v>
                </c:pt>
                <c:pt idx="583">
                  <c:v>0.58358358358357698</c:v>
                </c:pt>
                <c:pt idx="584">
                  <c:v>0.58458458458457796</c:v>
                </c:pt>
                <c:pt idx="585">
                  <c:v>0.58558558558557894</c:v>
                </c:pt>
                <c:pt idx="586">
                  <c:v>0.58658658658657992</c:v>
                </c:pt>
                <c:pt idx="587">
                  <c:v>0.5875875875875809</c:v>
                </c:pt>
                <c:pt idx="588">
                  <c:v>0.58858858858858187</c:v>
                </c:pt>
                <c:pt idx="589">
                  <c:v>0.58958958958958285</c:v>
                </c:pt>
                <c:pt idx="590">
                  <c:v>0.59059059059058383</c:v>
                </c:pt>
                <c:pt idx="591">
                  <c:v>0.59159159159158481</c:v>
                </c:pt>
                <c:pt idx="592">
                  <c:v>0.59259259259258579</c:v>
                </c:pt>
                <c:pt idx="593">
                  <c:v>0.59359359359358677</c:v>
                </c:pt>
                <c:pt idx="594">
                  <c:v>0.59459459459458774</c:v>
                </c:pt>
                <c:pt idx="595">
                  <c:v>0.59559559559558872</c:v>
                </c:pt>
                <c:pt idx="596">
                  <c:v>0.5965965965965897</c:v>
                </c:pt>
                <c:pt idx="597">
                  <c:v>0.59759759759759068</c:v>
                </c:pt>
                <c:pt idx="598">
                  <c:v>0.59859859859859166</c:v>
                </c:pt>
                <c:pt idx="599">
                  <c:v>0.59959959959959264</c:v>
                </c:pt>
                <c:pt idx="600">
                  <c:v>0.60060060060059361</c:v>
                </c:pt>
                <c:pt idx="601">
                  <c:v>0.60160160160159459</c:v>
                </c:pt>
                <c:pt idx="602">
                  <c:v>0.60260260260259557</c:v>
                </c:pt>
                <c:pt idx="603">
                  <c:v>0.60360360360359655</c:v>
                </c:pt>
                <c:pt idx="604">
                  <c:v>0.60460460460459753</c:v>
                </c:pt>
                <c:pt idx="605">
                  <c:v>0.60560560560559851</c:v>
                </c:pt>
                <c:pt idx="606">
                  <c:v>0.60660660660659949</c:v>
                </c:pt>
                <c:pt idx="607">
                  <c:v>0.60760760760760046</c:v>
                </c:pt>
                <c:pt idx="608">
                  <c:v>0.60860860860860144</c:v>
                </c:pt>
                <c:pt idx="609">
                  <c:v>0.60960960960960242</c:v>
                </c:pt>
                <c:pt idx="610">
                  <c:v>0.6106106106106034</c:v>
                </c:pt>
                <c:pt idx="611">
                  <c:v>0.61161161161160438</c:v>
                </c:pt>
                <c:pt idx="612">
                  <c:v>0.61261261261260536</c:v>
                </c:pt>
                <c:pt idx="613">
                  <c:v>0.61361361361360633</c:v>
                </c:pt>
                <c:pt idx="614">
                  <c:v>0.61461461461460731</c:v>
                </c:pt>
                <c:pt idx="615">
                  <c:v>0.61561561561560829</c:v>
                </c:pt>
                <c:pt idx="616">
                  <c:v>0.61661661661660927</c:v>
                </c:pt>
                <c:pt idx="617">
                  <c:v>0.61761761761761025</c:v>
                </c:pt>
                <c:pt idx="618">
                  <c:v>0.61861861861861123</c:v>
                </c:pt>
                <c:pt idx="619">
                  <c:v>0.61961961961961221</c:v>
                </c:pt>
                <c:pt idx="620">
                  <c:v>0.62062062062061318</c:v>
                </c:pt>
                <c:pt idx="621">
                  <c:v>0.62162162162161416</c:v>
                </c:pt>
                <c:pt idx="622">
                  <c:v>0.62262262262261514</c:v>
                </c:pt>
                <c:pt idx="623">
                  <c:v>0.62362362362361612</c:v>
                </c:pt>
                <c:pt idx="624">
                  <c:v>0.6246246246246171</c:v>
                </c:pt>
                <c:pt idx="625">
                  <c:v>0.62562562562561808</c:v>
                </c:pt>
                <c:pt idx="626">
                  <c:v>0.62662662662661905</c:v>
                </c:pt>
                <c:pt idx="627">
                  <c:v>0.62762762762762003</c:v>
                </c:pt>
                <c:pt idx="628">
                  <c:v>0.62862862862862101</c:v>
                </c:pt>
                <c:pt idx="629">
                  <c:v>0.62962962962962199</c:v>
                </c:pt>
                <c:pt idx="630">
                  <c:v>0.63063063063062297</c:v>
                </c:pt>
                <c:pt idx="631">
                  <c:v>0.63163163163162395</c:v>
                </c:pt>
                <c:pt idx="632">
                  <c:v>0.63263263263262492</c:v>
                </c:pt>
                <c:pt idx="633">
                  <c:v>0.6336336336336259</c:v>
                </c:pt>
                <c:pt idx="634">
                  <c:v>0.63463463463462688</c:v>
                </c:pt>
                <c:pt idx="635">
                  <c:v>0.63563563563562786</c:v>
                </c:pt>
                <c:pt idx="636">
                  <c:v>0.63663663663662884</c:v>
                </c:pt>
                <c:pt idx="637">
                  <c:v>0.63763763763762982</c:v>
                </c:pt>
                <c:pt idx="638">
                  <c:v>0.6386386386386308</c:v>
                </c:pt>
                <c:pt idx="639">
                  <c:v>0.63963963963963177</c:v>
                </c:pt>
                <c:pt idx="640">
                  <c:v>0.64064064064063275</c:v>
                </c:pt>
                <c:pt idx="641">
                  <c:v>0.64164164164163373</c:v>
                </c:pt>
                <c:pt idx="642">
                  <c:v>0.64264264264263471</c:v>
                </c:pt>
                <c:pt idx="643">
                  <c:v>0.64364364364363569</c:v>
                </c:pt>
                <c:pt idx="644">
                  <c:v>0.64464464464463667</c:v>
                </c:pt>
                <c:pt idx="645">
                  <c:v>0.64564564564563764</c:v>
                </c:pt>
                <c:pt idx="646">
                  <c:v>0.64664664664663862</c:v>
                </c:pt>
                <c:pt idx="647">
                  <c:v>0.6476476476476396</c:v>
                </c:pt>
                <c:pt idx="648">
                  <c:v>0.64864864864864058</c:v>
                </c:pt>
                <c:pt idx="649">
                  <c:v>0.64964964964964156</c:v>
                </c:pt>
                <c:pt idx="650">
                  <c:v>0.65065065065064254</c:v>
                </c:pt>
                <c:pt idx="651">
                  <c:v>0.65165165165164352</c:v>
                </c:pt>
                <c:pt idx="652">
                  <c:v>0.65265265265264449</c:v>
                </c:pt>
                <c:pt idx="653">
                  <c:v>0.65365365365364547</c:v>
                </c:pt>
                <c:pt idx="654">
                  <c:v>0.65465465465464645</c:v>
                </c:pt>
                <c:pt idx="655">
                  <c:v>0.65565565565564743</c:v>
                </c:pt>
                <c:pt idx="656">
                  <c:v>0.65665665665664841</c:v>
                </c:pt>
                <c:pt idx="657">
                  <c:v>0.65765765765764939</c:v>
                </c:pt>
                <c:pt idx="658">
                  <c:v>0.65865865865865036</c:v>
                </c:pt>
                <c:pt idx="659">
                  <c:v>0.65965965965965134</c:v>
                </c:pt>
                <c:pt idx="660">
                  <c:v>0.66066066066065232</c:v>
                </c:pt>
                <c:pt idx="661">
                  <c:v>0.6616616616616533</c:v>
                </c:pt>
                <c:pt idx="662">
                  <c:v>0.66266266266265428</c:v>
                </c:pt>
                <c:pt idx="663">
                  <c:v>0.66366366366365526</c:v>
                </c:pt>
                <c:pt idx="664">
                  <c:v>0.66466466466465624</c:v>
                </c:pt>
                <c:pt idx="665">
                  <c:v>0.66566566566565721</c:v>
                </c:pt>
                <c:pt idx="666">
                  <c:v>0.66666666666665819</c:v>
                </c:pt>
                <c:pt idx="667">
                  <c:v>0.66766766766765917</c:v>
                </c:pt>
                <c:pt idx="668">
                  <c:v>0.66866866866866015</c:v>
                </c:pt>
                <c:pt idx="669">
                  <c:v>0.66966966966966113</c:v>
                </c:pt>
                <c:pt idx="670">
                  <c:v>0.67067067067066211</c:v>
                </c:pt>
                <c:pt idx="671">
                  <c:v>0.67167167167166308</c:v>
                </c:pt>
                <c:pt idx="672">
                  <c:v>0.67267267267266406</c:v>
                </c:pt>
                <c:pt idx="673">
                  <c:v>0.67367367367366504</c:v>
                </c:pt>
                <c:pt idx="674">
                  <c:v>0.67467467467466602</c:v>
                </c:pt>
                <c:pt idx="675">
                  <c:v>0.675675675675667</c:v>
                </c:pt>
                <c:pt idx="676">
                  <c:v>0.67667667667666798</c:v>
                </c:pt>
                <c:pt idx="677">
                  <c:v>0.67767767767766895</c:v>
                </c:pt>
                <c:pt idx="678">
                  <c:v>0.67867867867866993</c:v>
                </c:pt>
                <c:pt idx="679">
                  <c:v>0.67967967967967091</c:v>
                </c:pt>
                <c:pt idx="680">
                  <c:v>0.68068068068067189</c:v>
                </c:pt>
                <c:pt idx="681">
                  <c:v>0.68168168168167287</c:v>
                </c:pt>
                <c:pt idx="682">
                  <c:v>0.68268268268267385</c:v>
                </c:pt>
                <c:pt idx="683">
                  <c:v>0.68368368368367483</c:v>
                </c:pt>
                <c:pt idx="684">
                  <c:v>0.6846846846846758</c:v>
                </c:pt>
                <c:pt idx="685">
                  <c:v>0.68568568568567678</c:v>
                </c:pt>
                <c:pt idx="686">
                  <c:v>0.68668668668667776</c:v>
                </c:pt>
                <c:pt idx="687">
                  <c:v>0.68768768768767874</c:v>
                </c:pt>
                <c:pt idx="688">
                  <c:v>0.68868868868867972</c:v>
                </c:pt>
                <c:pt idx="689">
                  <c:v>0.6896896896896807</c:v>
                </c:pt>
                <c:pt idx="690">
                  <c:v>0.69069069069068167</c:v>
                </c:pt>
                <c:pt idx="691">
                  <c:v>0.69169169169168265</c:v>
                </c:pt>
                <c:pt idx="692">
                  <c:v>0.69269269269268363</c:v>
                </c:pt>
                <c:pt idx="693">
                  <c:v>0.69369369369368461</c:v>
                </c:pt>
                <c:pt idx="694">
                  <c:v>0.69469469469468559</c:v>
                </c:pt>
                <c:pt idx="695">
                  <c:v>0.69569569569568657</c:v>
                </c:pt>
                <c:pt idx="696">
                  <c:v>0.69669669669668755</c:v>
                </c:pt>
                <c:pt idx="697">
                  <c:v>0.69769769769768852</c:v>
                </c:pt>
                <c:pt idx="698">
                  <c:v>0.6986986986986895</c:v>
                </c:pt>
                <c:pt idx="699">
                  <c:v>0.69969969969969048</c:v>
                </c:pt>
                <c:pt idx="700">
                  <c:v>0.70070070070069146</c:v>
                </c:pt>
                <c:pt idx="701">
                  <c:v>0.70170170170169244</c:v>
                </c:pt>
                <c:pt idx="702">
                  <c:v>0.70270270270269342</c:v>
                </c:pt>
                <c:pt idx="703">
                  <c:v>0.70370370370369439</c:v>
                </c:pt>
                <c:pt idx="704">
                  <c:v>0.70470470470469537</c:v>
                </c:pt>
                <c:pt idx="705">
                  <c:v>0.70570570570569635</c:v>
                </c:pt>
                <c:pt idx="706">
                  <c:v>0.70670670670669733</c:v>
                </c:pt>
                <c:pt idx="707">
                  <c:v>0.70770770770769831</c:v>
                </c:pt>
                <c:pt idx="708">
                  <c:v>0.70870870870869929</c:v>
                </c:pt>
                <c:pt idx="709">
                  <c:v>0.70970970970970026</c:v>
                </c:pt>
                <c:pt idx="710">
                  <c:v>0.71071071071070124</c:v>
                </c:pt>
                <c:pt idx="711">
                  <c:v>0.71171171171170222</c:v>
                </c:pt>
                <c:pt idx="712">
                  <c:v>0.7127127127127032</c:v>
                </c:pt>
                <c:pt idx="713">
                  <c:v>0.71371371371370418</c:v>
                </c:pt>
                <c:pt idx="714">
                  <c:v>0.71471471471470516</c:v>
                </c:pt>
                <c:pt idx="715">
                  <c:v>0.71571571571570614</c:v>
                </c:pt>
                <c:pt idx="716">
                  <c:v>0.71671671671670711</c:v>
                </c:pt>
                <c:pt idx="717">
                  <c:v>0.71771771771770809</c:v>
                </c:pt>
                <c:pt idx="718">
                  <c:v>0.71871871871870907</c:v>
                </c:pt>
                <c:pt idx="719">
                  <c:v>0.71971971971971005</c:v>
                </c:pt>
                <c:pt idx="720">
                  <c:v>0.72072072072071103</c:v>
                </c:pt>
                <c:pt idx="721">
                  <c:v>0.72172172172171201</c:v>
                </c:pt>
                <c:pt idx="722">
                  <c:v>0.72272272272271298</c:v>
                </c:pt>
                <c:pt idx="723">
                  <c:v>0.72372372372371396</c:v>
                </c:pt>
                <c:pt idx="724">
                  <c:v>0.72472472472471494</c:v>
                </c:pt>
                <c:pt idx="725">
                  <c:v>0.72572572572571592</c:v>
                </c:pt>
                <c:pt idx="726">
                  <c:v>0.7267267267267169</c:v>
                </c:pt>
                <c:pt idx="727">
                  <c:v>0.72772772772771788</c:v>
                </c:pt>
                <c:pt idx="728">
                  <c:v>0.72872872872871886</c:v>
                </c:pt>
                <c:pt idx="729">
                  <c:v>0.72972972972971983</c:v>
                </c:pt>
                <c:pt idx="730">
                  <c:v>0.73073073073072081</c:v>
                </c:pt>
                <c:pt idx="731">
                  <c:v>0.73173173173172179</c:v>
                </c:pt>
                <c:pt idx="732">
                  <c:v>0.73273273273272277</c:v>
                </c:pt>
                <c:pt idx="733">
                  <c:v>0.73373373373372375</c:v>
                </c:pt>
                <c:pt idx="734">
                  <c:v>0.73473473473472473</c:v>
                </c:pt>
                <c:pt idx="735">
                  <c:v>0.7357357357357257</c:v>
                </c:pt>
                <c:pt idx="736">
                  <c:v>0.73673673673672668</c:v>
                </c:pt>
                <c:pt idx="737">
                  <c:v>0.73773773773772766</c:v>
                </c:pt>
                <c:pt idx="738">
                  <c:v>0.73873873873872864</c:v>
                </c:pt>
                <c:pt idx="739">
                  <c:v>0.73973973973972962</c:v>
                </c:pt>
                <c:pt idx="740">
                  <c:v>0.7407407407407306</c:v>
                </c:pt>
                <c:pt idx="741">
                  <c:v>0.74174174174173158</c:v>
                </c:pt>
                <c:pt idx="742">
                  <c:v>0.74274274274273255</c:v>
                </c:pt>
                <c:pt idx="743">
                  <c:v>0.74374374374373353</c:v>
                </c:pt>
                <c:pt idx="744">
                  <c:v>0.74474474474473451</c:v>
                </c:pt>
                <c:pt idx="745">
                  <c:v>0.74574574574573549</c:v>
                </c:pt>
                <c:pt idx="746">
                  <c:v>0.74674674674673647</c:v>
                </c:pt>
                <c:pt idx="747">
                  <c:v>0.74774774774773745</c:v>
                </c:pt>
                <c:pt idx="748">
                  <c:v>0.74874874874873842</c:v>
                </c:pt>
                <c:pt idx="749">
                  <c:v>0.7497497497497394</c:v>
                </c:pt>
                <c:pt idx="750">
                  <c:v>0.75075075075074038</c:v>
                </c:pt>
                <c:pt idx="751">
                  <c:v>0.75175175175174136</c:v>
                </c:pt>
                <c:pt idx="752">
                  <c:v>0.75275275275274234</c:v>
                </c:pt>
                <c:pt idx="753">
                  <c:v>0.75375375375374332</c:v>
                </c:pt>
                <c:pt idx="754">
                  <c:v>0.75475475475474429</c:v>
                </c:pt>
                <c:pt idx="755">
                  <c:v>0.75575575575574527</c:v>
                </c:pt>
                <c:pt idx="756">
                  <c:v>0.75675675675674625</c:v>
                </c:pt>
                <c:pt idx="757">
                  <c:v>0.75775775775774723</c:v>
                </c:pt>
                <c:pt idx="758">
                  <c:v>0.75875875875874821</c:v>
                </c:pt>
                <c:pt idx="759">
                  <c:v>0.75975975975974919</c:v>
                </c:pt>
                <c:pt idx="760">
                  <c:v>0.76076076076075017</c:v>
                </c:pt>
                <c:pt idx="761">
                  <c:v>0.76176176176175114</c:v>
                </c:pt>
                <c:pt idx="762">
                  <c:v>0.76276276276275212</c:v>
                </c:pt>
                <c:pt idx="763">
                  <c:v>0.7637637637637531</c:v>
                </c:pt>
                <c:pt idx="764">
                  <c:v>0.76476476476475408</c:v>
                </c:pt>
                <c:pt idx="765">
                  <c:v>0.76576576576575506</c:v>
                </c:pt>
                <c:pt idx="766">
                  <c:v>0.76676676676675604</c:v>
                </c:pt>
                <c:pt idx="767">
                  <c:v>0.76776776776775701</c:v>
                </c:pt>
                <c:pt idx="768">
                  <c:v>0.76876876876875799</c:v>
                </c:pt>
                <c:pt idx="769">
                  <c:v>0.76976976976975897</c:v>
                </c:pt>
                <c:pt idx="770">
                  <c:v>0.77077077077075995</c:v>
                </c:pt>
                <c:pt idx="771">
                  <c:v>0.77177177177176093</c:v>
                </c:pt>
                <c:pt idx="772">
                  <c:v>0.77277277277276191</c:v>
                </c:pt>
                <c:pt idx="773">
                  <c:v>0.77377377377376289</c:v>
                </c:pt>
                <c:pt idx="774">
                  <c:v>0.77477477477476386</c:v>
                </c:pt>
                <c:pt idx="775">
                  <c:v>0.77577577577576484</c:v>
                </c:pt>
                <c:pt idx="776">
                  <c:v>0.77677677677676582</c:v>
                </c:pt>
                <c:pt idx="777">
                  <c:v>0.7777777777777668</c:v>
                </c:pt>
                <c:pt idx="778">
                  <c:v>0.77877877877876778</c:v>
                </c:pt>
                <c:pt idx="779">
                  <c:v>0.77977977977976876</c:v>
                </c:pt>
                <c:pt idx="780">
                  <c:v>0.78078078078076973</c:v>
                </c:pt>
                <c:pt idx="781">
                  <c:v>0.78178178178177071</c:v>
                </c:pt>
                <c:pt idx="782">
                  <c:v>0.78278278278277169</c:v>
                </c:pt>
                <c:pt idx="783">
                  <c:v>0.78378378378377267</c:v>
                </c:pt>
                <c:pt idx="784">
                  <c:v>0.78478478478477365</c:v>
                </c:pt>
                <c:pt idx="785">
                  <c:v>0.78578578578577463</c:v>
                </c:pt>
                <c:pt idx="786">
                  <c:v>0.7867867867867756</c:v>
                </c:pt>
                <c:pt idx="787">
                  <c:v>0.78778778778777658</c:v>
                </c:pt>
                <c:pt idx="788">
                  <c:v>0.78878878878877756</c:v>
                </c:pt>
                <c:pt idx="789">
                  <c:v>0.78978978978977854</c:v>
                </c:pt>
                <c:pt idx="790">
                  <c:v>0.79079079079077952</c:v>
                </c:pt>
                <c:pt idx="791">
                  <c:v>0.7917917917917805</c:v>
                </c:pt>
                <c:pt idx="792">
                  <c:v>0.79279279279278148</c:v>
                </c:pt>
                <c:pt idx="793">
                  <c:v>0.79379379379378245</c:v>
                </c:pt>
                <c:pt idx="794">
                  <c:v>0.79479479479478343</c:v>
                </c:pt>
                <c:pt idx="795">
                  <c:v>0.79579579579578441</c:v>
                </c:pt>
                <c:pt idx="796">
                  <c:v>0.79679679679678539</c:v>
                </c:pt>
                <c:pt idx="797">
                  <c:v>0.79779779779778637</c:v>
                </c:pt>
                <c:pt idx="798">
                  <c:v>0.79879879879878735</c:v>
                </c:pt>
                <c:pt idx="799">
                  <c:v>0.79979979979978832</c:v>
                </c:pt>
                <c:pt idx="800">
                  <c:v>0.8008008008007893</c:v>
                </c:pt>
                <c:pt idx="801">
                  <c:v>0.80180180180179028</c:v>
                </c:pt>
                <c:pt idx="802">
                  <c:v>0.80280280280279126</c:v>
                </c:pt>
                <c:pt idx="803">
                  <c:v>0.80380380380379224</c:v>
                </c:pt>
                <c:pt idx="804">
                  <c:v>0.80480480480479322</c:v>
                </c:pt>
                <c:pt idx="805">
                  <c:v>0.8058058058057942</c:v>
                </c:pt>
                <c:pt idx="806">
                  <c:v>0.80680680680679517</c:v>
                </c:pt>
                <c:pt idx="807">
                  <c:v>0.80780780780779615</c:v>
                </c:pt>
                <c:pt idx="808">
                  <c:v>0.80880880880879713</c:v>
                </c:pt>
                <c:pt idx="809">
                  <c:v>0.80980980980979811</c:v>
                </c:pt>
                <c:pt idx="810">
                  <c:v>0.81081081081079909</c:v>
                </c:pt>
                <c:pt idx="811">
                  <c:v>0.81181181181180007</c:v>
                </c:pt>
                <c:pt idx="812">
                  <c:v>0.81281281281280104</c:v>
                </c:pt>
                <c:pt idx="813">
                  <c:v>0.81381381381380202</c:v>
                </c:pt>
                <c:pt idx="814">
                  <c:v>0.814814814814803</c:v>
                </c:pt>
                <c:pt idx="815">
                  <c:v>0.81581581581580398</c:v>
                </c:pt>
                <c:pt idx="816">
                  <c:v>0.81681681681680496</c:v>
                </c:pt>
                <c:pt idx="817">
                  <c:v>0.81781781781780594</c:v>
                </c:pt>
                <c:pt idx="818">
                  <c:v>0.81881881881880691</c:v>
                </c:pt>
                <c:pt idx="819">
                  <c:v>0.81981981981980789</c:v>
                </c:pt>
                <c:pt idx="820">
                  <c:v>0.82082082082080887</c:v>
                </c:pt>
                <c:pt idx="821">
                  <c:v>0.82182182182180985</c:v>
                </c:pt>
                <c:pt idx="822">
                  <c:v>0.82282282282281083</c:v>
                </c:pt>
                <c:pt idx="823">
                  <c:v>0.82382382382381181</c:v>
                </c:pt>
                <c:pt idx="824">
                  <c:v>0.82482482482481279</c:v>
                </c:pt>
                <c:pt idx="825">
                  <c:v>0.82582582582581376</c:v>
                </c:pt>
                <c:pt idx="826">
                  <c:v>0.82682682682681474</c:v>
                </c:pt>
                <c:pt idx="827">
                  <c:v>0.82782782782781572</c:v>
                </c:pt>
                <c:pt idx="828">
                  <c:v>0.8288288288288167</c:v>
                </c:pt>
                <c:pt idx="829">
                  <c:v>0.82982982982981768</c:v>
                </c:pt>
                <c:pt idx="830">
                  <c:v>0.83083083083081866</c:v>
                </c:pt>
                <c:pt idx="831">
                  <c:v>0.83183183183181963</c:v>
                </c:pt>
                <c:pt idx="832">
                  <c:v>0.83283283283282061</c:v>
                </c:pt>
                <c:pt idx="833">
                  <c:v>0.83383383383382159</c:v>
                </c:pt>
                <c:pt idx="834">
                  <c:v>0.83483483483482257</c:v>
                </c:pt>
                <c:pt idx="835">
                  <c:v>0.83583583583582355</c:v>
                </c:pt>
                <c:pt idx="836">
                  <c:v>0.83683683683682453</c:v>
                </c:pt>
                <c:pt idx="837">
                  <c:v>0.83783783783782551</c:v>
                </c:pt>
                <c:pt idx="838">
                  <c:v>0.83883883883882648</c:v>
                </c:pt>
                <c:pt idx="839">
                  <c:v>0.83983983983982746</c:v>
                </c:pt>
                <c:pt idx="840">
                  <c:v>0.84084084084082844</c:v>
                </c:pt>
                <c:pt idx="841">
                  <c:v>0.84184184184182942</c:v>
                </c:pt>
                <c:pt idx="842">
                  <c:v>0.8428428428428304</c:v>
                </c:pt>
                <c:pt idx="843">
                  <c:v>0.84384384384383138</c:v>
                </c:pt>
                <c:pt idx="844">
                  <c:v>0.84484484484483235</c:v>
                </c:pt>
                <c:pt idx="845">
                  <c:v>0.84584584584583333</c:v>
                </c:pt>
                <c:pt idx="846">
                  <c:v>0.84684684684683431</c:v>
                </c:pt>
                <c:pt idx="847">
                  <c:v>0.84784784784783529</c:v>
                </c:pt>
                <c:pt idx="848">
                  <c:v>0.84884884884883627</c:v>
                </c:pt>
                <c:pt idx="849">
                  <c:v>0.84984984984983725</c:v>
                </c:pt>
                <c:pt idx="850">
                  <c:v>0.85085085085083823</c:v>
                </c:pt>
                <c:pt idx="851">
                  <c:v>0.8518518518518392</c:v>
                </c:pt>
                <c:pt idx="852">
                  <c:v>0.85285285285284018</c:v>
                </c:pt>
                <c:pt idx="853">
                  <c:v>0.85385385385384116</c:v>
                </c:pt>
                <c:pt idx="854">
                  <c:v>0.85485485485484214</c:v>
                </c:pt>
                <c:pt idx="855">
                  <c:v>0.85585585585584312</c:v>
                </c:pt>
                <c:pt idx="856">
                  <c:v>0.8568568568568441</c:v>
                </c:pt>
                <c:pt idx="857">
                  <c:v>0.85785785785784507</c:v>
                </c:pt>
                <c:pt idx="858">
                  <c:v>0.85885885885884605</c:v>
                </c:pt>
                <c:pt idx="859">
                  <c:v>0.85985985985984703</c:v>
                </c:pt>
                <c:pt idx="860">
                  <c:v>0.86086086086084801</c:v>
                </c:pt>
                <c:pt idx="861">
                  <c:v>0.86186186186184899</c:v>
                </c:pt>
                <c:pt idx="862">
                  <c:v>0.86286286286284997</c:v>
                </c:pt>
                <c:pt idx="863">
                  <c:v>0.86386386386385094</c:v>
                </c:pt>
                <c:pt idx="864">
                  <c:v>0.86486486486485192</c:v>
                </c:pt>
                <c:pt idx="865">
                  <c:v>0.8658658658658529</c:v>
                </c:pt>
                <c:pt idx="866">
                  <c:v>0.86686686686685388</c:v>
                </c:pt>
                <c:pt idx="867">
                  <c:v>0.86786786786785486</c:v>
                </c:pt>
                <c:pt idx="868">
                  <c:v>0.86886886886885584</c:v>
                </c:pt>
                <c:pt idx="869">
                  <c:v>0.86986986986985682</c:v>
                </c:pt>
                <c:pt idx="870">
                  <c:v>0.87087087087085779</c:v>
                </c:pt>
                <c:pt idx="871">
                  <c:v>0.87187187187185877</c:v>
                </c:pt>
                <c:pt idx="872">
                  <c:v>0.87287287287285975</c:v>
                </c:pt>
                <c:pt idx="873">
                  <c:v>0.87387387387386073</c:v>
                </c:pt>
                <c:pt idx="874">
                  <c:v>0.87487487487486171</c:v>
                </c:pt>
                <c:pt idx="875">
                  <c:v>0.87587587587586269</c:v>
                </c:pt>
                <c:pt idx="876">
                  <c:v>0.87687687687686366</c:v>
                </c:pt>
                <c:pt idx="877">
                  <c:v>0.87787787787786464</c:v>
                </c:pt>
                <c:pt idx="878">
                  <c:v>0.87887887887886562</c:v>
                </c:pt>
                <c:pt idx="879">
                  <c:v>0.8798798798798666</c:v>
                </c:pt>
                <c:pt idx="880">
                  <c:v>0.88088088088086758</c:v>
                </c:pt>
                <c:pt idx="881">
                  <c:v>0.88188188188186856</c:v>
                </c:pt>
                <c:pt idx="882">
                  <c:v>0.88288288288286954</c:v>
                </c:pt>
                <c:pt idx="883">
                  <c:v>0.88388388388387051</c:v>
                </c:pt>
                <c:pt idx="884">
                  <c:v>0.88488488488487149</c:v>
                </c:pt>
                <c:pt idx="885">
                  <c:v>0.88588588588587247</c:v>
                </c:pt>
                <c:pt idx="886">
                  <c:v>0.88688688688687345</c:v>
                </c:pt>
                <c:pt idx="887">
                  <c:v>0.88788788788787443</c:v>
                </c:pt>
                <c:pt idx="888">
                  <c:v>0.88888888888887541</c:v>
                </c:pt>
                <c:pt idx="889">
                  <c:v>0.88988988988987638</c:v>
                </c:pt>
                <c:pt idx="890">
                  <c:v>0.89089089089087736</c:v>
                </c:pt>
                <c:pt idx="891">
                  <c:v>0.89189189189187834</c:v>
                </c:pt>
                <c:pt idx="892">
                  <c:v>0.89289289289287932</c:v>
                </c:pt>
                <c:pt idx="893">
                  <c:v>0.8938938938938803</c:v>
                </c:pt>
                <c:pt idx="894">
                  <c:v>0.89489489489488128</c:v>
                </c:pt>
                <c:pt idx="895">
                  <c:v>0.89589589589588225</c:v>
                </c:pt>
                <c:pt idx="896">
                  <c:v>0.89689689689688323</c:v>
                </c:pt>
                <c:pt idx="897">
                  <c:v>0.89789789789788421</c:v>
                </c:pt>
                <c:pt idx="898">
                  <c:v>0.89889889889888519</c:v>
                </c:pt>
                <c:pt idx="899">
                  <c:v>0.89989989989988617</c:v>
                </c:pt>
                <c:pt idx="900">
                  <c:v>0.90090090090088715</c:v>
                </c:pt>
                <c:pt idx="901">
                  <c:v>0.90190190190188813</c:v>
                </c:pt>
                <c:pt idx="902">
                  <c:v>0.9029029029028891</c:v>
                </c:pt>
                <c:pt idx="903">
                  <c:v>0.90390390390389008</c:v>
                </c:pt>
                <c:pt idx="904">
                  <c:v>0.90490490490489106</c:v>
                </c:pt>
                <c:pt idx="905">
                  <c:v>0.90590590590589204</c:v>
                </c:pt>
                <c:pt idx="906">
                  <c:v>0.90690690690689302</c:v>
                </c:pt>
                <c:pt idx="907">
                  <c:v>0.907907907907894</c:v>
                </c:pt>
                <c:pt idx="908">
                  <c:v>0.90890890890889497</c:v>
                </c:pt>
                <c:pt idx="909">
                  <c:v>0.90990990990989595</c:v>
                </c:pt>
                <c:pt idx="910">
                  <c:v>0.91091091091089693</c:v>
                </c:pt>
                <c:pt idx="911">
                  <c:v>0.91191191191189791</c:v>
                </c:pt>
                <c:pt idx="912">
                  <c:v>0.91291291291289889</c:v>
                </c:pt>
                <c:pt idx="913">
                  <c:v>0.91391391391389987</c:v>
                </c:pt>
                <c:pt idx="914">
                  <c:v>0.91491491491490085</c:v>
                </c:pt>
                <c:pt idx="915">
                  <c:v>0.91591591591590182</c:v>
                </c:pt>
                <c:pt idx="916">
                  <c:v>0.9169169169169028</c:v>
                </c:pt>
                <c:pt idx="917">
                  <c:v>0.91791791791790378</c:v>
                </c:pt>
                <c:pt idx="918">
                  <c:v>0.91891891891890476</c:v>
                </c:pt>
                <c:pt idx="919">
                  <c:v>0.91991991991990574</c:v>
                </c:pt>
                <c:pt idx="920">
                  <c:v>0.92092092092090672</c:v>
                </c:pt>
                <c:pt idx="921">
                  <c:v>0.92192192192190769</c:v>
                </c:pt>
                <c:pt idx="922">
                  <c:v>0.92292292292290867</c:v>
                </c:pt>
                <c:pt idx="923">
                  <c:v>0.92392392392390965</c:v>
                </c:pt>
                <c:pt idx="924">
                  <c:v>0.92492492492491063</c:v>
                </c:pt>
                <c:pt idx="925">
                  <c:v>0.92592592592591161</c:v>
                </c:pt>
                <c:pt idx="926">
                  <c:v>0.92692692692691259</c:v>
                </c:pt>
                <c:pt idx="927">
                  <c:v>0.92792792792791357</c:v>
                </c:pt>
                <c:pt idx="928">
                  <c:v>0.92892892892891454</c:v>
                </c:pt>
                <c:pt idx="929">
                  <c:v>0.92992992992991552</c:v>
                </c:pt>
                <c:pt idx="930">
                  <c:v>0.9309309309309165</c:v>
                </c:pt>
                <c:pt idx="931">
                  <c:v>0.93193193193191748</c:v>
                </c:pt>
                <c:pt idx="932">
                  <c:v>0.93293293293291846</c:v>
                </c:pt>
                <c:pt idx="933">
                  <c:v>0.93393393393391944</c:v>
                </c:pt>
                <c:pt idx="934">
                  <c:v>0.93493493493492041</c:v>
                </c:pt>
                <c:pt idx="935">
                  <c:v>0.93593593593592139</c:v>
                </c:pt>
                <c:pt idx="936">
                  <c:v>0.93693693693692237</c:v>
                </c:pt>
                <c:pt idx="937">
                  <c:v>0.93793793793792335</c:v>
                </c:pt>
                <c:pt idx="938">
                  <c:v>0.93893893893892433</c:v>
                </c:pt>
                <c:pt idx="939">
                  <c:v>0.93993993993992531</c:v>
                </c:pt>
                <c:pt idx="940">
                  <c:v>0.94094094094092628</c:v>
                </c:pt>
                <c:pt idx="941">
                  <c:v>0.94194194194192726</c:v>
                </c:pt>
                <c:pt idx="942">
                  <c:v>0.94294294294292824</c:v>
                </c:pt>
                <c:pt idx="943">
                  <c:v>0.94394394394392922</c:v>
                </c:pt>
                <c:pt idx="944">
                  <c:v>0.9449449449449302</c:v>
                </c:pt>
                <c:pt idx="945">
                  <c:v>0.94594594594593118</c:v>
                </c:pt>
                <c:pt idx="946">
                  <c:v>0.94694694694693216</c:v>
                </c:pt>
                <c:pt idx="947">
                  <c:v>0.94794794794793313</c:v>
                </c:pt>
                <c:pt idx="948">
                  <c:v>0.94894894894893411</c:v>
                </c:pt>
                <c:pt idx="949">
                  <c:v>0.94994994994993509</c:v>
                </c:pt>
                <c:pt idx="950">
                  <c:v>0.95095095095093607</c:v>
                </c:pt>
                <c:pt idx="951">
                  <c:v>0.95195195195193705</c:v>
                </c:pt>
                <c:pt idx="952">
                  <c:v>0.95295295295293803</c:v>
                </c:pt>
                <c:pt idx="953">
                  <c:v>0.953953953953939</c:v>
                </c:pt>
                <c:pt idx="954">
                  <c:v>0.95495495495493998</c:v>
                </c:pt>
                <c:pt idx="955">
                  <c:v>0.95595595595594096</c:v>
                </c:pt>
                <c:pt idx="956">
                  <c:v>0.95695695695694194</c:v>
                </c:pt>
                <c:pt idx="957">
                  <c:v>0.95795795795794292</c:v>
                </c:pt>
                <c:pt idx="958">
                  <c:v>0.9589589589589439</c:v>
                </c:pt>
                <c:pt idx="959">
                  <c:v>0.95995995995994488</c:v>
                </c:pt>
                <c:pt idx="960">
                  <c:v>0.96096096096094585</c:v>
                </c:pt>
                <c:pt idx="961">
                  <c:v>0.96196196196194683</c:v>
                </c:pt>
                <c:pt idx="962">
                  <c:v>0.96296296296294781</c:v>
                </c:pt>
                <c:pt idx="963">
                  <c:v>0.96396396396394879</c:v>
                </c:pt>
                <c:pt idx="964">
                  <c:v>0.96496496496494977</c:v>
                </c:pt>
                <c:pt idx="965">
                  <c:v>0.96596596596595075</c:v>
                </c:pt>
                <c:pt idx="966">
                  <c:v>0.96696696696695172</c:v>
                </c:pt>
                <c:pt idx="967">
                  <c:v>0.9679679679679527</c:v>
                </c:pt>
                <c:pt idx="968">
                  <c:v>0.96896896896895368</c:v>
                </c:pt>
                <c:pt idx="969">
                  <c:v>0.96996996996995466</c:v>
                </c:pt>
                <c:pt idx="970">
                  <c:v>0.97097097097095564</c:v>
                </c:pt>
                <c:pt idx="971">
                  <c:v>0.97197197197195662</c:v>
                </c:pt>
                <c:pt idx="972">
                  <c:v>0.97297297297295759</c:v>
                </c:pt>
                <c:pt idx="973">
                  <c:v>0.97397397397395857</c:v>
                </c:pt>
                <c:pt idx="974">
                  <c:v>0.97497497497495955</c:v>
                </c:pt>
                <c:pt idx="975">
                  <c:v>0.97597597597596053</c:v>
                </c:pt>
                <c:pt idx="976">
                  <c:v>0.97697697697696151</c:v>
                </c:pt>
                <c:pt idx="977">
                  <c:v>0.97797797797796249</c:v>
                </c:pt>
                <c:pt idx="978">
                  <c:v>0.97897897897896347</c:v>
                </c:pt>
                <c:pt idx="979">
                  <c:v>0.97997997997996444</c:v>
                </c:pt>
                <c:pt idx="980">
                  <c:v>0.98098098098096542</c:v>
                </c:pt>
                <c:pt idx="981">
                  <c:v>0.9819819819819664</c:v>
                </c:pt>
                <c:pt idx="982">
                  <c:v>0.98298298298296738</c:v>
                </c:pt>
                <c:pt idx="983">
                  <c:v>0.98398398398396836</c:v>
                </c:pt>
                <c:pt idx="984">
                  <c:v>0.98498498498496934</c:v>
                </c:pt>
                <c:pt idx="985">
                  <c:v>0.98598598598597031</c:v>
                </c:pt>
                <c:pt idx="986">
                  <c:v>0.98698698698697129</c:v>
                </c:pt>
                <c:pt idx="987">
                  <c:v>0.98798798798797227</c:v>
                </c:pt>
                <c:pt idx="988">
                  <c:v>0.98898898898897325</c:v>
                </c:pt>
                <c:pt idx="989">
                  <c:v>0.98998998998997423</c:v>
                </c:pt>
                <c:pt idx="990">
                  <c:v>0.99099099099097521</c:v>
                </c:pt>
                <c:pt idx="991">
                  <c:v>0.99199199199197619</c:v>
                </c:pt>
                <c:pt idx="992">
                  <c:v>0.99299299299297716</c:v>
                </c:pt>
                <c:pt idx="993">
                  <c:v>0.99399399399397814</c:v>
                </c:pt>
                <c:pt idx="994">
                  <c:v>0.99499499499497912</c:v>
                </c:pt>
                <c:pt idx="995">
                  <c:v>0.9959959959959801</c:v>
                </c:pt>
                <c:pt idx="996">
                  <c:v>0.99699699699698108</c:v>
                </c:pt>
                <c:pt idx="997">
                  <c:v>0.99799799799798206</c:v>
                </c:pt>
                <c:pt idx="998">
                  <c:v>0.99899899899898303</c:v>
                </c:pt>
                <c:pt idx="999">
                  <c:v>0.99999999999998401</c:v>
                </c:pt>
              </c:numCache>
            </c:numRef>
          </c:yVal>
          <c:smooth val="1"/>
        </c:ser>
        <c:axId val="152222720"/>
        <c:axId val="152232704"/>
      </c:scatterChart>
      <c:valAx>
        <c:axId val="152222720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32704"/>
        <c:crosses val="autoZero"/>
        <c:crossBetween val="midCat"/>
      </c:valAx>
      <c:valAx>
        <c:axId val="152232704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76345840130505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22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39067702552721"/>
          <c:y val="0.9559543230016313"/>
          <c:w val="0.14983351831298558"/>
          <c:h val="3.91517128874388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5000 Iterations</a:t>
            </a:r>
          </a:p>
        </c:rich>
      </c:tx>
      <c:layout>
        <c:manualLayout>
          <c:xMode val="edge"/>
          <c:yMode val="edge"/>
          <c:x val="0.28523862375138737"/>
          <c:y val="1.95758564437194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032186459489458E-2"/>
          <c:y val="0.12234910277324633"/>
          <c:w val="0.90566037735849059"/>
          <c:h val="0.76508972267536701"/>
        </c:manualLayout>
      </c:layout>
      <c:scatterChart>
        <c:scatterStyle val="smoothMarker"/>
        <c:ser>
          <c:idx val="0"/>
          <c:order val="0"/>
          <c:tx>
            <c:strRef>
              <c:f>SimData5000!$H$5008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SimData5000!$H$5009:$H$10008</c:f>
              <c:numCache>
                <c:formatCode>General</c:formatCode>
                <c:ptCount val="5000"/>
                <c:pt idx="0">
                  <c:v>1.2040462235929552E-4</c:v>
                </c:pt>
                <c:pt idx="1">
                  <c:v>2.681739123231205E-4</c:v>
                </c:pt>
                <c:pt idx="2">
                  <c:v>5.7719633317952898E-4</c:v>
                </c:pt>
                <c:pt idx="3">
                  <c:v>6.8431649298507629E-4</c:v>
                </c:pt>
                <c:pt idx="4">
                  <c:v>9.5529441944213931E-4</c:v>
                </c:pt>
                <c:pt idx="5">
                  <c:v>1.1291924740954285E-3</c:v>
                </c:pt>
                <c:pt idx="6">
                  <c:v>1.3378725425661243E-3</c:v>
                </c:pt>
                <c:pt idx="7">
                  <c:v>1.5641490408135927E-3</c:v>
                </c:pt>
                <c:pt idx="8">
                  <c:v>1.629159211048195E-3</c:v>
                </c:pt>
                <c:pt idx="9">
                  <c:v>1.8461551044709409E-3</c:v>
                </c:pt>
                <c:pt idx="10">
                  <c:v>2.1558667870135669E-3</c:v>
                </c:pt>
                <c:pt idx="11">
                  <c:v>2.32255273948483E-3</c:v>
                </c:pt>
                <c:pt idx="12">
                  <c:v>2.5859924774584344E-3</c:v>
                </c:pt>
                <c:pt idx="13">
                  <c:v>2.7129933432473319E-3</c:v>
                </c:pt>
                <c:pt idx="14">
                  <c:v>2.8388540065472138E-3</c:v>
                </c:pt>
                <c:pt idx="15">
                  <c:v>3.1235625312019985E-3</c:v>
                </c:pt>
                <c:pt idx="16">
                  <c:v>3.2376723369205536E-3</c:v>
                </c:pt>
                <c:pt idx="17">
                  <c:v>3.4487864175924998E-3</c:v>
                </c:pt>
                <c:pt idx="18">
                  <c:v>3.7797965665766499E-3</c:v>
                </c:pt>
                <c:pt idx="19">
                  <c:v>3.9310449701573337E-3</c:v>
                </c:pt>
                <c:pt idx="20">
                  <c:v>4.0977114546340218E-3</c:v>
                </c:pt>
                <c:pt idx="21">
                  <c:v>4.329175684025785E-3</c:v>
                </c:pt>
                <c:pt idx="22">
                  <c:v>4.5463747331282063E-3</c:v>
                </c:pt>
                <c:pt idx="23">
                  <c:v>4.7300015170895502E-3</c:v>
                </c:pt>
                <c:pt idx="24">
                  <c:v>4.9209621892592316E-3</c:v>
                </c:pt>
                <c:pt idx="25">
                  <c:v>5.0045890813238429E-3</c:v>
                </c:pt>
                <c:pt idx="26">
                  <c:v>5.3827307756484323E-3</c:v>
                </c:pt>
                <c:pt idx="27">
                  <c:v>5.5613214228212183E-3</c:v>
                </c:pt>
                <c:pt idx="28">
                  <c:v>5.7328163281392345E-3</c:v>
                </c:pt>
                <c:pt idx="29">
                  <c:v>5.9011861823734801E-3</c:v>
                </c:pt>
                <c:pt idx="30">
                  <c:v>6.0455766580639354E-3</c:v>
                </c:pt>
                <c:pt idx="31">
                  <c:v>6.2256752121322041E-3</c:v>
                </c:pt>
                <c:pt idx="32">
                  <c:v>6.5442808154840678E-3</c:v>
                </c:pt>
                <c:pt idx="33">
                  <c:v>6.6937559742233149E-3</c:v>
                </c:pt>
                <c:pt idx="34">
                  <c:v>6.997078213420947E-3</c:v>
                </c:pt>
                <c:pt idx="35">
                  <c:v>7.0182687477251208E-3</c:v>
                </c:pt>
                <c:pt idx="36">
                  <c:v>7.3521722505223404E-3</c:v>
                </c:pt>
                <c:pt idx="37">
                  <c:v>7.4576869196858455E-3</c:v>
                </c:pt>
                <c:pt idx="38">
                  <c:v>7.6278854457726437E-3</c:v>
                </c:pt>
                <c:pt idx="39">
                  <c:v>7.9527682677732713E-3</c:v>
                </c:pt>
                <c:pt idx="40">
                  <c:v>8.1051370193029604E-3</c:v>
                </c:pt>
                <c:pt idx="41">
                  <c:v>8.3540289425649752E-3</c:v>
                </c:pt>
                <c:pt idx="42">
                  <c:v>8.4084056305252959E-3</c:v>
                </c:pt>
                <c:pt idx="43">
                  <c:v>8.6238565647098839E-3</c:v>
                </c:pt>
                <c:pt idx="44">
                  <c:v>8.9496441342750664E-3</c:v>
                </c:pt>
                <c:pt idx="45">
                  <c:v>9.0229140788835732E-3</c:v>
                </c:pt>
                <c:pt idx="46">
                  <c:v>9.2837494451281973E-3</c:v>
                </c:pt>
                <c:pt idx="47">
                  <c:v>9.5839975798930957E-3</c:v>
                </c:pt>
                <c:pt idx="48">
                  <c:v>9.6984415297625692E-3</c:v>
                </c:pt>
                <c:pt idx="49">
                  <c:v>9.8427628757997328E-3</c:v>
                </c:pt>
                <c:pt idx="50">
                  <c:v>1.0196258423709371E-2</c:v>
                </c:pt>
                <c:pt idx="51">
                  <c:v>1.0320074891094136E-2</c:v>
                </c:pt>
                <c:pt idx="52">
                  <c:v>1.0479576538056036E-2</c:v>
                </c:pt>
                <c:pt idx="53">
                  <c:v>1.0793668417957069E-2</c:v>
                </c:pt>
                <c:pt idx="54">
                  <c:v>1.0878100348049332E-2</c:v>
                </c:pt>
                <c:pt idx="55">
                  <c:v>1.1166526881411329E-2</c:v>
                </c:pt>
                <c:pt idx="56">
                  <c:v>1.1254247796175593E-2</c:v>
                </c:pt>
                <c:pt idx="57">
                  <c:v>1.1519465230200315E-2</c:v>
                </c:pt>
                <c:pt idx="58">
                  <c:v>1.1619147491506103E-2</c:v>
                </c:pt>
                <c:pt idx="59">
                  <c:v>1.1818319295676965E-2</c:v>
                </c:pt>
                <c:pt idx="60">
                  <c:v>1.2154262661876683E-2</c:v>
                </c:pt>
                <c:pt idx="61">
                  <c:v>1.236965448352733E-2</c:v>
                </c:pt>
                <c:pt idx="62">
                  <c:v>1.2513432318929917E-2</c:v>
                </c:pt>
                <c:pt idx="63">
                  <c:v>1.2709992048263084E-2</c:v>
                </c:pt>
                <c:pt idx="64">
                  <c:v>1.2980856019580005E-2</c:v>
                </c:pt>
                <c:pt idx="65">
                  <c:v>1.3070124661426555E-2</c:v>
                </c:pt>
                <c:pt idx="66">
                  <c:v>1.3356171993435402E-2</c:v>
                </c:pt>
                <c:pt idx="67">
                  <c:v>1.3566151669846416E-2</c:v>
                </c:pt>
                <c:pt idx="68">
                  <c:v>1.3628411252663565E-2</c:v>
                </c:pt>
                <c:pt idx="69">
                  <c:v>1.3830888793997206E-2</c:v>
                </c:pt>
                <c:pt idx="70">
                  <c:v>1.4128116838105048E-2</c:v>
                </c:pt>
                <c:pt idx="71">
                  <c:v>1.4229208845139764E-2</c:v>
                </c:pt>
                <c:pt idx="72">
                  <c:v>1.4480013345992197E-2</c:v>
                </c:pt>
                <c:pt idx="73">
                  <c:v>1.4696729576377368E-2</c:v>
                </c:pt>
                <c:pt idx="74">
                  <c:v>1.4841050967537111E-2</c:v>
                </c:pt>
                <c:pt idx="75">
                  <c:v>1.5014403417663278E-2</c:v>
                </c:pt>
                <c:pt idx="76">
                  <c:v>1.5211204672374577E-2</c:v>
                </c:pt>
                <c:pt idx="77">
                  <c:v>1.5558043311805941E-2</c:v>
                </c:pt>
                <c:pt idx="78">
                  <c:v>1.5785426649680693E-2</c:v>
                </c:pt>
                <c:pt idx="79">
                  <c:v>1.5928226505808583E-2</c:v>
                </c:pt>
                <c:pt idx="80">
                  <c:v>1.6060570610282144E-2</c:v>
                </c:pt>
                <c:pt idx="81">
                  <c:v>1.6261180164865493E-2</c:v>
                </c:pt>
                <c:pt idx="82">
                  <c:v>1.6524323918745931E-2</c:v>
                </c:pt>
                <c:pt idx="83">
                  <c:v>1.6780089191901517E-2</c:v>
                </c:pt>
                <c:pt idx="84">
                  <c:v>1.6809427742382844E-2</c:v>
                </c:pt>
                <c:pt idx="85">
                  <c:v>1.7083419877962074E-2</c:v>
                </c:pt>
                <c:pt idx="86">
                  <c:v>1.7398315611714104E-2</c:v>
                </c:pt>
                <c:pt idx="87">
                  <c:v>1.7466687681308643E-2</c:v>
                </c:pt>
                <c:pt idx="88">
                  <c:v>1.7656708534261378E-2</c:v>
                </c:pt>
                <c:pt idx="89">
                  <c:v>1.7960844285870168E-2</c:v>
                </c:pt>
                <c:pt idx="90">
                  <c:v>1.8002398618031851E-2</c:v>
                </c:pt>
                <c:pt idx="91">
                  <c:v>1.8373049098200409E-2</c:v>
                </c:pt>
                <c:pt idx="92">
                  <c:v>1.8533678373818675E-2</c:v>
                </c:pt>
                <c:pt idx="93">
                  <c:v>1.8762599492809409E-2</c:v>
                </c:pt>
                <c:pt idx="94">
                  <c:v>1.8976617776410798E-2</c:v>
                </c:pt>
                <c:pt idx="95">
                  <c:v>1.9119830369604712E-2</c:v>
                </c:pt>
                <c:pt idx="96">
                  <c:v>1.9393877017543155E-2</c:v>
                </c:pt>
                <c:pt idx="97">
                  <c:v>1.95436472723595E-2</c:v>
                </c:pt>
                <c:pt idx="98">
                  <c:v>1.9696447666617215E-2</c:v>
                </c:pt>
                <c:pt idx="99">
                  <c:v>1.9906180227386341E-2</c:v>
                </c:pt>
                <c:pt idx="100">
                  <c:v>2.0164186841939619E-2</c:v>
                </c:pt>
                <c:pt idx="101">
                  <c:v>2.0379408450606141E-2</c:v>
                </c:pt>
                <c:pt idx="102">
                  <c:v>2.0444449959333158E-2</c:v>
                </c:pt>
                <c:pt idx="103">
                  <c:v>2.0737547881514194E-2</c:v>
                </c:pt>
                <c:pt idx="104">
                  <c:v>2.0870340034475163E-2</c:v>
                </c:pt>
                <c:pt idx="105">
                  <c:v>2.116541231064252E-2</c:v>
                </c:pt>
                <c:pt idx="106">
                  <c:v>2.1240586210563916E-2</c:v>
                </c:pt>
                <c:pt idx="107">
                  <c:v>2.1417077615255742E-2</c:v>
                </c:pt>
                <c:pt idx="108">
                  <c:v>2.1701366245630516E-2</c:v>
                </c:pt>
                <c:pt idx="109">
                  <c:v>2.1968288735292919E-2</c:v>
                </c:pt>
                <c:pt idx="110">
                  <c:v>2.2157272552921735E-2</c:v>
                </c:pt>
                <c:pt idx="111">
                  <c:v>2.220448112492554E-2</c:v>
                </c:pt>
                <c:pt idx="112">
                  <c:v>2.2596241778274122E-2</c:v>
                </c:pt>
                <c:pt idx="113">
                  <c:v>2.2774170024780129E-2</c:v>
                </c:pt>
                <c:pt idx="114">
                  <c:v>2.291361674981043E-2</c:v>
                </c:pt>
                <c:pt idx="115">
                  <c:v>2.3014554053920916E-2</c:v>
                </c:pt>
                <c:pt idx="116">
                  <c:v>2.3203472806700383E-2</c:v>
                </c:pt>
                <c:pt idx="117">
                  <c:v>2.3406958351658416E-2</c:v>
                </c:pt>
                <c:pt idx="118">
                  <c:v>2.3654545858328824E-2</c:v>
                </c:pt>
                <c:pt idx="119">
                  <c:v>2.3894111989274183E-2</c:v>
                </c:pt>
                <c:pt idx="120">
                  <c:v>2.4089030396167426E-2</c:v>
                </c:pt>
                <c:pt idx="121">
                  <c:v>2.4251652436948299E-2</c:v>
                </c:pt>
                <c:pt idx="122">
                  <c:v>2.4420530745159028E-2</c:v>
                </c:pt>
                <c:pt idx="123">
                  <c:v>2.4678895390005524E-2</c:v>
                </c:pt>
                <c:pt idx="124">
                  <c:v>2.4829670333869215E-2</c:v>
                </c:pt>
                <c:pt idx="125">
                  <c:v>2.5184097212363057E-2</c:v>
                </c:pt>
                <c:pt idx="126">
                  <c:v>2.5209577849090468E-2</c:v>
                </c:pt>
                <c:pt idx="127">
                  <c:v>2.5404028320360005E-2</c:v>
                </c:pt>
                <c:pt idx="128">
                  <c:v>2.5750033040659041E-2</c:v>
                </c:pt>
                <c:pt idx="129">
                  <c:v>2.5806981629227982E-2</c:v>
                </c:pt>
                <c:pt idx="130">
                  <c:v>2.6156602302742329E-2</c:v>
                </c:pt>
                <c:pt idx="131">
                  <c:v>2.63208067912424E-2</c:v>
                </c:pt>
                <c:pt idx="132">
                  <c:v>2.6533415136051695E-2</c:v>
                </c:pt>
                <c:pt idx="133">
                  <c:v>2.6639697372736339E-2</c:v>
                </c:pt>
                <c:pt idx="134">
                  <c:v>2.6858882298846469E-2</c:v>
                </c:pt>
                <c:pt idx="135">
                  <c:v>2.7121837251149541E-2</c:v>
                </c:pt>
                <c:pt idx="136">
                  <c:v>2.7282167652221904E-2</c:v>
                </c:pt>
                <c:pt idx="137">
                  <c:v>2.7411909548102856E-2</c:v>
                </c:pt>
                <c:pt idx="138">
                  <c:v>2.7743454680345826E-2</c:v>
                </c:pt>
                <c:pt idx="139">
                  <c:v>2.7813681914194876E-2</c:v>
                </c:pt>
                <c:pt idx="140">
                  <c:v>2.8183845016542784E-2</c:v>
                </c:pt>
                <c:pt idx="141">
                  <c:v>2.8392399083960896E-2</c:v>
                </c:pt>
                <c:pt idx="142">
                  <c:v>2.8583773251758832E-2</c:v>
                </c:pt>
                <c:pt idx="143">
                  <c:v>2.8745055191811416E-2</c:v>
                </c:pt>
                <c:pt idx="144">
                  <c:v>2.8933577572492316E-2</c:v>
                </c:pt>
                <c:pt idx="145">
                  <c:v>2.9050591824588037E-2</c:v>
                </c:pt>
                <c:pt idx="146">
                  <c:v>2.9306432770077703E-2</c:v>
                </c:pt>
                <c:pt idx="147">
                  <c:v>2.9595487637164884E-2</c:v>
                </c:pt>
                <c:pt idx="148">
                  <c:v>2.9740926683820067E-2</c:v>
                </c:pt>
                <c:pt idx="149">
                  <c:v>2.9936875081978939E-2</c:v>
                </c:pt>
                <c:pt idx="150">
                  <c:v>3.0106928543817937E-2</c:v>
                </c:pt>
                <c:pt idx="151">
                  <c:v>3.0275413232314263E-2</c:v>
                </c:pt>
                <c:pt idx="152">
                  <c:v>3.0427798121009909E-2</c:v>
                </c:pt>
                <c:pt idx="153">
                  <c:v>3.0771796666172288E-2</c:v>
                </c:pt>
                <c:pt idx="154">
                  <c:v>3.0960327223213464E-2</c:v>
                </c:pt>
                <c:pt idx="155">
                  <c:v>3.1180346520240498E-2</c:v>
                </c:pt>
                <c:pt idx="156">
                  <c:v>3.1332749543556186E-2</c:v>
                </c:pt>
                <c:pt idx="157">
                  <c:v>3.1510920713355511E-2</c:v>
                </c:pt>
                <c:pt idx="158">
                  <c:v>3.1601519065490344E-2</c:v>
                </c:pt>
                <c:pt idx="159">
                  <c:v>3.1895201177032477E-2</c:v>
                </c:pt>
                <c:pt idx="160">
                  <c:v>3.2005865018583338E-2</c:v>
                </c:pt>
                <c:pt idx="161">
                  <c:v>3.2326789476193205E-2</c:v>
                </c:pt>
                <c:pt idx="162">
                  <c:v>3.2563799733334176E-2</c:v>
                </c:pt>
                <c:pt idx="163">
                  <c:v>3.2770128059939042E-2</c:v>
                </c:pt>
                <c:pt idx="164">
                  <c:v>3.2992393964760093E-2</c:v>
                </c:pt>
                <c:pt idx="165">
                  <c:v>3.3165890594703588E-2</c:v>
                </c:pt>
                <c:pt idx="166">
                  <c:v>3.3273300606215674E-2</c:v>
                </c:pt>
                <c:pt idx="167">
                  <c:v>3.3432983857773477E-2</c:v>
                </c:pt>
                <c:pt idx="168">
                  <c:v>3.3747355960949174E-2</c:v>
                </c:pt>
                <c:pt idx="169">
                  <c:v>3.3999904913641486E-2</c:v>
                </c:pt>
                <c:pt idx="170">
                  <c:v>3.4139223355459804E-2</c:v>
                </c:pt>
                <c:pt idx="171">
                  <c:v>3.4391870404032958E-2</c:v>
                </c:pt>
                <c:pt idx="172">
                  <c:v>3.4540675735040723E-2</c:v>
                </c:pt>
                <c:pt idx="173">
                  <c:v>3.4716910291117828E-2</c:v>
                </c:pt>
                <c:pt idx="174">
                  <c:v>3.4968580260818956E-2</c:v>
                </c:pt>
                <c:pt idx="175">
                  <c:v>3.5047463115455459E-2</c:v>
                </c:pt>
                <c:pt idx="176">
                  <c:v>3.5334316727224348E-2</c:v>
                </c:pt>
                <c:pt idx="177">
                  <c:v>3.5458661581962057E-2</c:v>
                </c:pt>
                <c:pt idx="178">
                  <c:v>3.5731944958756659E-2</c:v>
                </c:pt>
                <c:pt idx="179">
                  <c:v>3.5860197377172345E-2</c:v>
                </c:pt>
                <c:pt idx="180">
                  <c:v>3.6006091391156916E-2</c:v>
                </c:pt>
                <c:pt idx="181">
                  <c:v>3.6321527085435006E-2</c:v>
                </c:pt>
                <c:pt idx="182">
                  <c:v>3.6586832470071232E-2</c:v>
                </c:pt>
                <c:pt idx="183">
                  <c:v>3.6640500576943277E-2</c:v>
                </c:pt>
                <c:pt idx="184">
                  <c:v>3.6939925692961534E-2</c:v>
                </c:pt>
                <c:pt idx="185">
                  <c:v>3.7079184816516744E-2</c:v>
                </c:pt>
                <c:pt idx="186">
                  <c:v>3.735125292724726E-2</c:v>
                </c:pt>
                <c:pt idx="187">
                  <c:v>3.753275772070809E-2</c:v>
                </c:pt>
                <c:pt idx="188">
                  <c:v>3.7664827134801265E-2</c:v>
                </c:pt>
                <c:pt idx="189">
                  <c:v>3.7923872606717951E-2</c:v>
                </c:pt>
                <c:pt idx="190">
                  <c:v>3.809374999666907E-2</c:v>
                </c:pt>
                <c:pt idx="191">
                  <c:v>3.8283428121005048E-2</c:v>
                </c:pt>
                <c:pt idx="192">
                  <c:v>3.8533648389655548E-2</c:v>
                </c:pt>
                <c:pt idx="193">
                  <c:v>3.868664958357966E-2</c:v>
                </c:pt>
                <c:pt idx="194">
                  <c:v>3.885017059008828E-2</c:v>
                </c:pt>
                <c:pt idx="195">
                  <c:v>3.906353013507638E-2</c:v>
                </c:pt>
                <c:pt idx="196">
                  <c:v>3.9225566989329073E-2</c:v>
                </c:pt>
                <c:pt idx="197">
                  <c:v>3.9592997837763509E-2</c:v>
                </c:pt>
                <c:pt idx="198">
                  <c:v>3.970251142045076E-2</c:v>
                </c:pt>
                <c:pt idx="199">
                  <c:v>3.9919424464069174E-2</c:v>
                </c:pt>
                <c:pt idx="200">
                  <c:v>4.0016460276631742E-2</c:v>
                </c:pt>
                <c:pt idx="201">
                  <c:v>4.0325344721443335E-2</c:v>
                </c:pt>
                <c:pt idx="202">
                  <c:v>4.0419788455176117E-2</c:v>
                </c:pt>
                <c:pt idx="203">
                  <c:v>4.0761081175403925E-2</c:v>
                </c:pt>
                <c:pt idx="204">
                  <c:v>4.094761548897894E-2</c:v>
                </c:pt>
                <c:pt idx="205">
                  <c:v>4.1159398288503152E-2</c:v>
                </c:pt>
                <c:pt idx="206">
                  <c:v>4.1291241044525813E-2</c:v>
                </c:pt>
                <c:pt idx="207">
                  <c:v>4.1402732546348762E-2</c:v>
                </c:pt>
                <c:pt idx="208">
                  <c:v>4.171456536224917E-2</c:v>
                </c:pt>
                <c:pt idx="209">
                  <c:v>4.1912039011510097E-2</c:v>
                </c:pt>
                <c:pt idx="210">
                  <c:v>4.2128027560219175E-2</c:v>
                </c:pt>
                <c:pt idx="211">
                  <c:v>4.2387239697200069E-2</c:v>
                </c:pt>
                <c:pt idx="212">
                  <c:v>4.2516858491747841E-2</c:v>
                </c:pt>
                <c:pt idx="213">
                  <c:v>4.2743651369340635E-2</c:v>
                </c:pt>
                <c:pt idx="214">
                  <c:v>4.2987797969483724E-2</c:v>
                </c:pt>
                <c:pt idx="215">
                  <c:v>4.3074525460338811E-2</c:v>
                </c:pt>
                <c:pt idx="216">
                  <c:v>4.3397181587758751E-2</c:v>
                </c:pt>
                <c:pt idx="217">
                  <c:v>4.3568880585573816E-2</c:v>
                </c:pt>
                <c:pt idx="218">
                  <c:v>4.373099743922497E-2</c:v>
                </c:pt>
                <c:pt idx="219">
                  <c:v>4.3835870103453252E-2</c:v>
                </c:pt>
                <c:pt idx="220">
                  <c:v>4.4009960776430081E-2</c:v>
                </c:pt>
                <c:pt idx="221">
                  <c:v>4.4368142024746197E-2</c:v>
                </c:pt>
                <c:pt idx="222">
                  <c:v>4.4500799828651551E-2</c:v>
                </c:pt>
                <c:pt idx="223">
                  <c:v>4.4787220016258587E-2</c:v>
                </c:pt>
                <c:pt idx="224">
                  <c:v>4.4916476669469026E-2</c:v>
                </c:pt>
                <c:pt idx="225">
                  <c:v>4.5155346688291839E-2</c:v>
                </c:pt>
                <c:pt idx="226">
                  <c:v>4.5398132364451456E-2</c:v>
                </c:pt>
                <c:pt idx="227">
                  <c:v>4.5497708586393321E-2</c:v>
                </c:pt>
                <c:pt idx="228">
                  <c:v>4.5753324589634624E-2</c:v>
                </c:pt>
                <c:pt idx="229">
                  <c:v>4.5875358152174243E-2</c:v>
                </c:pt>
                <c:pt idx="230">
                  <c:v>4.6156232290658218E-2</c:v>
                </c:pt>
                <c:pt idx="231">
                  <c:v>4.6311452541060616E-2</c:v>
                </c:pt>
                <c:pt idx="232">
                  <c:v>4.6557371289785342E-2</c:v>
                </c:pt>
                <c:pt idx="233">
                  <c:v>4.6632389696322475E-2</c:v>
                </c:pt>
                <c:pt idx="234">
                  <c:v>4.6930117031682775E-2</c:v>
                </c:pt>
                <c:pt idx="235">
                  <c:v>4.7089199203785792E-2</c:v>
                </c:pt>
                <c:pt idx="236">
                  <c:v>4.7239337173299707E-2</c:v>
                </c:pt>
                <c:pt idx="237">
                  <c:v>4.7549049224459808E-2</c:v>
                </c:pt>
                <c:pt idx="238">
                  <c:v>4.7735178327871296E-2</c:v>
                </c:pt>
                <c:pt idx="239">
                  <c:v>4.791075487004378E-2</c:v>
                </c:pt>
                <c:pt idx="240">
                  <c:v>4.8052678509161964E-2</c:v>
                </c:pt>
                <c:pt idx="241">
                  <c:v>4.8338560979845596E-2</c:v>
                </c:pt>
                <c:pt idx="242">
                  <c:v>4.8436550538157243E-2</c:v>
                </c:pt>
                <c:pt idx="243">
                  <c:v>4.8704837839422942E-2</c:v>
                </c:pt>
                <c:pt idx="244">
                  <c:v>4.8912322061907577E-2</c:v>
                </c:pt>
                <c:pt idx="245">
                  <c:v>4.9006191735809251E-2</c:v>
                </c:pt>
                <c:pt idx="246">
                  <c:v>4.9311625521516342E-2</c:v>
                </c:pt>
                <c:pt idx="247">
                  <c:v>4.9481261401269877E-2</c:v>
                </c:pt>
                <c:pt idx="248">
                  <c:v>4.9703249899135729E-2</c:v>
                </c:pt>
                <c:pt idx="249">
                  <c:v>4.9943689079383319E-2</c:v>
                </c:pt>
                <c:pt idx="250">
                  <c:v>5.0043285148833709E-2</c:v>
                </c:pt>
                <c:pt idx="251">
                  <c:v>5.0283116772045174E-2</c:v>
                </c:pt>
                <c:pt idx="252">
                  <c:v>5.0581397583703835E-2</c:v>
                </c:pt>
                <c:pt idx="253">
                  <c:v>5.0645900565489635E-2</c:v>
                </c:pt>
                <c:pt idx="254">
                  <c:v>5.080969514223041E-2</c:v>
                </c:pt>
                <c:pt idx="255">
                  <c:v>5.1072728119062424E-2</c:v>
                </c:pt>
                <c:pt idx="256">
                  <c:v>5.1397571786399365E-2</c:v>
                </c:pt>
                <c:pt idx="257">
                  <c:v>5.1407480942040562E-2</c:v>
                </c:pt>
                <c:pt idx="258">
                  <c:v>5.1755716071686643E-2</c:v>
                </c:pt>
                <c:pt idx="259">
                  <c:v>5.1933833916190511E-2</c:v>
                </c:pt>
                <c:pt idx="260">
                  <c:v>5.2183974525142458E-2</c:v>
                </c:pt>
                <c:pt idx="261">
                  <c:v>5.2294998412741121E-2</c:v>
                </c:pt>
                <c:pt idx="262">
                  <c:v>5.2409979225790583E-2</c:v>
                </c:pt>
                <c:pt idx="263">
                  <c:v>5.2655407958490642E-2</c:v>
                </c:pt>
                <c:pt idx="264">
                  <c:v>5.2836629886328389E-2</c:v>
                </c:pt>
                <c:pt idx="265">
                  <c:v>5.3198532077669759E-2</c:v>
                </c:pt>
                <c:pt idx="266">
                  <c:v>5.3383669174272494E-2</c:v>
                </c:pt>
                <c:pt idx="267">
                  <c:v>5.3437653011837428E-2</c:v>
                </c:pt>
                <c:pt idx="268">
                  <c:v>5.3657331269201199E-2</c:v>
                </c:pt>
                <c:pt idx="269">
                  <c:v>5.380128910178348E-2</c:v>
                </c:pt>
                <c:pt idx="270">
                  <c:v>5.4129936044088084E-2</c:v>
                </c:pt>
                <c:pt idx="271">
                  <c:v>5.43973686617793E-2</c:v>
                </c:pt>
                <c:pt idx="272">
                  <c:v>5.4547393825079178E-2</c:v>
                </c:pt>
                <c:pt idx="273">
                  <c:v>5.4746689770358306E-2</c:v>
                </c:pt>
                <c:pt idx="274">
                  <c:v>5.4854489888682613E-2</c:v>
                </c:pt>
                <c:pt idx="275">
                  <c:v>5.5183736765054926E-2</c:v>
                </c:pt>
                <c:pt idx="276">
                  <c:v>5.5338317087092047E-2</c:v>
                </c:pt>
                <c:pt idx="277">
                  <c:v>5.5574923928029582E-2</c:v>
                </c:pt>
                <c:pt idx="278">
                  <c:v>5.5685410379545157E-2</c:v>
                </c:pt>
                <c:pt idx="279">
                  <c:v>5.5824704270955337E-2</c:v>
                </c:pt>
                <c:pt idx="280">
                  <c:v>5.6063853847809104E-2</c:v>
                </c:pt>
                <c:pt idx="281">
                  <c:v>5.6249369156185856E-2</c:v>
                </c:pt>
                <c:pt idx="282">
                  <c:v>5.6537054345974946E-2</c:v>
                </c:pt>
                <c:pt idx="283">
                  <c:v>5.6645049808697091E-2</c:v>
                </c:pt>
                <c:pt idx="284">
                  <c:v>5.6872835815062944E-2</c:v>
                </c:pt>
                <c:pt idx="285">
                  <c:v>5.7113074487706902E-2</c:v>
                </c:pt>
                <c:pt idx="286">
                  <c:v>5.7337546610212314E-2</c:v>
                </c:pt>
                <c:pt idx="287">
                  <c:v>5.754569146413023E-2</c:v>
                </c:pt>
                <c:pt idx="288">
                  <c:v>5.7688279177082767E-2</c:v>
                </c:pt>
                <c:pt idx="289">
                  <c:v>5.7993927098436732E-2</c:v>
                </c:pt>
                <c:pt idx="290">
                  <c:v>5.8197129977167847E-2</c:v>
                </c:pt>
                <c:pt idx="291">
                  <c:v>5.8286153969095582E-2</c:v>
                </c:pt>
                <c:pt idx="292">
                  <c:v>5.8555141885149091E-2</c:v>
                </c:pt>
                <c:pt idx="293">
                  <c:v>5.8626687356463335E-2</c:v>
                </c:pt>
                <c:pt idx="294">
                  <c:v>5.8962000044566115E-2</c:v>
                </c:pt>
                <c:pt idx="295">
                  <c:v>5.9068556422383657E-2</c:v>
                </c:pt>
                <c:pt idx="296">
                  <c:v>5.9371211952709405E-2</c:v>
                </c:pt>
                <c:pt idx="297">
                  <c:v>5.950729739351833E-2</c:v>
                </c:pt>
                <c:pt idx="298">
                  <c:v>5.9778045601299505E-2</c:v>
                </c:pt>
                <c:pt idx="299">
                  <c:v>5.9804099896690832E-2</c:v>
                </c:pt>
                <c:pt idx="300">
                  <c:v>6.0114894931557333E-2</c:v>
                </c:pt>
                <c:pt idx="301">
                  <c:v>6.0207335562074402E-2</c:v>
                </c:pt>
                <c:pt idx="302">
                  <c:v>6.0556758247911173E-2</c:v>
                </c:pt>
                <c:pt idx="303">
                  <c:v>6.0707758044010907E-2</c:v>
                </c:pt>
                <c:pt idx="304">
                  <c:v>6.0802097964101028E-2</c:v>
                </c:pt>
                <c:pt idx="305">
                  <c:v>6.1011817902934695E-2</c:v>
                </c:pt>
                <c:pt idx="306">
                  <c:v>6.1303204892599772E-2</c:v>
                </c:pt>
                <c:pt idx="307">
                  <c:v>6.142323900736478E-2</c:v>
                </c:pt>
                <c:pt idx="308">
                  <c:v>6.1629826016311957E-2</c:v>
                </c:pt>
                <c:pt idx="309">
                  <c:v>6.1864796244368143E-2</c:v>
                </c:pt>
                <c:pt idx="310">
                  <c:v>6.2120352246081541E-2</c:v>
                </c:pt>
                <c:pt idx="311">
                  <c:v>6.229100005274895E-2</c:v>
                </c:pt>
                <c:pt idx="312">
                  <c:v>6.2401204592362328E-2</c:v>
                </c:pt>
                <c:pt idx="313">
                  <c:v>6.2618979600914518E-2</c:v>
                </c:pt>
                <c:pt idx="314">
                  <c:v>6.2802907462884416E-2</c:v>
                </c:pt>
                <c:pt idx="315">
                  <c:v>6.319961317060506E-2</c:v>
                </c:pt>
                <c:pt idx="316">
                  <c:v>6.3347707902255398E-2</c:v>
                </c:pt>
                <c:pt idx="317">
                  <c:v>6.3520977055495836E-2</c:v>
                </c:pt>
                <c:pt idx="318">
                  <c:v>6.3669383399437507E-2</c:v>
                </c:pt>
                <c:pt idx="319">
                  <c:v>6.3969001327308123E-2</c:v>
                </c:pt>
                <c:pt idx="320">
                  <c:v>6.4082027018834378E-2</c:v>
                </c:pt>
                <c:pt idx="321">
                  <c:v>6.4392904408646964E-2</c:v>
                </c:pt>
                <c:pt idx="322">
                  <c:v>6.4451013778068833E-2</c:v>
                </c:pt>
                <c:pt idx="323">
                  <c:v>6.476921457591682E-2</c:v>
                </c:pt>
                <c:pt idx="324">
                  <c:v>6.4906171709323807E-2</c:v>
                </c:pt>
                <c:pt idx="325">
                  <c:v>6.5059223089660334E-2</c:v>
                </c:pt>
                <c:pt idx="326">
                  <c:v>6.532449733217352E-2</c:v>
                </c:pt>
                <c:pt idx="327">
                  <c:v>6.5429428125924768E-2</c:v>
                </c:pt>
                <c:pt idx="328">
                  <c:v>6.5761398488832959E-2</c:v>
                </c:pt>
                <c:pt idx="329">
                  <c:v>6.5858695451183877E-2</c:v>
                </c:pt>
                <c:pt idx="330">
                  <c:v>6.6008087105818111E-2</c:v>
                </c:pt>
                <c:pt idx="331">
                  <c:v>6.6376239830901893E-2</c:v>
                </c:pt>
                <c:pt idx="332">
                  <c:v>6.6447331556083469E-2</c:v>
                </c:pt>
                <c:pt idx="333">
                  <c:v>6.670956614797692E-2</c:v>
                </c:pt>
                <c:pt idx="334">
                  <c:v>6.6850083499040938E-2</c:v>
                </c:pt>
                <c:pt idx="335">
                  <c:v>6.7118787003475899E-2</c:v>
                </c:pt>
                <c:pt idx="336">
                  <c:v>6.7312619871812085E-2</c:v>
                </c:pt>
                <c:pt idx="337">
                  <c:v>6.7577747261938118E-2</c:v>
                </c:pt>
                <c:pt idx="338">
                  <c:v>6.772262893564128E-2</c:v>
                </c:pt>
                <c:pt idx="339">
                  <c:v>6.790762958738665E-2</c:v>
                </c:pt>
                <c:pt idx="340">
                  <c:v>6.8199943368835364E-2</c:v>
                </c:pt>
                <c:pt idx="341">
                  <c:v>6.8344398623086597E-2</c:v>
                </c:pt>
                <c:pt idx="342">
                  <c:v>6.843895494501083E-2</c:v>
                </c:pt>
                <c:pt idx="343">
                  <c:v>6.8755154712254921E-2</c:v>
                </c:pt>
                <c:pt idx="344">
                  <c:v>6.8948596533375928E-2</c:v>
                </c:pt>
                <c:pt idx="345">
                  <c:v>6.9104862282403021E-2</c:v>
                </c:pt>
                <c:pt idx="346">
                  <c:v>6.9222041949402083E-2</c:v>
                </c:pt>
                <c:pt idx="347">
                  <c:v>6.9490941605225884E-2</c:v>
                </c:pt>
                <c:pt idx="348">
                  <c:v>6.9709988673895135E-2</c:v>
                </c:pt>
                <c:pt idx="349">
                  <c:v>6.983570299056259E-2</c:v>
                </c:pt>
                <c:pt idx="350">
                  <c:v>7.0029235030531239E-2</c:v>
                </c:pt>
                <c:pt idx="351">
                  <c:v>7.0378843765468074E-2</c:v>
                </c:pt>
                <c:pt idx="352">
                  <c:v>7.0467877925016881E-2</c:v>
                </c:pt>
                <c:pt idx="353">
                  <c:v>7.0719022620450489E-2</c:v>
                </c:pt>
                <c:pt idx="354">
                  <c:v>7.0939388239276452E-2</c:v>
                </c:pt>
                <c:pt idx="355">
                  <c:v>7.1102135487157422E-2</c:v>
                </c:pt>
                <c:pt idx="356">
                  <c:v>7.1217397705003946E-2</c:v>
                </c:pt>
                <c:pt idx="357">
                  <c:v>7.1479987255129954E-2</c:v>
                </c:pt>
                <c:pt idx="358">
                  <c:v>7.1726637961698383E-2</c:v>
                </c:pt>
                <c:pt idx="359">
                  <c:v>7.1979734873766951E-2</c:v>
                </c:pt>
                <c:pt idx="360">
                  <c:v>7.2110811955554133E-2</c:v>
                </c:pt>
                <c:pt idx="361">
                  <c:v>7.2324854072817801E-2</c:v>
                </c:pt>
                <c:pt idx="362">
                  <c:v>7.2521783036487597E-2</c:v>
                </c:pt>
                <c:pt idx="363">
                  <c:v>7.2767618349978608E-2</c:v>
                </c:pt>
                <c:pt idx="364">
                  <c:v>7.2870639134913373E-2</c:v>
                </c:pt>
                <c:pt idx="365">
                  <c:v>7.3110468573661158E-2</c:v>
                </c:pt>
                <c:pt idx="366">
                  <c:v>7.3349196981813108E-2</c:v>
                </c:pt>
                <c:pt idx="367">
                  <c:v>7.3408997164529047E-2</c:v>
                </c:pt>
                <c:pt idx="368">
                  <c:v>7.3675541846937392E-2</c:v>
                </c:pt>
                <c:pt idx="369">
                  <c:v>7.395886607662748E-2</c:v>
                </c:pt>
                <c:pt idx="370">
                  <c:v>7.4094080710200155E-2</c:v>
                </c:pt>
                <c:pt idx="371">
                  <c:v>7.4263574717255212E-2</c:v>
                </c:pt>
                <c:pt idx="372">
                  <c:v>7.4583009047383214E-2</c:v>
                </c:pt>
                <c:pt idx="373">
                  <c:v>7.4790532869377757E-2</c:v>
                </c:pt>
                <c:pt idx="374">
                  <c:v>7.4971072162308514E-2</c:v>
                </c:pt>
                <c:pt idx="375">
                  <c:v>7.5128643833968944E-2</c:v>
                </c:pt>
                <c:pt idx="376">
                  <c:v>7.5303122099745809E-2</c:v>
                </c:pt>
                <c:pt idx="377">
                  <c:v>7.5509777742789538E-2</c:v>
                </c:pt>
                <c:pt idx="378">
                  <c:v>7.5767932776214533E-2</c:v>
                </c:pt>
                <c:pt idx="379">
                  <c:v>7.595352698922006E-2</c:v>
                </c:pt>
                <c:pt idx="380">
                  <c:v>7.6108295145516355E-2</c:v>
                </c:pt>
                <c:pt idx="381">
                  <c:v>7.6243725160286699E-2</c:v>
                </c:pt>
                <c:pt idx="382">
                  <c:v>7.6443038062668181E-2</c:v>
                </c:pt>
                <c:pt idx="383">
                  <c:v>7.6615345239875676E-2</c:v>
                </c:pt>
                <c:pt idx="384">
                  <c:v>7.6910632187852324E-2</c:v>
                </c:pt>
                <c:pt idx="385">
                  <c:v>7.7074210319638764E-2</c:v>
                </c:pt>
                <c:pt idx="386">
                  <c:v>7.7368702953627494E-2</c:v>
                </c:pt>
                <c:pt idx="387">
                  <c:v>7.746673506839824E-2</c:v>
                </c:pt>
                <c:pt idx="388">
                  <c:v>7.7764774714122714E-2</c:v>
                </c:pt>
                <c:pt idx="389">
                  <c:v>7.7850678629067416E-2</c:v>
                </c:pt>
                <c:pt idx="390">
                  <c:v>7.8096592189207809E-2</c:v>
                </c:pt>
                <c:pt idx="391">
                  <c:v>7.8275942454923864E-2</c:v>
                </c:pt>
                <c:pt idx="392">
                  <c:v>7.8470707662513184E-2</c:v>
                </c:pt>
                <c:pt idx="393">
                  <c:v>7.874018518504225E-2</c:v>
                </c:pt>
                <c:pt idx="394">
                  <c:v>7.8966128377701644E-2</c:v>
                </c:pt>
                <c:pt idx="395">
                  <c:v>7.9084103509989581E-2</c:v>
                </c:pt>
                <c:pt idx="396">
                  <c:v>7.9243722170135866E-2</c:v>
                </c:pt>
                <c:pt idx="397">
                  <c:v>7.9481473690616311E-2</c:v>
                </c:pt>
                <c:pt idx="398">
                  <c:v>7.9651534068643004E-2</c:v>
                </c:pt>
                <c:pt idx="399">
                  <c:v>7.9805117403530773E-2</c:v>
                </c:pt>
                <c:pt idx="400">
                  <c:v>8.0081174945617367E-2</c:v>
                </c:pt>
                <c:pt idx="401">
                  <c:v>8.0306661433937637E-2</c:v>
                </c:pt>
                <c:pt idx="402">
                  <c:v>8.0580619213585891E-2</c:v>
                </c:pt>
                <c:pt idx="403">
                  <c:v>8.0792097412699854E-2</c:v>
                </c:pt>
                <c:pt idx="404">
                  <c:v>8.0813941322829097E-2</c:v>
                </c:pt>
                <c:pt idx="405">
                  <c:v>8.1158813066770974E-2</c:v>
                </c:pt>
                <c:pt idx="406">
                  <c:v>8.1394816244019855E-2</c:v>
                </c:pt>
                <c:pt idx="407">
                  <c:v>8.1505396199344063E-2</c:v>
                </c:pt>
                <c:pt idx="408">
                  <c:v>8.1734129495391189E-2</c:v>
                </c:pt>
                <c:pt idx="409">
                  <c:v>8.1842985875309207E-2</c:v>
                </c:pt>
                <c:pt idx="410">
                  <c:v>8.2081832999848253E-2</c:v>
                </c:pt>
                <c:pt idx="411">
                  <c:v>8.2376512264268592E-2</c:v>
                </c:pt>
                <c:pt idx="412">
                  <c:v>8.2447246576903221E-2</c:v>
                </c:pt>
                <c:pt idx="413">
                  <c:v>8.2653831584577869E-2</c:v>
                </c:pt>
                <c:pt idx="414">
                  <c:v>8.2867603692567821E-2</c:v>
                </c:pt>
                <c:pt idx="415">
                  <c:v>8.305075358507473E-2</c:v>
                </c:pt>
                <c:pt idx="416">
                  <c:v>8.3343312080005019E-2</c:v>
                </c:pt>
                <c:pt idx="417">
                  <c:v>8.3428810142499588E-2</c:v>
                </c:pt>
                <c:pt idx="418">
                  <c:v>8.3654373646726454E-2</c:v>
                </c:pt>
                <c:pt idx="419">
                  <c:v>8.3965974574341892E-2</c:v>
                </c:pt>
                <c:pt idx="420">
                  <c:v>8.4147237039252004E-2</c:v>
                </c:pt>
                <c:pt idx="421">
                  <c:v>8.4366591122412724E-2</c:v>
                </c:pt>
                <c:pt idx="422">
                  <c:v>8.4445769674527868E-2</c:v>
                </c:pt>
                <c:pt idx="423">
                  <c:v>8.4722618213743578E-2</c:v>
                </c:pt>
                <c:pt idx="424">
                  <c:v>8.4977162889478999E-2</c:v>
                </c:pt>
                <c:pt idx="425">
                  <c:v>8.5084096415267346E-2</c:v>
                </c:pt>
                <c:pt idx="426">
                  <c:v>8.527642115277155E-2</c:v>
                </c:pt>
                <c:pt idx="427">
                  <c:v>8.5430519134139293E-2</c:v>
                </c:pt>
                <c:pt idx="428">
                  <c:v>8.5682360935044097E-2</c:v>
                </c:pt>
                <c:pt idx="429">
                  <c:v>8.584871425457502E-2</c:v>
                </c:pt>
                <c:pt idx="430">
                  <c:v>8.6106179533504468E-2</c:v>
                </c:pt>
                <c:pt idx="431">
                  <c:v>8.6254980776518345E-2</c:v>
                </c:pt>
                <c:pt idx="432">
                  <c:v>8.6561425311575041E-2</c:v>
                </c:pt>
                <c:pt idx="433">
                  <c:v>8.6636099252113158E-2</c:v>
                </c:pt>
                <c:pt idx="434">
                  <c:v>8.6883338058340212E-2</c:v>
                </c:pt>
                <c:pt idx="435">
                  <c:v>8.7015696671981294E-2</c:v>
                </c:pt>
                <c:pt idx="436">
                  <c:v>8.7227827399789321E-2</c:v>
                </c:pt>
                <c:pt idx="437">
                  <c:v>8.7487040350420181E-2</c:v>
                </c:pt>
                <c:pt idx="438">
                  <c:v>8.7651677529618999E-2</c:v>
                </c:pt>
                <c:pt idx="439">
                  <c:v>8.7849365170451194E-2</c:v>
                </c:pt>
                <c:pt idx="440">
                  <c:v>8.8189577360355667E-2</c:v>
                </c:pt>
                <c:pt idx="441">
                  <c:v>8.8398650208674059E-2</c:v>
                </c:pt>
                <c:pt idx="442">
                  <c:v>8.8456623990381289E-2</c:v>
                </c:pt>
                <c:pt idx="443">
                  <c:v>8.8786230392192078E-2</c:v>
                </c:pt>
                <c:pt idx="444">
                  <c:v>8.8824517681641624E-2</c:v>
                </c:pt>
                <c:pt idx="445">
                  <c:v>8.9191501721737787E-2</c:v>
                </c:pt>
                <c:pt idx="446">
                  <c:v>8.9356535405236429E-2</c:v>
                </c:pt>
                <c:pt idx="447">
                  <c:v>8.9410264477415541E-2</c:v>
                </c:pt>
                <c:pt idx="448">
                  <c:v>8.9641183296274671E-2</c:v>
                </c:pt>
                <c:pt idx="449">
                  <c:v>8.9836218744431678E-2</c:v>
                </c:pt>
                <c:pt idx="450">
                  <c:v>9.0122054195246215E-2</c:v>
                </c:pt>
                <c:pt idx="451">
                  <c:v>9.0310568461406643E-2</c:v>
                </c:pt>
                <c:pt idx="452">
                  <c:v>9.0560014791311705E-2</c:v>
                </c:pt>
                <c:pt idx="453">
                  <c:v>9.0714597298790375E-2</c:v>
                </c:pt>
                <c:pt idx="454">
                  <c:v>9.0808496871732286E-2</c:v>
                </c:pt>
                <c:pt idx="455">
                  <c:v>9.1048526992939541E-2</c:v>
                </c:pt>
                <c:pt idx="456">
                  <c:v>9.1308537999426148E-2</c:v>
                </c:pt>
                <c:pt idx="457">
                  <c:v>9.1444455776979322E-2</c:v>
                </c:pt>
                <c:pt idx="458">
                  <c:v>9.1620236349203674E-2</c:v>
                </c:pt>
                <c:pt idx="459">
                  <c:v>9.1896723633002664E-2</c:v>
                </c:pt>
                <c:pt idx="460">
                  <c:v>9.2109502053332876E-2</c:v>
                </c:pt>
                <c:pt idx="461">
                  <c:v>9.2252780918463312E-2</c:v>
                </c:pt>
                <c:pt idx="462">
                  <c:v>9.2595201176729799E-2</c:v>
                </c:pt>
                <c:pt idx="463">
                  <c:v>9.2611471374335577E-2</c:v>
                </c:pt>
                <c:pt idx="464">
                  <c:v>9.2998201598505997E-2</c:v>
                </c:pt>
                <c:pt idx="465">
                  <c:v>9.3079470854084814E-2</c:v>
                </c:pt>
                <c:pt idx="466">
                  <c:v>9.3261018525590433E-2</c:v>
                </c:pt>
                <c:pt idx="467">
                  <c:v>9.3582027284284594E-2</c:v>
                </c:pt>
                <c:pt idx="468">
                  <c:v>9.3705910101511025E-2</c:v>
                </c:pt>
                <c:pt idx="469">
                  <c:v>9.3801325074816436E-2</c:v>
                </c:pt>
                <c:pt idx="470">
                  <c:v>9.4198516032704738E-2</c:v>
                </c:pt>
                <c:pt idx="471">
                  <c:v>9.4206935301191855E-2</c:v>
                </c:pt>
                <c:pt idx="472">
                  <c:v>9.4500602246192417E-2</c:v>
                </c:pt>
                <c:pt idx="473">
                  <c:v>9.4669244716518844E-2</c:v>
                </c:pt>
                <c:pt idx="474">
                  <c:v>9.4806251627021998E-2</c:v>
                </c:pt>
                <c:pt idx="475">
                  <c:v>9.5034096743733171E-2</c:v>
                </c:pt>
                <c:pt idx="476">
                  <c:v>9.5237715914528287E-2</c:v>
                </c:pt>
                <c:pt idx="477">
                  <c:v>9.5427146420028794E-2</c:v>
                </c:pt>
                <c:pt idx="478">
                  <c:v>9.5615640472484664E-2</c:v>
                </c:pt>
                <c:pt idx="479">
                  <c:v>9.5946603759086355E-2</c:v>
                </c:pt>
                <c:pt idx="480">
                  <c:v>9.6090065629661575E-2</c:v>
                </c:pt>
                <c:pt idx="481">
                  <c:v>9.6226191449404266E-2</c:v>
                </c:pt>
                <c:pt idx="482">
                  <c:v>9.6591297051587907E-2</c:v>
                </c:pt>
                <c:pt idx="483">
                  <c:v>9.6644711153918109E-2</c:v>
                </c:pt>
                <c:pt idx="484">
                  <c:v>9.6865945044734045E-2</c:v>
                </c:pt>
                <c:pt idx="485">
                  <c:v>9.7018915876843706E-2</c:v>
                </c:pt>
                <c:pt idx="486">
                  <c:v>9.7246140670926809E-2</c:v>
                </c:pt>
                <c:pt idx="487">
                  <c:v>9.7460934843369984E-2</c:v>
                </c:pt>
                <c:pt idx="488">
                  <c:v>9.7652587245370404E-2</c:v>
                </c:pt>
                <c:pt idx="489">
                  <c:v>9.7810331866939174E-2</c:v>
                </c:pt>
                <c:pt idx="490">
                  <c:v>9.8077552836359841E-2</c:v>
                </c:pt>
                <c:pt idx="491">
                  <c:v>9.8225630798010541E-2</c:v>
                </c:pt>
                <c:pt idx="492">
                  <c:v>9.8506322460972309E-2</c:v>
                </c:pt>
                <c:pt idx="493">
                  <c:v>9.8639321057926707E-2</c:v>
                </c:pt>
                <c:pt idx="494">
                  <c:v>9.8938713744501292E-2</c:v>
                </c:pt>
                <c:pt idx="495">
                  <c:v>9.904411216965972E-2</c:v>
                </c:pt>
                <c:pt idx="496">
                  <c:v>9.9275121375051123E-2</c:v>
                </c:pt>
                <c:pt idx="497">
                  <c:v>9.9449896454589889E-2</c:v>
                </c:pt>
                <c:pt idx="498">
                  <c:v>9.977514565316381E-2</c:v>
                </c:pt>
                <c:pt idx="499">
                  <c:v>9.992522443261119E-2</c:v>
                </c:pt>
                <c:pt idx="500">
                  <c:v>0.10014680147314137</c:v>
                </c:pt>
                <c:pt idx="501">
                  <c:v>0.1003065300890027</c:v>
                </c:pt>
                <c:pt idx="502">
                  <c:v>0.10055496205947245</c:v>
                </c:pt>
                <c:pt idx="503">
                  <c:v>0.10071332700515942</c:v>
                </c:pt>
                <c:pt idx="504">
                  <c:v>0.10097646179310429</c:v>
                </c:pt>
                <c:pt idx="505">
                  <c:v>0.10103726535375167</c:v>
                </c:pt>
                <c:pt idx="506">
                  <c:v>0.10137114896824843</c:v>
                </c:pt>
                <c:pt idx="507">
                  <c:v>0.10142068870002886</c:v>
                </c:pt>
                <c:pt idx="508">
                  <c:v>0.10171637664039535</c:v>
                </c:pt>
                <c:pt idx="509">
                  <c:v>0.10191786534449036</c:v>
                </c:pt>
                <c:pt idx="510">
                  <c:v>0.10219570486280036</c:v>
                </c:pt>
                <c:pt idx="511">
                  <c:v>0.10222862240994084</c:v>
                </c:pt>
                <c:pt idx="512">
                  <c:v>0.10259000535048313</c:v>
                </c:pt>
                <c:pt idx="513">
                  <c:v>0.10268452960603977</c:v>
                </c:pt>
                <c:pt idx="514">
                  <c:v>0.1029436925375703</c:v>
                </c:pt>
                <c:pt idx="515">
                  <c:v>0.10311968954096543</c:v>
                </c:pt>
                <c:pt idx="516">
                  <c:v>0.10330394590159503</c:v>
                </c:pt>
                <c:pt idx="517">
                  <c:v>0.10348630627134962</c:v>
                </c:pt>
                <c:pt idx="518">
                  <c:v>0.10361624280647752</c:v>
                </c:pt>
                <c:pt idx="519">
                  <c:v>0.10382838957221908</c:v>
                </c:pt>
                <c:pt idx="520">
                  <c:v>0.10412901250294619</c:v>
                </c:pt>
                <c:pt idx="521">
                  <c:v>0.10434779194829701</c:v>
                </c:pt>
                <c:pt idx="522">
                  <c:v>0.10442367917774796</c:v>
                </c:pt>
                <c:pt idx="523">
                  <c:v>0.10470297210568165</c:v>
                </c:pt>
                <c:pt idx="524">
                  <c:v>0.10482645418882054</c:v>
                </c:pt>
                <c:pt idx="525">
                  <c:v>0.10514808828545456</c:v>
                </c:pt>
                <c:pt idx="526">
                  <c:v>0.10527978996827263</c:v>
                </c:pt>
                <c:pt idx="527">
                  <c:v>0.10558740732650911</c:v>
                </c:pt>
                <c:pt idx="528">
                  <c:v>0.10573563072023347</c:v>
                </c:pt>
                <c:pt idx="529">
                  <c:v>0.10585079817577517</c:v>
                </c:pt>
                <c:pt idx="530">
                  <c:v>0.10608231715058962</c:v>
                </c:pt>
                <c:pt idx="531">
                  <c:v>0.10620632467018588</c:v>
                </c:pt>
                <c:pt idx="532">
                  <c:v>0.106433742400872</c:v>
                </c:pt>
                <c:pt idx="533">
                  <c:v>0.10672491517717132</c:v>
                </c:pt>
                <c:pt idx="534">
                  <c:v>0.10699982452038671</c:v>
                </c:pt>
                <c:pt idx="535">
                  <c:v>0.10704546414661349</c:v>
                </c:pt>
                <c:pt idx="536">
                  <c:v>0.10736601935167937</c:v>
                </c:pt>
                <c:pt idx="537">
                  <c:v>0.10749691819979271</c:v>
                </c:pt>
                <c:pt idx="538">
                  <c:v>0.10773508828555585</c:v>
                </c:pt>
                <c:pt idx="539">
                  <c:v>0.10781453138981353</c:v>
                </c:pt>
                <c:pt idx="540">
                  <c:v>0.10803285953552295</c:v>
                </c:pt>
                <c:pt idx="541">
                  <c:v>0.10836642128558979</c:v>
                </c:pt>
                <c:pt idx="542">
                  <c:v>0.10847025986096594</c:v>
                </c:pt>
                <c:pt idx="543">
                  <c:v>0.1087517215819917</c:v>
                </c:pt>
                <c:pt idx="544">
                  <c:v>0.10893393715553311</c:v>
                </c:pt>
                <c:pt idx="545">
                  <c:v>0.10916113576985922</c:v>
                </c:pt>
                <c:pt idx="546">
                  <c:v>0.10930114112992333</c:v>
                </c:pt>
                <c:pt idx="547">
                  <c:v>0.10957346779028267</c:v>
                </c:pt>
                <c:pt idx="548">
                  <c:v>0.10962327283048612</c:v>
                </c:pt>
                <c:pt idx="549">
                  <c:v>0.10981940058493508</c:v>
                </c:pt>
                <c:pt idx="550">
                  <c:v>0.11017822980153799</c:v>
                </c:pt>
                <c:pt idx="551">
                  <c:v>0.11023369764695728</c:v>
                </c:pt>
                <c:pt idx="552">
                  <c:v>0.11040977223878953</c:v>
                </c:pt>
                <c:pt idx="553">
                  <c:v>0.11073648373972078</c:v>
                </c:pt>
                <c:pt idx="554">
                  <c:v>0.11093156262178243</c:v>
                </c:pt>
                <c:pt idx="555">
                  <c:v>0.11110933413028469</c:v>
                </c:pt>
                <c:pt idx="556">
                  <c:v>0.11139503120640176</c:v>
                </c:pt>
                <c:pt idx="557">
                  <c:v>0.11147782584272274</c:v>
                </c:pt>
                <c:pt idx="558">
                  <c:v>0.1117792305390302</c:v>
                </c:pt>
                <c:pt idx="559">
                  <c:v>0.11184117944520926</c:v>
                </c:pt>
                <c:pt idx="560">
                  <c:v>0.11200455315113174</c:v>
                </c:pt>
                <c:pt idx="561">
                  <c:v>0.11234141922773361</c:v>
                </c:pt>
                <c:pt idx="562">
                  <c:v>0.11242474439177307</c:v>
                </c:pt>
                <c:pt idx="563">
                  <c:v>0.112791153264649</c:v>
                </c:pt>
                <c:pt idx="564">
                  <c:v>0.11293462136577224</c:v>
                </c:pt>
                <c:pt idx="565">
                  <c:v>0.11301634373078502</c:v>
                </c:pt>
                <c:pt idx="566">
                  <c:v>0.11331840866732375</c:v>
                </c:pt>
                <c:pt idx="567">
                  <c:v>0.11348572030418687</c:v>
                </c:pt>
                <c:pt idx="568">
                  <c:v>0.11360765335862702</c:v>
                </c:pt>
                <c:pt idx="569">
                  <c:v>0.11396714388601649</c:v>
                </c:pt>
                <c:pt idx="570">
                  <c:v>0.11409788113448253</c:v>
                </c:pt>
                <c:pt idx="571">
                  <c:v>0.11425128148180695</c:v>
                </c:pt>
                <c:pt idx="572">
                  <c:v>0.11459006620892091</c:v>
                </c:pt>
                <c:pt idx="573">
                  <c:v>0.11479901497787773</c:v>
                </c:pt>
                <c:pt idx="574">
                  <c:v>0.11494344284481915</c:v>
                </c:pt>
                <c:pt idx="575">
                  <c:v>0.1150387412416839</c:v>
                </c:pt>
                <c:pt idx="576">
                  <c:v>0.11531894827133951</c:v>
                </c:pt>
                <c:pt idx="577">
                  <c:v>0.11559551036162197</c:v>
                </c:pt>
                <c:pt idx="578">
                  <c:v>0.11564696287714107</c:v>
                </c:pt>
                <c:pt idx="579">
                  <c:v>0.11584432360153746</c:v>
                </c:pt>
                <c:pt idx="580">
                  <c:v>0.11613465782192878</c:v>
                </c:pt>
                <c:pt idx="581">
                  <c:v>0.11629672180742413</c:v>
                </c:pt>
                <c:pt idx="582">
                  <c:v>0.11655432708676772</c:v>
                </c:pt>
                <c:pt idx="583">
                  <c:v>0.11664556489336435</c:v>
                </c:pt>
                <c:pt idx="584">
                  <c:v>0.11698007436166054</c:v>
                </c:pt>
                <c:pt idx="585">
                  <c:v>0.11702240781169905</c:v>
                </c:pt>
                <c:pt idx="586">
                  <c:v>0.11727406227217849</c:v>
                </c:pt>
                <c:pt idx="587">
                  <c:v>0.11740685263117935</c:v>
                </c:pt>
                <c:pt idx="588">
                  <c:v>0.11763919225578177</c:v>
                </c:pt>
                <c:pt idx="589">
                  <c:v>0.11780524252904702</c:v>
                </c:pt>
                <c:pt idx="590">
                  <c:v>0.1181358490078095</c:v>
                </c:pt>
                <c:pt idx="591">
                  <c:v>0.11839187181028349</c:v>
                </c:pt>
                <c:pt idx="592">
                  <c:v>0.1185186669750881</c:v>
                </c:pt>
                <c:pt idx="593">
                  <c:v>0.11872373547170398</c:v>
                </c:pt>
                <c:pt idx="594">
                  <c:v>0.11892635202834531</c:v>
                </c:pt>
                <c:pt idx="595">
                  <c:v>0.11911020971692872</c:v>
                </c:pt>
                <c:pt idx="596">
                  <c:v>0.11939422001512587</c:v>
                </c:pt>
                <c:pt idx="597">
                  <c:v>0.11945941626673084</c:v>
                </c:pt>
                <c:pt idx="598">
                  <c:v>0.11960558064300697</c:v>
                </c:pt>
                <c:pt idx="599">
                  <c:v>0.1198502285836847</c:v>
                </c:pt>
                <c:pt idx="600">
                  <c:v>0.12005600063462182</c:v>
                </c:pt>
                <c:pt idx="601">
                  <c:v>0.1203572691848402</c:v>
                </c:pt>
                <c:pt idx="602">
                  <c:v>0.12054926784982656</c:v>
                </c:pt>
                <c:pt idx="603">
                  <c:v>0.12071589070249254</c:v>
                </c:pt>
                <c:pt idx="604">
                  <c:v>0.12088510155232741</c:v>
                </c:pt>
                <c:pt idx="605">
                  <c:v>0.12116025567337876</c:v>
                </c:pt>
                <c:pt idx="606">
                  <c:v>0.12130267201394369</c:v>
                </c:pt>
                <c:pt idx="607">
                  <c:v>0.12145387223345551</c:v>
                </c:pt>
                <c:pt idx="608">
                  <c:v>0.12160039609740497</c:v>
                </c:pt>
                <c:pt idx="609">
                  <c:v>0.12188950685921347</c:v>
                </c:pt>
                <c:pt idx="610">
                  <c:v>0.12207334617638806</c:v>
                </c:pt>
                <c:pt idx="611">
                  <c:v>0.12221029164828599</c:v>
                </c:pt>
                <c:pt idx="612">
                  <c:v>0.12255365992876552</c:v>
                </c:pt>
                <c:pt idx="613">
                  <c:v>0.12274938508401378</c:v>
                </c:pt>
                <c:pt idx="614">
                  <c:v>0.12288578435938939</c:v>
                </c:pt>
                <c:pt idx="615">
                  <c:v>0.12312410904935657</c:v>
                </c:pt>
                <c:pt idx="616">
                  <c:v>0.12323872354557709</c:v>
                </c:pt>
                <c:pt idx="617">
                  <c:v>0.12346953234636912</c:v>
                </c:pt>
                <c:pt idx="618">
                  <c:v>0.12367873035429015</c:v>
                </c:pt>
                <c:pt idx="619">
                  <c:v>0.12387558763960274</c:v>
                </c:pt>
                <c:pt idx="620">
                  <c:v>0.12402664175532448</c:v>
                </c:pt>
                <c:pt idx="621">
                  <c:v>0.12422040378763816</c:v>
                </c:pt>
                <c:pt idx="622">
                  <c:v>0.12458460077978312</c:v>
                </c:pt>
                <c:pt idx="623">
                  <c:v>0.12461619288018351</c:v>
                </c:pt>
                <c:pt idx="624">
                  <c:v>0.12481886085868321</c:v>
                </c:pt>
                <c:pt idx="625">
                  <c:v>0.12505851419262087</c:v>
                </c:pt>
                <c:pt idx="626">
                  <c:v>0.12535792558220166</c:v>
                </c:pt>
                <c:pt idx="627">
                  <c:v>0.12543181291120867</c:v>
                </c:pt>
                <c:pt idx="628">
                  <c:v>0.12578723901733457</c:v>
                </c:pt>
                <c:pt idx="629">
                  <c:v>0.12581653277841781</c:v>
                </c:pt>
                <c:pt idx="630">
                  <c:v>0.12617983036776534</c:v>
                </c:pt>
                <c:pt idx="631">
                  <c:v>0.12632443699034035</c:v>
                </c:pt>
                <c:pt idx="632">
                  <c:v>0.12650598453304404</c:v>
                </c:pt>
                <c:pt idx="633">
                  <c:v>0.12677622512406117</c:v>
                </c:pt>
                <c:pt idx="634">
                  <c:v>0.12680570332585034</c:v>
                </c:pt>
                <c:pt idx="635">
                  <c:v>0.12702479289644975</c:v>
                </c:pt>
                <c:pt idx="636">
                  <c:v>0.12732974718751613</c:v>
                </c:pt>
                <c:pt idx="637">
                  <c:v>0.12755627849361773</c:v>
                </c:pt>
                <c:pt idx="638">
                  <c:v>0.12778240214944409</c:v>
                </c:pt>
                <c:pt idx="639">
                  <c:v>0.12793127046635636</c:v>
                </c:pt>
                <c:pt idx="640">
                  <c:v>0.12802364027263216</c:v>
                </c:pt>
                <c:pt idx="641">
                  <c:v>0.12825265571764966</c:v>
                </c:pt>
                <c:pt idx="642">
                  <c:v>0.12852076115340944</c:v>
                </c:pt>
                <c:pt idx="643">
                  <c:v>0.12868869265017302</c:v>
                </c:pt>
                <c:pt idx="644">
                  <c:v>0.12896165069289542</c:v>
                </c:pt>
                <c:pt idx="645">
                  <c:v>0.12918535500359379</c:v>
                </c:pt>
                <c:pt idx="646">
                  <c:v>0.12921901134364749</c:v>
                </c:pt>
                <c:pt idx="647">
                  <c:v>0.12943961803844189</c:v>
                </c:pt>
                <c:pt idx="648">
                  <c:v>0.12973027835808001</c:v>
                </c:pt>
                <c:pt idx="649">
                  <c:v>0.12981931236330871</c:v>
                </c:pt>
                <c:pt idx="650">
                  <c:v>0.13018436319576213</c:v>
                </c:pt>
                <c:pt idx="651">
                  <c:v>0.13023244526666414</c:v>
                </c:pt>
                <c:pt idx="652">
                  <c:v>0.13059146577119629</c:v>
                </c:pt>
                <c:pt idx="653">
                  <c:v>0.13066503818963307</c:v>
                </c:pt>
                <c:pt idx="654">
                  <c:v>0.13082894821936006</c:v>
                </c:pt>
                <c:pt idx="655">
                  <c:v>0.13106689516801082</c:v>
                </c:pt>
                <c:pt idx="656">
                  <c:v>0.13128819300972117</c:v>
                </c:pt>
                <c:pt idx="657">
                  <c:v>0.13144147036328016</c:v>
                </c:pt>
                <c:pt idx="658">
                  <c:v>0.13164338923670429</c:v>
                </c:pt>
                <c:pt idx="659">
                  <c:v>0.13180702429497779</c:v>
                </c:pt>
                <c:pt idx="660">
                  <c:v>0.13200591935184922</c:v>
                </c:pt>
                <c:pt idx="661">
                  <c:v>0.13226870758153236</c:v>
                </c:pt>
                <c:pt idx="662">
                  <c:v>0.13253579508507063</c:v>
                </c:pt>
                <c:pt idx="663">
                  <c:v>0.13268965003613606</c:v>
                </c:pt>
                <c:pt idx="664">
                  <c:v>0.13290972457218678</c:v>
                </c:pt>
                <c:pt idx="665">
                  <c:v>0.13314656990057477</c:v>
                </c:pt>
                <c:pt idx="666">
                  <c:v>0.13328045060575949</c:v>
                </c:pt>
                <c:pt idx="667">
                  <c:v>0.13354500354401419</c:v>
                </c:pt>
                <c:pt idx="668">
                  <c:v>0.13373054006926963</c:v>
                </c:pt>
                <c:pt idx="669">
                  <c:v>0.13381654342986096</c:v>
                </c:pt>
                <c:pt idx="670">
                  <c:v>0.1340756919175097</c:v>
                </c:pt>
                <c:pt idx="671">
                  <c:v>0.13425559313517427</c:v>
                </c:pt>
                <c:pt idx="672">
                  <c:v>0.13445653362769086</c:v>
                </c:pt>
                <c:pt idx="673">
                  <c:v>0.13471252745364617</c:v>
                </c:pt>
                <c:pt idx="674">
                  <c:v>0.13486560960539282</c:v>
                </c:pt>
                <c:pt idx="675">
                  <c:v>0.13500521613615685</c:v>
                </c:pt>
                <c:pt idx="676">
                  <c:v>0.13520676647974336</c:v>
                </c:pt>
                <c:pt idx="677">
                  <c:v>0.13552763230943299</c:v>
                </c:pt>
                <c:pt idx="678">
                  <c:v>0.13567605094105845</c:v>
                </c:pt>
                <c:pt idx="679">
                  <c:v>0.13590197614489635</c:v>
                </c:pt>
                <c:pt idx="680">
                  <c:v>0.13618408809015156</c:v>
                </c:pt>
                <c:pt idx="681">
                  <c:v>0.13622894611200992</c:v>
                </c:pt>
                <c:pt idx="682">
                  <c:v>0.13655271551989781</c:v>
                </c:pt>
                <c:pt idx="683">
                  <c:v>0.1366603612933914</c:v>
                </c:pt>
                <c:pt idx="684">
                  <c:v>0.13687338160483012</c:v>
                </c:pt>
                <c:pt idx="685">
                  <c:v>0.1370904708451802</c:v>
                </c:pt>
                <c:pt idx="686">
                  <c:v>0.13739564469451915</c:v>
                </c:pt>
                <c:pt idx="687">
                  <c:v>0.13740082039865684</c:v>
                </c:pt>
                <c:pt idx="688">
                  <c:v>0.13762068616725054</c:v>
                </c:pt>
                <c:pt idx="689">
                  <c:v>0.13790906342424197</c:v>
                </c:pt>
                <c:pt idx="690">
                  <c:v>0.1381409904610694</c:v>
                </c:pt>
                <c:pt idx="691">
                  <c:v>0.13838786439997794</c:v>
                </c:pt>
                <c:pt idx="692">
                  <c:v>0.13846020925814759</c:v>
                </c:pt>
                <c:pt idx="693">
                  <c:v>0.13879003750942415</c:v>
                </c:pt>
                <c:pt idx="694">
                  <c:v>0.13881369302696867</c:v>
                </c:pt>
                <c:pt idx="695">
                  <c:v>0.1390038800968332</c:v>
                </c:pt>
                <c:pt idx="696">
                  <c:v>0.13939681513220928</c:v>
                </c:pt>
                <c:pt idx="697">
                  <c:v>0.1395185712564547</c:v>
                </c:pt>
                <c:pt idx="698">
                  <c:v>0.13975467852115508</c:v>
                </c:pt>
                <c:pt idx="699">
                  <c:v>0.13993929368973226</c:v>
                </c:pt>
                <c:pt idx="700">
                  <c:v>0.14013465164404704</c:v>
                </c:pt>
                <c:pt idx="701">
                  <c:v>0.14032173230534462</c:v>
                </c:pt>
                <c:pt idx="702">
                  <c:v>0.1405322280201903</c:v>
                </c:pt>
                <c:pt idx="703">
                  <c:v>0.14067408044377205</c:v>
                </c:pt>
                <c:pt idx="704">
                  <c:v>0.1408139358163378</c:v>
                </c:pt>
                <c:pt idx="705">
                  <c:v>0.14117647358280991</c:v>
                </c:pt>
                <c:pt idx="706">
                  <c:v>0.14134012205422394</c:v>
                </c:pt>
                <c:pt idx="707">
                  <c:v>0.14143106984869369</c:v>
                </c:pt>
                <c:pt idx="708">
                  <c:v>0.14160986048360585</c:v>
                </c:pt>
                <c:pt idx="709">
                  <c:v>0.14188290066585943</c:v>
                </c:pt>
                <c:pt idx="710">
                  <c:v>0.1421370570984988</c:v>
                </c:pt>
                <c:pt idx="711">
                  <c:v>0.14229613071994299</c:v>
                </c:pt>
                <c:pt idx="712">
                  <c:v>0.1425366763900818</c:v>
                </c:pt>
                <c:pt idx="713">
                  <c:v>0.14265613065502983</c:v>
                </c:pt>
                <c:pt idx="714">
                  <c:v>0.14286486337610169</c:v>
                </c:pt>
                <c:pt idx="715">
                  <c:v>0.14312111805056246</c:v>
                </c:pt>
                <c:pt idx="716">
                  <c:v>0.14324331971505735</c:v>
                </c:pt>
                <c:pt idx="717">
                  <c:v>0.14340508661377363</c:v>
                </c:pt>
                <c:pt idx="718">
                  <c:v>0.14373563347592383</c:v>
                </c:pt>
                <c:pt idx="719">
                  <c:v>0.1439414063726881</c:v>
                </c:pt>
                <c:pt idx="720">
                  <c:v>0.1440133343683587</c:v>
                </c:pt>
                <c:pt idx="721">
                  <c:v>0.14426059591725018</c:v>
                </c:pt>
                <c:pt idx="722">
                  <c:v>0.14445880822419627</c:v>
                </c:pt>
                <c:pt idx="723">
                  <c:v>0.14467668820961302</c:v>
                </c:pt>
                <c:pt idx="724">
                  <c:v>0.14497165680573593</c:v>
                </c:pt>
                <c:pt idx="725">
                  <c:v>0.14514396952272951</c:v>
                </c:pt>
                <c:pt idx="726">
                  <c:v>0.14520289641679332</c:v>
                </c:pt>
                <c:pt idx="727">
                  <c:v>0.14557592886378429</c:v>
                </c:pt>
                <c:pt idx="728">
                  <c:v>0.14568553010380955</c:v>
                </c:pt>
                <c:pt idx="729">
                  <c:v>0.14594404640922884</c:v>
                </c:pt>
                <c:pt idx="730">
                  <c:v>0.14608603113849788</c:v>
                </c:pt>
                <c:pt idx="731">
                  <c:v>0.14635625243614339</c:v>
                </c:pt>
                <c:pt idx="732">
                  <c:v>0.14642473978498594</c:v>
                </c:pt>
                <c:pt idx="733">
                  <c:v>0.14673263107140841</c:v>
                </c:pt>
                <c:pt idx="734">
                  <c:v>0.14699213720019721</c:v>
                </c:pt>
                <c:pt idx="735">
                  <c:v>0.14713452531568114</c:v>
                </c:pt>
                <c:pt idx="736">
                  <c:v>0.1473282727332153</c:v>
                </c:pt>
                <c:pt idx="737">
                  <c:v>0.14752645500067771</c:v>
                </c:pt>
                <c:pt idx="738">
                  <c:v>0.14765971478332293</c:v>
                </c:pt>
                <c:pt idx="739">
                  <c:v>0.14787162129256678</c:v>
                </c:pt>
                <c:pt idx="740">
                  <c:v>0.14801409549271083</c:v>
                </c:pt>
                <c:pt idx="741">
                  <c:v>0.14836527278725178</c:v>
                </c:pt>
                <c:pt idx="742">
                  <c:v>0.14854754203719728</c:v>
                </c:pt>
                <c:pt idx="743">
                  <c:v>0.14861490079751585</c:v>
                </c:pt>
                <c:pt idx="744">
                  <c:v>0.14882980427994155</c:v>
                </c:pt>
                <c:pt idx="745">
                  <c:v>0.14912584768518011</c:v>
                </c:pt>
                <c:pt idx="746">
                  <c:v>0.14929001930525759</c:v>
                </c:pt>
                <c:pt idx="747">
                  <c:v>0.14941946309959037</c:v>
                </c:pt>
                <c:pt idx="748">
                  <c:v>0.14970749098023109</c:v>
                </c:pt>
                <c:pt idx="749">
                  <c:v>0.1498800443920959</c:v>
                </c:pt>
                <c:pt idx="750">
                  <c:v>0.15019438223484771</c:v>
                </c:pt>
                <c:pt idx="751">
                  <c:v>0.1503441761482377</c:v>
                </c:pt>
                <c:pt idx="752">
                  <c:v>0.15054810200406893</c:v>
                </c:pt>
                <c:pt idx="753">
                  <c:v>0.15064777342147376</c:v>
                </c:pt>
                <c:pt idx="754">
                  <c:v>0.15096660235672413</c:v>
                </c:pt>
                <c:pt idx="755">
                  <c:v>0.15106931126352152</c:v>
                </c:pt>
                <c:pt idx="756">
                  <c:v>0.15120982699571406</c:v>
                </c:pt>
                <c:pt idx="757">
                  <c:v>0.15158343090014145</c:v>
                </c:pt>
                <c:pt idx="758">
                  <c:v>0.15168063219433667</c:v>
                </c:pt>
                <c:pt idx="759">
                  <c:v>0.15182071073987072</c:v>
                </c:pt>
                <c:pt idx="760">
                  <c:v>0.15218185334647583</c:v>
                </c:pt>
                <c:pt idx="761">
                  <c:v>0.15235477588557517</c:v>
                </c:pt>
                <c:pt idx="762">
                  <c:v>0.15246535526324653</c:v>
                </c:pt>
                <c:pt idx="763">
                  <c:v>0.15274481563892794</c:v>
                </c:pt>
                <c:pt idx="764">
                  <c:v>0.15298068160432873</c:v>
                </c:pt>
                <c:pt idx="765">
                  <c:v>0.15305696794401316</c:v>
                </c:pt>
                <c:pt idx="766">
                  <c:v>0.15335178186142626</c:v>
                </c:pt>
                <c:pt idx="767">
                  <c:v>0.15355317582133068</c:v>
                </c:pt>
                <c:pt idx="768">
                  <c:v>0.15362788028019198</c:v>
                </c:pt>
                <c:pt idx="769">
                  <c:v>0.15399561466392958</c:v>
                </c:pt>
                <c:pt idx="770">
                  <c:v>0.15415291292726829</c:v>
                </c:pt>
                <c:pt idx="771">
                  <c:v>0.15422035815828022</c:v>
                </c:pt>
                <c:pt idx="772">
                  <c:v>0.15459619639185168</c:v>
                </c:pt>
                <c:pt idx="773">
                  <c:v>0.15476313590010701</c:v>
                </c:pt>
                <c:pt idx="774">
                  <c:v>0.15483695251109006</c:v>
                </c:pt>
                <c:pt idx="775">
                  <c:v>0.15507895027494031</c:v>
                </c:pt>
                <c:pt idx="776">
                  <c:v>0.15538071560561209</c:v>
                </c:pt>
                <c:pt idx="777">
                  <c:v>0.15545808972293931</c:v>
                </c:pt>
                <c:pt idx="778">
                  <c:v>0.15567134223800883</c:v>
                </c:pt>
                <c:pt idx="779">
                  <c:v>0.15580067523675986</c:v>
                </c:pt>
                <c:pt idx="780">
                  <c:v>0.15615052322832645</c:v>
                </c:pt>
                <c:pt idx="781">
                  <c:v>0.15626093749815154</c:v>
                </c:pt>
                <c:pt idx="782">
                  <c:v>0.15657941213692059</c:v>
                </c:pt>
                <c:pt idx="783">
                  <c:v>0.15669765999673346</c:v>
                </c:pt>
                <c:pt idx="784">
                  <c:v>0.15686599421362998</c:v>
                </c:pt>
                <c:pt idx="785">
                  <c:v>0.15716994154238373</c:v>
                </c:pt>
                <c:pt idx="786">
                  <c:v>0.15736284483740173</c:v>
                </c:pt>
                <c:pt idx="787">
                  <c:v>0.15759531234269852</c:v>
                </c:pt>
                <c:pt idx="788">
                  <c:v>0.15774115537715636</c:v>
                </c:pt>
                <c:pt idx="789">
                  <c:v>0.15788868004532733</c:v>
                </c:pt>
                <c:pt idx="790">
                  <c:v>0.15812452530537838</c:v>
                </c:pt>
                <c:pt idx="791">
                  <c:v>0.15835780829856122</c:v>
                </c:pt>
                <c:pt idx="792">
                  <c:v>0.15858604510938423</c:v>
                </c:pt>
                <c:pt idx="793">
                  <c:v>0.15868113542866921</c:v>
                </c:pt>
                <c:pt idx="794">
                  <c:v>0.15884394870741383</c:v>
                </c:pt>
                <c:pt idx="795">
                  <c:v>0.15918136710244729</c:v>
                </c:pt>
                <c:pt idx="796">
                  <c:v>0.15924233592856732</c:v>
                </c:pt>
                <c:pt idx="797">
                  <c:v>0.15951696504175594</c:v>
                </c:pt>
                <c:pt idx="798">
                  <c:v>0.15972411404371359</c:v>
                </c:pt>
                <c:pt idx="799">
                  <c:v>0.15992969742667157</c:v>
                </c:pt>
                <c:pt idx="800">
                  <c:v>0.16017797426082611</c:v>
                </c:pt>
                <c:pt idx="801">
                  <c:v>0.16025151580391722</c:v>
                </c:pt>
                <c:pt idx="802">
                  <c:v>0.16044861330600657</c:v>
                </c:pt>
                <c:pt idx="803">
                  <c:v>0.1606031080654364</c:v>
                </c:pt>
                <c:pt idx="804">
                  <c:v>0.16092536387735171</c:v>
                </c:pt>
                <c:pt idx="805">
                  <c:v>0.16118803006019164</c:v>
                </c:pt>
                <c:pt idx="806">
                  <c:v>0.16133918017422294</c:v>
                </c:pt>
                <c:pt idx="807">
                  <c:v>0.16152592063060167</c:v>
                </c:pt>
                <c:pt idx="808">
                  <c:v>0.16166306945277917</c:v>
                </c:pt>
                <c:pt idx="809">
                  <c:v>0.16192548499459528</c:v>
                </c:pt>
                <c:pt idx="810">
                  <c:v>0.16215707938027499</c:v>
                </c:pt>
                <c:pt idx="811">
                  <c:v>0.16233365366219862</c:v>
                </c:pt>
                <c:pt idx="812">
                  <c:v>0.16244380928432658</c:v>
                </c:pt>
                <c:pt idx="813">
                  <c:v>0.1626157526996489</c:v>
                </c:pt>
                <c:pt idx="814">
                  <c:v>0.16286814183841183</c:v>
                </c:pt>
                <c:pt idx="815">
                  <c:v>0.16306958834102137</c:v>
                </c:pt>
                <c:pt idx="816">
                  <c:v>0.1632295176422292</c:v>
                </c:pt>
                <c:pt idx="817">
                  <c:v>0.16346260452327846</c:v>
                </c:pt>
                <c:pt idx="818">
                  <c:v>0.16369278498550244</c:v>
                </c:pt>
                <c:pt idx="819">
                  <c:v>0.16395349214020033</c:v>
                </c:pt>
                <c:pt idx="820">
                  <c:v>0.16417743546240438</c:v>
                </c:pt>
                <c:pt idx="821">
                  <c:v>0.16425458000531759</c:v>
                </c:pt>
                <c:pt idx="822">
                  <c:v>0.16455146531852693</c:v>
                </c:pt>
                <c:pt idx="823">
                  <c:v>0.16467017425006958</c:v>
                </c:pt>
                <c:pt idx="824">
                  <c:v>0.16499122635004837</c:v>
                </c:pt>
                <c:pt idx="825">
                  <c:v>0.16510634296622742</c:v>
                </c:pt>
                <c:pt idx="826">
                  <c:v>0.16520604945863737</c:v>
                </c:pt>
                <c:pt idx="827">
                  <c:v>0.16559309404878716</c:v>
                </c:pt>
                <c:pt idx="828">
                  <c:v>0.1657808903735552</c:v>
                </c:pt>
                <c:pt idx="829">
                  <c:v>0.1658443633993725</c:v>
                </c:pt>
                <c:pt idx="830">
                  <c:v>0.16608383207202046</c:v>
                </c:pt>
                <c:pt idx="831">
                  <c:v>0.166353602357943</c:v>
                </c:pt>
                <c:pt idx="832">
                  <c:v>0.16653962403175879</c:v>
                </c:pt>
                <c:pt idx="833">
                  <c:v>0.16662681938568755</c:v>
                </c:pt>
                <c:pt idx="834">
                  <c:v>0.1669503579760786</c:v>
                </c:pt>
                <c:pt idx="835">
                  <c:v>0.1671964030073016</c:v>
                </c:pt>
                <c:pt idx="836">
                  <c:v>0.1672215193172501</c:v>
                </c:pt>
                <c:pt idx="837">
                  <c:v>0.16744407301457692</c:v>
                </c:pt>
                <c:pt idx="838">
                  <c:v>0.16767630478252571</c:v>
                </c:pt>
                <c:pt idx="839">
                  <c:v>0.16782003574944568</c:v>
                </c:pt>
                <c:pt idx="840">
                  <c:v>0.16812261974856318</c:v>
                </c:pt>
                <c:pt idx="841">
                  <c:v>0.16824567471520177</c:v>
                </c:pt>
                <c:pt idx="842">
                  <c:v>0.16855570716107163</c:v>
                </c:pt>
                <c:pt idx="843">
                  <c:v>0.16874667651065314</c:v>
                </c:pt>
                <c:pt idx="844">
                  <c:v>0.16880678506978014</c:v>
                </c:pt>
                <c:pt idx="845">
                  <c:v>0.16902290049698737</c:v>
                </c:pt>
                <c:pt idx="846">
                  <c:v>0.16939637796846135</c:v>
                </c:pt>
                <c:pt idx="847">
                  <c:v>0.16947222932718514</c:v>
                </c:pt>
                <c:pt idx="848">
                  <c:v>0.16964620473935413</c:v>
                </c:pt>
                <c:pt idx="849">
                  <c:v>0.16984309035973694</c:v>
                </c:pt>
                <c:pt idx="850">
                  <c:v>0.17013027107904904</c:v>
                </c:pt>
                <c:pt idx="851">
                  <c:v>0.17022917439807886</c:v>
                </c:pt>
                <c:pt idx="852">
                  <c:v>0.17050111047576672</c:v>
                </c:pt>
                <c:pt idx="853">
                  <c:v>0.17073698396252865</c:v>
                </c:pt>
                <c:pt idx="854">
                  <c:v>0.17083672438884079</c:v>
                </c:pt>
                <c:pt idx="855">
                  <c:v>0.17107432931416536</c:v>
                </c:pt>
                <c:pt idx="856">
                  <c:v>0.17128822158651616</c:v>
                </c:pt>
                <c:pt idx="857">
                  <c:v>0.17150584447353748</c:v>
                </c:pt>
                <c:pt idx="858">
                  <c:v>0.17160383311654528</c:v>
                </c:pt>
                <c:pt idx="859">
                  <c:v>0.17186815578222001</c:v>
                </c:pt>
                <c:pt idx="860">
                  <c:v>0.17217097061974251</c:v>
                </c:pt>
                <c:pt idx="861">
                  <c:v>0.17237457474390386</c:v>
                </c:pt>
                <c:pt idx="862">
                  <c:v>0.17245595483413337</c:v>
                </c:pt>
                <c:pt idx="863">
                  <c:v>0.172745317781797</c:v>
                </c:pt>
                <c:pt idx="864">
                  <c:v>0.17284929202535407</c:v>
                </c:pt>
                <c:pt idx="865">
                  <c:v>0.17311749493272915</c:v>
                </c:pt>
                <c:pt idx="866">
                  <c:v>0.17320974769443501</c:v>
                </c:pt>
                <c:pt idx="867">
                  <c:v>0.17346374568489004</c:v>
                </c:pt>
                <c:pt idx="868">
                  <c:v>0.17371645591266371</c:v>
                </c:pt>
                <c:pt idx="869">
                  <c:v>0.17387473577192861</c:v>
                </c:pt>
                <c:pt idx="870">
                  <c:v>0.17404305333035139</c:v>
                </c:pt>
                <c:pt idx="871">
                  <c:v>0.174233748700757</c:v>
                </c:pt>
                <c:pt idx="872">
                  <c:v>0.17447843423794918</c:v>
                </c:pt>
                <c:pt idx="873">
                  <c:v>0.17472833579949296</c:v>
                </c:pt>
                <c:pt idx="874">
                  <c:v>0.17497553936386845</c:v>
                </c:pt>
                <c:pt idx="875">
                  <c:v>0.17507162578312485</c:v>
                </c:pt>
                <c:pt idx="876">
                  <c:v>0.17527124402692337</c:v>
                </c:pt>
                <c:pt idx="877">
                  <c:v>0.17549146599194304</c:v>
                </c:pt>
                <c:pt idx="878">
                  <c:v>0.17576198171241256</c:v>
                </c:pt>
                <c:pt idx="879">
                  <c:v>0.17595184689586793</c:v>
                </c:pt>
                <c:pt idx="880">
                  <c:v>0.17600701719429507</c:v>
                </c:pt>
                <c:pt idx="881">
                  <c:v>0.17634691157162816</c:v>
                </c:pt>
                <c:pt idx="882">
                  <c:v>0.17658287226566646</c:v>
                </c:pt>
                <c:pt idx="883">
                  <c:v>0.17670012420641726</c:v>
                </c:pt>
                <c:pt idx="884">
                  <c:v>0.17681688474421783</c:v>
                </c:pt>
                <c:pt idx="885">
                  <c:v>0.17702286069770876</c:v>
                </c:pt>
                <c:pt idx="886">
                  <c:v>0.17722095243619312</c:v>
                </c:pt>
                <c:pt idx="887">
                  <c:v>0.17751079563524361</c:v>
                </c:pt>
                <c:pt idx="888">
                  <c:v>0.177654529912084</c:v>
                </c:pt>
                <c:pt idx="889">
                  <c:v>0.17787001443879447</c:v>
                </c:pt>
                <c:pt idx="890">
                  <c:v>0.17815160793795987</c:v>
                </c:pt>
                <c:pt idx="891">
                  <c:v>0.1783590159448234</c:v>
                </c:pt>
                <c:pt idx="892">
                  <c:v>0.17846812281731242</c:v>
                </c:pt>
                <c:pt idx="893">
                  <c:v>0.17876596253019894</c:v>
                </c:pt>
                <c:pt idx="894">
                  <c:v>0.17890004711521323</c:v>
                </c:pt>
                <c:pt idx="895">
                  <c:v>0.17904671564829691</c:v>
                </c:pt>
                <c:pt idx="896">
                  <c:v>0.17924355920163065</c:v>
                </c:pt>
                <c:pt idx="897">
                  <c:v>0.17951183676987695</c:v>
                </c:pt>
                <c:pt idx="898">
                  <c:v>0.1796984866635172</c:v>
                </c:pt>
                <c:pt idx="899">
                  <c:v>0.17990327037468162</c:v>
                </c:pt>
                <c:pt idx="900">
                  <c:v>0.18010260889928384</c:v>
                </c:pt>
                <c:pt idx="901">
                  <c:v>0.18028059546902789</c:v>
                </c:pt>
                <c:pt idx="902">
                  <c:v>0.18050878961610348</c:v>
                </c:pt>
                <c:pt idx="903">
                  <c:v>0.18074219315958726</c:v>
                </c:pt>
                <c:pt idx="904">
                  <c:v>0.18093818997497163</c:v>
                </c:pt>
                <c:pt idx="905">
                  <c:v>0.181007814148955</c:v>
                </c:pt>
                <c:pt idx="906">
                  <c:v>0.18129011759871852</c:v>
                </c:pt>
                <c:pt idx="907">
                  <c:v>0.18152727029633878</c:v>
                </c:pt>
                <c:pt idx="908">
                  <c:v>0.1817288972657474</c:v>
                </c:pt>
                <c:pt idx="909">
                  <c:v>0.18180186159354678</c:v>
                </c:pt>
                <c:pt idx="910">
                  <c:v>0.18204439499677263</c:v>
                </c:pt>
                <c:pt idx="911">
                  <c:v>0.18231748024996311</c:v>
                </c:pt>
                <c:pt idx="912">
                  <c:v>0.18243663995359946</c:v>
                </c:pt>
                <c:pt idx="913">
                  <c:v>0.18268545692970173</c:v>
                </c:pt>
                <c:pt idx="914">
                  <c:v>0.18291822720894549</c:v>
                </c:pt>
                <c:pt idx="915">
                  <c:v>0.18315151821625222</c:v>
                </c:pt>
                <c:pt idx="916">
                  <c:v>0.18338869033483524</c:v>
                </c:pt>
                <c:pt idx="917">
                  <c:v>0.18342631556629815</c:v>
                </c:pt>
                <c:pt idx="918">
                  <c:v>0.18374512257407072</c:v>
                </c:pt>
                <c:pt idx="919">
                  <c:v>0.18396988991125718</c:v>
                </c:pt>
                <c:pt idx="920">
                  <c:v>0.18418154383510854</c:v>
                </c:pt>
                <c:pt idx="921">
                  <c:v>0.18423548014299837</c:v>
                </c:pt>
                <c:pt idx="922">
                  <c:v>0.18443308589505802</c:v>
                </c:pt>
                <c:pt idx="923">
                  <c:v>0.18477970545952666</c:v>
                </c:pt>
                <c:pt idx="924">
                  <c:v>0.18495874019976677</c:v>
                </c:pt>
                <c:pt idx="925">
                  <c:v>0.18514950282516646</c:v>
                </c:pt>
                <c:pt idx="926">
                  <c:v>0.18520457633352014</c:v>
                </c:pt>
                <c:pt idx="927">
                  <c:v>0.18559280593967828</c:v>
                </c:pt>
                <c:pt idx="928">
                  <c:v>0.18574380444510463</c:v>
                </c:pt>
                <c:pt idx="929">
                  <c:v>0.18594305759415566</c:v>
                </c:pt>
                <c:pt idx="930">
                  <c:v>0.18614812075066103</c:v>
                </c:pt>
                <c:pt idx="931">
                  <c:v>0.18627211295302773</c:v>
                </c:pt>
                <c:pt idx="932">
                  <c:v>0.1865593926014284</c:v>
                </c:pt>
                <c:pt idx="933">
                  <c:v>0.1867854833934888</c:v>
                </c:pt>
                <c:pt idx="934">
                  <c:v>0.18684306018963528</c:v>
                </c:pt>
                <c:pt idx="935">
                  <c:v>0.18716951871681248</c:v>
                </c:pt>
                <c:pt idx="936">
                  <c:v>0.18730295194729765</c:v>
                </c:pt>
                <c:pt idx="937">
                  <c:v>0.18759767325017546</c:v>
                </c:pt>
                <c:pt idx="938">
                  <c:v>0.18770733082539107</c:v>
                </c:pt>
                <c:pt idx="939">
                  <c:v>0.18783749031457991</c:v>
                </c:pt>
                <c:pt idx="940">
                  <c:v>0.18815783122315952</c:v>
                </c:pt>
                <c:pt idx="941">
                  <c:v>0.18836419599008844</c:v>
                </c:pt>
                <c:pt idx="942">
                  <c:v>0.18849533638146132</c:v>
                </c:pt>
                <c:pt idx="943">
                  <c:v>0.18864289515508406</c:v>
                </c:pt>
                <c:pt idx="944">
                  <c:v>0.18888390300434174</c:v>
                </c:pt>
                <c:pt idx="945">
                  <c:v>0.18911545899000845</c:v>
                </c:pt>
                <c:pt idx="946">
                  <c:v>0.18936204599881593</c:v>
                </c:pt>
                <c:pt idx="947">
                  <c:v>0.18951086458119351</c:v>
                </c:pt>
                <c:pt idx="948">
                  <c:v>0.18963201605412924</c:v>
                </c:pt>
                <c:pt idx="949">
                  <c:v>0.18989527855834348</c:v>
                </c:pt>
                <c:pt idx="950">
                  <c:v>0.19017281036618464</c:v>
                </c:pt>
                <c:pt idx="951">
                  <c:v>0.19038483915035259</c:v>
                </c:pt>
                <c:pt idx="952">
                  <c:v>0.19051484632485427</c:v>
                </c:pt>
                <c:pt idx="953">
                  <c:v>0.19069787762130094</c:v>
                </c:pt>
                <c:pt idx="954">
                  <c:v>0.19092186579348563</c:v>
                </c:pt>
                <c:pt idx="955">
                  <c:v>0.19112285798008621</c:v>
                </c:pt>
                <c:pt idx="956">
                  <c:v>0.19127024429456102</c:v>
                </c:pt>
                <c:pt idx="957">
                  <c:v>0.19158920119949363</c:v>
                </c:pt>
                <c:pt idx="958">
                  <c:v>0.19161440022769718</c:v>
                </c:pt>
                <c:pt idx="959">
                  <c:v>0.19189745580113898</c:v>
                </c:pt>
                <c:pt idx="960">
                  <c:v>0.19214549462738109</c:v>
                </c:pt>
                <c:pt idx="961">
                  <c:v>0.1923278070358857</c:v>
                </c:pt>
                <c:pt idx="962">
                  <c:v>0.19259747880641312</c:v>
                </c:pt>
                <c:pt idx="963">
                  <c:v>0.1926429952550314</c:v>
                </c:pt>
                <c:pt idx="964">
                  <c:v>0.19280243937270772</c:v>
                </c:pt>
                <c:pt idx="965">
                  <c:v>0.19313722576218126</c:v>
                </c:pt>
                <c:pt idx="966">
                  <c:v>0.19329730866651454</c:v>
                </c:pt>
                <c:pt idx="967">
                  <c:v>0.19342013130668087</c:v>
                </c:pt>
                <c:pt idx="968">
                  <c:v>0.19363870134335912</c:v>
                </c:pt>
                <c:pt idx="969">
                  <c:v>0.19389206655348934</c:v>
                </c:pt>
                <c:pt idx="970">
                  <c:v>0.19418273083841958</c:v>
                </c:pt>
                <c:pt idx="971">
                  <c:v>0.19421856446536689</c:v>
                </c:pt>
                <c:pt idx="972">
                  <c:v>0.19452454896092519</c:v>
                </c:pt>
                <c:pt idx="973">
                  <c:v>0.19462972514965332</c:v>
                </c:pt>
                <c:pt idx="974">
                  <c:v>0.19499805359239644</c:v>
                </c:pt>
                <c:pt idx="975">
                  <c:v>0.19501194930943005</c:v>
                </c:pt>
                <c:pt idx="976">
                  <c:v>0.19522321788161603</c:v>
                </c:pt>
                <c:pt idx="977">
                  <c:v>0.19540257572932229</c:v>
                </c:pt>
                <c:pt idx="978">
                  <c:v>0.19579551094695821</c:v>
                </c:pt>
                <c:pt idx="979">
                  <c:v>0.19585161530167136</c:v>
                </c:pt>
                <c:pt idx="980">
                  <c:v>0.19616556663144508</c:v>
                </c:pt>
                <c:pt idx="981">
                  <c:v>0.19620316758211775</c:v>
                </c:pt>
                <c:pt idx="982">
                  <c:v>0.1964871156953478</c:v>
                </c:pt>
                <c:pt idx="983">
                  <c:v>0.19665593595529346</c:v>
                </c:pt>
                <c:pt idx="984">
                  <c:v>0.19699459534324582</c:v>
                </c:pt>
                <c:pt idx="985">
                  <c:v>0.19708676990985097</c:v>
                </c:pt>
                <c:pt idx="986">
                  <c:v>0.19732492625604497</c:v>
                </c:pt>
                <c:pt idx="987">
                  <c:v>0.19744195502224424</c:v>
                </c:pt>
                <c:pt idx="988">
                  <c:v>0.1976605827151473</c:v>
                </c:pt>
                <c:pt idx="989">
                  <c:v>0.19781782144457516</c:v>
                </c:pt>
                <c:pt idx="990">
                  <c:v>0.19818501103003161</c:v>
                </c:pt>
                <c:pt idx="991">
                  <c:v>0.19823372558318864</c:v>
                </c:pt>
                <c:pt idx="992">
                  <c:v>0.19858183997398751</c:v>
                </c:pt>
                <c:pt idx="993">
                  <c:v>0.19863657286559153</c:v>
                </c:pt>
                <c:pt idx="994">
                  <c:v>0.19891061561301132</c:v>
                </c:pt>
                <c:pt idx="995">
                  <c:v>0.19914295392947806</c:v>
                </c:pt>
                <c:pt idx="996">
                  <c:v>0.19936026496602227</c:v>
                </c:pt>
                <c:pt idx="997">
                  <c:v>0.1994014637873977</c:v>
                </c:pt>
                <c:pt idx="998">
                  <c:v>0.19966729151640722</c:v>
                </c:pt>
                <c:pt idx="999">
                  <c:v>0.19993408386025904</c:v>
                </c:pt>
                <c:pt idx="1000">
                  <c:v>0.2000507862308181</c:v>
                </c:pt>
                <c:pt idx="1001">
                  <c:v>0.2003314008416914</c:v>
                </c:pt>
                <c:pt idx="1002">
                  <c:v>0.20054956783008521</c:v>
                </c:pt>
                <c:pt idx="1003">
                  <c:v>0.20074851997111656</c:v>
                </c:pt>
                <c:pt idx="1004">
                  <c:v>0.20095703080942784</c:v>
                </c:pt>
                <c:pt idx="1005">
                  <c:v>0.20117816279804757</c:v>
                </c:pt>
                <c:pt idx="1006">
                  <c:v>0.20138054120237486</c:v>
                </c:pt>
                <c:pt idx="1007">
                  <c:v>0.20151635364371265</c:v>
                </c:pt>
                <c:pt idx="1008">
                  <c:v>0.20179505053399946</c:v>
                </c:pt>
                <c:pt idx="1009">
                  <c:v>0.20195755424568371</c:v>
                </c:pt>
                <c:pt idx="1010">
                  <c:v>0.20206850166750803</c:v>
                </c:pt>
                <c:pt idx="1011">
                  <c:v>0.20237239060140502</c:v>
                </c:pt>
                <c:pt idx="1012">
                  <c:v>0.20247862086204779</c:v>
                </c:pt>
                <c:pt idx="1013">
                  <c:v>0.20263178698221029</c:v>
                </c:pt>
                <c:pt idx="1014">
                  <c:v>0.2029391754560031</c:v>
                </c:pt>
                <c:pt idx="1015">
                  <c:v>0.20318339151502202</c:v>
                </c:pt>
                <c:pt idx="1016">
                  <c:v>0.20337841424075384</c:v>
                </c:pt>
                <c:pt idx="1017">
                  <c:v>0.20350643747120781</c:v>
                </c:pt>
                <c:pt idx="1018">
                  <c:v>0.20366363615604668</c:v>
                </c:pt>
                <c:pt idx="1019">
                  <c:v>0.20385163594345834</c:v>
                </c:pt>
                <c:pt idx="1020">
                  <c:v>0.2040521362299221</c:v>
                </c:pt>
                <c:pt idx="1021">
                  <c:v>0.20429422730060626</c:v>
                </c:pt>
                <c:pt idx="1022">
                  <c:v>0.20459746293201983</c:v>
                </c:pt>
                <c:pt idx="1023">
                  <c:v>0.20476657355645825</c:v>
                </c:pt>
                <c:pt idx="1024">
                  <c:v>0.20487707122938642</c:v>
                </c:pt>
                <c:pt idx="1025">
                  <c:v>0.20515378782096172</c:v>
                </c:pt>
                <c:pt idx="1026">
                  <c:v>0.20531551358465</c:v>
                </c:pt>
                <c:pt idx="1027">
                  <c:v>0.20545527173198183</c:v>
                </c:pt>
                <c:pt idx="1028">
                  <c:v>0.20574270885692508</c:v>
                </c:pt>
                <c:pt idx="1029">
                  <c:v>0.20597436977726744</c:v>
                </c:pt>
                <c:pt idx="1030">
                  <c:v>0.20600477639814016</c:v>
                </c:pt>
                <c:pt idx="1031">
                  <c:v>0.20620161142693869</c:v>
                </c:pt>
                <c:pt idx="1032">
                  <c:v>0.20649415751423084</c:v>
                </c:pt>
                <c:pt idx="1033">
                  <c:v>0.20661124162064198</c:v>
                </c:pt>
                <c:pt idx="1034">
                  <c:v>0.20681247195555189</c:v>
                </c:pt>
                <c:pt idx="1035">
                  <c:v>0.20712126097854258</c:v>
                </c:pt>
                <c:pt idx="1036">
                  <c:v>0.20730474083081463</c:v>
                </c:pt>
                <c:pt idx="1037">
                  <c:v>0.20746816358926432</c:v>
                </c:pt>
                <c:pt idx="1038">
                  <c:v>0.2077248384035483</c:v>
                </c:pt>
                <c:pt idx="1039">
                  <c:v>0.20787197227204959</c:v>
                </c:pt>
                <c:pt idx="1040">
                  <c:v>0.20800258266218066</c:v>
                </c:pt>
                <c:pt idx="1041">
                  <c:v>0.20835537239461099</c:v>
                </c:pt>
                <c:pt idx="1042">
                  <c:v>0.20858490342893288</c:v>
                </c:pt>
                <c:pt idx="1043">
                  <c:v>0.20862261251383987</c:v>
                </c:pt>
                <c:pt idx="1044">
                  <c:v>0.20898089621127136</c:v>
                </c:pt>
                <c:pt idx="1045">
                  <c:v>0.20913279474348129</c:v>
                </c:pt>
                <c:pt idx="1046">
                  <c:v>0.20928897098211782</c:v>
                </c:pt>
                <c:pt idx="1047">
                  <c:v>0.20958849157290266</c:v>
                </c:pt>
                <c:pt idx="1048">
                  <c:v>0.20968233045173865</c:v>
                </c:pt>
                <c:pt idx="1049">
                  <c:v>0.20982189550004476</c:v>
                </c:pt>
                <c:pt idx="1050">
                  <c:v>0.21003674304956493</c:v>
                </c:pt>
                <c:pt idx="1051">
                  <c:v>0.21033919075833152</c:v>
                </c:pt>
                <c:pt idx="1052">
                  <c:v>0.21045283145295751</c:v>
                </c:pt>
                <c:pt idx="1053">
                  <c:v>0.21075607111499553</c:v>
                </c:pt>
                <c:pt idx="1054">
                  <c:v>0.21098728812974582</c:v>
                </c:pt>
                <c:pt idx="1055">
                  <c:v>0.2110772810691682</c:v>
                </c:pt>
                <c:pt idx="1056">
                  <c:v>0.21128755730336707</c:v>
                </c:pt>
                <c:pt idx="1057">
                  <c:v>0.21159702055253951</c:v>
                </c:pt>
                <c:pt idx="1058">
                  <c:v>0.2117999006872065</c:v>
                </c:pt>
                <c:pt idx="1059">
                  <c:v>0.21195987021060658</c:v>
                </c:pt>
                <c:pt idx="1060">
                  <c:v>0.21200721207875928</c:v>
                </c:pt>
                <c:pt idx="1061">
                  <c:v>0.21225639430709567</c:v>
                </c:pt>
                <c:pt idx="1062">
                  <c:v>0.21259418626068954</c:v>
                </c:pt>
                <c:pt idx="1063">
                  <c:v>0.21269845959849154</c:v>
                </c:pt>
                <c:pt idx="1064">
                  <c:v>0.21299432161999735</c:v>
                </c:pt>
                <c:pt idx="1065">
                  <c:v>0.2131035507873873</c:v>
                </c:pt>
                <c:pt idx="1066">
                  <c:v>0.21324327927791592</c:v>
                </c:pt>
                <c:pt idx="1067">
                  <c:v>0.21341103370394812</c:v>
                </c:pt>
                <c:pt idx="1068">
                  <c:v>0.21367708993937753</c:v>
                </c:pt>
                <c:pt idx="1069">
                  <c:v>0.21384973022566406</c:v>
                </c:pt>
                <c:pt idx="1070">
                  <c:v>0.21406637008308116</c:v>
                </c:pt>
                <c:pt idx="1071">
                  <c:v>0.21427047405915114</c:v>
                </c:pt>
                <c:pt idx="1072">
                  <c:v>0.21451844824122226</c:v>
                </c:pt>
                <c:pt idx="1073">
                  <c:v>0.2147335670907827</c:v>
                </c:pt>
                <c:pt idx="1074">
                  <c:v>0.21499728645035002</c:v>
                </c:pt>
                <c:pt idx="1075">
                  <c:v>0.21518477300265448</c:v>
                </c:pt>
                <c:pt idx="1076">
                  <c:v>0.21531426445816509</c:v>
                </c:pt>
                <c:pt idx="1077">
                  <c:v>0.21549996450582984</c:v>
                </c:pt>
                <c:pt idx="1078">
                  <c:v>0.21562145240293384</c:v>
                </c:pt>
                <c:pt idx="1079">
                  <c:v>0.21588228435113146</c:v>
                </c:pt>
                <c:pt idx="1080">
                  <c:v>0.21618582516805868</c:v>
                </c:pt>
                <c:pt idx="1081">
                  <c:v>0.21626045021020354</c:v>
                </c:pt>
                <c:pt idx="1082">
                  <c:v>0.21652133636998974</c:v>
                </c:pt>
                <c:pt idx="1083">
                  <c:v>0.21668582945631018</c:v>
                </c:pt>
                <c:pt idx="1084">
                  <c:v>0.21684043326369495</c:v>
                </c:pt>
                <c:pt idx="1085">
                  <c:v>0.21701920184758938</c:v>
                </c:pt>
                <c:pt idx="1086">
                  <c:v>0.2173992347443009</c:v>
                </c:pt>
                <c:pt idx="1087">
                  <c:v>0.21741519778841531</c:v>
                </c:pt>
                <c:pt idx="1088">
                  <c:v>0.21779972267211412</c:v>
                </c:pt>
                <c:pt idx="1089">
                  <c:v>0.21798510235263621</c:v>
                </c:pt>
                <c:pt idx="1090">
                  <c:v>0.21812987380584933</c:v>
                </c:pt>
                <c:pt idx="1091">
                  <c:v>0.21831953976850946</c:v>
                </c:pt>
                <c:pt idx="1092">
                  <c:v>0.2184336103411004</c:v>
                </c:pt>
                <c:pt idx="1093">
                  <c:v>0.21872629064524696</c:v>
                </c:pt>
                <c:pt idx="1094">
                  <c:v>0.21892919988025197</c:v>
                </c:pt>
                <c:pt idx="1095">
                  <c:v>0.21919105370733677</c:v>
                </c:pt>
                <c:pt idx="1096">
                  <c:v>0.21929143487822531</c:v>
                </c:pt>
                <c:pt idx="1097">
                  <c:v>0.21944188549826896</c:v>
                </c:pt>
                <c:pt idx="1098">
                  <c:v>0.21967415644742413</c:v>
                </c:pt>
                <c:pt idx="1099">
                  <c:v>0.21998873483119269</c:v>
                </c:pt>
                <c:pt idx="1100">
                  <c:v>0.2200259901182321</c:v>
                </c:pt>
                <c:pt idx="1101">
                  <c:v>0.22038417396177171</c:v>
                </c:pt>
                <c:pt idx="1102">
                  <c:v>0.22044929320473439</c:v>
                </c:pt>
                <c:pt idx="1103">
                  <c:v>0.22078869026596395</c:v>
                </c:pt>
                <c:pt idx="1104">
                  <c:v>0.2209390270496111</c:v>
                </c:pt>
                <c:pt idx="1105">
                  <c:v>0.22110551749717106</c:v>
                </c:pt>
                <c:pt idx="1106">
                  <c:v>0.22122881434346292</c:v>
                </c:pt>
                <c:pt idx="1107">
                  <c:v>0.22149657769973774</c:v>
                </c:pt>
                <c:pt idx="1108">
                  <c:v>0.22169828908282757</c:v>
                </c:pt>
                <c:pt idx="1109">
                  <c:v>0.22199971078825179</c:v>
                </c:pt>
                <c:pt idx="1110">
                  <c:v>0.22209137518403385</c:v>
                </c:pt>
                <c:pt idx="1111">
                  <c:v>0.2222118661512183</c:v>
                </c:pt>
                <c:pt idx="1112">
                  <c:v>0.22245765014250241</c:v>
                </c:pt>
                <c:pt idx="1113">
                  <c:v>0.22261146781216642</c:v>
                </c:pt>
                <c:pt idx="1114">
                  <c:v>0.22290441888722229</c:v>
                </c:pt>
                <c:pt idx="1115">
                  <c:v>0.2230092116881649</c:v>
                </c:pt>
                <c:pt idx="1116">
                  <c:v>0.22339388661174894</c:v>
                </c:pt>
                <c:pt idx="1117">
                  <c:v>0.22354990107741901</c:v>
                </c:pt>
                <c:pt idx="1118">
                  <c:v>0.22372842435169232</c:v>
                </c:pt>
                <c:pt idx="1119">
                  <c:v>0.22388075919968092</c:v>
                </c:pt>
                <c:pt idx="1120">
                  <c:v>0.22413815320984881</c:v>
                </c:pt>
                <c:pt idx="1121">
                  <c:v>0.22432502387718414</c:v>
                </c:pt>
                <c:pt idx="1122">
                  <c:v>0.2244292897757211</c:v>
                </c:pt>
                <c:pt idx="1123">
                  <c:v>0.22474001475878527</c:v>
                </c:pt>
                <c:pt idx="1124">
                  <c:v>0.22490175675235263</c:v>
                </c:pt>
                <c:pt idx="1125">
                  <c:v>0.22518560820719821</c:v>
                </c:pt>
                <c:pt idx="1126">
                  <c:v>0.22530439946816874</c:v>
                </c:pt>
                <c:pt idx="1127">
                  <c:v>0.22558180345780723</c:v>
                </c:pt>
                <c:pt idx="1128">
                  <c:v>0.22561898040911624</c:v>
                </c:pt>
                <c:pt idx="1129">
                  <c:v>0.22591637412303045</c:v>
                </c:pt>
                <c:pt idx="1130">
                  <c:v>0.22612512313181654</c:v>
                </c:pt>
                <c:pt idx="1131">
                  <c:v>0.22632577639811807</c:v>
                </c:pt>
                <c:pt idx="1132">
                  <c:v>0.22640596924107662</c:v>
                </c:pt>
                <c:pt idx="1133">
                  <c:v>0.22662537703756835</c:v>
                </c:pt>
                <c:pt idx="1134">
                  <c:v>0.22693149901775911</c:v>
                </c:pt>
                <c:pt idx="1135">
                  <c:v>0.22713443652850909</c:v>
                </c:pt>
                <c:pt idx="1136">
                  <c:v>0.22722876878847106</c:v>
                </c:pt>
                <c:pt idx="1137">
                  <c:v>0.22750411270230639</c:v>
                </c:pt>
                <c:pt idx="1138">
                  <c:v>0.22766978621498443</c:v>
                </c:pt>
                <c:pt idx="1139">
                  <c:v>0.22786294355519648</c:v>
                </c:pt>
                <c:pt idx="1140">
                  <c:v>0.22819721151757921</c:v>
                </c:pt>
                <c:pt idx="1141">
                  <c:v>0.22826948796707894</c:v>
                </c:pt>
                <c:pt idx="1142">
                  <c:v>0.22841391121023658</c:v>
                </c:pt>
                <c:pt idx="1143">
                  <c:v>0.2287573516108462</c:v>
                </c:pt>
                <c:pt idx="1144">
                  <c:v>0.22896823141145711</c:v>
                </c:pt>
                <c:pt idx="1145">
                  <c:v>0.22912413943422125</c:v>
                </c:pt>
                <c:pt idx="1146">
                  <c:v>0.22935448816003148</c:v>
                </c:pt>
                <c:pt idx="1147">
                  <c:v>0.2295942560577752</c:v>
                </c:pt>
                <c:pt idx="1148">
                  <c:v>0.22973799651701424</c:v>
                </c:pt>
                <c:pt idx="1149">
                  <c:v>0.22994105977084045</c:v>
                </c:pt>
                <c:pt idx="1150">
                  <c:v>0.23010760661543059</c:v>
                </c:pt>
                <c:pt idx="1151">
                  <c:v>0.23024072660399619</c:v>
                </c:pt>
                <c:pt idx="1152">
                  <c:v>0.23052378719894304</c:v>
                </c:pt>
                <c:pt idx="1153">
                  <c:v>0.23064535137821113</c:v>
                </c:pt>
                <c:pt idx="1154">
                  <c:v>0.23096072706788795</c:v>
                </c:pt>
                <c:pt idx="1155">
                  <c:v>0.23100258275093569</c:v>
                </c:pt>
                <c:pt idx="1156">
                  <c:v>0.23137297307838989</c:v>
                </c:pt>
                <c:pt idx="1157">
                  <c:v>0.23151748923936802</c:v>
                </c:pt>
                <c:pt idx="1158">
                  <c:v>0.23179324047257965</c:v>
                </c:pt>
                <c:pt idx="1159">
                  <c:v>0.23187306880147035</c:v>
                </c:pt>
                <c:pt idx="1160">
                  <c:v>0.23208975853931388</c:v>
                </c:pt>
                <c:pt idx="1161">
                  <c:v>0.23221098179910588</c:v>
                </c:pt>
                <c:pt idx="1162">
                  <c:v>0.23242130022687402</c:v>
                </c:pt>
                <c:pt idx="1163">
                  <c:v>0.23264018933382821</c:v>
                </c:pt>
                <c:pt idx="1164">
                  <c:v>0.23285009925473718</c:v>
                </c:pt>
                <c:pt idx="1165">
                  <c:v>0.23304166183770672</c:v>
                </c:pt>
                <c:pt idx="1166">
                  <c:v>0.23323178510629383</c:v>
                </c:pt>
                <c:pt idx="1167">
                  <c:v>0.23357030097389833</c:v>
                </c:pt>
                <c:pt idx="1168">
                  <c:v>0.23373423586481581</c:v>
                </c:pt>
                <c:pt idx="1169">
                  <c:v>0.23385261141086289</c:v>
                </c:pt>
                <c:pt idx="1170">
                  <c:v>0.23408751124164265</c:v>
                </c:pt>
                <c:pt idx="1171">
                  <c:v>0.23435880378697971</c:v>
                </c:pt>
                <c:pt idx="1172">
                  <c:v>0.23442472749655713</c:v>
                </c:pt>
                <c:pt idx="1173">
                  <c:v>0.23464064688110739</c:v>
                </c:pt>
                <c:pt idx="1174">
                  <c:v>0.23492806740662273</c:v>
                </c:pt>
                <c:pt idx="1175">
                  <c:v>0.23510011605115147</c:v>
                </c:pt>
                <c:pt idx="1176">
                  <c:v>0.23536233379472102</c:v>
                </c:pt>
                <c:pt idx="1177">
                  <c:v>0.23551903971063881</c:v>
                </c:pt>
                <c:pt idx="1178">
                  <c:v>0.23579728890084597</c:v>
                </c:pt>
                <c:pt idx="1179">
                  <c:v>0.23598150771292425</c:v>
                </c:pt>
                <c:pt idx="1180">
                  <c:v>0.23613881050980157</c:v>
                </c:pt>
                <c:pt idx="1181">
                  <c:v>0.23621231739474746</c:v>
                </c:pt>
                <c:pt idx="1182">
                  <c:v>0.23651247852884991</c:v>
                </c:pt>
                <c:pt idx="1183">
                  <c:v>0.23665248696800614</c:v>
                </c:pt>
                <c:pt idx="1184">
                  <c:v>0.23696123610631595</c:v>
                </c:pt>
                <c:pt idx="1185">
                  <c:v>0.23718214047923269</c:v>
                </c:pt>
                <c:pt idx="1186">
                  <c:v>0.23726964673089557</c:v>
                </c:pt>
                <c:pt idx="1187">
                  <c:v>0.23747955613934424</c:v>
                </c:pt>
                <c:pt idx="1188">
                  <c:v>0.23779055545935188</c:v>
                </c:pt>
                <c:pt idx="1189">
                  <c:v>0.23788616278532104</c:v>
                </c:pt>
                <c:pt idx="1190">
                  <c:v>0.23818400110755675</c:v>
                </c:pt>
                <c:pt idx="1191">
                  <c:v>0.23837512651741857</c:v>
                </c:pt>
                <c:pt idx="1192">
                  <c:v>0.23842977018263883</c:v>
                </c:pt>
                <c:pt idx="1193">
                  <c:v>0.23870565186634327</c:v>
                </c:pt>
                <c:pt idx="1194">
                  <c:v>0.2388477287990152</c:v>
                </c:pt>
                <c:pt idx="1195">
                  <c:v>0.23904594915589455</c:v>
                </c:pt>
                <c:pt idx="1196">
                  <c:v>0.23929059656222598</c:v>
                </c:pt>
                <c:pt idx="1197">
                  <c:v>0.2395575997784635</c:v>
                </c:pt>
                <c:pt idx="1198">
                  <c:v>0.23970977250936204</c:v>
                </c:pt>
                <c:pt idx="1199">
                  <c:v>0.23999928124928829</c:v>
                </c:pt>
                <c:pt idx="1200">
                  <c:v>0.2401775011870492</c:v>
                </c:pt>
                <c:pt idx="1201">
                  <c:v>0.24022160036247728</c:v>
                </c:pt>
                <c:pt idx="1202">
                  <c:v>0.24049857535001323</c:v>
                </c:pt>
                <c:pt idx="1203">
                  <c:v>0.24078231537062261</c:v>
                </c:pt>
                <c:pt idx="1204">
                  <c:v>0.24090986048279092</c:v>
                </c:pt>
                <c:pt idx="1205">
                  <c:v>0.24109002120003337</c:v>
                </c:pt>
                <c:pt idx="1206">
                  <c:v>0.24135275786899793</c:v>
                </c:pt>
                <c:pt idx="1207">
                  <c:v>0.24151395645866028</c:v>
                </c:pt>
                <c:pt idx="1208">
                  <c:v>0.241605934333011</c:v>
                </c:pt>
                <c:pt idx="1209">
                  <c:v>0.24198626877967883</c:v>
                </c:pt>
                <c:pt idx="1210">
                  <c:v>0.24201986036585177</c:v>
                </c:pt>
                <c:pt idx="1211">
                  <c:v>0.24229464789868677</c:v>
                </c:pt>
                <c:pt idx="1212">
                  <c:v>0.24243361043139211</c:v>
                </c:pt>
                <c:pt idx="1213">
                  <c:v>0.24273682360172666</c:v>
                </c:pt>
                <c:pt idx="1214">
                  <c:v>0.24299173974250252</c:v>
                </c:pt>
                <c:pt idx="1215">
                  <c:v>0.24307334509549511</c:v>
                </c:pt>
                <c:pt idx="1216">
                  <c:v>0.24331466872224461</c:v>
                </c:pt>
                <c:pt idx="1217">
                  <c:v>0.24352901406989644</c:v>
                </c:pt>
                <c:pt idx="1218">
                  <c:v>0.24368120939160726</c:v>
                </c:pt>
                <c:pt idx="1219">
                  <c:v>0.24382570806886669</c:v>
                </c:pt>
                <c:pt idx="1220">
                  <c:v>0.24403913143282735</c:v>
                </c:pt>
                <c:pt idx="1221">
                  <c:v>0.24438070032419187</c:v>
                </c:pt>
                <c:pt idx="1222">
                  <c:v>0.24443880521246206</c:v>
                </c:pt>
                <c:pt idx="1223">
                  <c:v>0.24468396385630686</c:v>
                </c:pt>
                <c:pt idx="1224">
                  <c:v>0.24489837801677605</c:v>
                </c:pt>
                <c:pt idx="1225">
                  <c:v>0.24506925306196076</c:v>
                </c:pt>
                <c:pt idx="1226">
                  <c:v>0.24532736992187038</c:v>
                </c:pt>
                <c:pt idx="1227">
                  <c:v>0.24546797895093167</c:v>
                </c:pt>
                <c:pt idx="1228">
                  <c:v>0.24579688490871268</c:v>
                </c:pt>
                <c:pt idx="1229">
                  <c:v>0.24586911381847903</c:v>
                </c:pt>
                <c:pt idx="1230">
                  <c:v>0.24611658702369701</c:v>
                </c:pt>
                <c:pt idx="1231">
                  <c:v>0.24626641807478536</c:v>
                </c:pt>
                <c:pt idx="1232">
                  <c:v>0.24659943181467228</c:v>
                </c:pt>
                <c:pt idx="1233">
                  <c:v>0.24670117898944327</c:v>
                </c:pt>
                <c:pt idx="1234">
                  <c:v>0.24684035887686545</c:v>
                </c:pt>
                <c:pt idx="1235">
                  <c:v>0.24703785472792525</c:v>
                </c:pt>
                <c:pt idx="1236">
                  <c:v>0.2473423350298643</c:v>
                </c:pt>
                <c:pt idx="1237">
                  <c:v>0.24759910463858373</c:v>
                </c:pt>
                <c:pt idx="1238">
                  <c:v>0.24764138694518278</c:v>
                </c:pt>
                <c:pt idx="1239">
                  <c:v>0.2479998513022903</c:v>
                </c:pt>
                <c:pt idx="1240">
                  <c:v>0.24802276653773683</c:v>
                </c:pt>
                <c:pt idx="1241">
                  <c:v>0.24829958527383852</c:v>
                </c:pt>
                <c:pt idx="1242">
                  <c:v>0.2484310142854301</c:v>
                </c:pt>
                <c:pt idx="1243">
                  <c:v>0.24864603770730229</c:v>
                </c:pt>
                <c:pt idx="1244">
                  <c:v>0.24897764634102995</c:v>
                </c:pt>
                <c:pt idx="1245">
                  <c:v>0.24918434161129044</c:v>
                </c:pt>
                <c:pt idx="1246">
                  <c:v>0.24923873933279855</c:v>
                </c:pt>
                <c:pt idx="1247">
                  <c:v>0.24955297511037275</c:v>
                </c:pt>
                <c:pt idx="1248">
                  <c:v>0.24963572441582468</c:v>
                </c:pt>
                <c:pt idx="1249">
                  <c:v>0.24986454101006139</c:v>
                </c:pt>
                <c:pt idx="1250">
                  <c:v>0.25004867763641492</c:v>
                </c:pt>
                <c:pt idx="1251">
                  <c:v>0.25022300495976185</c:v>
                </c:pt>
                <c:pt idx="1252">
                  <c:v>0.25059509333530328</c:v>
                </c:pt>
                <c:pt idx="1253">
                  <c:v>0.25072885435492009</c:v>
                </c:pt>
                <c:pt idx="1254">
                  <c:v>0.25090822946920716</c:v>
                </c:pt>
                <c:pt idx="1255">
                  <c:v>0.25105924893390835</c:v>
                </c:pt>
                <c:pt idx="1256">
                  <c:v>0.25125442138022147</c:v>
                </c:pt>
                <c:pt idx="1257">
                  <c:v>0.25157967984182289</c:v>
                </c:pt>
                <c:pt idx="1258">
                  <c:v>0.25168526074846398</c:v>
                </c:pt>
                <c:pt idx="1259">
                  <c:v>0.25190781415424024</c:v>
                </c:pt>
                <c:pt idx="1260">
                  <c:v>0.25200089334719838</c:v>
                </c:pt>
                <c:pt idx="1261">
                  <c:v>0.2522725318152626</c:v>
                </c:pt>
                <c:pt idx="1262">
                  <c:v>0.25240887826080638</c:v>
                </c:pt>
                <c:pt idx="1263">
                  <c:v>0.25266610768648468</c:v>
                </c:pt>
                <c:pt idx="1264">
                  <c:v>0.25295424351048523</c:v>
                </c:pt>
                <c:pt idx="1265">
                  <c:v>0.25311178065894913</c:v>
                </c:pt>
                <c:pt idx="1266">
                  <c:v>0.25331249788247806</c:v>
                </c:pt>
                <c:pt idx="1267">
                  <c:v>0.25352179109140344</c:v>
                </c:pt>
                <c:pt idx="1268">
                  <c:v>0.2537845673973636</c:v>
                </c:pt>
                <c:pt idx="1269">
                  <c:v>0.2538055186336407</c:v>
                </c:pt>
                <c:pt idx="1270">
                  <c:v>0.25407240777632045</c:v>
                </c:pt>
                <c:pt idx="1271">
                  <c:v>0.25422970534694139</c:v>
                </c:pt>
                <c:pt idx="1272">
                  <c:v>0.25446975382623954</c:v>
                </c:pt>
                <c:pt idx="1273">
                  <c:v>0.25478957349764875</c:v>
                </c:pt>
                <c:pt idx="1274">
                  <c:v>0.25498628500555326</c:v>
                </c:pt>
                <c:pt idx="1275">
                  <c:v>0.25511983755401335</c:v>
                </c:pt>
                <c:pt idx="1276">
                  <c:v>0.25538252468369499</c:v>
                </c:pt>
                <c:pt idx="1277">
                  <c:v>0.2554879422333296</c:v>
                </c:pt>
                <c:pt idx="1278">
                  <c:v>0.25579327501221405</c:v>
                </c:pt>
                <c:pt idx="1279">
                  <c:v>0.25594939844052994</c:v>
                </c:pt>
                <c:pt idx="1280">
                  <c:v>0.25612504867960817</c:v>
                </c:pt>
                <c:pt idx="1281">
                  <c:v>0.25634189831249926</c:v>
                </c:pt>
                <c:pt idx="1282">
                  <c:v>0.25640692316168145</c:v>
                </c:pt>
                <c:pt idx="1283">
                  <c:v>0.25674068770514352</c:v>
                </c:pt>
                <c:pt idx="1284">
                  <c:v>0.25695972654869775</c:v>
                </c:pt>
                <c:pt idx="1285">
                  <c:v>0.25705064994987348</c:v>
                </c:pt>
                <c:pt idx="1286">
                  <c:v>0.2572072331480233</c:v>
                </c:pt>
                <c:pt idx="1287">
                  <c:v>0.25756093249259537</c:v>
                </c:pt>
                <c:pt idx="1288">
                  <c:v>0.25769399090481315</c:v>
                </c:pt>
                <c:pt idx="1289">
                  <c:v>0.25784496524288436</c:v>
                </c:pt>
                <c:pt idx="1290">
                  <c:v>0.25813447776197795</c:v>
                </c:pt>
                <c:pt idx="1291">
                  <c:v>0.25837786781126121</c:v>
                </c:pt>
                <c:pt idx="1292">
                  <c:v>0.25841611248110796</c:v>
                </c:pt>
                <c:pt idx="1293">
                  <c:v>0.25867959721416228</c:v>
                </c:pt>
                <c:pt idx="1294">
                  <c:v>0.25880871888036111</c:v>
                </c:pt>
                <c:pt idx="1295">
                  <c:v>0.25914648540153784</c:v>
                </c:pt>
                <c:pt idx="1296">
                  <c:v>0.25931943258985862</c:v>
                </c:pt>
                <c:pt idx="1297">
                  <c:v>0.2595257521847556</c:v>
                </c:pt>
                <c:pt idx="1298">
                  <c:v>0.25969874994277459</c:v>
                </c:pt>
                <c:pt idx="1299">
                  <c:v>0.25984591282118247</c:v>
                </c:pt>
                <c:pt idx="1300">
                  <c:v>0.26015622663967225</c:v>
                </c:pt>
                <c:pt idx="1301">
                  <c:v>0.26034782730102257</c:v>
                </c:pt>
                <c:pt idx="1302">
                  <c:v>0.26051095844072081</c:v>
                </c:pt>
                <c:pt idx="1303">
                  <c:v>0.26079801774057515</c:v>
                </c:pt>
                <c:pt idx="1304">
                  <c:v>0.26092316751613359</c:v>
                </c:pt>
                <c:pt idx="1305">
                  <c:v>0.26114229383853788</c:v>
                </c:pt>
                <c:pt idx="1306">
                  <c:v>0.2612287486124385</c:v>
                </c:pt>
                <c:pt idx="1307">
                  <c:v>0.26157313551483047</c:v>
                </c:pt>
                <c:pt idx="1308">
                  <c:v>0.26174649944304174</c:v>
                </c:pt>
                <c:pt idx="1309">
                  <c:v>0.26198789900638814</c:v>
                </c:pt>
                <c:pt idx="1310">
                  <c:v>0.26209236144998399</c:v>
                </c:pt>
                <c:pt idx="1311">
                  <c:v>0.26239345904704964</c:v>
                </c:pt>
                <c:pt idx="1312">
                  <c:v>0.26257292874133514</c:v>
                </c:pt>
                <c:pt idx="1313">
                  <c:v>0.26265564210760772</c:v>
                </c:pt>
                <c:pt idx="1314">
                  <c:v>0.26290414741023072</c:v>
                </c:pt>
                <c:pt idx="1315">
                  <c:v>0.26312891345222689</c:v>
                </c:pt>
                <c:pt idx="1316">
                  <c:v>0.26338463427307657</c:v>
                </c:pt>
                <c:pt idx="1317">
                  <c:v>0.26350802880835439</c:v>
                </c:pt>
                <c:pt idx="1318">
                  <c:v>0.26364446637757227</c:v>
                </c:pt>
                <c:pt idx="1319">
                  <c:v>0.26386529650549989</c:v>
                </c:pt>
                <c:pt idx="1320">
                  <c:v>0.2641189671443121</c:v>
                </c:pt>
                <c:pt idx="1321">
                  <c:v>0.26429792048328038</c:v>
                </c:pt>
                <c:pt idx="1322">
                  <c:v>0.26447582412945941</c:v>
                </c:pt>
                <c:pt idx="1323">
                  <c:v>0.26463962380770584</c:v>
                </c:pt>
                <c:pt idx="1324">
                  <c:v>0.26490800020115168</c:v>
                </c:pt>
                <c:pt idx="1325">
                  <c:v>0.26507956248523656</c:v>
                </c:pt>
                <c:pt idx="1326">
                  <c:v>0.26537395380525247</c:v>
                </c:pt>
                <c:pt idx="1327">
                  <c:v>0.26547465918508234</c:v>
                </c:pt>
                <c:pt idx="1328">
                  <c:v>0.26571521643458756</c:v>
                </c:pt>
                <c:pt idx="1329">
                  <c:v>0.26592765230264692</c:v>
                </c:pt>
                <c:pt idx="1330">
                  <c:v>0.26608356849972242</c:v>
                </c:pt>
                <c:pt idx="1331">
                  <c:v>0.26627258842225948</c:v>
                </c:pt>
                <c:pt idx="1332">
                  <c:v>0.26657989932759196</c:v>
                </c:pt>
                <c:pt idx="1333">
                  <c:v>0.26672156039688771</c:v>
                </c:pt>
                <c:pt idx="1334">
                  <c:v>0.26689112955454997</c:v>
                </c:pt>
                <c:pt idx="1335">
                  <c:v>0.26713497542043563</c:v>
                </c:pt>
                <c:pt idx="1336">
                  <c:v>0.26732416469336584</c:v>
                </c:pt>
                <c:pt idx="1337">
                  <c:v>0.26752730643253947</c:v>
                </c:pt>
                <c:pt idx="1338">
                  <c:v>0.2677244378929316</c:v>
                </c:pt>
                <c:pt idx="1339">
                  <c:v>0.26796776136554956</c:v>
                </c:pt>
                <c:pt idx="1340">
                  <c:v>0.2680950791932864</c:v>
                </c:pt>
                <c:pt idx="1341">
                  <c:v>0.26825588945463669</c:v>
                </c:pt>
                <c:pt idx="1342">
                  <c:v>0.26859525176696369</c:v>
                </c:pt>
                <c:pt idx="1343">
                  <c:v>0.26875882649094768</c:v>
                </c:pt>
                <c:pt idx="1344">
                  <c:v>0.26886708866694642</c:v>
                </c:pt>
                <c:pt idx="1345">
                  <c:v>0.26918150067086832</c:v>
                </c:pt>
                <c:pt idx="1346">
                  <c:v>0.26923980045300905</c:v>
                </c:pt>
                <c:pt idx="1347">
                  <c:v>0.26942083272296491</c:v>
                </c:pt>
                <c:pt idx="1348">
                  <c:v>0.26965932269353871</c:v>
                </c:pt>
                <c:pt idx="1349">
                  <c:v>0.26998599499496306</c:v>
                </c:pt>
                <c:pt idx="1350">
                  <c:v>0.27008987441498084</c:v>
                </c:pt>
                <c:pt idx="1351">
                  <c:v>0.27036383477830417</c:v>
                </c:pt>
                <c:pt idx="1352">
                  <c:v>0.27055633379927752</c:v>
                </c:pt>
                <c:pt idx="1353">
                  <c:v>0.27061912553552986</c:v>
                </c:pt>
                <c:pt idx="1354">
                  <c:v>0.27096518264649555</c:v>
                </c:pt>
                <c:pt idx="1355">
                  <c:v>0.27111176288312105</c:v>
                </c:pt>
                <c:pt idx="1356">
                  <c:v>0.27122283997349972</c:v>
                </c:pt>
                <c:pt idx="1357">
                  <c:v>0.27156780549841181</c:v>
                </c:pt>
                <c:pt idx="1358">
                  <c:v>0.27172924937376036</c:v>
                </c:pt>
                <c:pt idx="1359">
                  <c:v>0.27180374586749906</c:v>
                </c:pt>
                <c:pt idx="1360">
                  <c:v>0.27207446868602986</c:v>
                </c:pt>
                <c:pt idx="1361">
                  <c:v>0.2722067789473121</c:v>
                </c:pt>
                <c:pt idx="1362">
                  <c:v>0.27259867329406517</c:v>
                </c:pt>
                <c:pt idx="1363">
                  <c:v>0.27275970032377161</c:v>
                </c:pt>
                <c:pt idx="1364">
                  <c:v>0.27292431747371432</c:v>
                </c:pt>
                <c:pt idx="1365">
                  <c:v>0.27310393915518744</c:v>
                </c:pt>
                <c:pt idx="1366">
                  <c:v>0.27328546698486561</c:v>
                </c:pt>
                <c:pt idx="1367">
                  <c:v>0.27353979092159769</c:v>
                </c:pt>
                <c:pt idx="1368">
                  <c:v>0.27379038495914787</c:v>
                </c:pt>
                <c:pt idx="1369">
                  <c:v>0.27398482214761544</c:v>
                </c:pt>
                <c:pt idx="1370">
                  <c:v>0.27403558015377155</c:v>
                </c:pt>
                <c:pt idx="1371">
                  <c:v>0.27424307546006588</c:v>
                </c:pt>
                <c:pt idx="1372">
                  <c:v>0.27443511542906873</c:v>
                </c:pt>
                <c:pt idx="1373">
                  <c:v>0.27477367124049312</c:v>
                </c:pt>
                <c:pt idx="1374">
                  <c:v>0.27493757216896336</c:v>
                </c:pt>
                <c:pt idx="1375">
                  <c:v>0.27513634093542033</c:v>
                </c:pt>
                <c:pt idx="1376">
                  <c:v>0.27521673363224064</c:v>
                </c:pt>
                <c:pt idx="1377">
                  <c:v>0.27558040379667198</c:v>
                </c:pt>
                <c:pt idx="1378">
                  <c:v>0.27576970130423312</c:v>
                </c:pt>
                <c:pt idx="1379">
                  <c:v>0.27582271283576792</c:v>
                </c:pt>
                <c:pt idx="1380">
                  <c:v>0.27602054262748466</c:v>
                </c:pt>
                <c:pt idx="1381">
                  <c:v>0.27629226067557283</c:v>
                </c:pt>
                <c:pt idx="1382">
                  <c:v>0.27653566391121964</c:v>
                </c:pt>
                <c:pt idx="1383">
                  <c:v>0.27666239928087738</c:v>
                </c:pt>
                <c:pt idx="1384">
                  <c:v>0.27684356970909135</c:v>
                </c:pt>
                <c:pt idx="1385">
                  <c:v>0.2771107159966395</c:v>
                </c:pt>
                <c:pt idx="1386">
                  <c:v>0.27732166082852561</c:v>
                </c:pt>
                <c:pt idx="1387">
                  <c:v>0.27748212480500389</c:v>
                </c:pt>
                <c:pt idx="1388">
                  <c:v>0.27761820286242717</c:v>
                </c:pt>
                <c:pt idx="1389">
                  <c:v>0.27791568558097718</c:v>
                </c:pt>
                <c:pt idx="1390">
                  <c:v>0.27818954961900355</c:v>
                </c:pt>
                <c:pt idx="1391">
                  <c:v>0.27821381636043402</c:v>
                </c:pt>
                <c:pt idx="1392">
                  <c:v>0.27853357366801557</c:v>
                </c:pt>
                <c:pt idx="1393">
                  <c:v>0.27862802834893302</c:v>
                </c:pt>
                <c:pt idx="1394">
                  <c:v>0.2788274572826055</c:v>
                </c:pt>
                <c:pt idx="1395">
                  <c:v>0.27914873666929751</c:v>
                </c:pt>
                <c:pt idx="1396">
                  <c:v>0.27936163354398724</c:v>
                </c:pt>
                <c:pt idx="1397">
                  <c:v>0.27954558661364615</c:v>
                </c:pt>
                <c:pt idx="1398">
                  <c:v>0.27972559031362776</c:v>
                </c:pt>
                <c:pt idx="1399">
                  <c:v>0.27983883935977677</c:v>
                </c:pt>
                <c:pt idx="1400">
                  <c:v>0.28015479989679409</c:v>
                </c:pt>
                <c:pt idx="1401">
                  <c:v>0.28034954936880374</c:v>
                </c:pt>
                <c:pt idx="1402">
                  <c:v>0.28041120369262323</c:v>
                </c:pt>
                <c:pt idx="1403">
                  <c:v>0.28076774500901058</c:v>
                </c:pt>
                <c:pt idx="1404">
                  <c:v>0.28099690750283118</c:v>
                </c:pt>
                <c:pt idx="1405">
                  <c:v>0.28103932686178928</c:v>
                </c:pt>
                <c:pt idx="1406">
                  <c:v>0.28132674504595967</c:v>
                </c:pt>
                <c:pt idx="1407">
                  <c:v>0.28141475600032484</c:v>
                </c:pt>
                <c:pt idx="1408">
                  <c:v>0.28177462297886952</c:v>
                </c:pt>
                <c:pt idx="1409">
                  <c:v>0.28197851453888662</c:v>
                </c:pt>
                <c:pt idx="1410">
                  <c:v>0.28215541041091913</c:v>
                </c:pt>
                <c:pt idx="1411">
                  <c:v>0.28221162612038009</c:v>
                </c:pt>
                <c:pt idx="1412">
                  <c:v>0.28250431779630114</c:v>
                </c:pt>
                <c:pt idx="1413">
                  <c:v>0.282652556684998</c:v>
                </c:pt>
                <c:pt idx="1414">
                  <c:v>0.28283397993911846</c:v>
                </c:pt>
                <c:pt idx="1415">
                  <c:v>0.2831518955439683</c:v>
                </c:pt>
                <c:pt idx="1416">
                  <c:v>0.28334623585835711</c:v>
                </c:pt>
                <c:pt idx="1417">
                  <c:v>0.28351059653337823</c:v>
                </c:pt>
                <c:pt idx="1418">
                  <c:v>0.2836644993846455</c:v>
                </c:pt>
                <c:pt idx="1419">
                  <c:v>0.28387178351359255</c:v>
                </c:pt>
                <c:pt idx="1420">
                  <c:v>0.28403856670130939</c:v>
                </c:pt>
                <c:pt idx="1421">
                  <c:v>0.28439077389617234</c:v>
                </c:pt>
                <c:pt idx="1422">
                  <c:v>0.28441307205139033</c:v>
                </c:pt>
                <c:pt idx="1423">
                  <c:v>0.28471433075515418</c:v>
                </c:pt>
                <c:pt idx="1424">
                  <c:v>0.28493121014915668</c:v>
                </c:pt>
                <c:pt idx="1425">
                  <c:v>0.28502946846420629</c:v>
                </c:pt>
                <c:pt idx="1426">
                  <c:v>0.28527033884159064</c:v>
                </c:pt>
                <c:pt idx="1427">
                  <c:v>0.28543709657751887</c:v>
                </c:pt>
                <c:pt idx="1428">
                  <c:v>0.28562557345168327</c:v>
                </c:pt>
                <c:pt idx="1429">
                  <c:v>0.28596009430716751</c:v>
                </c:pt>
                <c:pt idx="1430">
                  <c:v>0.2861164474532279</c:v>
                </c:pt>
                <c:pt idx="1431">
                  <c:v>0.28625284280820118</c:v>
                </c:pt>
                <c:pt idx="1432">
                  <c:v>0.2865345647744682</c:v>
                </c:pt>
                <c:pt idx="1433">
                  <c:v>0.28672179128423375</c:v>
                </c:pt>
                <c:pt idx="1434">
                  <c:v>0.28696340896821659</c:v>
                </c:pt>
                <c:pt idx="1435">
                  <c:v>0.28712524560888419</c:v>
                </c:pt>
                <c:pt idx="1436">
                  <c:v>0.28727265224523674</c:v>
                </c:pt>
                <c:pt idx="1437">
                  <c:v>0.28748641416339349</c:v>
                </c:pt>
                <c:pt idx="1438">
                  <c:v>0.28779094903529412</c:v>
                </c:pt>
                <c:pt idx="1439">
                  <c:v>0.28782515139650211</c:v>
                </c:pt>
                <c:pt idx="1440">
                  <c:v>0.28807096992686176</c:v>
                </c:pt>
                <c:pt idx="1441">
                  <c:v>0.28835517992813964</c:v>
                </c:pt>
                <c:pt idx="1442">
                  <c:v>0.28852196294514504</c:v>
                </c:pt>
                <c:pt idx="1443">
                  <c:v>0.28871794331197581</c:v>
                </c:pt>
                <c:pt idx="1444">
                  <c:v>0.28890135207206508</c:v>
                </c:pt>
                <c:pt idx="1445">
                  <c:v>0.28909775030941182</c:v>
                </c:pt>
                <c:pt idx="1446">
                  <c:v>0.28931033859972616</c:v>
                </c:pt>
                <c:pt idx="1447">
                  <c:v>0.28953323207826659</c:v>
                </c:pt>
                <c:pt idx="1448">
                  <c:v>0.28963592702393326</c:v>
                </c:pt>
                <c:pt idx="1449">
                  <c:v>0.289954142688856</c:v>
                </c:pt>
                <c:pt idx="1450">
                  <c:v>0.29017748274611715</c:v>
                </c:pt>
                <c:pt idx="1451">
                  <c:v>0.29027362916620297</c:v>
                </c:pt>
                <c:pt idx="1452">
                  <c:v>0.29054515150705007</c:v>
                </c:pt>
                <c:pt idx="1453">
                  <c:v>0.29073834837007762</c:v>
                </c:pt>
                <c:pt idx="1454">
                  <c:v>0.29082955628913582</c:v>
                </c:pt>
                <c:pt idx="1455">
                  <c:v>0.29101967318850097</c:v>
                </c:pt>
                <c:pt idx="1456">
                  <c:v>0.29122275137822673</c:v>
                </c:pt>
                <c:pt idx="1457">
                  <c:v>0.29150700043456329</c:v>
                </c:pt>
                <c:pt idx="1458">
                  <c:v>0.29162838380793771</c:v>
                </c:pt>
                <c:pt idx="1459">
                  <c:v>0.29193840407918636</c:v>
                </c:pt>
                <c:pt idx="1460">
                  <c:v>0.29219678740682942</c:v>
                </c:pt>
                <c:pt idx="1461">
                  <c:v>0.29237242852052964</c:v>
                </c:pt>
                <c:pt idx="1462">
                  <c:v>0.29244746800704102</c:v>
                </c:pt>
                <c:pt idx="1463">
                  <c:v>0.29274806092976313</c:v>
                </c:pt>
                <c:pt idx="1464">
                  <c:v>0.29282674262677943</c:v>
                </c:pt>
                <c:pt idx="1465">
                  <c:v>0.29310613623254606</c:v>
                </c:pt>
                <c:pt idx="1466">
                  <c:v>0.29332389162222944</c:v>
                </c:pt>
                <c:pt idx="1467">
                  <c:v>0.2934536065636793</c:v>
                </c:pt>
                <c:pt idx="1468">
                  <c:v>0.29375963902691371</c:v>
                </c:pt>
                <c:pt idx="1469">
                  <c:v>0.2939175794380991</c:v>
                </c:pt>
                <c:pt idx="1470">
                  <c:v>0.29414299647094283</c:v>
                </c:pt>
                <c:pt idx="1471">
                  <c:v>0.29436636783833764</c:v>
                </c:pt>
                <c:pt idx="1472">
                  <c:v>0.29441686147847607</c:v>
                </c:pt>
                <c:pt idx="1473">
                  <c:v>0.29470199912872674</c:v>
                </c:pt>
                <c:pt idx="1474">
                  <c:v>0.29486870721286834</c:v>
                </c:pt>
                <c:pt idx="1475">
                  <c:v>0.2950183535270901</c:v>
                </c:pt>
                <c:pt idx="1476">
                  <c:v>0.29529325923241984</c:v>
                </c:pt>
                <c:pt idx="1477">
                  <c:v>0.29553931393607968</c:v>
                </c:pt>
                <c:pt idx="1478">
                  <c:v>0.29570530203485518</c:v>
                </c:pt>
                <c:pt idx="1479">
                  <c:v>0.2958234614825862</c:v>
                </c:pt>
                <c:pt idx="1480">
                  <c:v>0.29614402181556077</c:v>
                </c:pt>
                <c:pt idx="1481">
                  <c:v>0.29627576007360495</c:v>
                </c:pt>
                <c:pt idx="1482">
                  <c:v>0.29648204925537158</c:v>
                </c:pt>
                <c:pt idx="1483">
                  <c:v>0.29667741712883056</c:v>
                </c:pt>
                <c:pt idx="1484">
                  <c:v>0.29695693584255806</c:v>
                </c:pt>
                <c:pt idx="1485">
                  <c:v>0.29719921165052782</c:v>
                </c:pt>
                <c:pt idx="1486">
                  <c:v>0.29720076484438052</c:v>
                </c:pt>
                <c:pt idx="1487">
                  <c:v>0.2975617079707239</c:v>
                </c:pt>
                <c:pt idx="1488">
                  <c:v>0.29760906198257792</c:v>
                </c:pt>
                <c:pt idx="1489">
                  <c:v>0.29783931878927145</c:v>
                </c:pt>
                <c:pt idx="1490">
                  <c:v>0.29803875392210638</c:v>
                </c:pt>
                <c:pt idx="1491">
                  <c:v>0.29836899768597652</c:v>
                </c:pt>
                <c:pt idx="1492">
                  <c:v>0.29852547281769232</c:v>
                </c:pt>
                <c:pt idx="1493">
                  <c:v>0.29866950519230906</c:v>
                </c:pt>
                <c:pt idx="1494">
                  <c:v>0.29885738379677235</c:v>
                </c:pt>
                <c:pt idx="1495">
                  <c:v>0.29903761136420948</c:v>
                </c:pt>
                <c:pt idx="1496">
                  <c:v>0.29937620105579871</c:v>
                </c:pt>
                <c:pt idx="1497">
                  <c:v>0.29940720646586438</c:v>
                </c:pt>
                <c:pt idx="1498">
                  <c:v>0.29977642635646656</c:v>
                </c:pt>
                <c:pt idx="1499">
                  <c:v>0.2999943276674939</c:v>
                </c:pt>
                <c:pt idx="1500">
                  <c:v>0.30010990104789614</c:v>
                </c:pt>
                <c:pt idx="1501">
                  <c:v>0.30021850621900953</c:v>
                </c:pt>
                <c:pt idx="1502">
                  <c:v>0.3005607021453699</c:v>
                </c:pt>
                <c:pt idx="1503">
                  <c:v>0.30065924846531339</c:v>
                </c:pt>
                <c:pt idx="1504">
                  <c:v>0.30085359505667664</c:v>
                </c:pt>
                <c:pt idx="1505">
                  <c:v>0.30110586854827259</c:v>
                </c:pt>
                <c:pt idx="1506">
                  <c:v>0.30123530336214122</c:v>
                </c:pt>
                <c:pt idx="1507">
                  <c:v>0.30153307952278596</c:v>
                </c:pt>
                <c:pt idx="1508">
                  <c:v>0.3016376263758721</c:v>
                </c:pt>
                <c:pt idx="1509">
                  <c:v>0.30187240956818512</c:v>
                </c:pt>
                <c:pt idx="1510">
                  <c:v>0.30212041124983702</c:v>
                </c:pt>
                <c:pt idx="1511">
                  <c:v>0.30227968653582027</c:v>
                </c:pt>
                <c:pt idx="1512">
                  <c:v>0.30254177073774435</c:v>
                </c:pt>
                <c:pt idx="1513">
                  <c:v>0.30270668181509403</c:v>
                </c:pt>
                <c:pt idx="1514">
                  <c:v>0.30281990288431287</c:v>
                </c:pt>
                <c:pt idx="1515">
                  <c:v>0.30314532227500929</c:v>
                </c:pt>
                <c:pt idx="1516">
                  <c:v>0.30325171323643341</c:v>
                </c:pt>
                <c:pt idx="1517">
                  <c:v>0.30343371378477518</c:v>
                </c:pt>
                <c:pt idx="1518">
                  <c:v>0.30371867650209899</c:v>
                </c:pt>
                <c:pt idx="1519">
                  <c:v>0.3039187331317269</c:v>
                </c:pt>
                <c:pt idx="1520">
                  <c:v>0.3041021436421904</c:v>
                </c:pt>
                <c:pt idx="1521">
                  <c:v>0.30420713749630546</c:v>
                </c:pt>
                <c:pt idx="1522">
                  <c:v>0.30457143851694918</c:v>
                </c:pt>
                <c:pt idx="1523">
                  <c:v>0.30471210014031086</c:v>
                </c:pt>
                <c:pt idx="1524">
                  <c:v>0.3049575570231205</c:v>
                </c:pt>
                <c:pt idx="1525">
                  <c:v>0.30503252094784578</c:v>
                </c:pt>
                <c:pt idx="1526">
                  <c:v>0.30528106353159085</c:v>
                </c:pt>
                <c:pt idx="1527">
                  <c:v>0.30544132312756067</c:v>
                </c:pt>
                <c:pt idx="1528">
                  <c:v>0.30577908448753394</c:v>
                </c:pt>
                <c:pt idx="1529">
                  <c:v>0.30592720154340547</c:v>
                </c:pt>
                <c:pt idx="1530">
                  <c:v>0.30602713767653961</c:v>
                </c:pt>
                <c:pt idx="1531">
                  <c:v>0.30635020575503591</c:v>
                </c:pt>
                <c:pt idx="1532">
                  <c:v>0.30654888779626899</c:v>
                </c:pt>
                <c:pt idx="1533">
                  <c:v>0.30663012857870897</c:v>
                </c:pt>
                <c:pt idx="1534">
                  <c:v>0.30689991320630072</c:v>
                </c:pt>
                <c:pt idx="1535">
                  <c:v>0.3070163509320506</c:v>
                </c:pt>
                <c:pt idx="1536">
                  <c:v>0.30728545070343782</c:v>
                </c:pt>
                <c:pt idx="1537">
                  <c:v>0.30757274172123816</c:v>
                </c:pt>
                <c:pt idx="1538">
                  <c:v>0.30767664875231604</c:v>
                </c:pt>
                <c:pt idx="1539">
                  <c:v>0.3078540924797426</c:v>
                </c:pt>
                <c:pt idx="1540">
                  <c:v>0.30804058984924121</c:v>
                </c:pt>
                <c:pt idx="1541">
                  <c:v>0.30830180887521752</c:v>
                </c:pt>
                <c:pt idx="1542">
                  <c:v>0.30848706282309424</c:v>
                </c:pt>
                <c:pt idx="1543">
                  <c:v>0.30870753747283192</c:v>
                </c:pt>
                <c:pt idx="1544">
                  <c:v>0.30891115927205215</c:v>
                </c:pt>
                <c:pt idx="1545">
                  <c:v>0.30917323603298824</c:v>
                </c:pt>
                <c:pt idx="1546">
                  <c:v>0.30937531641185639</c:v>
                </c:pt>
                <c:pt idx="1547">
                  <c:v>0.30951106430234182</c:v>
                </c:pt>
                <c:pt idx="1548">
                  <c:v>0.3097587114419692</c:v>
                </c:pt>
                <c:pt idx="1549">
                  <c:v>0.30994411371507313</c:v>
                </c:pt>
                <c:pt idx="1550">
                  <c:v>0.31010796760374398</c:v>
                </c:pt>
                <c:pt idx="1551">
                  <c:v>0.31027294044999237</c:v>
                </c:pt>
                <c:pt idx="1552">
                  <c:v>0.31042060392201426</c:v>
                </c:pt>
                <c:pt idx="1553">
                  <c:v>0.31069757151247412</c:v>
                </c:pt>
                <c:pt idx="1554">
                  <c:v>0.31083961059093468</c:v>
                </c:pt>
                <c:pt idx="1555">
                  <c:v>0.3111554742640712</c:v>
                </c:pt>
                <c:pt idx="1556">
                  <c:v>0.31130043661894752</c:v>
                </c:pt>
                <c:pt idx="1557">
                  <c:v>0.31157452321526935</c:v>
                </c:pt>
                <c:pt idx="1558">
                  <c:v>0.31170639096365926</c:v>
                </c:pt>
                <c:pt idx="1559">
                  <c:v>0.31198231488167827</c:v>
                </c:pt>
                <c:pt idx="1560">
                  <c:v>0.31218154127751047</c:v>
                </c:pt>
                <c:pt idx="1561">
                  <c:v>0.31239410534258794</c:v>
                </c:pt>
                <c:pt idx="1562">
                  <c:v>0.31248608955375062</c:v>
                </c:pt>
                <c:pt idx="1563">
                  <c:v>0.31271027049373612</c:v>
                </c:pt>
                <c:pt idx="1564">
                  <c:v>0.31294132889573029</c:v>
                </c:pt>
                <c:pt idx="1565">
                  <c:v>0.31303437881130597</c:v>
                </c:pt>
                <c:pt idx="1566">
                  <c:v>0.31328446833111445</c:v>
                </c:pt>
                <c:pt idx="1567">
                  <c:v>0.31354264547809552</c:v>
                </c:pt>
                <c:pt idx="1568">
                  <c:v>0.31370103722519732</c:v>
                </c:pt>
                <c:pt idx="1569">
                  <c:v>0.31392932848789012</c:v>
                </c:pt>
                <c:pt idx="1570">
                  <c:v>0.31405390068382349</c:v>
                </c:pt>
                <c:pt idx="1571">
                  <c:v>0.31421806820137849</c:v>
                </c:pt>
                <c:pt idx="1572">
                  <c:v>0.31444943476730247</c:v>
                </c:pt>
                <c:pt idx="1573">
                  <c:v>0.31478901742584747</c:v>
                </c:pt>
                <c:pt idx="1574">
                  <c:v>0.31492362006477165</c:v>
                </c:pt>
                <c:pt idx="1575">
                  <c:v>0.31508808238741198</c:v>
                </c:pt>
                <c:pt idx="1576">
                  <c:v>0.31535913707319629</c:v>
                </c:pt>
                <c:pt idx="1577">
                  <c:v>0.31554132314118122</c:v>
                </c:pt>
                <c:pt idx="1578">
                  <c:v>0.3157482581295884</c:v>
                </c:pt>
                <c:pt idx="1579">
                  <c:v>0.31590749664867934</c:v>
                </c:pt>
                <c:pt idx="1580">
                  <c:v>0.31607185871332694</c:v>
                </c:pt>
                <c:pt idx="1581">
                  <c:v>0.31620109576652783</c:v>
                </c:pt>
                <c:pt idx="1582">
                  <c:v>0.3165453384241893</c:v>
                </c:pt>
                <c:pt idx="1583">
                  <c:v>0.3166566284051297</c:v>
                </c:pt>
                <c:pt idx="1584">
                  <c:v>0.31697335890726497</c:v>
                </c:pt>
                <c:pt idx="1585">
                  <c:v>0.31719264813246961</c:v>
                </c:pt>
                <c:pt idx="1586">
                  <c:v>0.31738606360363453</c:v>
                </c:pt>
                <c:pt idx="1587">
                  <c:v>0.3174417682017297</c:v>
                </c:pt>
                <c:pt idx="1588">
                  <c:v>0.31773715556914384</c:v>
                </c:pt>
                <c:pt idx="1589">
                  <c:v>0.31793550159035611</c:v>
                </c:pt>
                <c:pt idx="1590">
                  <c:v>0.3180487755716892</c:v>
                </c:pt>
                <c:pt idx="1591">
                  <c:v>0.31827153107926054</c:v>
                </c:pt>
                <c:pt idx="1592">
                  <c:v>0.31847438742473594</c:v>
                </c:pt>
                <c:pt idx="1593">
                  <c:v>0.31860010796030985</c:v>
                </c:pt>
                <c:pt idx="1594">
                  <c:v>0.31885118410658353</c:v>
                </c:pt>
                <c:pt idx="1595">
                  <c:v>0.31910110476112485</c:v>
                </c:pt>
                <c:pt idx="1596">
                  <c:v>0.31923147438481253</c:v>
                </c:pt>
                <c:pt idx="1597">
                  <c:v>0.31946313844478297</c:v>
                </c:pt>
                <c:pt idx="1598">
                  <c:v>0.31977045656292946</c:v>
                </c:pt>
                <c:pt idx="1599">
                  <c:v>0.31997116657918578</c:v>
                </c:pt>
                <c:pt idx="1600">
                  <c:v>0.32004724682291208</c:v>
                </c:pt>
                <c:pt idx="1601">
                  <c:v>0.32032865627774243</c:v>
                </c:pt>
                <c:pt idx="1602">
                  <c:v>0.32050224704768099</c:v>
                </c:pt>
                <c:pt idx="1603">
                  <c:v>0.3206211169587963</c:v>
                </c:pt>
                <c:pt idx="1604">
                  <c:v>0.32099174528419783</c:v>
                </c:pt>
                <c:pt idx="1605">
                  <c:v>0.32107592278837133</c:v>
                </c:pt>
                <c:pt idx="1606">
                  <c:v>0.32132213216901806</c:v>
                </c:pt>
                <c:pt idx="1607">
                  <c:v>0.32157721497066716</c:v>
                </c:pt>
                <c:pt idx="1608">
                  <c:v>0.32177092348764902</c:v>
                </c:pt>
                <c:pt idx="1609">
                  <c:v>0.32193857240382079</c:v>
                </c:pt>
                <c:pt idx="1610">
                  <c:v>0.32213728973747635</c:v>
                </c:pt>
                <c:pt idx="1611">
                  <c:v>0.32231024244616513</c:v>
                </c:pt>
                <c:pt idx="1612">
                  <c:v>0.32254152182618662</c:v>
                </c:pt>
                <c:pt idx="1613">
                  <c:v>0.32261809433424338</c:v>
                </c:pt>
                <c:pt idx="1614">
                  <c:v>0.32280327838631423</c:v>
                </c:pt>
                <c:pt idx="1615">
                  <c:v>0.32317839088974948</c:v>
                </c:pt>
                <c:pt idx="1616">
                  <c:v>0.32330005464053246</c:v>
                </c:pt>
                <c:pt idx="1617">
                  <c:v>0.32352706917080265</c:v>
                </c:pt>
                <c:pt idx="1618">
                  <c:v>0.32376024952390237</c:v>
                </c:pt>
                <c:pt idx="1619">
                  <c:v>0.32386519457610913</c:v>
                </c:pt>
                <c:pt idx="1620">
                  <c:v>0.32414913146331653</c:v>
                </c:pt>
                <c:pt idx="1621">
                  <c:v>0.32431153197048967</c:v>
                </c:pt>
                <c:pt idx="1622">
                  <c:v>0.32455282295810822</c:v>
                </c:pt>
                <c:pt idx="1623">
                  <c:v>0.32467434605068396</c:v>
                </c:pt>
                <c:pt idx="1624">
                  <c:v>0.3249719881955469</c:v>
                </c:pt>
                <c:pt idx="1625">
                  <c:v>0.32509462542182171</c:v>
                </c:pt>
                <c:pt idx="1626">
                  <c:v>0.32529401008260761</c:v>
                </c:pt>
                <c:pt idx="1627">
                  <c:v>0.32542975921552386</c:v>
                </c:pt>
                <c:pt idx="1628">
                  <c:v>0.32578275558175118</c:v>
                </c:pt>
                <c:pt idx="1629">
                  <c:v>0.32582312744348846</c:v>
                </c:pt>
                <c:pt idx="1630">
                  <c:v>0.32605613563392682</c:v>
                </c:pt>
                <c:pt idx="1631">
                  <c:v>0.32633754074702448</c:v>
                </c:pt>
                <c:pt idx="1632">
                  <c:v>0.32646981011584164</c:v>
                </c:pt>
                <c:pt idx="1633">
                  <c:v>0.32674079208870904</c:v>
                </c:pt>
                <c:pt idx="1634">
                  <c:v>0.32692003977660095</c:v>
                </c:pt>
                <c:pt idx="1635">
                  <c:v>0.32704343954227943</c:v>
                </c:pt>
                <c:pt idx="1636">
                  <c:v>0.32723123823679778</c:v>
                </c:pt>
                <c:pt idx="1637">
                  <c:v>0.32740524958232542</c:v>
                </c:pt>
                <c:pt idx="1638">
                  <c:v>0.32773689592432625</c:v>
                </c:pt>
                <c:pt idx="1639">
                  <c:v>0.3279650375039701</c:v>
                </c:pt>
                <c:pt idx="1640">
                  <c:v>0.32800531240366521</c:v>
                </c:pt>
                <c:pt idx="1641">
                  <c:v>0.3283349949750432</c:v>
                </c:pt>
                <c:pt idx="1642">
                  <c:v>0.32856306390724216</c:v>
                </c:pt>
                <c:pt idx="1643">
                  <c:v>0.32877631983872885</c:v>
                </c:pt>
                <c:pt idx="1644">
                  <c:v>0.32894137791011979</c:v>
                </c:pt>
                <c:pt idx="1645">
                  <c:v>0.3291522566857637</c:v>
                </c:pt>
                <c:pt idx="1646">
                  <c:v>0.32937524223457443</c:v>
                </c:pt>
                <c:pt idx="1647">
                  <c:v>0.32952916302604812</c:v>
                </c:pt>
                <c:pt idx="1648">
                  <c:v>0.32977909049489051</c:v>
                </c:pt>
                <c:pt idx="1649">
                  <c:v>0.32994364658141123</c:v>
                </c:pt>
                <c:pt idx="1650">
                  <c:v>0.33008564969624526</c:v>
                </c:pt>
                <c:pt idx="1651">
                  <c:v>0.33024582032599625</c:v>
                </c:pt>
                <c:pt idx="1652">
                  <c:v>0.3305871762904774</c:v>
                </c:pt>
                <c:pt idx="1653">
                  <c:v>0.33071761611139344</c:v>
                </c:pt>
                <c:pt idx="1654">
                  <c:v>0.33090171618254433</c:v>
                </c:pt>
                <c:pt idx="1655">
                  <c:v>0.33119317583292562</c:v>
                </c:pt>
                <c:pt idx="1656">
                  <c:v>0.33128429651537078</c:v>
                </c:pt>
                <c:pt idx="1657">
                  <c:v>0.33150907415349712</c:v>
                </c:pt>
                <c:pt idx="1658">
                  <c:v>0.33175065279527349</c:v>
                </c:pt>
                <c:pt idx="1659">
                  <c:v>0.33198254521535303</c:v>
                </c:pt>
                <c:pt idx="1660">
                  <c:v>0.33216316161764858</c:v>
                </c:pt>
                <c:pt idx="1661">
                  <c:v>0.33230526244735936</c:v>
                </c:pt>
                <c:pt idx="1662">
                  <c:v>0.33247111119750677</c:v>
                </c:pt>
                <c:pt idx="1663">
                  <c:v>0.33267756020130534</c:v>
                </c:pt>
                <c:pt idx="1664">
                  <c:v>0.33280155205568335</c:v>
                </c:pt>
                <c:pt idx="1665">
                  <c:v>0.33311443141701502</c:v>
                </c:pt>
                <c:pt idx="1666">
                  <c:v>0.33330807238302845</c:v>
                </c:pt>
                <c:pt idx="1667">
                  <c:v>0.33350244654456679</c:v>
                </c:pt>
                <c:pt idx="1668">
                  <c:v>0.33361804411458268</c:v>
                </c:pt>
                <c:pt idx="1669">
                  <c:v>0.33381426113779056</c:v>
                </c:pt>
                <c:pt idx="1670">
                  <c:v>0.33400637233606689</c:v>
                </c:pt>
                <c:pt idx="1671">
                  <c:v>0.3342019517863174</c:v>
                </c:pt>
                <c:pt idx="1672">
                  <c:v>0.33452137634919987</c:v>
                </c:pt>
                <c:pt idx="1673">
                  <c:v>0.33477351643256226</c:v>
                </c:pt>
                <c:pt idx="1674">
                  <c:v>0.33499227136107912</c:v>
                </c:pt>
                <c:pt idx="1675">
                  <c:v>0.33519931665742758</c:v>
                </c:pt>
                <c:pt idx="1676">
                  <c:v>0.33526638608455339</c:v>
                </c:pt>
                <c:pt idx="1677">
                  <c:v>0.33542239641105348</c:v>
                </c:pt>
                <c:pt idx="1678">
                  <c:v>0.33570378676604101</c:v>
                </c:pt>
                <c:pt idx="1679">
                  <c:v>0.33585395215131664</c:v>
                </c:pt>
                <c:pt idx="1680">
                  <c:v>0.3360745098304177</c:v>
                </c:pt>
                <c:pt idx="1681">
                  <c:v>0.33636898024752016</c:v>
                </c:pt>
                <c:pt idx="1682">
                  <c:v>0.3364295637627201</c:v>
                </c:pt>
                <c:pt idx="1683">
                  <c:v>0.33676706157568076</c:v>
                </c:pt>
                <c:pt idx="1684">
                  <c:v>0.33680089438478483</c:v>
                </c:pt>
                <c:pt idx="1685">
                  <c:v>0.33700056677418777</c:v>
                </c:pt>
                <c:pt idx="1686">
                  <c:v>0.33722663817871978</c:v>
                </c:pt>
                <c:pt idx="1687">
                  <c:v>0.33757507845814688</c:v>
                </c:pt>
                <c:pt idx="1688">
                  <c:v>0.33767767911317703</c:v>
                </c:pt>
                <c:pt idx="1689">
                  <c:v>0.33782809738969155</c:v>
                </c:pt>
                <c:pt idx="1690">
                  <c:v>0.33802009234265895</c:v>
                </c:pt>
                <c:pt idx="1691">
                  <c:v>0.33838425290211666</c:v>
                </c:pt>
                <c:pt idx="1692">
                  <c:v>0.33858854393060051</c:v>
                </c:pt>
                <c:pt idx="1693">
                  <c:v>0.33869704745954299</c:v>
                </c:pt>
                <c:pt idx="1694">
                  <c:v>0.33897589744785239</c:v>
                </c:pt>
                <c:pt idx="1695">
                  <c:v>0.33916725682252252</c:v>
                </c:pt>
                <c:pt idx="1696">
                  <c:v>0.3393533267727013</c:v>
                </c:pt>
                <c:pt idx="1697">
                  <c:v>0.33942693224475418</c:v>
                </c:pt>
                <c:pt idx="1698">
                  <c:v>0.33967176487061002</c:v>
                </c:pt>
                <c:pt idx="1699">
                  <c:v>0.33996012504509654</c:v>
                </c:pt>
                <c:pt idx="1700">
                  <c:v>0.34019245705865148</c:v>
                </c:pt>
                <c:pt idx="1701">
                  <c:v>0.34035450011337048</c:v>
                </c:pt>
                <c:pt idx="1702">
                  <c:v>0.34040198552226691</c:v>
                </c:pt>
                <c:pt idx="1703">
                  <c:v>0.3406303749786761</c:v>
                </c:pt>
                <c:pt idx="1704">
                  <c:v>0.34087352917056379</c:v>
                </c:pt>
                <c:pt idx="1705">
                  <c:v>0.34105471374445007</c:v>
                </c:pt>
                <c:pt idx="1706">
                  <c:v>0.34120982588930282</c:v>
                </c:pt>
                <c:pt idx="1707">
                  <c:v>0.34152881265714041</c:v>
                </c:pt>
                <c:pt idx="1708">
                  <c:v>0.34164479075089205</c:v>
                </c:pt>
                <c:pt idx="1709">
                  <c:v>0.3419873902945284</c:v>
                </c:pt>
                <c:pt idx="1710">
                  <c:v>0.34211496035547811</c:v>
                </c:pt>
                <c:pt idx="1711">
                  <c:v>0.3422271098301809</c:v>
                </c:pt>
                <c:pt idx="1712">
                  <c:v>0.34253943885051169</c:v>
                </c:pt>
                <c:pt idx="1713">
                  <c:v>0.34279229585993859</c:v>
                </c:pt>
                <c:pt idx="1714">
                  <c:v>0.34286121341112563</c:v>
                </c:pt>
                <c:pt idx="1715">
                  <c:v>0.34304525637292427</c:v>
                </c:pt>
                <c:pt idx="1716">
                  <c:v>0.34326930276869549</c:v>
                </c:pt>
                <c:pt idx="1717">
                  <c:v>0.34350964253663774</c:v>
                </c:pt>
                <c:pt idx="1718">
                  <c:v>0.3437398924202984</c:v>
                </c:pt>
                <c:pt idx="1719">
                  <c:v>0.34390337742546184</c:v>
                </c:pt>
                <c:pt idx="1720">
                  <c:v>0.34406526025977574</c:v>
                </c:pt>
                <c:pt idx="1721">
                  <c:v>0.34428171164460519</c:v>
                </c:pt>
                <c:pt idx="1722">
                  <c:v>0.34457877634069389</c:v>
                </c:pt>
                <c:pt idx="1723">
                  <c:v>0.34467739029034911</c:v>
                </c:pt>
                <c:pt idx="1724">
                  <c:v>0.34487772137450001</c:v>
                </c:pt>
                <c:pt idx="1725">
                  <c:v>0.34505541409157575</c:v>
                </c:pt>
                <c:pt idx="1726">
                  <c:v>0.3453904985183362</c:v>
                </c:pt>
                <c:pt idx="1727">
                  <c:v>0.34552040452219551</c:v>
                </c:pt>
                <c:pt idx="1728">
                  <c:v>0.34560447864490668</c:v>
                </c:pt>
                <c:pt idx="1729">
                  <c:v>0.34599983264300965</c:v>
                </c:pt>
                <c:pt idx="1730">
                  <c:v>0.34603623941243539</c:v>
                </c:pt>
                <c:pt idx="1731">
                  <c:v>0.34633471135379157</c:v>
                </c:pt>
                <c:pt idx="1732">
                  <c:v>0.34656696133398612</c:v>
                </c:pt>
                <c:pt idx="1733">
                  <c:v>0.34669036094515826</c:v>
                </c:pt>
                <c:pt idx="1734">
                  <c:v>0.34687765806198068</c:v>
                </c:pt>
                <c:pt idx="1735">
                  <c:v>0.34710443416170417</c:v>
                </c:pt>
                <c:pt idx="1736">
                  <c:v>0.34721617323849729</c:v>
                </c:pt>
                <c:pt idx="1737">
                  <c:v>0.34746388300174469</c:v>
                </c:pt>
                <c:pt idx="1738">
                  <c:v>0.34764936483713088</c:v>
                </c:pt>
                <c:pt idx="1739">
                  <c:v>0.34792983636114044</c:v>
                </c:pt>
                <c:pt idx="1740">
                  <c:v>0.34807679324049429</c:v>
                </c:pt>
                <c:pt idx="1741">
                  <c:v>0.34832941601740419</c:v>
                </c:pt>
                <c:pt idx="1742">
                  <c:v>0.34852800794270072</c:v>
                </c:pt>
                <c:pt idx="1743">
                  <c:v>0.34863759265854899</c:v>
                </c:pt>
                <c:pt idx="1744">
                  <c:v>0.34890747464390176</c:v>
                </c:pt>
                <c:pt idx="1745">
                  <c:v>0.34901504178126691</c:v>
                </c:pt>
                <c:pt idx="1746">
                  <c:v>0.34939954842980941</c:v>
                </c:pt>
                <c:pt idx="1747">
                  <c:v>0.34955040744881855</c:v>
                </c:pt>
                <c:pt idx="1748">
                  <c:v>0.34970138695158559</c:v>
                </c:pt>
                <c:pt idx="1749">
                  <c:v>0.34993872549006216</c:v>
                </c:pt>
                <c:pt idx="1750">
                  <c:v>0.35007895655065752</c:v>
                </c:pt>
                <c:pt idx="1751">
                  <c:v>0.35023141808799269</c:v>
                </c:pt>
                <c:pt idx="1752">
                  <c:v>0.3504412597995813</c:v>
                </c:pt>
                <c:pt idx="1753">
                  <c:v>0.35060256665777473</c:v>
                </c:pt>
                <c:pt idx="1754">
                  <c:v>0.3509444501189386</c:v>
                </c:pt>
                <c:pt idx="1755">
                  <c:v>0.3510612709617385</c:v>
                </c:pt>
                <c:pt idx="1756">
                  <c:v>0.35130978038588301</c:v>
                </c:pt>
                <c:pt idx="1757">
                  <c:v>0.35148403091549035</c:v>
                </c:pt>
                <c:pt idx="1758">
                  <c:v>0.35162398494887726</c:v>
                </c:pt>
                <c:pt idx="1759">
                  <c:v>0.351820677118241</c:v>
                </c:pt>
                <c:pt idx="1760">
                  <c:v>0.35200202602753461</c:v>
                </c:pt>
                <c:pt idx="1761">
                  <c:v>0.35222729067863601</c:v>
                </c:pt>
                <c:pt idx="1762">
                  <c:v>0.35247691718597823</c:v>
                </c:pt>
                <c:pt idx="1763">
                  <c:v>0.35275536856789963</c:v>
                </c:pt>
                <c:pt idx="1764">
                  <c:v>0.35297648491938055</c:v>
                </c:pt>
                <c:pt idx="1765">
                  <c:v>0.35312453716516601</c:v>
                </c:pt>
                <c:pt idx="1766">
                  <c:v>0.35330227635253741</c:v>
                </c:pt>
                <c:pt idx="1767">
                  <c:v>0.35342867775392456</c:v>
                </c:pt>
                <c:pt idx="1768">
                  <c:v>0.35377234380547246</c:v>
                </c:pt>
                <c:pt idx="1769">
                  <c:v>0.35386393338089434</c:v>
                </c:pt>
                <c:pt idx="1770">
                  <c:v>0.35413305461931344</c:v>
                </c:pt>
                <c:pt idx="1771">
                  <c:v>0.35433569805983822</c:v>
                </c:pt>
                <c:pt idx="1772">
                  <c:v>0.35451881074973352</c:v>
                </c:pt>
                <c:pt idx="1773">
                  <c:v>0.35475026543176502</c:v>
                </c:pt>
                <c:pt idx="1774">
                  <c:v>0.35483615692575371</c:v>
                </c:pt>
                <c:pt idx="1775">
                  <c:v>0.35513070574093858</c:v>
                </c:pt>
                <c:pt idx="1776">
                  <c:v>0.35520027771373286</c:v>
                </c:pt>
                <c:pt idx="1777">
                  <c:v>0.35555343771990239</c:v>
                </c:pt>
                <c:pt idx="1778">
                  <c:v>0.35569130403587856</c:v>
                </c:pt>
                <c:pt idx="1779">
                  <c:v>0.35599524963484036</c:v>
                </c:pt>
                <c:pt idx="1780">
                  <c:v>0.35605841967818758</c:v>
                </c:pt>
                <c:pt idx="1781">
                  <c:v>0.35635975396841757</c:v>
                </c:pt>
                <c:pt idx="1782">
                  <c:v>0.35653120096780622</c:v>
                </c:pt>
                <c:pt idx="1783">
                  <c:v>0.35664790932793355</c:v>
                </c:pt>
                <c:pt idx="1784">
                  <c:v>0.35694389210896194</c:v>
                </c:pt>
                <c:pt idx="1785">
                  <c:v>0.35707949272880318</c:v>
                </c:pt>
                <c:pt idx="1786">
                  <c:v>0.35720387067124337</c:v>
                </c:pt>
                <c:pt idx="1787">
                  <c:v>0.35741074373577969</c:v>
                </c:pt>
                <c:pt idx="1788">
                  <c:v>0.35765766825942735</c:v>
                </c:pt>
                <c:pt idx="1789">
                  <c:v>0.35792427969540569</c:v>
                </c:pt>
                <c:pt idx="1790">
                  <c:v>0.35805549273594645</c:v>
                </c:pt>
                <c:pt idx="1791">
                  <c:v>0.35821774320747185</c:v>
                </c:pt>
                <c:pt idx="1792">
                  <c:v>0.3585510207941176</c:v>
                </c:pt>
                <c:pt idx="1793">
                  <c:v>0.35876840990119807</c:v>
                </c:pt>
                <c:pt idx="1794">
                  <c:v>0.35897227603601578</c:v>
                </c:pt>
                <c:pt idx="1795">
                  <c:v>0.35910844702453082</c:v>
                </c:pt>
                <c:pt idx="1796">
                  <c:v>0.35934224694123079</c:v>
                </c:pt>
                <c:pt idx="1797">
                  <c:v>0.35943558352287758</c:v>
                </c:pt>
                <c:pt idx="1798">
                  <c:v>0.35976271901739826</c:v>
                </c:pt>
                <c:pt idx="1799">
                  <c:v>0.35986649384090358</c:v>
                </c:pt>
                <c:pt idx="1800">
                  <c:v>0.36017563044521389</c:v>
                </c:pt>
                <c:pt idx="1801">
                  <c:v>0.36024175752271942</c:v>
                </c:pt>
                <c:pt idx="1802">
                  <c:v>0.36052020413869063</c:v>
                </c:pt>
                <c:pt idx="1803">
                  <c:v>0.3606292489157592</c:v>
                </c:pt>
                <c:pt idx="1804">
                  <c:v>0.3608018342339438</c:v>
                </c:pt>
                <c:pt idx="1805">
                  <c:v>0.36119318527281125</c:v>
                </c:pt>
                <c:pt idx="1806">
                  <c:v>0.36133033431436173</c:v>
                </c:pt>
                <c:pt idx="1807">
                  <c:v>0.36145794149419713</c:v>
                </c:pt>
                <c:pt idx="1808">
                  <c:v>0.36160719574070704</c:v>
                </c:pt>
                <c:pt idx="1809">
                  <c:v>0.36197324750115473</c:v>
                </c:pt>
                <c:pt idx="1810">
                  <c:v>0.36201963308654256</c:v>
                </c:pt>
                <c:pt idx="1811">
                  <c:v>0.36238189269690352</c:v>
                </c:pt>
                <c:pt idx="1812">
                  <c:v>0.36244019381949683</c:v>
                </c:pt>
                <c:pt idx="1813">
                  <c:v>0.36270500515902065</c:v>
                </c:pt>
                <c:pt idx="1814">
                  <c:v>0.36290580190692701</c:v>
                </c:pt>
                <c:pt idx="1815">
                  <c:v>0.36311535604435846</c:v>
                </c:pt>
                <c:pt idx="1816">
                  <c:v>0.36332441235345891</c:v>
                </c:pt>
                <c:pt idx="1817">
                  <c:v>0.36358350499034475</c:v>
                </c:pt>
                <c:pt idx="1818">
                  <c:v>0.36370791005238606</c:v>
                </c:pt>
                <c:pt idx="1819">
                  <c:v>0.3639514364234524</c:v>
                </c:pt>
                <c:pt idx="1820">
                  <c:v>0.36401798195932478</c:v>
                </c:pt>
                <c:pt idx="1821">
                  <c:v>0.36423204118475133</c:v>
                </c:pt>
                <c:pt idx="1822">
                  <c:v>0.36445886165184405</c:v>
                </c:pt>
                <c:pt idx="1823">
                  <c:v>0.36479323099572053</c:v>
                </c:pt>
                <c:pt idx="1824">
                  <c:v>0.36498540670564056</c:v>
                </c:pt>
                <c:pt idx="1825">
                  <c:v>0.36502938304823573</c:v>
                </c:pt>
                <c:pt idx="1826">
                  <c:v>0.36522126520453518</c:v>
                </c:pt>
                <c:pt idx="1827">
                  <c:v>0.3654747743956453</c:v>
                </c:pt>
                <c:pt idx="1828">
                  <c:v>0.36573221937821532</c:v>
                </c:pt>
                <c:pt idx="1829">
                  <c:v>0.36583550535743953</c:v>
                </c:pt>
                <c:pt idx="1830">
                  <c:v>0.36601115922704597</c:v>
                </c:pt>
                <c:pt idx="1831">
                  <c:v>0.36622020980217962</c:v>
                </c:pt>
                <c:pt idx="1832">
                  <c:v>0.36656028219637471</c:v>
                </c:pt>
                <c:pt idx="1833">
                  <c:v>0.36678142704451022</c:v>
                </c:pt>
                <c:pt idx="1834">
                  <c:v>0.36699898187229385</c:v>
                </c:pt>
                <c:pt idx="1835">
                  <c:v>0.36716748285851619</c:v>
                </c:pt>
                <c:pt idx="1836">
                  <c:v>0.36722264072117922</c:v>
                </c:pt>
                <c:pt idx="1837">
                  <c:v>0.3674875754202454</c:v>
                </c:pt>
                <c:pt idx="1838">
                  <c:v>0.3676246939177682</c:v>
                </c:pt>
                <c:pt idx="1839">
                  <c:v>0.36793647572871685</c:v>
                </c:pt>
                <c:pt idx="1840">
                  <c:v>0.36808382456965832</c:v>
                </c:pt>
                <c:pt idx="1841">
                  <c:v>0.36823241378297855</c:v>
                </c:pt>
                <c:pt idx="1842">
                  <c:v>0.368595792916323</c:v>
                </c:pt>
                <c:pt idx="1843">
                  <c:v>0.36875689152175489</c:v>
                </c:pt>
                <c:pt idx="1844">
                  <c:v>0.36890693300448052</c:v>
                </c:pt>
                <c:pt idx="1845">
                  <c:v>0.3691053270583286</c:v>
                </c:pt>
                <c:pt idx="1846">
                  <c:v>0.36928892142015718</c:v>
                </c:pt>
                <c:pt idx="1847">
                  <c:v>0.36946659347383926</c:v>
                </c:pt>
                <c:pt idx="1848">
                  <c:v>0.36977997055626005</c:v>
                </c:pt>
                <c:pt idx="1849">
                  <c:v>0.36986873005616216</c:v>
                </c:pt>
                <c:pt idx="1850">
                  <c:v>0.37013107528745454</c:v>
                </c:pt>
                <c:pt idx="1851">
                  <c:v>0.37023345493195425</c:v>
                </c:pt>
                <c:pt idx="1852">
                  <c:v>0.37057345827528587</c:v>
                </c:pt>
                <c:pt idx="1853">
                  <c:v>0.37077665779911367</c:v>
                </c:pt>
                <c:pt idx="1854">
                  <c:v>0.37099469408290336</c:v>
                </c:pt>
                <c:pt idx="1855">
                  <c:v>0.3710834856927589</c:v>
                </c:pt>
                <c:pt idx="1856">
                  <c:v>0.37127483251785737</c:v>
                </c:pt>
                <c:pt idx="1857">
                  <c:v>0.37147929367224669</c:v>
                </c:pt>
                <c:pt idx="1858">
                  <c:v>0.37162249953202497</c:v>
                </c:pt>
                <c:pt idx="1859">
                  <c:v>0.37183493634574927</c:v>
                </c:pt>
                <c:pt idx="1860">
                  <c:v>0.37202056201282435</c:v>
                </c:pt>
                <c:pt idx="1861">
                  <c:v>0.37239453714135906</c:v>
                </c:pt>
                <c:pt idx="1862">
                  <c:v>0.37256039569744848</c:v>
                </c:pt>
                <c:pt idx="1863">
                  <c:v>0.37279529246403725</c:v>
                </c:pt>
                <c:pt idx="1864">
                  <c:v>0.37282239613808282</c:v>
                </c:pt>
                <c:pt idx="1865">
                  <c:v>0.37310901539295654</c:v>
                </c:pt>
                <c:pt idx="1866">
                  <c:v>0.37334622887227364</c:v>
                </c:pt>
                <c:pt idx="1867">
                  <c:v>0.3734235833624433</c:v>
                </c:pt>
                <c:pt idx="1868">
                  <c:v>0.3736578700404749</c:v>
                </c:pt>
                <c:pt idx="1869">
                  <c:v>0.37386208866067744</c:v>
                </c:pt>
                <c:pt idx="1870">
                  <c:v>0.37400257344516052</c:v>
                </c:pt>
                <c:pt idx="1871">
                  <c:v>0.37435462059191305</c:v>
                </c:pt>
                <c:pt idx="1872">
                  <c:v>0.37459659206201246</c:v>
                </c:pt>
                <c:pt idx="1873">
                  <c:v>0.37466880491000337</c:v>
                </c:pt>
                <c:pt idx="1874">
                  <c:v>0.37485546204798281</c:v>
                </c:pt>
                <c:pt idx="1875">
                  <c:v>0.37519181664166779</c:v>
                </c:pt>
                <c:pt idx="1876">
                  <c:v>0.3752758810534319</c:v>
                </c:pt>
                <c:pt idx="1877">
                  <c:v>0.37557750091789699</c:v>
                </c:pt>
                <c:pt idx="1878">
                  <c:v>0.37578775572040762</c:v>
                </c:pt>
                <c:pt idx="1879">
                  <c:v>0.3759599625814613</c:v>
                </c:pt>
                <c:pt idx="1880">
                  <c:v>0.37608003913487309</c:v>
                </c:pt>
                <c:pt idx="1881">
                  <c:v>0.37625766069406125</c:v>
                </c:pt>
                <c:pt idx="1882">
                  <c:v>0.37647380905367289</c:v>
                </c:pt>
                <c:pt idx="1883">
                  <c:v>0.37665671403637541</c:v>
                </c:pt>
                <c:pt idx="1884">
                  <c:v>0.37697666896166671</c:v>
                </c:pt>
                <c:pt idx="1885">
                  <c:v>0.37708216852575593</c:v>
                </c:pt>
                <c:pt idx="1886">
                  <c:v>0.37738166441265064</c:v>
                </c:pt>
                <c:pt idx="1887">
                  <c:v>0.3774317653489373</c:v>
                </c:pt>
                <c:pt idx="1888">
                  <c:v>0.37763844437432442</c:v>
                </c:pt>
                <c:pt idx="1889">
                  <c:v>0.37790665744890145</c:v>
                </c:pt>
                <c:pt idx="1890">
                  <c:v>0.37812926751778675</c:v>
                </c:pt>
                <c:pt idx="1891">
                  <c:v>0.3783552953947697</c:v>
                </c:pt>
                <c:pt idx="1892">
                  <c:v>0.37847809315218545</c:v>
                </c:pt>
                <c:pt idx="1893">
                  <c:v>0.37873574695380768</c:v>
                </c:pt>
                <c:pt idx="1894">
                  <c:v>0.37881756344428696</c:v>
                </c:pt>
                <c:pt idx="1895">
                  <c:v>0.37916448195156743</c:v>
                </c:pt>
                <c:pt idx="1896">
                  <c:v>0.3793721455948828</c:v>
                </c:pt>
                <c:pt idx="1897">
                  <c:v>0.37940297643090665</c:v>
                </c:pt>
                <c:pt idx="1898">
                  <c:v>0.37979522270541527</c:v>
                </c:pt>
                <c:pt idx="1899">
                  <c:v>0.37995212105828152</c:v>
                </c:pt>
                <c:pt idx="1900">
                  <c:v>0.38019201872758379</c:v>
                </c:pt>
                <c:pt idx="1901">
                  <c:v>0.38024436308384041</c:v>
                </c:pt>
                <c:pt idx="1902">
                  <c:v>0.38044855615730599</c:v>
                </c:pt>
                <c:pt idx="1903">
                  <c:v>0.380741895973017</c:v>
                </c:pt>
                <c:pt idx="1904">
                  <c:v>0.38084115915900124</c:v>
                </c:pt>
                <c:pt idx="1905">
                  <c:v>0.38110645638259744</c:v>
                </c:pt>
                <c:pt idx="1906">
                  <c:v>0.38132110299149552</c:v>
                </c:pt>
                <c:pt idx="1907">
                  <c:v>0.38141786602656769</c:v>
                </c:pt>
                <c:pt idx="1908">
                  <c:v>0.38177336218510138</c:v>
                </c:pt>
                <c:pt idx="1909">
                  <c:v>0.38181505844258123</c:v>
                </c:pt>
                <c:pt idx="1910">
                  <c:v>0.38217578672198016</c:v>
                </c:pt>
                <c:pt idx="1911">
                  <c:v>0.38233219246369138</c:v>
                </c:pt>
                <c:pt idx="1912">
                  <c:v>0.38256849092682094</c:v>
                </c:pt>
                <c:pt idx="1913">
                  <c:v>0.3826876466033719</c:v>
                </c:pt>
                <c:pt idx="1914">
                  <c:v>0.38292861025415559</c:v>
                </c:pt>
                <c:pt idx="1915">
                  <c:v>0.38308768308765434</c:v>
                </c:pt>
                <c:pt idx="1916">
                  <c:v>0.38332276096016232</c:v>
                </c:pt>
                <c:pt idx="1917">
                  <c:v>0.38348994765819283</c:v>
                </c:pt>
                <c:pt idx="1918">
                  <c:v>0.38374543239016679</c:v>
                </c:pt>
                <c:pt idx="1919">
                  <c:v>0.3839207680397948</c:v>
                </c:pt>
                <c:pt idx="1920">
                  <c:v>0.38413789454860098</c:v>
                </c:pt>
                <c:pt idx="1921">
                  <c:v>0.38429207165229412</c:v>
                </c:pt>
                <c:pt idx="1922">
                  <c:v>0.38443319480466498</c:v>
                </c:pt>
                <c:pt idx="1923">
                  <c:v>0.38479474067413127</c:v>
                </c:pt>
                <c:pt idx="1924">
                  <c:v>0.38496979413669785</c:v>
                </c:pt>
                <c:pt idx="1925">
                  <c:v>0.38507632028848782</c:v>
                </c:pt>
                <c:pt idx="1926">
                  <c:v>0.38539611151288172</c:v>
                </c:pt>
                <c:pt idx="1927">
                  <c:v>0.38554120892932203</c:v>
                </c:pt>
                <c:pt idx="1928">
                  <c:v>0.38564465402621884</c:v>
                </c:pt>
                <c:pt idx="1929">
                  <c:v>0.38593596426866389</c:v>
                </c:pt>
                <c:pt idx="1930">
                  <c:v>0.3861245834684755</c:v>
                </c:pt>
                <c:pt idx="1931">
                  <c:v>0.38623701725467974</c:v>
                </c:pt>
                <c:pt idx="1932">
                  <c:v>0.38649935704104121</c:v>
                </c:pt>
                <c:pt idx="1933">
                  <c:v>0.3866741726022852</c:v>
                </c:pt>
                <c:pt idx="1934">
                  <c:v>0.38691803596590596</c:v>
                </c:pt>
                <c:pt idx="1935">
                  <c:v>0.38700740381754178</c:v>
                </c:pt>
                <c:pt idx="1936">
                  <c:v>0.38738773888018629</c:v>
                </c:pt>
                <c:pt idx="1937">
                  <c:v>0.38745146689900467</c:v>
                </c:pt>
                <c:pt idx="1938">
                  <c:v>0.38766283467311013</c:v>
                </c:pt>
                <c:pt idx="1939">
                  <c:v>0.38797968707461367</c:v>
                </c:pt>
                <c:pt idx="1940">
                  <c:v>0.38801320751416807</c:v>
                </c:pt>
                <c:pt idx="1941">
                  <c:v>0.38834085289364234</c:v>
                </c:pt>
                <c:pt idx="1942">
                  <c:v>0.38845690540668015</c:v>
                </c:pt>
                <c:pt idx="1943">
                  <c:v>0.38866608182561257</c:v>
                </c:pt>
                <c:pt idx="1944">
                  <c:v>0.38881416423456144</c:v>
                </c:pt>
                <c:pt idx="1945">
                  <c:v>0.38900372951557016</c:v>
                </c:pt>
                <c:pt idx="1946">
                  <c:v>0.38920697090281337</c:v>
                </c:pt>
                <c:pt idx="1947">
                  <c:v>0.38959378334772626</c:v>
                </c:pt>
                <c:pt idx="1948">
                  <c:v>0.38973659458834131</c:v>
                </c:pt>
                <c:pt idx="1949">
                  <c:v>0.38988463157235753</c:v>
                </c:pt>
                <c:pt idx="1950">
                  <c:v>0.39001030404996367</c:v>
                </c:pt>
                <c:pt idx="1951">
                  <c:v>0.3902076377992536</c:v>
                </c:pt>
                <c:pt idx="1952">
                  <c:v>0.39049898970944319</c:v>
                </c:pt>
                <c:pt idx="1953">
                  <c:v>0.39072665392577799</c:v>
                </c:pt>
                <c:pt idx="1954">
                  <c:v>0.39099335254016176</c:v>
                </c:pt>
                <c:pt idx="1955">
                  <c:v>0.39110581063244165</c:v>
                </c:pt>
                <c:pt idx="1956">
                  <c:v>0.39134901218869467</c:v>
                </c:pt>
                <c:pt idx="1957">
                  <c:v>0.39142715678755824</c:v>
                </c:pt>
                <c:pt idx="1958">
                  <c:v>0.39170661273917806</c:v>
                </c:pt>
                <c:pt idx="1959">
                  <c:v>0.39182486879504863</c:v>
                </c:pt>
                <c:pt idx="1960">
                  <c:v>0.392068021874099</c:v>
                </c:pt>
                <c:pt idx="1961">
                  <c:v>0.39225164670503038</c:v>
                </c:pt>
                <c:pt idx="1962">
                  <c:v>0.39256547314984852</c:v>
                </c:pt>
                <c:pt idx="1963">
                  <c:v>0.3926769216239166</c:v>
                </c:pt>
                <c:pt idx="1964">
                  <c:v>0.39282110168822598</c:v>
                </c:pt>
                <c:pt idx="1965">
                  <c:v>0.39311559596911905</c:v>
                </c:pt>
                <c:pt idx="1966">
                  <c:v>0.39322017697948497</c:v>
                </c:pt>
                <c:pt idx="1967">
                  <c:v>0.39358208030242986</c:v>
                </c:pt>
                <c:pt idx="1968">
                  <c:v>0.39376299783204755</c:v>
                </c:pt>
                <c:pt idx="1969">
                  <c:v>0.3939473827542615</c:v>
                </c:pt>
                <c:pt idx="1970">
                  <c:v>0.39413026013996694</c:v>
                </c:pt>
                <c:pt idx="1971">
                  <c:v>0.39429575700003089</c:v>
                </c:pt>
                <c:pt idx="1972">
                  <c:v>0.39452192740578246</c:v>
                </c:pt>
                <c:pt idx="1973">
                  <c:v>0.39478234798200018</c:v>
                </c:pt>
                <c:pt idx="1974">
                  <c:v>0.3948461968870941</c:v>
                </c:pt>
                <c:pt idx="1975">
                  <c:v>0.39505888122130622</c:v>
                </c:pt>
                <c:pt idx="1976">
                  <c:v>0.39522658309913861</c:v>
                </c:pt>
                <c:pt idx="1977">
                  <c:v>0.39553502440632671</c:v>
                </c:pt>
                <c:pt idx="1978">
                  <c:v>0.39564305685265988</c:v>
                </c:pt>
                <c:pt idx="1979">
                  <c:v>0.39593220028377424</c:v>
                </c:pt>
                <c:pt idx="1980">
                  <c:v>0.39603330763127503</c:v>
                </c:pt>
                <c:pt idx="1981">
                  <c:v>0.39627641889515247</c:v>
                </c:pt>
                <c:pt idx="1982">
                  <c:v>0.39657022811695242</c:v>
                </c:pt>
                <c:pt idx="1983">
                  <c:v>0.39675457072084641</c:v>
                </c:pt>
                <c:pt idx="1984">
                  <c:v>0.3969870749965746</c:v>
                </c:pt>
                <c:pt idx="1985">
                  <c:v>0.39714744700168897</c:v>
                </c:pt>
                <c:pt idx="1986">
                  <c:v>0.39737250010235525</c:v>
                </c:pt>
                <c:pt idx="1987">
                  <c:v>0.39751686559843757</c:v>
                </c:pt>
                <c:pt idx="1988">
                  <c:v>0.39763385552364255</c:v>
                </c:pt>
                <c:pt idx="1989">
                  <c:v>0.39798554932833313</c:v>
                </c:pt>
                <c:pt idx="1990">
                  <c:v>0.39802073579184261</c:v>
                </c:pt>
                <c:pt idx="1991">
                  <c:v>0.39820320294750927</c:v>
                </c:pt>
                <c:pt idx="1992">
                  <c:v>0.39843189786216987</c:v>
                </c:pt>
                <c:pt idx="1993">
                  <c:v>0.39871590403633095</c:v>
                </c:pt>
                <c:pt idx="1994">
                  <c:v>0.39886346244762266</c:v>
                </c:pt>
                <c:pt idx="1995">
                  <c:v>0.39911442393872759</c:v>
                </c:pt>
                <c:pt idx="1996">
                  <c:v>0.399344191675853</c:v>
                </c:pt>
                <c:pt idx="1997">
                  <c:v>0.39942157807364631</c:v>
                </c:pt>
                <c:pt idx="1998">
                  <c:v>0.39961687528817375</c:v>
                </c:pt>
                <c:pt idx="1999">
                  <c:v>0.39992675700665609</c:v>
                </c:pt>
                <c:pt idx="2000">
                  <c:v>0.40010247901293972</c:v>
                </c:pt>
                <c:pt idx="2001">
                  <c:v>0.40039166492731115</c:v>
                </c:pt>
                <c:pt idx="2002">
                  <c:v>0.40042782944427519</c:v>
                </c:pt>
                <c:pt idx="2003">
                  <c:v>0.4007375860127475</c:v>
                </c:pt>
                <c:pt idx="2004">
                  <c:v>0.40091313723463406</c:v>
                </c:pt>
                <c:pt idx="2005">
                  <c:v>0.4011828023211525</c:v>
                </c:pt>
                <c:pt idx="2006">
                  <c:v>0.4012909791534513</c:v>
                </c:pt>
                <c:pt idx="2007">
                  <c:v>0.40147395599858698</c:v>
                </c:pt>
                <c:pt idx="2008">
                  <c:v>0.40163825093205979</c:v>
                </c:pt>
                <c:pt idx="2009">
                  <c:v>0.40181069932044733</c:v>
                </c:pt>
                <c:pt idx="2010">
                  <c:v>0.40207691972713849</c:v>
                </c:pt>
                <c:pt idx="2011">
                  <c:v>0.40233741561424397</c:v>
                </c:pt>
                <c:pt idx="2012">
                  <c:v>0.40241654494577472</c:v>
                </c:pt>
                <c:pt idx="2013">
                  <c:v>0.40268853451416092</c:v>
                </c:pt>
                <c:pt idx="2014">
                  <c:v>0.40299649294167678</c:v>
                </c:pt>
                <c:pt idx="2015">
                  <c:v>0.40315289344018163</c:v>
                </c:pt>
                <c:pt idx="2016">
                  <c:v>0.40327641489316624</c:v>
                </c:pt>
                <c:pt idx="2017">
                  <c:v>0.40357514745285156</c:v>
                </c:pt>
                <c:pt idx="2018">
                  <c:v>0.40370571318816062</c:v>
                </c:pt>
                <c:pt idx="2019">
                  <c:v>0.40396955158979853</c:v>
                </c:pt>
                <c:pt idx="2020">
                  <c:v>0.4041877284852759</c:v>
                </c:pt>
                <c:pt idx="2021">
                  <c:v>0.4043344099094473</c:v>
                </c:pt>
                <c:pt idx="2022">
                  <c:v>0.40455002142152519</c:v>
                </c:pt>
                <c:pt idx="2023">
                  <c:v>0.40468225567412613</c:v>
                </c:pt>
                <c:pt idx="2024">
                  <c:v>0.40485791797369208</c:v>
                </c:pt>
                <c:pt idx="2025">
                  <c:v>0.40504662061036723</c:v>
                </c:pt>
                <c:pt idx="2026">
                  <c:v>0.40536367450579153</c:v>
                </c:pt>
                <c:pt idx="2027">
                  <c:v>0.40557613552607974</c:v>
                </c:pt>
                <c:pt idx="2028">
                  <c:v>0.40560988217224597</c:v>
                </c:pt>
                <c:pt idx="2029">
                  <c:v>0.40599532412513983</c:v>
                </c:pt>
                <c:pt idx="2030">
                  <c:v>0.40610181357974695</c:v>
                </c:pt>
                <c:pt idx="2031">
                  <c:v>0.40623114791755355</c:v>
                </c:pt>
                <c:pt idx="2032">
                  <c:v>0.4065315139562663</c:v>
                </c:pt>
                <c:pt idx="2033">
                  <c:v>0.4066268537478584</c:v>
                </c:pt>
                <c:pt idx="2034">
                  <c:v>0.40699828568575863</c:v>
                </c:pt>
                <c:pt idx="2035">
                  <c:v>0.40705106112883682</c:v>
                </c:pt>
                <c:pt idx="2036">
                  <c:v>0.40728680387760668</c:v>
                </c:pt>
                <c:pt idx="2037">
                  <c:v>0.40752443554781481</c:v>
                </c:pt>
                <c:pt idx="2038">
                  <c:v>0.40765472886125897</c:v>
                </c:pt>
                <c:pt idx="2039">
                  <c:v>0.40781474663322204</c:v>
                </c:pt>
                <c:pt idx="2040">
                  <c:v>0.40815665338732227</c:v>
                </c:pt>
                <c:pt idx="2041">
                  <c:v>0.4082183648498306</c:v>
                </c:pt>
                <c:pt idx="2042">
                  <c:v>0.40850129698535925</c:v>
                </c:pt>
                <c:pt idx="2043">
                  <c:v>0.40869292705182286</c:v>
                </c:pt>
                <c:pt idx="2044">
                  <c:v>0.40897785389441482</c:v>
                </c:pt>
                <c:pt idx="2045">
                  <c:v>0.40915859638167512</c:v>
                </c:pt>
                <c:pt idx="2046">
                  <c:v>0.40928251767383944</c:v>
                </c:pt>
                <c:pt idx="2047">
                  <c:v>0.40957913763792703</c:v>
                </c:pt>
                <c:pt idx="2048">
                  <c:v>0.40967612109325735</c:v>
                </c:pt>
                <c:pt idx="2049">
                  <c:v>0.40996665122466319</c:v>
                </c:pt>
                <c:pt idx="2050">
                  <c:v>0.4100643295792547</c:v>
                </c:pt>
                <c:pt idx="2051">
                  <c:v>0.41026958384408374</c:v>
                </c:pt>
                <c:pt idx="2052">
                  <c:v>0.41041377335824392</c:v>
                </c:pt>
                <c:pt idx="2053">
                  <c:v>0.41069728293830932</c:v>
                </c:pt>
                <c:pt idx="2054">
                  <c:v>0.410890036295189</c:v>
                </c:pt>
                <c:pt idx="2055">
                  <c:v>0.41117190390489339</c:v>
                </c:pt>
                <c:pt idx="2056">
                  <c:v>0.41130516966858532</c:v>
                </c:pt>
                <c:pt idx="2057">
                  <c:v>0.41153774588334791</c:v>
                </c:pt>
                <c:pt idx="2058">
                  <c:v>0.41175513913555889</c:v>
                </c:pt>
                <c:pt idx="2059">
                  <c:v>0.4119634308370676</c:v>
                </c:pt>
                <c:pt idx="2060">
                  <c:v>0.41218242796686999</c:v>
                </c:pt>
                <c:pt idx="2061">
                  <c:v>0.41228788376061432</c:v>
                </c:pt>
                <c:pt idx="2062">
                  <c:v>0.41257696327054338</c:v>
                </c:pt>
                <c:pt idx="2063">
                  <c:v>0.41276208122390373</c:v>
                </c:pt>
                <c:pt idx="2064">
                  <c:v>0.41284047511030003</c:v>
                </c:pt>
                <c:pt idx="2065">
                  <c:v>0.41302957333420165</c:v>
                </c:pt>
                <c:pt idx="2066">
                  <c:v>0.41328724707669745</c:v>
                </c:pt>
                <c:pt idx="2067">
                  <c:v>0.41353720208367734</c:v>
                </c:pt>
                <c:pt idx="2068">
                  <c:v>0.41374069590925722</c:v>
                </c:pt>
                <c:pt idx="2069">
                  <c:v>0.41392290096434836</c:v>
                </c:pt>
                <c:pt idx="2070">
                  <c:v>0.41407557116785909</c:v>
                </c:pt>
                <c:pt idx="2071">
                  <c:v>0.41424164336678615</c:v>
                </c:pt>
                <c:pt idx="2072">
                  <c:v>0.41453435658061283</c:v>
                </c:pt>
                <c:pt idx="2073">
                  <c:v>0.41474491574953892</c:v>
                </c:pt>
                <c:pt idx="2074">
                  <c:v>0.41487463430442723</c:v>
                </c:pt>
                <c:pt idx="2075">
                  <c:v>0.41503535619420828</c:v>
                </c:pt>
                <c:pt idx="2076">
                  <c:v>0.41535826882719018</c:v>
                </c:pt>
                <c:pt idx="2077">
                  <c:v>0.41555554024576102</c:v>
                </c:pt>
                <c:pt idx="2078">
                  <c:v>0.41561666423734667</c:v>
                </c:pt>
                <c:pt idx="2079">
                  <c:v>0.41581552312379133</c:v>
                </c:pt>
                <c:pt idx="2080">
                  <c:v>0.41600731803062546</c:v>
                </c:pt>
                <c:pt idx="2081">
                  <c:v>0.41631697617567071</c:v>
                </c:pt>
                <c:pt idx="2082">
                  <c:v>0.41653917900480775</c:v>
                </c:pt>
                <c:pt idx="2083">
                  <c:v>0.41674064054781118</c:v>
                </c:pt>
                <c:pt idx="2084">
                  <c:v>0.416876273573068</c:v>
                </c:pt>
                <c:pt idx="2085">
                  <c:v>0.41702061192458978</c:v>
                </c:pt>
                <c:pt idx="2086">
                  <c:v>0.41733110812165103</c:v>
                </c:pt>
                <c:pt idx="2087">
                  <c:v>0.41751343361845084</c:v>
                </c:pt>
                <c:pt idx="2088">
                  <c:v>0.41764693582394319</c:v>
                </c:pt>
                <c:pt idx="2089">
                  <c:v>0.41792040247705775</c:v>
                </c:pt>
                <c:pt idx="2090">
                  <c:v>0.41805805031714455</c:v>
                </c:pt>
                <c:pt idx="2091">
                  <c:v>0.41832155600369941</c:v>
                </c:pt>
                <c:pt idx="2092">
                  <c:v>0.41845289017158854</c:v>
                </c:pt>
                <c:pt idx="2093">
                  <c:v>0.41871648797609762</c:v>
                </c:pt>
                <c:pt idx="2094">
                  <c:v>0.4189608798527068</c:v>
                </c:pt>
                <c:pt idx="2095">
                  <c:v>0.41908043701804254</c:v>
                </c:pt>
                <c:pt idx="2096">
                  <c:v>0.4193710004417624</c:v>
                </c:pt>
                <c:pt idx="2097">
                  <c:v>0.419501953075198</c:v>
                </c:pt>
                <c:pt idx="2098">
                  <c:v>0.41964830621230614</c:v>
                </c:pt>
                <c:pt idx="2099">
                  <c:v>0.41980397780598233</c:v>
                </c:pt>
                <c:pt idx="2100">
                  <c:v>0.42007947747741808</c:v>
                </c:pt>
                <c:pt idx="2101">
                  <c:v>0.42025664301949012</c:v>
                </c:pt>
                <c:pt idx="2102">
                  <c:v>0.42055705722141012</c:v>
                </c:pt>
                <c:pt idx="2103">
                  <c:v>0.42068158004197331</c:v>
                </c:pt>
                <c:pt idx="2104">
                  <c:v>0.42087968725694336</c:v>
                </c:pt>
                <c:pt idx="2105">
                  <c:v>0.42100523343565993</c:v>
                </c:pt>
                <c:pt idx="2106">
                  <c:v>0.42122511847471467</c:v>
                </c:pt>
                <c:pt idx="2107">
                  <c:v>0.42140799075951979</c:v>
                </c:pt>
                <c:pt idx="2108">
                  <c:v>0.42165273078117815</c:v>
                </c:pt>
                <c:pt idx="2109">
                  <c:v>0.42183490599171136</c:v>
                </c:pt>
                <c:pt idx="2110">
                  <c:v>0.42215673975780527</c:v>
                </c:pt>
                <c:pt idx="2111">
                  <c:v>0.42228192009811338</c:v>
                </c:pt>
                <c:pt idx="2112">
                  <c:v>0.42246063680543111</c:v>
                </c:pt>
                <c:pt idx="2113">
                  <c:v>0.42273011505639413</c:v>
                </c:pt>
                <c:pt idx="2114">
                  <c:v>0.42296101068886016</c:v>
                </c:pt>
                <c:pt idx="2115">
                  <c:v>0.42310519890214898</c:v>
                </c:pt>
                <c:pt idx="2116">
                  <c:v>0.42333083967378615</c:v>
                </c:pt>
                <c:pt idx="2117">
                  <c:v>0.42357820578184402</c:v>
                </c:pt>
                <c:pt idx="2118">
                  <c:v>0.42373492498885251</c:v>
                </c:pt>
                <c:pt idx="2119">
                  <c:v>0.42383833908164836</c:v>
                </c:pt>
                <c:pt idx="2120">
                  <c:v>0.4241541952765906</c:v>
                </c:pt>
                <c:pt idx="2121">
                  <c:v>0.4243923220558074</c:v>
                </c:pt>
                <c:pt idx="2122">
                  <c:v>0.42447793329844208</c:v>
                </c:pt>
                <c:pt idx="2123">
                  <c:v>0.42469270036395002</c:v>
                </c:pt>
                <c:pt idx="2124">
                  <c:v>0.42486500527236259</c:v>
                </c:pt>
                <c:pt idx="2125">
                  <c:v>0.42518293211510938</c:v>
                </c:pt>
                <c:pt idx="2126">
                  <c:v>0.42520340880774976</c:v>
                </c:pt>
                <c:pt idx="2127">
                  <c:v>0.42545528539066563</c:v>
                </c:pt>
                <c:pt idx="2128">
                  <c:v>0.42565803433867594</c:v>
                </c:pt>
                <c:pt idx="2129">
                  <c:v>0.42590254099008223</c:v>
                </c:pt>
                <c:pt idx="2130">
                  <c:v>0.42616674896841095</c:v>
                </c:pt>
                <c:pt idx="2131">
                  <c:v>0.42630911308762359</c:v>
                </c:pt>
                <c:pt idx="2132">
                  <c:v>0.42640825290847761</c:v>
                </c:pt>
                <c:pt idx="2133">
                  <c:v>0.42666613571962014</c:v>
                </c:pt>
                <c:pt idx="2134">
                  <c:v>0.42680966967172218</c:v>
                </c:pt>
                <c:pt idx="2135">
                  <c:v>0.42714390831085475</c:v>
                </c:pt>
                <c:pt idx="2136">
                  <c:v>0.42729431971295134</c:v>
                </c:pt>
                <c:pt idx="2137">
                  <c:v>0.42758017454980407</c:v>
                </c:pt>
                <c:pt idx="2138">
                  <c:v>0.42773717294669178</c:v>
                </c:pt>
                <c:pt idx="2139">
                  <c:v>0.42785386252111146</c:v>
                </c:pt>
                <c:pt idx="2140">
                  <c:v>0.42810229373027159</c:v>
                </c:pt>
                <c:pt idx="2141">
                  <c:v>0.42833894653272325</c:v>
                </c:pt>
                <c:pt idx="2142">
                  <c:v>0.4284050076210883</c:v>
                </c:pt>
                <c:pt idx="2143">
                  <c:v>0.42867231506567266</c:v>
                </c:pt>
                <c:pt idx="2144">
                  <c:v>0.42893290004654155</c:v>
                </c:pt>
                <c:pt idx="2145">
                  <c:v>0.4291295107855298</c:v>
                </c:pt>
                <c:pt idx="2146">
                  <c:v>0.42938816011026226</c:v>
                </c:pt>
                <c:pt idx="2147">
                  <c:v>0.42946070463519093</c:v>
                </c:pt>
                <c:pt idx="2148">
                  <c:v>0.42963579835324456</c:v>
                </c:pt>
                <c:pt idx="2149">
                  <c:v>0.42996500927334763</c:v>
                </c:pt>
                <c:pt idx="2150">
                  <c:v>0.43015473878140437</c:v>
                </c:pt>
                <c:pt idx="2151">
                  <c:v>0.43030755484246358</c:v>
                </c:pt>
                <c:pt idx="2152">
                  <c:v>0.43047483004324022</c:v>
                </c:pt>
                <c:pt idx="2153">
                  <c:v>0.43073521786456348</c:v>
                </c:pt>
                <c:pt idx="2154">
                  <c:v>0.43099248694726094</c:v>
                </c:pt>
                <c:pt idx="2155">
                  <c:v>0.4310269666025478</c:v>
                </c:pt>
                <c:pt idx="2156">
                  <c:v>0.4312788540996329</c:v>
                </c:pt>
                <c:pt idx="2157">
                  <c:v>0.43156695424736635</c:v>
                </c:pt>
                <c:pt idx="2158">
                  <c:v>0.43162341042054431</c:v>
                </c:pt>
                <c:pt idx="2159">
                  <c:v>0.43186901246459902</c:v>
                </c:pt>
                <c:pt idx="2160">
                  <c:v>0.43209686209016873</c:v>
                </c:pt>
                <c:pt idx="2161">
                  <c:v>0.43231331765631059</c:v>
                </c:pt>
                <c:pt idx="2162">
                  <c:v>0.43256504389219108</c:v>
                </c:pt>
                <c:pt idx="2163">
                  <c:v>0.43260403957595206</c:v>
                </c:pt>
                <c:pt idx="2164">
                  <c:v>0.43283275068710392</c:v>
                </c:pt>
                <c:pt idx="2165">
                  <c:v>0.4330728382683528</c:v>
                </c:pt>
                <c:pt idx="2166">
                  <c:v>0.43324632143798436</c:v>
                </c:pt>
                <c:pt idx="2167">
                  <c:v>0.43358475369782762</c:v>
                </c:pt>
                <c:pt idx="2168">
                  <c:v>0.43371494238220965</c:v>
                </c:pt>
                <c:pt idx="2169">
                  <c:v>0.43391334010402516</c:v>
                </c:pt>
                <c:pt idx="2170">
                  <c:v>0.4340941995734568</c:v>
                </c:pt>
                <c:pt idx="2171">
                  <c:v>0.43436350246401589</c:v>
                </c:pt>
                <c:pt idx="2172">
                  <c:v>0.43455807621617759</c:v>
                </c:pt>
                <c:pt idx="2173">
                  <c:v>0.43474959819595088</c:v>
                </c:pt>
                <c:pt idx="2174">
                  <c:v>0.43490295130179801</c:v>
                </c:pt>
                <c:pt idx="2175">
                  <c:v>0.435002922061552</c:v>
                </c:pt>
                <c:pt idx="2176">
                  <c:v>0.43525412954852316</c:v>
                </c:pt>
                <c:pt idx="2177">
                  <c:v>0.43551571429346586</c:v>
                </c:pt>
                <c:pt idx="2178">
                  <c:v>0.43577044110334717</c:v>
                </c:pt>
                <c:pt idx="2179">
                  <c:v>0.43593520004482361</c:v>
                </c:pt>
                <c:pt idx="2180">
                  <c:v>0.43612937238806143</c:v>
                </c:pt>
                <c:pt idx="2181">
                  <c:v>0.4363683831300047</c:v>
                </c:pt>
                <c:pt idx="2182">
                  <c:v>0.43641668965090458</c:v>
                </c:pt>
                <c:pt idx="2183">
                  <c:v>0.43668933878356814</c:v>
                </c:pt>
                <c:pt idx="2184">
                  <c:v>0.43692898246173956</c:v>
                </c:pt>
                <c:pt idx="2185">
                  <c:v>0.4371141019434468</c:v>
                </c:pt>
                <c:pt idx="2186">
                  <c:v>0.43732982531826237</c:v>
                </c:pt>
                <c:pt idx="2187">
                  <c:v>0.43757610671398606</c:v>
                </c:pt>
                <c:pt idx="2188">
                  <c:v>0.43763216484683382</c:v>
                </c:pt>
                <c:pt idx="2189">
                  <c:v>0.4379730667895575</c:v>
                </c:pt>
                <c:pt idx="2190">
                  <c:v>0.43816379879339684</c:v>
                </c:pt>
                <c:pt idx="2191">
                  <c:v>0.43823096509581216</c:v>
                </c:pt>
                <c:pt idx="2192">
                  <c:v>0.43847098907317761</c:v>
                </c:pt>
                <c:pt idx="2193">
                  <c:v>0.43866253781697306</c:v>
                </c:pt>
                <c:pt idx="2194">
                  <c:v>0.43889710776049112</c:v>
                </c:pt>
                <c:pt idx="2195">
                  <c:v>0.43912027347384031</c:v>
                </c:pt>
                <c:pt idx="2196">
                  <c:v>0.43925028113188463</c:v>
                </c:pt>
                <c:pt idx="2197">
                  <c:v>0.4394361006313553</c:v>
                </c:pt>
                <c:pt idx="2198">
                  <c:v>0.439623624058958</c:v>
                </c:pt>
                <c:pt idx="2199">
                  <c:v>0.43997477769543758</c:v>
                </c:pt>
                <c:pt idx="2200">
                  <c:v>0.44010665988188857</c:v>
                </c:pt>
                <c:pt idx="2201">
                  <c:v>0.44023893725994023</c:v>
                </c:pt>
                <c:pt idx="2202">
                  <c:v>0.44059384314501515</c:v>
                </c:pt>
                <c:pt idx="2203">
                  <c:v>0.4406963323841096</c:v>
                </c:pt>
                <c:pt idx="2204">
                  <c:v>0.44098859807369034</c:v>
                </c:pt>
                <c:pt idx="2205">
                  <c:v>0.441098929121508</c:v>
                </c:pt>
                <c:pt idx="2206">
                  <c:v>0.44126388515156323</c:v>
                </c:pt>
                <c:pt idx="2207">
                  <c:v>0.44141242949115406</c:v>
                </c:pt>
                <c:pt idx="2208">
                  <c:v>0.44172785895418554</c:v>
                </c:pt>
                <c:pt idx="2209">
                  <c:v>0.4419775985450432</c:v>
                </c:pt>
                <c:pt idx="2210">
                  <c:v>0.44214406630078895</c:v>
                </c:pt>
                <c:pt idx="2211">
                  <c:v>0.44233743038231915</c:v>
                </c:pt>
                <c:pt idx="2212">
                  <c:v>0.44257137710819289</c:v>
                </c:pt>
                <c:pt idx="2213">
                  <c:v>0.44268757628465244</c:v>
                </c:pt>
                <c:pt idx="2214">
                  <c:v>0.44292875442810564</c:v>
                </c:pt>
                <c:pt idx="2215">
                  <c:v>0.4431546119285642</c:v>
                </c:pt>
                <c:pt idx="2216">
                  <c:v>0.44330362218313468</c:v>
                </c:pt>
                <c:pt idx="2217">
                  <c:v>0.44352659317709658</c:v>
                </c:pt>
                <c:pt idx="2218">
                  <c:v>0.44362992083072433</c:v>
                </c:pt>
                <c:pt idx="2219">
                  <c:v>0.44389758052106426</c:v>
                </c:pt>
                <c:pt idx="2220">
                  <c:v>0.44417857852638198</c:v>
                </c:pt>
                <c:pt idx="2221">
                  <c:v>0.44429988498135936</c:v>
                </c:pt>
                <c:pt idx="2222">
                  <c:v>0.44452875539542386</c:v>
                </c:pt>
                <c:pt idx="2223">
                  <c:v>0.44462068026867246</c:v>
                </c:pt>
                <c:pt idx="2224">
                  <c:v>0.44493360959522743</c:v>
                </c:pt>
                <c:pt idx="2225">
                  <c:v>0.44509087100613187</c:v>
                </c:pt>
                <c:pt idx="2226">
                  <c:v>0.4453558028870625</c:v>
                </c:pt>
                <c:pt idx="2227">
                  <c:v>0.44552635141311359</c:v>
                </c:pt>
                <c:pt idx="2228">
                  <c:v>0.44564566776823383</c:v>
                </c:pt>
                <c:pt idx="2229">
                  <c:v>0.4459573981651006</c:v>
                </c:pt>
                <c:pt idx="2230">
                  <c:v>0.44607151577129761</c:v>
                </c:pt>
                <c:pt idx="2231">
                  <c:v>0.44626221088372686</c:v>
                </c:pt>
                <c:pt idx="2232">
                  <c:v>0.44658920130291702</c:v>
                </c:pt>
                <c:pt idx="2233">
                  <c:v>0.44663943215525698</c:v>
                </c:pt>
                <c:pt idx="2234">
                  <c:v>0.4468471137863228</c:v>
                </c:pt>
                <c:pt idx="2235">
                  <c:v>0.44708500676841595</c:v>
                </c:pt>
                <c:pt idx="2236">
                  <c:v>0.44726963419869298</c:v>
                </c:pt>
                <c:pt idx="2237">
                  <c:v>0.44750258938355902</c:v>
                </c:pt>
                <c:pt idx="2238">
                  <c:v>0.44773079241428776</c:v>
                </c:pt>
                <c:pt idx="2239">
                  <c:v>0.44784789738092756</c:v>
                </c:pt>
                <c:pt idx="2240">
                  <c:v>0.44808213239933409</c:v>
                </c:pt>
                <c:pt idx="2241">
                  <c:v>0.44820908169690726</c:v>
                </c:pt>
                <c:pt idx="2242">
                  <c:v>0.44849907028765867</c:v>
                </c:pt>
                <c:pt idx="2243">
                  <c:v>0.44860838519404833</c:v>
                </c:pt>
                <c:pt idx="2244">
                  <c:v>0.44895013715195237</c:v>
                </c:pt>
                <c:pt idx="2245">
                  <c:v>0.44910737465752926</c:v>
                </c:pt>
                <c:pt idx="2246">
                  <c:v>0.44934238621432859</c:v>
                </c:pt>
                <c:pt idx="2247">
                  <c:v>0.44941755799628275</c:v>
                </c:pt>
                <c:pt idx="2248">
                  <c:v>0.44975453164893081</c:v>
                </c:pt>
                <c:pt idx="2249">
                  <c:v>0.44988888817175504</c:v>
                </c:pt>
                <c:pt idx="2250">
                  <c:v>0.4500918231723578</c:v>
                </c:pt>
                <c:pt idx="2251">
                  <c:v>0.45020185690373227</c:v>
                </c:pt>
                <c:pt idx="2252">
                  <c:v>0.4505874552272231</c:v>
                </c:pt>
                <c:pt idx="2253">
                  <c:v>0.45075157587080067</c:v>
                </c:pt>
                <c:pt idx="2254">
                  <c:v>0.45096923308069098</c:v>
                </c:pt>
                <c:pt idx="2255">
                  <c:v>0.45119519466296659</c:v>
                </c:pt>
                <c:pt idx="2256">
                  <c:v>0.45126403815617416</c:v>
                </c:pt>
                <c:pt idx="2257">
                  <c:v>0.45141714831837854</c:v>
                </c:pt>
                <c:pt idx="2258">
                  <c:v>0.45164393591900442</c:v>
                </c:pt>
                <c:pt idx="2259">
                  <c:v>0.45185195556125884</c:v>
                </c:pt>
                <c:pt idx="2260">
                  <c:v>0.45217735803457382</c:v>
                </c:pt>
                <c:pt idx="2261">
                  <c:v>0.45222979642376993</c:v>
                </c:pt>
                <c:pt idx="2262">
                  <c:v>0.45258681362392073</c:v>
                </c:pt>
                <c:pt idx="2263">
                  <c:v>0.45266149173841375</c:v>
                </c:pt>
                <c:pt idx="2264">
                  <c:v>0.45284578416977211</c:v>
                </c:pt>
                <c:pt idx="2265">
                  <c:v>0.45319339763340388</c:v>
                </c:pt>
                <c:pt idx="2266">
                  <c:v>0.45330905411902561</c:v>
                </c:pt>
                <c:pt idx="2267">
                  <c:v>0.45359798467368773</c:v>
                </c:pt>
                <c:pt idx="2268">
                  <c:v>0.45360785524691638</c:v>
                </c:pt>
                <c:pt idx="2269">
                  <c:v>0.45397217388068611</c:v>
                </c:pt>
                <c:pt idx="2270">
                  <c:v>0.45400810454329665</c:v>
                </c:pt>
                <c:pt idx="2271">
                  <c:v>0.45439190157521325</c:v>
                </c:pt>
                <c:pt idx="2272">
                  <c:v>0.45454026621192234</c:v>
                </c:pt>
                <c:pt idx="2273">
                  <c:v>0.45463912611455637</c:v>
                </c:pt>
                <c:pt idx="2274">
                  <c:v>0.45496248793531269</c:v>
                </c:pt>
                <c:pt idx="2275">
                  <c:v>0.45509845161770901</c:v>
                </c:pt>
                <c:pt idx="2276">
                  <c:v>0.45520167471608186</c:v>
                </c:pt>
                <c:pt idx="2277">
                  <c:v>0.45544612944830348</c:v>
                </c:pt>
                <c:pt idx="2278">
                  <c:v>0.45571752908139435</c:v>
                </c:pt>
                <c:pt idx="2279">
                  <c:v>0.45592094996825816</c:v>
                </c:pt>
                <c:pt idx="2280">
                  <c:v>0.45608380756328909</c:v>
                </c:pt>
                <c:pt idx="2281">
                  <c:v>0.45629176715488823</c:v>
                </c:pt>
                <c:pt idx="2282">
                  <c:v>0.45649879187589948</c:v>
                </c:pt>
                <c:pt idx="2283">
                  <c:v>0.45673697536716634</c:v>
                </c:pt>
                <c:pt idx="2284">
                  <c:v>0.45687029430509318</c:v>
                </c:pt>
                <c:pt idx="2285">
                  <c:v>0.45708371937411924</c:v>
                </c:pt>
                <c:pt idx="2286">
                  <c:v>0.45731771749302691</c:v>
                </c:pt>
                <c:pt idx="2287">
                  <c:v>0.45754466302197999</c:v>
                </c:pt>
                <c:pt idx="2288">
                  <c:v>0.45768604105284577</c:v>
                </c:pt>
                <c:pt idx="2289">
                  <c:v>0.4578434965437379</c:v>
                </c:pt>
                <c:pt idx="2290">
                  <c:v>0.45815994450486258</c:v>
                </c:pt>
                <c:pt idx="2291">
                  <c:v>0.45830585004158919</c:v>
                </c:pt>
                <c:pt idx="2292">
                  <c:v>0.45852114506548297</c:v>
                </c:pt>
                <c:pt idx="2293">
                  <c:v>0.45860275006722723</c:v>
                </c:pt>
                <c:pt idx="2294">
                  <c:v>0.45884288957497177</c:v>
                </c:pt>
                <c:pt idx="2295">
                  <c:v>0.45912264333114089</c:v>
                </c:pt>
                <c:pt idx="2296">
                  <c:v>0.45938376127034042</c:v>
                </c:pt>
                <c:pt idx="2297">
                  <c:v>0.45948331502282136</c:v>
                </c:pt>
                <c:pt idx="2298">
                  <c:v>0.45962207355271611</c:v>
                </c:pt>
                <c:pt idx="2299">
                  <c:v>0.45980504444376685</c:v>
                </c:pt>
                <c:pt idx="2300">
                  <c:v>0.46011996466753069</c:v>
                </c:pt>
                <c:pt idx="2301">
                  <c:v>0.46029347832200429</c:v>
                </c:pt>
                <c:pt idx="2302">
                  <c:v>0.46057552121634954</c:v>
                </c:pt>
                <c:pt idx="2303">
                  <c:v>0.46075892571289068</c:v>
                </c:pt>
                <c:pt idx="2304">
                  <c:v>0.46088286851553312</c:v>
                </c:pt>
                <c:pt idx="2305">
                  <c:v>0.46100628256146009</c:v>
                </c:pt>
                <c:pt idx="2306">
                  <c:v>0.4612853886154214</c:v>
                </c:pt>
                <c:pt idx="2307">
                  <c:v>0.4615479242012715</c:v>
                </c:pt>
                <c:pt idx="2308">
                  <c:v>0.46164624659718156</c:v>
                </c:pt>
                <c:pt idx="2309">
                  <c:v>0.46184249137138078</c:v>
                </c:pt>
                <c:pt idx="2310">
                  <c:v>0.46215753460870063</c:v>
                </c:pt>
                <c:pt idx="2311">
                  <c:v>0.46222219811017212</c:v>
                </c:pt>
                <c:pt idx="2312">
                  <c:v>0.46243805584507947</c:v>
                </c:pt>
                <c:pt idx="2313">
                  <c:v>0.46269152860862467</c:v>
                </c:pt>
                <c:pt idx="2314">
                  <c:v>0.46292876645455344</c:v>
                </c:pt>
                <c:pt idx="2315">
                  <c:v>0.46309705143400859</c:v>
                </c:pt>
                <c:pt idx="2316">
                  <c:v>0.46334218729579407</c:v>
                </c:pt>
                <c:pt idx="2317">
                  <c:v>0.46349203119834237</c:v>
                </c:pt>
                <c:pt idx="2318">
                  <c:v>0.46375412005301431</c:v>
                </c:pt>
                <c:pt idx="2319">
                  <c:v>0.46384536103546742</c:v>
                </c:pt>
                <c:pt idx="2320">
                  <c:v>0.46400160744451024</c:v>
                </c:pt>
                <c:pt idx="2321">
                  <c:v>0.4643252422251099</c:v>
                </c:pt>
                <c:pt idx="2322">
                  <c:v>0.46448486582974086</c:v>
                </c:pt>
                <c:pt idx="2323">
                  <c:v>0.46461155859786357</c:v>
                </c:pt>
                <c:pt idx="2324">
                  <c:v>0.46482304274365843</c:v>
                </c:pt>
                <c:pt idx="2325">
                  <c:v>0.46516344910034985</c:v>
                </c:pt>
                <c:pt idx="2326">
                  <c:v>0.46526425441453795</c:v>
                </c:pt>
                <c:pt idx="2327">
                  <c:v>0.46557974033578758</c:v>
                </c:pt>
                <c:pt idx="2328">
                  <c:v>0.46560415516807796</c:v>
                </c:pt>
                <c:pt idx="2329">
                  <c:v>0.46590174672359169</c:v>
                </c:pt>
                <c:pt idx="2330">
                  <c:v>0.46610858356270674</c:v>
                </c:pt>
                <c:pt idx="2331">
                  <c:v>0.46632855227634507</c:v>
                </c:pt>
                <c:pt idx="2332">
                  <c:v>0.46655816183862237</c:v>
                </c:pt>
                <c:pt idx="2333">
                  <c:v>0.46677205499959457</c:v>
                </c:pt>
                <c:pt idx="2334">
                  <c:v>0.46691051750357976</c:v>
                </c:pt>
                <c:pt idx="2335">
                  <c:v>0.46719730349993271</c:v>
                </c:pt>
                <c:pt idx="2336">
                  <c:v>0.46737081956392401</c:v>
                </c:pt>
                <c:pt idx="2337">
                  <c:v>0.4675146086038357</c:v>
                </c:pt>
                <c:pt idx="2338">
                  <c:v>0.46765728349840674</c:v>
                </c:pt>
                <c:pt idx="2339">
                  <c:v>0.46789330183884442</c:v>
                </c:pt>
                <c:pt idx="2340">
                  <c:v>0.46803406546787218</c:v>
                </c:pt>
                <c:pt idx="2341">
                  <c:v>0.46836577355306724</c:v>
                </c:pt>
                <c:pt idx="2342">
                  <c:v>0.46853345197791552</c:v>
                </c:pt>
                <c:pt idx="2343">
                  <c:v>0.46879203286440863</c:v>
                </c:pt>
                <c:pt idx="2344">
                  <c:v>0.46899498599781536</c:v>
                </c:pt>
                <c:pt idx="2345">
                  <c:v>0.46914011193964172</c:v>
                </c:pt>
                <c:pt idx="2346">
                  <c:v>0.46931994004745964</c:v>
                </c:pt>
                <c:pt idx="2347">
                  <c:v>0.46945668727575257</c:v>
                </c:pt>
                <c:pt idx="2348">
                  <c:v>0.46977871081782002</c:v>
                </c:pt>
                <c:pt idx="2349">
                  <c:v>0.46988765803596177</c:v>
                </c:pt>
                <c:pt idx="2350">
                  <c:v>0.47018816050793705</c:v>
                </c:pt>
                <c:pt idx="2351">
                  <c:v>0.47037006120518082</c:v>
                </c:pt>
                <c:pt idx="2352">
                  <c:v>0.47058296936507871</c:v>
                </c:pt>
                <c:pt idx="2353">
                  <c:v>0.47068218987534799</c:v>
                </c:pt>
                <c:pt idx="2354">
                  <c:v>0.47084362830278553</c:v>
                </c:pt>
                <c:pt idx="2355">
                  <c:v>0.47108478603169435</c:v>
                </c:pt>
                <c:pt idx="2356">
                  <c:v>0.47135978958652347</c:v>
                </c:pt>
                <c:pt idx="2357">
                  <c:v>0.47154320648530113</c:v>
                </c:pt>
                <c:pt idx="2358">
                  <c:v>0.4717048757469991</c:v>
                </c:pt>
                <c:pt idx="2359">
                  <c:v>0.47180843693455882</c:v>
                </c:pt>
                <c:pt idx="2360">
                  <c:v>0.47212967388130017</c:v>
                </c:pt>
                <c:pt idx="2361">
                  <c:v>0.47229012271624299</c:v>
                </c:pt>
                <c:pt idx="2362">
                  <c:v>0.47258366591138384</c:v>
                </c:pt>
                <c:pt idx="2363">
                  <c:v>0.47265911163730989</c:v>
                </c:pt>
                <c:pt idx="2364">
                  <c:v>0.47291848497044259</c:v>
                </c:pt>
                <c:pt idx="2365">
                  <c:v>0.47312541550498582</c:v>
                </c:pt>
                <c:pt idx="2366">
                  <c:v>0.47323476112886209</c:v>
                </c:pt>
                <c:pt idx="2367">
                  <c:v>0.47352672115842032</c:v>
                </c:pt>
                <c:pt idx="2368">
                  <c:v>0.47374286820752148</c:v>
                </c:pt>
                <c:pt idx="2369">
                  <c:v>0.47385205737637637</c:v>
                </c:pt>
                <c:pt idx="2370">
                  <c:v>0.47402865881035766</c:v>
                </c:pt>
                <c:pt idx="2371">
                  <c:v>0.47433761881374231</c:v>
                </c:pt>
                <c:pt idx="2372">
                  <c:v>0.47453707269540457</c:v>
                </c:pt>
                <c:pt idx="2373">
                  <c:v>0.4746020381143321</c:v>
                </c:pt>
                <c:pt idx="2374">
                  <c:v>0.47495922084286796</c:v>
                </c:pt>
                <c:pt idx="2375">
                  <c:v>0.47508017294255089</c:v>
                </c:pt>
                <c:pt idx="2376">
                  <c:v>0.4752281998938015</c:v>
                </c:pt>
                <c:pt idx="2377">
                  <c:v>0.47557098821517341</c:v>
                </c:pt>
                <c:pt idx="2378">
                  <c:v>0.47574072249148519</c:v>
                </c:pt>
                <c:pt idx="2379">
                  <c:v>0.47595438829826991</c:v>
                </c:pt>
                <c:pt idx="2380">
                  <c:v>0.47600849931054018</c:v>
                </c:pt>
                <c:pt idx="2381">
                  <c:v>0.47639554648110544</c:v>
                </c:pt>
                <c:pt idx="2382">
                  <c:v>0.47642510240977282</c:v>
                </c:pt>
                <c:pt idx="2383">
                  <c:v>0.47677954573430581</c:v>
                </c:pt>
                <c:pt idx="2384">
                  <c:v>0.47688329242767841</c:v>
                </c:pt>
                <c:pt idx="2385">
                  <c:v>0.4771801688814955</c:v>
                </c:pt>
                <c:pt idx="2386">
                  <c:v>0.47734142389435819</c:v>
                </c:pt>
                <c:pt idx="2387">
                  <c:v>0.47754974718102011</c:v>
                </c:pt>
                <c:pt idx="2388">
                  <c:v>0.47765611066176933</c:v>
                </c:pt>
                <c:pt idx="2389">
                  <c:v>0.47782890494904223</c:v>
                </c:pt>
                <c:pt idx="2390">
                  <c:v>0.47813665489781104</c:v>
                </c:pt>
                <c:pt idx="2391">
                  <c:v>0.47827158943942549</c:v>
                </c:pt>
                <c:pt idx="2392">
                  <c:v>0.47844433461242453</c:v>
                </c:pt>
                <c:pt idx="2393">
                  <c:v>0.47879071571016468</c:v>
                </c:pt>
                <c:pt idx="2394">
                  <c:v>0.47883365921038984</c:v>
                </c:pt>
                <c:pt idx="2395">
                  <c:v>0.47912812419695039</c:v>
                </c:pt>
                <c:pt idx="2396">
                  <c:v>0.47939928768924417</c:v>
                </c:pt>
                <c:pt idx="2397">
                  <c:v>0.47950241482711919</c:v>
                </c:pt>
                <c:pt idx="2398">
                  <c:v>0.47976343363927754</c:v>
                </c:pt>
                <c:pt idx="2399">
                  <c:v>0.47986994319340909</c:v>
                </c:pt>
                <c:pt idx="2400">
                  <c:v>0.4801663456618242</c:v>
                </c:pt>
                <c:pt idx="2401">
                  <c:v>0.48032229572486185</c:v>
                </c:pt>
                <c:pt idx="2402">
                  <c:v>0.4805950735786918</c:v>
                </c:pt>
                <c:pt idx="2403">
                  <c:v>0.48073068973546168</c:v>
                </c:pt>
                <c:pt idx="2404">
                  <c:v>0.48090495395620936</c:v>
                </c:pt>
                <c:pt idx="2405">
                  <c:v>0.48109128954598945</c:v>
                </c:pt>
                <c:pt idx="2406">
                  <c:v>0.48134103644763609</c:v>
                </c:pt>
                <c:pt idx="2407">
                  <c:v>0.48146460498172428</c:v>
                </c:pt>
                <c:pt idx="2408">
                  <c:v>0.48177386841642994</c:v>
                </c:pt>
                <c:pt idx="2409">
                  <c:v>0.48183973354511889</c:v>
                </c:pt>
                <c:pt idx="2410">
                  <c:v>0.48204140254842148</c:v>
                </c:pt>
                <c:pt idx="2411">
                  <c:v>0.48223332998404123</c:v>
                </c:pt>
                <c:pt idx="2412">
                  <c:v>0.48256859975828992</c:v>
                </c:pt>
                <c:pt idx="2413">
                  <c:v>0.48273684459466876</c:v>
                </c:pt>
                <c:pt idx="2414">
                  <c:v>0.48282895576060492</c:v>
                </c:pt>
                <c:pt idx="2415">
                  <c:v>0.48304214069895496</c:v>
                </c:pt>
                <c:pt idx="2416">
                  <c:v>0.48327090367792896</c:v>
                </c:pt>
                <c:pt idx="2417">
                  <c:v>0.48358614130010508</c:v>
                </c:pt>
                <c:pt idx="2418">
                  <c:v>0.48366455556332705</c:v>
                </c:pt>
                <c:pt idx="2419">
                  <c:v>0.48384348804090249</c:v>
                </c:pt>
                <c:pt idx="2420">
                  <c:v>0.4840577834411659</c:v>
                </c:pt>
                <c:pt idx="2421">
                  <c:v>0.48439100779276134</c:v>
                </c:pt>
                <c:pt idx="2422">
                  <c:v>0.48441406532614817</c:v>
                </c:pt>
                <c:pt idx="2423">
                  <c:v>0.48472007341760209</c:v>
                </c:pt>
                <c:pt idx="2424">
                  <c:v>0.48488618941504658</c:v>
                </c:pt>
                <c:pt idx="2425">
                  <c:v>0.48514471642280571</c:v>
                </c:pt>
                <c:pt idx="2426">
                  <c:v>0.48530528855144639</c:v>
                </c:pt>
                <c:pt idx="2427">
                  <c:v>0.48540154353482684</c:v>
                </c:pt>
                <c:pt idx="2428">
                  <c:v>0.48560256290203024</c:v>
                </c:pt>
                <c:pt idx="2429">
                  <c:v>0.48592237212125267</c:v>
                </c:pt>
                <c:pt idx="2430">
                  <c:v>0.48604455388855294</c:v>
                </c:pt>
                <c:pt idx="2431">
                  <c:v>0.48622619763976571</c:v>
                </c:pt>
                <c:pt idx="2432">
                  <c:v>0.48645285901195667</c:v>
                </c:pt>
                <c:pt idx="2433">
                  <c:v>0.48673101577538319</c:v>
                </c:pt>
                <c:pt idx="2434">
                  <c:v>0.48693080859280446</c:v>
                </c:pt>
                <c:pt idx="2435">
                  <c:v>0.48718003118629105</c:v>
                </c:pt>
                <c:pt idx="2436">
                  <c:v>0.48724932116401598</c:v>
                </c:pt>
                <c:pt idx="2437">
                  <c:v>0.4875174342901254</c:v>
                </c:pt>
                <c:pt idx="2438">
                  <c:v>0.48779915034379789</c:v>
                </c:pt>
                <c:pt idx="2439">
                  <c:v>0.48796552302519924</c:v>
                </c:pt>
                <c:pt idx="2440">
                  <c:v>0.48806466143430788</c:v>
                </c:pt>
                <c:pt idx="2441">
                  <c:v>0.4883087965866339</c:v>
                </c:pt>
                <c:pt idx="2442">
                  <c:v>0.4885929703148531</c:v>
                </c:pt>
                <c:pt idx="2443">
                  <c:v>0.48869352955247586</c:v>
                </c:pt>
                <c:pt idx="2444">
                  <c:v>0.48895533919864231</c:v>
                </c:pt>
                <c:pt idx="2445">
                  <c:v>0.4890095258919544</c:v>
                </c:pt>
                <c:pt idx="2446">
                  <c:v>0.48922750729816672</c:v>
                </c:pt>
                <c:pt idx="2447">
                  <c:v>0.48959286436792299</c:v>
                </c:pt>
                <c:pt idx="2448">
                  <c:v>0.48971396945061024</c:v>
                </c:pt>
                <c:pt idx="2449">
                  <c:v>0.48981147505296657</c:v>
                </c:pt>
                <c:pt idx="2450">
                  <c:v>0.49013382192578492</c:v>
                </c:pt>
                <c:pt idx="2451">
                  <c:v>0.49039601968121627</c:v>
                </c:pt>
                <c:pt idx="2452">
                  <c:v>0.49043091557762375</c:v>
                </c:pt>
                <c:pt idx="2453">
                  <c:v>0.49063745976501089</c:v>
                </c:pt>
                <c:pt idx="2454">
                  <c:v>0.49085434437744652</c:v>
                </c:pt>
                <c:pt idx="2455">
                  <c:v>0.49119568251562207</c:v>
                </c:pt>
                <c:pt idx="2456">
                  <c:v>0.49121652112864339</c:v>
                </c:pt>
                <c:pt idx="2457">
                  <c:v>0.49146353747455024</c:v>
                </c:pt>
                <c:pt idx="2458">
                  <c:v>0.49165355672199595</c:v>
                </c:pt>
                <c:pt idx="2459">
                  <c:v>0.49185049658814689</c:v>
                </c:pt>
                <c:pt idx="2460">
                  <c:v>0.49203547981768742</c:v>
                </c:pt>
                <c:pt idx="2461">
                  <c:v>0.49238477243766765</c:v>
                </c:pt>
                <c:pt idx="2462">
                  <c:v>0.49245294106105647</c:v>
                </c:pt>
                <c:pt idx="2463">
                  <c:v>0.49269026023631224</c:v>
                </c:pt>
                <c:pt idx="2464">
                  <c:v>0.49281630417700306</c:v>
                </c:pt>
                <c:pt idx="2465">
                  <c:v>0.49303961597844947</c:v>
                </c:pt>
                <c:pt idx="2466">
                  <c:v>0.4933682479830851</c:v>
                </c:pt>
                <c:pt idx="2467">
                  <c:v>0.49344996268005342</c:v>
                </c:pt>
                <c:pt idx="2468">
                  <c:v>0.49364061900620365</c:v>
                </c:pt>
                <c:pt idx="2469">
                  <c:v>0.49397052888939408</c:v>
                </c:pt>
                <c:pt idx="2470">
                  <c:v>0.49410006224915853</c:v>
                </c:pt>
                <c:pt idx="2471">
                  <c:v>0.49438514161435543</c:v>
                </c:pt>
                <c:pt idx="2472">
                  <c:v>0.49457609843019773</c:v>
                </c:pt>
                <c:pt idx="2473">
                  <c:v>0.49467421887798102</c:v>
                </c:pt>
                <c:pt idx="2474">
                  <c:v>0.4948733370512895</c:v>
                </c:pt>
                <c:pt idx="2475">
                  <c:v>0.49511191614771077</c:v>
                </c:pt>
                <c:pt idx="2476">
                  <c:v>0.49537799896718426</c:v>
                </c:pt>
                <c:pt idx="2477">
                  <c:v>0.49552966918487329</c:v>
                </c:pt>
                <c:pt idx="2478">
                  <c:v>0.49562142437301143</c:v>
                </c:pt>
                <c:pt idx="2479">
                  <c:v>0.49598652377272645</c:v>
                </c:pt>
                <c:pt idx="2480">
                  <c:v>0.49610716923519665</c:v>
                </c:pt>
                <c:pt idx="2481">
                  <c:v>0.49622824386591746</c:v>
                </c:pt>
                <c:pt idx="2482">
                  <c:v>0.49644759932226679</c:v>
                </c:pt>
                <c:pt idx="2483">
                  <c:v>0.49678567969910464</c:v>
                </c:pt>
                <c:pt idx="2484">
                  <c:v>0.49699075695420397</c:v>
                </c:pt>
                <c:pt idx="2485">
                  <c:v>0.4971256476883138</c:v>
                </c:pt>
                <c:pt idx="2486">
                  <c:v>0.49722615241278573</c:v>
                </c:pt>
                <c:pt idx="2487">
                  <c:v>0.49759692525933424</c:v>
                </c:pt>
                <c:pt idx="2488">
                  <c:v>0.49760451196809408</c:v>
                </c:pt>
                <c:pt idx="2489">
                  <c:v>0.49790966436367246</c:v>
                </c:pt>
                <c:pt idx="2490">
                  <c:v>0.49800106918439296</c:v>
                </c:pt>
                <c:pt idx="2491">
                  <c:v>0.49823260844779027</c:v>
                </c:pt>
                <c:pt idx="2492">
                  <c:v>0.49853322077797102</c:v>
                </c:pt>
                <c:pt idx="2493">
                  <c:v>0.4986533013934859</c:v>
                </c:pt>
                <c:pt idx="2494">
                  <c:v>0.49888497802463483</c:v>
                </c:pt>
                <c:pt idx="2495">
                  <c:v>0.49912161409298922</c:v>
                </c:pt>
                <c:pt idx="2496">
                  <c:v>0.49931439543341155</c:v>
                </c:pt>
                <c:pt idx="2497">
                  <c:v>0.4995442503409796</c:v>
                </c:pt>
                <c:pt idx="2498">
                  <c:v>0.49975691325905663</c:v>
                </c:pt>
                <c:pt idx="2499">
                  <c:v>0.49981634387341711</c:v>
                </c:pt>
                <c:pt idx="2500">
                  <c:v>0.50012077506764807</c:v>
                </c:pt>
                <c:pt idx="2501">
                  <c:v>0.50037268170327243</c:v>
                </c:pt>
                <c:pt idx="2502">
                  <c:v>0.50044794409774429</c:v>
                </c:pt>
                <c:pt idx="2503">
                  <c:v>0.50061577822850445</c:v>
                </c:pt>
                <c:pt idx="2504">
                  <c:v>0.50081082944623445</c:v>
                </c:pt>
                <c:pt idx="2505">
                  <c:v>0.50116775493858556</c:v>
                </c:pt>
                <c:pt idx="2506">
                  <c:v>0.50123378263074758</c:v>
                </c:pt>
                <c:pt idx="2507">
                  <c:v>0.50150244011974487</c:v>
                </c:pt>
                <c:pt idx="2508">
                  <c:v>0.50176511963181325</c:v>
                </c:pt>
                <c:pt idx="2509">
                  <c:v>0.50197333311144576</c:v>
                </c:pt>
                <c:pt idx="2510">
                  <c:v>0.50210111594505169</c:v>
                </c:pt>
                <c:pt idx="2511">
                  <c:v>0.50237099423617382</c:v>
                </c:pt>
                <c:pt idx="2512">
                  <c:v>0.50247706684295013</c:v>
                </c:pt>
                <c:pt idx="2513">
                  <c:v>0.50279863877990261</c:v>
                </c:pt>
                <c:pt idx="2514">
                  <c:v>0.50287858210026248</c:v>
                </c:pt>
                <c:pt idx="2515">
                  <c:v>0.50309101725520822</c:v>
                </c:pt>
                <c:pt idx="2516">
                  <c:v>0.50330633849089645</c:v>
                </c:pt>
                <c:pt idx="2517">
                  <c:v>0.50345868201918398</c:v>
                </c:pt>
                <c:pt idx="2518">
                  <c:v>0.50363530629808906</c:v>
                </c:pt>
                <c:pt idx="2519">
                  <c:v>0.50389888442035269</c:v>
                </c:pt>
                <c:pt idx="2520">
                  <c:v>0.50405743649184176</c:v>
                </c:pt>
                <c:pt idx="2521">
                  <c:v>0.50426608661610306</c:v>
                </c:pt>
                <c:pt idx="2522">
                  <c:v>0.50441294607878961</c:v>
                </c:pt>
                <c:pt idx="2523">
                  <c:v>0.50468301028117613</c:v>
                </c:pt>
                <c:pt idx="2524">
                  <c:v>0.50486574322792366</c:v>
                </c:pt>
                <c:pt idx="2525">
                  <c:v>0.50505909352168887</c:v>
                </c:pt>
                <c:pt idx="2526">
                  <c:v>0.50537763887056564</c:v>
                </c:pt>
                <c:pt idx="2527">
                  <c:v>0.50558723237127701</c:v>
                </c:pt>
                <c:pt idx="2528">
                  <c:v>0.50560381419155842</c:v>
                </c:pt>
                <c:pt idx="2529">
                  <c:v>0.50598433290184108</c:v>
                </c:pt>
                <c:pt idx="2530">
                  <c:v>0.50619805006287011</c:v>
                </c:pt>
                <c:pt idx="2531">
                  <c:v>0.50632250116703159</c:v>
                </c:pt>
                <c:pt idx="2532">
                  <c:v>0.50642736922666132</c:v>
                </c:pt>
                <c:pt idx="2533">
                  <c:v>0.50667678482757805</c:v>
                </c:pt>
                <c:pt idx="2534">
                  <c:v>0.50694735938835589</c:v>
                </c:pt>
                <c:pt idx="2535">
                  <c:v>0.5070346820273518</c:v>
                </c:pt>
                <c:pt idx="2536">
                  <c:v>0.50728793458675214</c:v>
                </c:pt>
                <c:pt idx="2537">
                  <c:v>0.50758081376808251</c:v>
                </c:pt>
                <c:pt idx="2538">
                  <c:v>0.50763252679142923</c:v>
                </c:pt>
                <c:pt idx="2539">
                  <c:v>0.50795180104750948</c:v>
                </c:pt>
                <c:pt idx="2540">
                  <c:v>0.50803066938897379</c:v>
                </c:pt>
                <c:pt idx="2541">
                  <c:v>0.50821040001460593</c:v>
                </c:pt>
                <c:pt idx="2542">
                  <c:v>0.50850690481753713</c:v>
                </c:pt>
                <c:pt idx="2543">
                  <c:v>0.50863848916754095</c:v>
                </c:pt>
                <c:pt idx="2544">
                  <c:v>0.50886626889683917</c:v>
                </c:pt>
                <c:pt idx="2545">
                  <c:v>0.50910732983669904</c:v>
                </c:pt>
                <c:pt idx="2546">
                  <c:v>0.50924597477043188</c:v>
                </c:pt>
                <c:pt idx="2547">
                  <c:v>0.50942664110018554</c:v>
                </c:pt>
                <c:pt idx="2548">
                  <c:v>0.50978808299321399</c:v>
                </c:pt>
                <c:pt idx="2549">
                  <c:v>0.50982379142642575</c:v>
                </c:pt>
                <c:pt idx="2550">
                  <c:v>0.51001685753860904</c:v>
                </c:pt>
                <c:pt idx="2551">
                  <c:v>0.51020097242649665</c:v>
                </c:pt>
                <c:pt idx="2552">
                  <c:v>0.51041205171742754</c:v>
                </c:pt>
                <c:pt idx="2553">
                  <c:v>0.51074963441662247</c:v>
                </c:pt>
                <c:pt idx="2554">
                  <c:v>0.51092165750091001</c:v>
                </c:pt>
                <c:pt idx="2555">
                  <c:v>0.51104286896368556</c:v>
                </c:pt>
                <c:pt idx="2556">
                  <c:v>0.51138986686584298</c:v>
                </c:pt>
                <c:pt idx="2557">
                  <c:v>0.5114151072169224</c:v>
                </c:pt>
                <c:pt idx="2558">
                  <c:v>0.51160477290731032</c:v>
                </c:pt>
                <c:pt idx="2559">
                  <c:v>0.51183138120170479</c:v>
                </c:pt>
                <c:pt idx="2560">
                  <c:v>0.51206067857729753</c:v>
                </c:pt>
                <c:pt idx="2561">
                  <c:v>0.51236316106099711</c:v>
                </c:pt>
                <c:pt idx="2562">
                  <c:v>0.51258012448115742</c:v>
                </c:pt>
                <c:pt idx="2563">
                  <c:v>0.5127784626823334</c:v>
                </c:pt>
                <c:pt idx="2564">
                  <c:v>0.51286259595105943</c:v>
                </c:pt>
                <c:pt idx="2565">
                  <c:v>0.51308344853233634</c:v>
                </c:pt>
                <c:pt idx="2566">
                  <c:v>0.5133064998521718</c:v>
                </c:pt>
                <c:pt idx="2567">
                  <c:v>0.51351624556591646</c:v>
                </c:pt>
                <c:pt idx="2568">
                  <c:v>0.51370803635742246</c:v>
                </c:pt>
                <c:pt idx="2569">
                  <c:v>0.51391093387401454</c:v>
                </c:pt>
                <c:pt idx="2570">
                  <c:v>0.5140589791327852</c:v>
                </c:pt>
                <c:pt idx="2571">
                  <c:v>0.51433091411360787</c:v>
                </c:pt>
                <c:pt idx="2572">
                  <c:v>0.5145167490234871</c:v>
                </c:pt>
                <c:pt idx="2573">
                  <c:v>0.51460759672485468</c:v>
                </c:pt>
                <c:pt idx="2574">
                  <c:v>0.51493461517480543</c:v>
                </c:pt>
                <c:pt idx="2575">
                  <c:v>0.51507380702790662</c:v>
                </c:pt>
                <c:pt idx="2576">
                  <c:v>0.51537865077489486</c:v>
                </c:pt>
                <c:pt idx="2577">
                  <c:v>0.51549733225798633</c:v>
                </c:pt>
                <c:pt idx="2578">
                  <c:v>0.51562023785054223</c:v>
                </c:pt>
                <c:pt idx="2579">
                  <c:v>0.51586498438009643</c:v>
                </c:pt>
                <c:pt idx="2580">
                  <c:v>0.51615285881207151</c:v>
                </c:pt>
                <c:pt idx="2581">
                  <c:v>0.51620408160523601</c:v>
                </c:pt>
                <c:pt idx="2582">
                  <c:v>0.51654679687855465</c:v>
                </c:pt>
                <c:pt idx="2583">
                  <c:v>0.51665143411733483</c:v>
                </c:pt>
                <c:pt idx="2584">
                  <c:v>0.51690304928452313</c:v>
                </c:pt>
                <c:pt idx="2585">
                  <c:v>0.51712534395584964</c:v>
                </c:pt>
                <c:pt idx="2586">
                  <c:v>0.51734692028312634</c:v>
                </c:pt>
                <c:pt idx="2587">
                  <c:v>0.517486486617589</c:v>
                </c:pt>
                <c:pt idx="2588">
                  <c:v>0.51769661732653538</c:v>
                </c:pt>
                <c:pt idx="2589">
                  <c:v>0.51789060373541218</c:v>
                </c:pt>
                <c:pt idx="2590">
                  <c:v>0.51807560351525339</c:v>
                </c:pt>
                <c:pt idx="2591">
                  <c:v>0.51835614477371705</c:v>
                </c:pt>
                <c:pt idx="2592">
                  <c:v>0.51849906923484501</c:v>
                </c:pt>
                <c:pt idx="2593">
                  <c:v>0.51878868691888369</c:v>
                </c:pt>
                <c:pt idx="2594">
                  <c:v>0.51895315577223733</c:v>
                </c:pt>
                <c:pt idx="2595">
                  <c:v>0.51916995986610881</c:v>
                </c:pt>
                <c:pt idx="2596">
                  <c:v>0.51926428472275488</c:v>
                </c:pt>
                <c:pt idx="2597">
                  <c:v>0.51949316952873337</c:v>
                </c:pt>
                <c:pt idx="2598">
                  <c:v>0.51973038906616398</c:v>
                </c:pt>
                <c:pt idx="2599">
                  <c:v>0.51992258935950764</c:v>
                </c:pt>
                <c:pt idx="2600">
                  <c:v>0.52015956676107822</c:v>
                </c:pt>
                <c:pt idx="2601">
                  <c:v>0.52036286079170246</c:v>
                </c:pt>
                <c:pt idx="2602">
                  <c:v>0.52058204054692336</c:v>
                </c:pt>
                <c:pt idx="2603">
                  <c:v>0.52074843778567115</c:v>
                </c:pt>
                <c:pt idx="2604">
                  <c:v>0.52095405337255307</c:v>
                </c:pt>
                <c:pt idx="2605">
                  <c:v>0.52116308443447645</c:v>
                </c:pt>
                <c:pt idx="2606">
                  <c:v>0.52138563781212677</c:v>
                </c:pt>
                <c:pt idx="2607">
                  <c:v>0.52150486261427975</c:v>
                </c:pt>
                <c:pt idx="2608">
                  <c:v>0.52160594266639226</c:v>
                </c:pt>
                <c:pt idx="2609">
                  <c:v>0.52188200249557426</c:v>
                </c:pt>
                <c:pt idx="2610">
                  <c:v>0.52212789941512228</c:v>
                </c:pt>
                <c:pt idx="2611">
                  <c:v>0.52227571806844231</c:v>
                </c:pt>
                <c:pt idx="2612">
                  <c:v>0.52249892469288284</c:v>
                </c:pt>
                <c:pt idx="2613">
                  <c:v>0.52263237613584668</c:v>
                </c:pt>
                <c:pt idx="2614">
                  <c:v>0.52290741586897227</c:v>
                </c:pt>
                <c:pt idx="2615">
                  <c:v>0.5231769559110927</c:v>
                </c:pt>
                <c:pt idx="2616">
                  <c:v>0.52322015271159361</c:v>
                </c:pt>
                <c:pt idx="2617">
                  <c:v>0.52353644894336726</c:v>
                </c:pt>
                <c:pt idx="2618">
                  <c:v>0.52375639652781103</c:v>
                </c:pt>
                <c:pt idx="2619">
                  <c:v>0.52394992924312833</c:v>
                </c:pt>
                <c:pt idx="2620">
                  <c:v>0.52417879544118862</c:v>
                </c:pt>
                <c:pt idx="2621">
                  <c:v>0.52438671623137467</c:v>
                </c:pt>
                <c:pt idx="2622">
                  <c:v>0.52444449878713217</c:v>
                </c:pt>
                <c:pt idx="2623">
                  <c:v>0.52472430089351818</c:v>
                </c:pt>
                <c:pt idx="2624">
                  <c:v>0.52492482678320374</c:v>
                </c:pt>
                <c:pt idx="2625">
                  <c:v>0.52506891361858432</c:v>
                </c:pt>
                <c:pt idx="2626">
                  <c:v>0.52526281637797667</c:v>
                </c:pt>
                <c:pt idx="2627">
                  <c:v>0.52559453718061433</c:v>
                </c:pt>
                <c:pt idx="2628">
                  <c:v>0.52572161254610905</c:v>
                </c:pt>
                <c:pt idx="2629">
                  <c:v>0.52595781851908141</c:v>
                </c:pt>
                <c:pt idx="2630">
                  <c:v>0.52612733487941499</c:v>
                </c:pt>
                <c:pt idx="2631">
                  <c:v>0.52633306785876244</c:v>
                </c:pt>
                <c:pt idx="2632">
                  <c:v>0.52647261305490334</c:v>
                </c:pt>
                <c:pt idx="2633">
                  <c:v>0.52675021196383764</c:v>
                </c:pt>
                <c:pt idx="2634">
                  <c:v>0.52699102019434585</c:v>
                </c:pt>
                <c:pt idx="2635">
                  <c:v>0.52700376420975759</c:v>
                </c:pt>
                <c:pt idx="2636">
                  <c:v>0.52723594448627809</c:v>
                </c:pt>
                <c:pt idx="2637">
                  <c:v>0.52745143422285368</c:v>
                </c:pt>
                <c:pt idx="2638">
                  <c:v>0.52773269927635158</c:v>
                </c:pt>
                <c:pt idx="2639">
                  <c:v>0.52796270586093019</c:v>
                </c:pt>
                <c:pt idx="2640">
                  <c:v>0.52804056645958697</c:v>
                </c:pt>
                <c:pt idx="2641">
                  <c:v>0.52825301294458404</c:v>
                </c:pt>
                <c:pt idx="2642">
                  <c:v>0.52857838282989766</c:v>
                </c:pt>
                <c:pt idx="2643">
                  <c:v>0.52867227199605482</c:v>
                </c:pt>
                <c:pt idx="2644">
                  <c:v>0.52893144589185981</c:v>
                </c:pt>
                <c:pt idx="2645">
                  <c:v>0.52900076232347659</c:v>
                </c:pt>
                <c:pt idx="2646">
                  <c:v>0.52930550442978397</c:v>
                </c:pt>
                <c:pt idx="2647">
                  <c:v>0.52940862156707058</c:v>
                </c:pt>
                <c:pt idx="2648">
                  <c:v>0.52971174950779221</c:v>
                </c:pt>
                <c:pt idx="2649">
                  <c:v>0.52995929118300777</c:v>
                </c:pt>
                <c:pt idx="2650">
                  <c:v>0.5300249999652209</c:v>
                </c:pt>
                <c:pt idx="2651">
                  <c:v>0.53024242571379121</c:v>
                </c:pt>
                <c:pt idx="2652">
                  <c:v>0.53049108317668803</c:v>
                </c:pt>
                <c:pt idx="2653">
                  <c:v>0.53069665741866834</c:v>
                </c:pt>
                <c:pt idx="2654">
                  <c:v>0.53093107729599143</c:v>
                </c:pt>
                <c:pt idx="2655">
                  <c:v>0.53113594446176104</c:v>
                </c:pt>
                <c:pt idx="2656">
                  <c:v>0.53136547509086451</c:v>
                </c:pt>
                <c:pt idx="2657">
                  <c:v>0.5315221129550417</c:v>
                </c:pt>
                <c:pt idx="2658">
                  <c:v>0.53160047011626899</c:v>
                </c:pt>
                <c:pt idx="2659">
                  <c:v>0.53196214076740711</c:v>
                </c:pt>
                <c:pt idx="2660">
                  <c:v>0.53202055337871912</c:v>
                </c:pt>
                <c:pt idx="2661">
                  <c:v>0.53236539223142088</c:v>
                </c:pt>
                <c:pt idx="2662">
                  <c:v>0.53254403952018925</c:v>
                </c:pt>
                <c:pt idx="2663">
                  <c:v>0.53262958997465426</c:v>
                </c:pt>
                <c:pt idx="2664">
                  <c:v>0.53288478416667429</c:v>
                </c:pt>
                <c:pt idx="2665">
                  <c:v>0.5330361680213912</c:v>
                </c:pt>
                <c:pt idx="2666">
                  <c:v>0.53333186103923524</c:v>
                </c:pt>
                <c:pt idx="2667">
                  <c:v>0.53352684717553833</c:v>
                </c:pt>
                <c:pt idx="2668">
                  <c:v>0.5336092987526696</c:v>
                </c:pt>
                <c:pt idx="2669">
                  <c:v>0.53393491897334688</c:v>
                </c:pt>
                <c:pt idx="2670">
                  <c:v>0.5340358667052435</c:v>
                </c:pt>
                <c:pt idx="2671">
                  <c:v>0.53430954996587465</c:v>
                </c:pt>
                <c:pt idx="2672">
                  <c:v>0.53456007353941914</c:v>
                </c:pt>
                <c:pt idx="2673">
                  <c:v>0.5346230472822262</c:v>
                </c:pt>
                <c:pt idx="2674">
                  <c:v>0.53492287594222532</c:v>
                </c:pt>
                <c:pt idx="2675">
                  <c:v>0.5351396236224425</c:v>
                </c:pt>
                <c:pt idx="2676">
                  <c:v>0.53530946860939943</c:v>
                </c:pt>
                <c:pt idx="2677">
                  <c:v>0.5354210254476921</c:v>
                </c:pt>
                <c:pt idx="2678">
                  <c:v>0.53576097666597011</c:v>
                </c:pt>
                <c:pt idx="2679">
                  <c:v>0.53583864292601091</c:v>
                </c:pt>
                <c:pt idx="2680">
                  <c:v>0.53610334480891553</c:v>
                </c:pt>
                <c:pt idx="2681">
                  <c:v>0.53628041615483357</c:v>
                </c:pt>
                <c:pt idx="2682">
                  <c:v>0.53646018809775364</c:v>
                </c:pt>
                <c:pt idx="2683">
                  <c:v>0.5366134562735011</c:v>
                </c:pt>
                <c:pt idx="2684">
                  <c:v>0.53691629936083141</c:v>
                </c:pt>
                <c:pt idx="2685">
                  <c:v>0.53710417243267972</c:v>
                </c:pt>
                <c:pt idx="2686">
                  <c:v>0.53735520032671169</c:v>
                </c:pt>
                <c:pt idx="2687">
                  <c:v>0.5375956623048046</c:v>
                </c:pt>
                <c:pt idx="2688">
                  <c:v>0.53767793668747832</c:v>
                </c:pt>
                <c:pt idx="2689">
                  <c:v>0.53789853198525928</c:v>
                </c:pt>
                <c:pt idx="2690">
                  <c:v>0.53817385083403757</c:v>
                </c:pt>
                <c:pt idx="2691">
                  <c:v>0.53836524950074149</c:v>
                </c:pt>
                <c:pt idx="2692">
                  <c:v>0.53857780187269155</c:v>
                </c:pt>
                <c:pt idx="2693">
                  <c:v>0.53878375452579552</c:v>
                </c:pt>
                <c:pt idx="2694">
                  <c:v>0.5388470136963871</c:v>
                </c:pt>
                <c:pt idx="2695">
                  <c:v>0.53904279141599376</c:v>
                </c:pt>
                <c:pt idx="2696">
                  <c:v>0.5393025875931845</c:v>
                </c:pt>
                <c:pt idx="2697">
                  <c:v>0.53943054749673014</c:v>
                </c:pt>
                <c:pt idx="2698">
                  <c:v>0.53975519117316118</c:v>
                </c:pt>
                <c:pt idx="2699">
                  <c:v>0.53998619319791585</c:v>
                </c:pt>
                <c:pt idx="2700">
                  <c:v>0.54009989319194573</c:v>
                </c:pt>
                <c:pt idx="2701">
                  <c:v>0.54028272014830325</c:v>
                </c:pt>
                <c:pt idx="2702">
                  <c:v>0.54042143990677349</c:v>
                </c:pt>
                <c:pt idx="2703">
                  <c:v>0.5407290211125112</c:v>
                </c:pt>
                <c:pt idx="2704">
                  <c:v>0.54092289075132527</c:v>
                </c:pt>
                <c:pt idx="2705">
                  <c:v>0.54109245350051027</c:v>
                </c:pt>
                <c:pt idx="2706">
                  <c:v>0.54133168178585633</c:v>
                </c:pt>
                <c:pt idx="2707">
                  <c:v>0.54151170793965264</c:v>
                </c:pt>
                <c:pt idx="2708">
                  <c:v>0.54160243119499696</c:v>
                </c:pt>
                <c:pt idx="2709">
                  <c:v>0.54185611959375823</c:v>
                </c:pt>
                <c:pt idx="2710">
                  <c:v>0.54211451539451128</c:v>
                </c:pt>
                <c:pt idx="2711">
                  <c:v>0.54222351494613652</c:v>
                </c:pt>
                <c:pt idx="2712">
                  <c:v>0.54240571330674126</c:v>
                </c:pt>
                <c:pt idx="2713">
                  <c:v>0.54278423984394975</c:v>
                </c:pt>
                <c:pt idx="2714">
                  <c:v>0.54297782125179139</c:v>
                </c:pt>
                <c:pt idx="2715">
                  <c:v>0.5430951526250446</c:v>
                </c:pt>
                <c:pt idx="2716">
                  <c:v>0.5432491880329906</c:v>
                </c:pt>
                <c:pt idx="2717">
                  <c:v>0.54344760205653675</c:v>
                </c:pt>
                <c:pt idx="2718">
                  <c:v>0.54379252156582492</c:v>
                </c:pt>
                <c:pt idx="2719">
                  <c:v>0.5439084221785675</c:v>
                </c:pt>
                <c:pt idx="2720">
                  <c:v>0.54416123843881337</c:v>
                </c:pt>
                <c:pt idx="2721">
                  <c:v>0.54425431478634811</c:v>
                </c:pt>
                <c:pt idx="2722">
                  <c:v>0.54452877791713195</c:v>
                </c:pt>
                <c:pt idx="2723">
                  <c:v>0.54463133903872951</c:v>
                </c:pt>
                <c:pt idx="2724">
                  <c:v>0.54491119203137028</c:v>
                </c:pt>
                <c:pt idx="2725">
                  <c:v>0.54509552924774951</c:v>
                </c:pt>
                <c:pt idx="2726">
                  <c:v>0.54528156043055509</c:v>
                </c:pt>
                <c:pt idx="2727">
                  <c:v>0.54550512751627367</c:v>
                </c:pt>
                <c:pt idx="2728">
                  <c:v>0.54576467085456593</c:v>
                </c:pt>
                <c:pt idx="2729">
                  <c:v>0.54596392182371678</c:v>
                </c:pt>
                <c:pt idx="2730">
                  <c:v>0.54613523278719167</c:v>
                </c:pt>
                <c:pt idx="2731">
                  <c:v>0.54633897322768787</c:v>
                </c:pt>
                <c:pt idx="2732">
                  <c:v>0.5465645017978652</c:v>
                </c:pt>
                <c:pt idx="2733">
                  <c:v>0.5467516891877986</c:v>
                </c:pt>
                <c:pt idx="2734">
                  <c:v>0.54688867261681906</c:v>
                </c:pt>
                <c:pt idx="2735">
                  <c:v>0.54711345990647409</c:v>
                </c:pt>
                <c:pt idx="2736">
                  <c:v>0.54722270319448385</c:v>
                </c:pt>
                <c:pt idx="2737">
                  <c:v>0.5474159086244218</c:v>
                </c:pt>
                <c:pt idx="2738">
                  <c:v>0.547687536992153</c:v>
                </c:pt>
                <c:pt idx="2739">
                  <c:v>0.54796018067820929</c:v>
                </c:pt>
                <c:pt idx="2740">
                  <c:v>0.54814656316231625</c:v>
                </c:pt>
                <c:pt idx="2741">
                  <c:v>0.54822297539730158</c:v>
                </c:pt>
                <c:pt idx="2742">
                  <c:v>0.54840377988843336</c:v>
                </c:pt>
                <c:pt idx="2743">
                  <c:v>0.54865801727312113</c:v>
                </c:pt>
                <c:pt idx="2744">
                  <c:v>0.54891959995201778</c:v>
                </c:pt>
                <c:pt idx="2745">
                  <c:v>0.54912128707969587</c:v>
                </c:pt>
                <c:pt idx="2746">
                  <c:v>0.54931485183078677</c:v>
                </c:pt>
                <c:pt idx="2747">
                  <c:v>0.54943456661916212</c:v>
                </c:pt>
                <c:pt idx="2748">
                  <c:v>0.54966596386229294</c:v>
                </c:pt>
                <c:pt idx="2749">
                  <c:v>0.54982446600790713</c:v>
                </c:pt>
                <c:pt idx="2750">
                  <c:v>0.55009685957378174</c:v>
                </c:pt>
                <c:pt idx="2751">
                  <c:v>0.55034347793225746</c:v>
                </c:pt>
                <c:pt idx="2752">
                  <c:v>0.5504881958458312</c:v>
                </c:pt>
                <c:pt idx="2753">
                  <c:v>0.55076353103149767</c:v>
                </c:pt>
                <c:pt idx="2754">
                  <c:v>0.55097555873887039</c:v>
                </c:pt>
                <c:pt idx="2755">
                  <c:v>0.55100648157047261</c:v>
                </c:pt>
                <c:pt idx="2756">
                  <c:v>0.55139537937147431</c:v>
                </c:pt>
                <c:pt idx="2757">
                  <c:v>0.55158016142211386</c:v>
                </c:pt>
                <c:pt idx="2758">
                  <c:v>0.55169477333009587</c:v>
                </c:pt>
                <c:pt idx="2759">
                  <c:v>0.55191199537057245</c:v>
                </c:pt>
                <c:pt idx="2760">
                  <c:v>0.55202969204164798</c:v>
                </c:pt>
                <c:pt idx="2761">
                  <c:v>0.55221392613579845</c:v>
                </c:pt>
                <c:pt idx="2762">
                  <c:v>0.55246298914008374</c:v>
                </c:pt>
                <c:pt idx="2763">
                  <c:v>0.55279526723497441</c:v>
                </c:pt>
                <c:pt idx="2764">
                  <c:v>0.55283155505918702</c:v>
                </c:pt>
                <c:pt idx="2765">
                  <c:v>0.55311454256780312</c:v>
                </c:pt>
                <c:pt idx="2766">
                  <c:v>0.55328253292704055</c:v>
                </c:pt>
                <c:pt idx="2767">
                  <c:v>0.55341442085742354</c:v>
                </c:pt>
                <c:pt idx="2768">
                  <c:v>0.55371222589060476</c:v>
                </c:pt>
                <c:pt idx="2769">
                  <c:v>0.55396201002899603</c:v>
                </c:pt>
                <c:pt idx="2770">
                  <c:v>0.55416656939717157</c:v>
                </c:pt>
                <c:pt idx="2771">
                  <c:v>0.554271471411798</c:v>
                </c:pt>
                <c:pt idx="2772">
                  <c:v>0.55442958881716009</c:v>
                </c:pt>
                <c:pt idx="2773">
                  <c:v>0.55468250370684136</c:v>
                </c:pt>
                <c:pt idx="2774">
                  <c:v>0.55491399700914368</c:v>
                </c:pt>
                <c:pt idx="2775">
                  <c:v>0.55504241731093329</c:v>
                </c:pt>
                <c:pt idx="2776">
                  <c:v>0.5552523674316826</c:v>
                </c:pt>
                <c:pt idx="2777">
                  <c:v>0.55549974213105147</c:v>
                </c:pt>
                <c:pt idx="2778">
                  <c:v>0.5557244634662114</c:v>
                </c:pt>
                <c:pt idx="2779">
                  <c:v>0.55581654796000024</c:v>
                </c:pt>
                <c:pt idx="2780">
                  <c:v>0.55608719618392344</c:v>
                </c:pt>
                <c:pt idx="2781">
                  <c:v>0.55632757913584996</c:v>
                </c:pt>
                <c:pt idx="2782">
                  <c:v>0.55651582074358963</c:v>
                </c:pt>
                <c:pt idx="2783">
                  <c:v>0.5567590342898292</c:v>
                </c:pt>
                <c:pt idx="2784">
                  <c:v>0.55683002687809757</c:v>
                </c:pt>
                <c:pt idx="2785">
                  <c:v>0.55701361904978142</c:v>
                </c:pt>
                <c:pt idx="2786">
                  <c:v>0.55734499488830214</c:v>
                </c:pt>
                <c:pt idx="2787">
                  <c:v>0.55742611165024014</c:v>
                </c:pt>
                <c:pt idx="2788">
                  <c:v>0.55760999151831725</c:v>
                </c:pt>
                <c:pt idx="2789">
                  <c:v>0.5579553923521553</c:v>
                </c:pt>
                <c:pt idx="2790">
                  <c:v>0.5581027021948487</c:v>
                </c:pt>
                <c:pt idx="2791">
                  <c:v>0.5582611157744799</c:v>
                </c:pt>
                <c:pt idx="2792">
                  <c:v>0.55846243670439877</c:v>
                </c:pt>
                <c:pt idx="2793">
                  <c:v>0.55863882084242966</c:v>
                </c:pt>
                <c:pt idx="2794">
                  <c:v>0.55898819928336618</c:v>
                </c:pt>
                <c:pt idx="2795">
                  <c:v>0.55907660613508814</c:v>
                </c:pt>
                <c:pt idx="2796">
                  <c:v>0.55925082824645811</c:v>
                </c:pt>
                <c:pt idx="2797">
                  <c:v>0.55948717131160364</c:v>
                </c:pt>
                <c:pt idx="2798">
                  <c:v>0.55972041750897661</c:v>
                </c:pt>
                <c:pt idx="2799">
                  <c:v>0.55985504201083791</c:v>
                </c:pt>
                <c:pt idx="2800">
                  <c:v>0.5600040347379176</c:v>
                </c:pt>
                <c:pt idx="2801">
                  <c:v>0.56020106161041217</c:v>
                </c:pt>
                <c:pt idx="2802">
                  <c:v>0.56048225779945082</c:v>
                </c:pt>
                <c:pt idx="2803">
                  <c:v>0.56063159104814553</c:v>
                </c:pt>
                <c:pt idx="2804">
                  <c:v>0.56098577868621469</c:v>
                </c:pt>
                <c:pt idx="2805">
                  <c:v>0.56101952456604209</c:v>
                </c:pt>
                <c:pt idx="2806">
                  <c:v>0.56128727642066945</c:v>
                </c:pt>
                <c:pt idx="2807">
                  <c:v>0.56146112877010856</c:v>
                </c:pt>
                <c:pt idx="2808">
                  <c:v>0.56168459769861878</c:v>
                </c:pt>
                <c:pt idx="2809">
                  <c:v>0.5618657311172377</c:v>
                </c:pt>
                <c:pt idx="2810">
                  <c:v>0.56217499381782832</c:v>
                </c:pt>
                <c:pt idx="2811">
                  <c:v>0.56238430753158974</c:v>
                </c:pt>
                <c:pt idx="2812">
                  <c:v>0.56255807984754402</c:v>
                </c:pt>
                <c:pt idx="2813">
                  <c:v>0.56265237912611388</c:v>
                </c:pt>
                <c:pt idx="2814">
                  <c:v>0.56299099957565568</c:v>
                </c:pt>
                <c:pt idx="2815">
                  <c:v>0.5630426513205381</c:v>
                </c:pt>
                <c:pt idx="2816">
                  <c:v>0.56328662151863951</c:v>
                </c:pt>
                <c:pt idx="2817">
                  <c:v>0.56356775654637437</c:v>
                </c:pt>
                <c:pt idx="2818">
                  <c:v>0.56362283033682559</c:v>
                </c:pt>
                <c:pt idx="2819">
                  <c:v>0.56392214509568228</c:v>
                </c:pt>
                <c:pt idx="2820">
                  <c:v>0.56404840740939799</c:v>
                </c:pt>
                <c:pt idx="2821">
                  <c:v>0.56433075397944332</c:v>
                </c:pt>
                <c:pt idx="2822">
                  <c:v>0.56454596094790521</c:v>
                </c:pt>
                <c:pt idx="2823">
                  <c:v>0.5646704096542835</c:v>
                </c:pt>
                <c:pt idx="2824">
                  <c:v>0.56482903782069427</c:v>
                </c:pt>
                <c:pt idx="2825">
                  <c:v>0.5650998305163113</c:v>
                </c:pt>
                <c:pt idx="2826">
                  <c:v>0.56529696072086155</c:v>
                </c:pt>
                <c:pt idx="2827">
                  <c:v>0.56546315809359382</c:v>
                </c:pt>
                <c:pt idx="2828">
                  <c:v>0.56579306176188238</c:v>
                </c:pt>
                <c:pt idx="2829">
                  <c:v>0.56583282906935384</c:v>
                </c:pt>
                <c:pt idx="2830">
                  <c:v>0.5660100370849972</c:v>
                </c:pt>
                <c:pt idx="2831">
                  <c:v>0.56627039878765828</c:v>
                </c:pt>
                <c:pt idx="2832">
                  <c:v>0.56652310402466055</c:v>
                </c:pt>
                <c:pt idx="2833">
                  <c:v>0.56665119138426412</c:v>
                </c:pt>
                <c:pt idx="2834">
                  <c:v>0.56686704182696235</c:v>
                </c:pt>
                <c:pt idx="2835">
                  <c:v>0.56712477953194751</c:v>
                </c:pt>
                <c:pt idx="2836">
                  <c:v>0.56736180151155258</c:v>
                </c:pt>
                <c:pt idx="2837">
                  <c:v>0.56740201324904382</c:v>
                </c:pt>
                <c:pt idx="2838">
                  <c:v>0.56760651416685581</c:v>
                </c:pt>
                <c:pt idx="2839">
                  <c:v>0.56780640277648486</c:v>
                </c:pt>
                <c:pt idx="2840">
                  <c:v>0.56803739209404158</c:v>
                </c:pt>
                <c:pt idx="2841">
                  <c:v>0.56828593983605646</c:v>
                </c:pt>
                <c:pt idx="2842">
                  <c:v>0.56840286333179169</c:v>
                </c:pt>
                <c:pt idx="2843">
                  <c:v>0.56865065964489492</c:v>
                </c:pt>
                <c:pt idx="2844">
                  <c:v>0.5688084219334667</c:v>
                </c:pt>
                <c:pt idx="2845">
                  <c:v>0.56912267883124823</c:v>
                </c:pt>
                <c:pt idx="2846">
                  <c:v>0.56927681672309449</c:v>
                </c:pt>
                <c:pt idx="2847">
                  <c:v>0.5695547565588156</c:v>
                </c:pt>
                <c:pt idx="2848">
                  <c:v>0.56969408925243048</c:v>
                </c:pt>
                <c:pt idx="2849">
                  <c:v>0.56996177301992701</c:v>
                </c:pt>
                <c:pt idx="2850">
                  <c:v>0.57002554895133373</c:v>
                </c:pt>
                <c:pt idx="2851">
                  <c:v>0.57025388059561466</c:v>
                </c:pt>
                <c:pt idx="2852">
                  <c:v>0.57058909029764804</c:v>
                </c:pt>
                <c:pt idx="2853">
                  <c:v>0.57076501971673332</c:v>
                </c:pt>
                <c:pt idx="2854">
                  <c:v>0.57086863662294784</c:v>
                </c:pt>
                <c:pt idx="2855">
                  <c:v>0.57107118235744325</c:v>
                </c:pt>
                <c:pt idx="2856">
                  <c:v>0.57134805072507544</c:v>
                </c:pt>
                <c:pt idx="2857">
                  <c:v>0.57157001377110606</c:v>
                </c:pt>
                <c:pt idx="2858">
                  <c:v>0.5716035931129948</c:v>
                </c:pt>
                <c:pt idx="2859">
                  <c:v>0.57199457172523127</c:v>
                </c:pt>
                <c:pt idx="2860">
                  <c:v>0.57201023783269578</c:v>
                </c:pt>
                <c:pt idx="2861">
                  <c:v>0.57233682013348131</c:v>
                </c:pt>
                <c:pt idx="2862">
                  <c:v>0.57242783840606637</c:v>
                </c:pt>
                <c:pt idx="2863">
                  <c:v>0.57278316310317801</c:v>
                </c:pt>
                <c:pt idx="2864">
                  <c:v>0.57287879435417222</c:v>
                </c:pt>
                <c:pt idx="2865">
                  <c:v>0.57307457021341535</c:v>
                </c:pt>
                <c:pt idx="2866">
                  <c:v>0.57322734137466813</c:v>
                </c:pt>
                <c:pt idx="2867">
                  <c:v>0.57346819538023985</c:v>
                </c:pt>
                <c:pt idx="2868">
                  <c:v>0.5736457386884013</c:v>
                </c:pt>
                <c:pt idx="2869">
                  <c:v>0.57397160468906427</c:v>
                </c:pt>
                <c:pt idx="2870">
                  <c:v>0.57416469962656613</c:v>
                </c:pt>
                <c:pt idx="2871">
                  <c:v>0.57434617572560587</c:v>
                </c:pt>
                <c:pt idx="2872">
                  <c:v>0.57459832805544098</c:v>
                </c:pt>
                <c:pt idx="2873">
                  <c:v>0.57469478063036106</c:v>
                </c:pt>
                <c:pt idx="2874">
                  <c:v>0.5749692502787731</c:v>
                </c:pt>
                <c:pt idx="2875">
                  <c:v>0.57510464357992275</c:v>
                </c:pt>
                <c:pt idx="2876">
                  <c:v>0.57531262105645442</c:v>
                </c:pt>
                <c:pt idx="2877">
                  <c:v>0.57544010761288</c:v>
                </c:pt>
                <c:pt idx="2878">
                  <c:v>0.57568470188236909</c:v>
                </c:pt>
                <c:pt idx="2879">
                  <c:v>0.57588814350587514</c:v>
                </c:pt>
                <c:pt idx="2880">
                  <c:v>0.57613798473434008</c:v>
                </c:pt>
                <c:pt idx="2881">
                  <c:v>0.57636974167497124</c:v>
                </c:pt>
                <c:pt idx="2882">
                  <c:v>0.57652726277786481</c:v>
                </c:pt>
                <c:pt idx="2883">
                  <c:v>0.57679869223087998</c:v>
                </c:pt>
                <c:pt idx="2884">
                  <c:v>0.57686950178231799</c:v>
                </c:pt>
                <c:pt idx="2885">
                  <c:v>0.57700081735169528</c:v>
                </c:pt>
                <c:pt idx="2886">
                  <c:v>0.57733156171094901</c:v>
                </c:pt>
                <c:pt idx="2887">
                  <c:v>0.57758461760012081</c:v>
                </c:pt>
                <c:pt idx="2888">
                  <c:v>0.57773703472529003</c:v>
                </c:pt>
                <c:pt idx="2889">
                  <c:v>0.57782985520107433</c:v>
                </c:pt>
                <c:pt idx="2890">
                  <c:v>0.57811510237858521</c:v>
                </c:pt>
                <c:pt idx="2891">
                  <c:v>0.57839303170470358</c:v>
                </c:pt>
                <c:pt idx="2892">
                  <c:v>0.57841868414795461</c:v>
                </c:pt>
                <c:pt idx="2893">
                  <c:v>0.57871095542272344</c:v>
                </c:pt>
                <c:pt idx="2894">
                  <c:v>0.57888361620183182</c:v>
                </c:pt>
                <c:pt idx="2895">
                  <c:v>0.57903673196915462</c:v>
                </c:pt>
                <c:pt idx="2896">
                  <c:v>0.57923559284574244</c:v>
                </c:pt>
                <c:pt idx="2897">
                  <c:v>0.57944966232433204</c:v>
                </c:pt>
                <c:pt idx="2898">
                  <c:v>0.57975495169483016</c:v>
                </c:pt>
                <c:pt idx="2899">
                  <c:v>0.57998692221268711</c:v>
                </c:pt>
                <c:pt idx="2900">
                  <c:v>0.58010464889688995</c:v>
                </c:pt>
                <c:pt idx="2901">
                  <c:v>0.58035201909215006</c:v>
                </c:pt>
                <c:pt idx="2902">
                  <c:v>0.58056570845487654</c:v>
                </c:pt>
                <c:pt idx="2903">
                  <c:v>0.58077533395364311</c:v>
                </c:pt>
                <c:pt idx="2904">
                  <c:v>0.58093615853538183</c:v>
                </c:pt>
                <c:pt idx="2905">
                  <c:v>0.58111985462157056</c:v>
                </c:pt>
                <c:pt idx="2906">
                  <c:v>0.58129222291440052</c:v>
                </c:pt>
                <c:pt idx="2907">
                  <c:v>0.58159520949390608</c:v>
                </c:pt>
                <c:pt idx="2908">
                  <c:v>0.58178972523207539</c:v>
                </c:pt>
                <c:pt idx="2909">
                  <c:v>0.58187655340970412</c:v>
                </c:pt>
                <c:pt idx="2910">
                  <c:v>0.58216767641603195</c:v>
                </c:pt>
                <c:pt idx="2911">
                  <c:v>0.58229639017109214</c:v>
                </c:pt>
                <c:pt idx="2912">
                  <c:v>0.58254531882883642</c:v>
                </c:pt>
                <c:pt idx="2913">
                  <c:v>0.58269831972101205</c:v>
                </c:pt>
                <c:pt idx="2914">
                  <c:v>0.58296656939549518</c:v>
                </c:pt>
                <c:pt idx="2915">
                  <c:v>0.5830673748337355</c:v>
                </c:pt>
                <c:pt idx="2916">
                  <c:v>0.58321261365968091</c:v>
                </c:pt>
                <c:pt idx="2917">
                  <c:v>0.58352919675971593</c:v>
                </c:pt>
                <c:pt idx="2918">
                  <c:v>0.58377610879735464</c:v>
                </c:pt>
                <c:pt idx="2919">
                  <c:v>0.58393207008380721</c:v>
                </c:pt>
                <c:pt idx="2920">
                  <c:v>0.58406676050044293</c:v>
                </c:pt>
                <c:pt idx="2921">
                  <c:v>0.58425456855852498</c:v>
                </c:pt>
                <c:pt idx="2922">
                  <c:v>0.58455387006969051</c:v>
                </c:pt>
                <c:pt idx="2923">
                  <c:v>0.5847952075933095</c:v>
                </c:pt>
                <c:pt idx="2924">
                  <c:v>0.58484236107138965</c:v>
                </c:pt>
                <c:pt idx="2925">
                  <c:v>0.5850365934554107</c:v>
                </c:pt>
                <c:pt idx="2926">
                  <c:v>0.5852882155274246</c:v>
                </c:pt>
                <c:pt idx="2927">
                  <c:v>0.58546218192015353</c:v>
                </c:pt>
                <c:pt idx="2928">
                  <c:v>0.58568170641136397</c:v>
                </c:pt>
                <c:pt idx="2929">
                  <c:v>0.58599249756396576</c:v>
                </c:pt>
                <c:pt idx="2930">
                  <c:v>0.58600159857487344</c:v>
                </c:pt>
                <c:pt idx="2931">
                  <c:v>0.58639667501170112</c:v>
                </c:pt>
                <c:pt idx="2932">
                  <c:v>0.58657352997529633</c:v>
                </c:pt>
                <c:pt idx="2933">
                  <c:v>0.58663939155718303</c:v>
                </c:pt>
                <c:pt idx="2934">
                  <c:v>0.58680644236649537</c:v>
                </c:pt>
                <c:pt idx="2935">
                  <c:v>0.58707360195328329</c:v>
                </c:pt>
                <c:pt idx="2936">
                  <c:v>0.58732393162607299</c:v>
                </c:pt>
                <c:pt idx="2937">
                  <c:v>0.58753169673288508</c:v>
                </c:pt>
                <c:pt idx="2938">
                  <c:v>0.58762391111772128</c:v>
                </c:pt>
                <c:pt idx="2939">
                  <c:v>0.58797181085668782</c:v>
                </c:pt>
                <c:pt idx="2940">
                  <c:v>0.58807569272701532</c:v>
                </c:pt>
                <c:pt idx="2941">
                  <c:v>0.58822733273893302</c:v>
                </c:pt>
                <c:pt idx="2942">
                  <c:v>0.58843949814155683</c:v>
                </c:pt>
                <c:pt idx="2943">
                  <c:v>0.58876213701739022</c:v>
                </c:pt>
                <c:pt idx="2944">
                  <c:v>0.58897267337212633</c:v>
                </c:pt>
                <c:pt idx="2945">
                  <c:v>0.58914482869872475</c:v>
                </c:pt>
                <c:pt idx="2946">
                  <c:v>0.58931773634108653</c:v>
                </c:pt>
                <c:pt idx="2947">
                  <c:v>0.58957008566823088</c:v>
                </c:pt>
                <c:pt idx="2948">
                  <c:v>0.5896977866675932</c:v>
                </c:pt>
                <c:pt idx="2949">
                  <c:v>0.58991189293319168</c:v>
                </c:pt>
                <c:pt idx="2950">
                  <c:v>0.59011088462046135</c:v>
                </c:pt>
                <c:pt idx="2951">
                  <c:v>0.59034943683923913</c:v>
                </c:pt>
                <c:pt idx="2952">
                  <c:v>0.5905866707640669</c:v>
                </c:pt>
                <c:pt idx="2953">
                  <c:v>0.59062397564785174</c:v>
                </c:pt>
                <c:pt idx="2954">
                  <c:v>0.59083301979075964</c:v>
                </c:pt>
                <c:pt idx="2955">
                  <c:v>0.59117677848007921</c:v>
                </c:pt>
                <c:pt idx="2956">
                  <c:v>0.59130235943414788</c:v>
                </c:pt>
                <c:pt idx="2957">
                  <c:v>0.59156374959316194</c:v>
                </c:pt>
                <c:pt idx="2958">
                  <c:v>0.59170338978658044</c:v>
                </c:pt>
                <c:pt idx="2959">
                  <c:v>0.59184020186551856</c:v>
                </c:pt>
                <c:pt idx="2960">
                  <c:v>0.59216477916663623</c:v>
                </c:pt>
                <c:pt idx="2961">
                  <c:v>0.59234416316741711</c:v>
                </c:pt>
                <c:pt idx="2962">
                  <c:v>0.59253276570395863</c:v>
                </c:pt>
                <c:pt idx="2963">
                  <c:v>0.59279874437414082</c:v>
                </c:pt>
                <c:pt idx="2964">
                  <c:v>0.59287385574622864</c:v>
                </c:pt>
                <c:pt idx="2965">
                  <c:v>0.59317451254044995</c:v>
                </c:pt>
                <c:pt idx="2966">
                  <c:v>0.59331943638104001</c:v>
                </c:pt>
                <c:pt idx="2967">
                  <c:v>0.59356240781726377</c:v>
                </c:pt>
                <c:pt idx="2968">
                  <c:v>0.59368064444900503</c:v>
                </c:pt>
                <c:pt idx="2969">
                  <c:v>0.59382583892015406</c:v>
                </c:pt>
                <c:pt idx="2970">
                  <c:v>0.59406165103159414</c:v>
                </c:pt>
                <c:pt idx="2971">
                  <c:v>0.59423929596409186</c:v>
                </c:pt>
                <c:pt idx="2972">
                  <c:v>0.59447362358487987</c:v>
                </c:pt>
                <c:pt idx="2973">
                  <c:v>0.59469357764075825</c:v>
                </c:pt>
                <c:pt idx="2974">
                  <c:v>0.59482257767348146</c:v>
                </c:pt>
                <c:pt idx="2975">
                  <c:v>0.59511416520786331</c:v>
                </c:pt>
                <c:pt idx="2976">
                  <c:v>0.59528278995782202</c:v>
                </c:pt>
                <c:pt idx="2977">
                  <c:v>0.5955081151552285</c:v>
                </c:pt>
                <c:pt idx="2978">
                  <c:v>0.59576706497184173</c:v>
                </c:pt>
                <c:pt idx="2979">
                  <c:v>0.59597021575141007</c:v>
                </c:pt>
                <c:pt idx="2980">
                  <c:v>0.59609122146100069</c:v>
                </c:pt>
                <c:pt idx="2981">
                  <c:v>0.59639377087969192</c:v>
                </c:pt>
                <c:pt idx="2982">
                  <c:v>0.59659114568056326</c:v>
                </c:pt>
                <c:pt idx="2983">
                  <c:v>0.59670024982204206</c:v>
                </c:pt>
                <c:pt idx="2984">
                  <c:v>0.59699742668261691</c:v>
                </c:pt>
                <c:pt idx="2985">
                  <c:v>0.59703623156534424</c:v>
                </c:pt>
                <c:pt idx="2986">
                  <c:v>0.59732492501463863</c:v>
                </c:pt>
                <c:pt idx="2987">
                  <c:v>0.59749102902135132</c:v>
                </c:pt>
                <c:pt idx="2988">
                  <c:v>0.59764643233703596</c:v>
                </c:pt>
                <c:pt idx="2989">
                  <c:v>0.59796791027303975</c:v>
                </c:pt>
                <c:pt idx="2990">
                  <c:v>0.59811498419258624</c:v>
                </c:pt>
                <c:pt idx="2991">
                  <c:v>0.59837572427205177</c:v>
                </c:pt>
                <c:pt idx="2992">
                  <c:v>0.59856028600860389</c:v>
                </c:pt>
                <c:pt idx="2993">
                  <c:v>0.59876234883823487</c:v>
                </c:pt>
                <c:pt idx="2994">
                  <c:v>0.59892505749187552</c:v>
                </c:pt>
                <c:pt idx="2995">
                  <c:v>0.59909997088571543</c:v>
                </c:pt>
                <c:pt idx="2996">
                  <c:v>0.59925091201380143</c:v>
                </c:pt>
                <c:pt idx="2997">
                  <c:v>0.59950773700543392</c:v>
                </c:pt>
                <c:pt idx="2998">
                  <c:v>0.59962311289143355</c:v>
                </c:pt>
                <c:pt idx="2999">
                  <c:v>0.59989284322501457</c:v>
                </c:pt>
                <c:pt idx="3000">
                  <c:v>0.60012262680486839</c:v>
                </c:pt>
                <c:pt idx="3001">
                  <c:v>0.60031507419457553</c:v>
                </c:pt>
                <c:pt idx="3002">
                  <c:v>0.60054946738787685</c:v>
                </c:pt>
                <c:pt idx="3003">
                  <c:v>0.60073765835145898</c:v>
                </c:pt>
                <c:pt idx="3004">
                  <c:v>0.60091333881740305</c:v>
                </c:pt>
                <c:pt idx="3005">
                  <c:v>0.60117085989699015</c:v>
                </c:pt>
                <c:pt idx="3006">
                  <c:v>0.60121328986222233</c:v>
                </c:pt>
                <c:pt idx="3007">
                  <c:v>0.60154962833513259</c:v>
                </c:pt>
                <c:pt idx="3008">
                  <c:v>0.60163233817201867</c:v>
                </c:pt>
                <c:pt idx="3009">
                  <c:v>0.60197085057561539</c:v>
                </c:pt>
                <c:pt idx="3010">
                  <c:v>0.60217675761728928</c:v>
                </c:pt>
                <c:pt idx="3011">
                  <c:v>0.60228947028799207</c:v>
                </c:pt>
                <c:pt idx="3012">
                  <c:v>0.60256026561790155</c:v>
                </c:pt>
                <c:pt idx="3013">
                  <c:v>0.60268458284090387</c:v>
                </c:pt>
                <c:pt idx="3014">
                  <c:v>0.60281674716039957</c:v>
                </c:pt>
                <c:pt idx="3015">
                  <c:v>0.60307456380917568</c:v>
                </c:pt>
                <c:pt idx="3016">
                  <c:v>0.60328497740078835</c:v>
                </c:pt>
                <c:pt idx="3017">
                  <c:v>0.60353871871124454</c:v>
                </c:pt>
                <c:pt idx="3018">
                  <c:v>0.60371591852771023</c:v>
                </c:pt>
                <c:pt idx="3019">
                  <c:v>0.6038851186057751</c:v>
                </c:pt>
                <c:pt idx="3020">
                  <c:v>0.60414677466171485</c:v>
                </c:pt>
                <c:pt idx="3021">
                  <c:v>0.60427169597262331</c:v>
                </c:pt>
                <c:pt idx="3022">
                  <c:v>0.60443847857528332</c:v>
                </c:pt>
                <c:pt idx="3023">
                  <c:v>0.60465068173023195</c:v>
                </c:pt>
                <c:pt idx="3024">
                  <c:v>0.60485045471658239</c:v>
                </c:pt>
                <c:pt idx="3025">
                  <c:v>0.60507496271111882</c:v>
                </c:pt>
                <c:pt idx="3026">
                  <c:v>0.60536654833312298</c:v>
                </c:pt>
                <c:pt idx="3027">
                  <c:v>0.60550721434133759</c:v>
                </c:pt>
                <c:pt idx="3028">
                  <c:v>0.60570050145576249</c:v>
                </c:pt>
                <c:pt idx="3029">
                  <c:v>0.60585662961235653</c:v>
                </c:pt>
                <c:pt idx="3030">
                  <c:v>0.60616431794244896</c:v>
                </c:pt>
                <c:pt idx="3031">
                  <c:v>0.60636985697121593</c:v>
                </c:pt>
                <c:pt idx="3032">
                  <c:v>0.60644969386715664</c:v>
                </c:pt>
                <c:pt idx="3033">
                  <c:v>0.60676599561841371</c:v>
                </c:pt>
                <c:pt idx="3034">
                  <c:v>0.60683152520373274</c:v>
                </c:pt>
                <c:pt idx="3035">
                  <c:v>0.60711279216639535</c:v>
                </c:pt>
                <c:pt idx="3036">
                  <c:v>0.60728010305438196</c:v>
                </c:pt>
                <c:pt idx="3037">
                  <c:v>0.60750158582537006</c:v>
                </c:pt>
                <c:pt idx="3038">
                  <c:v>0.60774350649396502</c:v>
                </c:pt>
                <c:pt idx="3039">
                  <c:v>0.60781540657920186</c:v>
                </c:pt>
                <c:pt idx="3040">
                  <c:v>0.60812160814812444</c:v>
                </c:pt>
                <c:pt idx="3041">
                  <c:v>0.60838835021876458</c:v>
                </c:pt>
                <c:pt idx="3042">
                  <c:v>0.60840022293883389</c:v>
                </c:pt>
                <c:pt idx="3043">
                  <c:v>0.60879491788335027</c:v>
                </c:pt>
                <c:pt idx="3044">
                  <c:v>0.60893672641151042</c:v>
                </c:pt>
                <c:pt idx="3045">
                  <c:v>0.60901938454471982</c:v>
                </c:pt>
                <c:pt idx="3046">
                  <c:v>0.60938064726008578</c:v>
                </c:pt>
                <c:pt idx="3047">
                  <c:v>0.6095931810026507</c:v>
                </c:pt>
                <c:pt idx="3048">
                  <c:v>0.60965606541835149</c:v>
                </c:pt>
                <c:pt idx="3049">
                  <c:v>0.60991302832800731</c:v>
                </c:pt>
                <c:pt idx="3050">
                  <c:v>0.61006300344803899</c:v>
                </c:pt>
                <c:pt idx="3051">
                  <c:v>0.61038569947494792</c:v>
                </c:pt>
                <c:pt idx="3052">
                  <c:v>0.61048545291113798</c:v>
                </c:pt>
                <c:pt idx="3053">
                  <c:v>0.6107245814035005</c:v>
                </c:pt>
                <c:pt idx="3054">
                  <c:v>0.61090773168176127</c:v>
                </c:pt>
                <c:pt idx="3055">
                  <c:v>0.61115842782076413</c:v>
                </c:pt>
                <c:pt idx="3056">
                  <c:v>0.61122245343314074</c:v>
                </c:pt>
                <c:pt idx="3057">
                  <c:v>0.61155928654530067</c:v>
                </c:pt>
                <c:pt idx="3058">
                  <c:v>0.61179856019215617</c:v>
                </c:pt>
                <c:pt idx="3059">
                  <c:v>0.61198073672670428</c:v>
                </c:pt>
                <c:pt idx="3060">
                  <c:v>0.61200505738724142</c:v>
                </c:pt>
                <c:pt idx="3061">
                  <c:v>0.61223096053247128</c:v>
                </c:pt>
                <c:pt idx="3062">
                  <c:v>0.61259065371565302</c:v>
                </c:pt>
                <c:pt idx="3063">
                  <c:v>0.61269966505316542</c:v>
                </c:pt>
                <c:pt idx="3064">
                  <c:v>0.61293601292440103</c:v>
                </c:pt>
                <c:pt idx="3065">
                  <c:v>0.61313919018631313</c:v>
                </c:pt>
                <c:pt idx="3066">
                  <c:v>0.61334253947533257</c:v>
                </c:pt>
                <c:pt idx="3067">
                  <c:v>0.61340497424444307</c:v>
                </c:pt>
                <c:pt idx="3068">
                  <c:v>0.61371712689584057</c:v>
                </c:pt>
                <c:pt idx="3069">
                  <c:v>0.61394584218267023</c:v>
                </c:pt>
                <c:pt idx="3070">
                  <c:v>0.61413578944046421</c:v>
                </c:pt>
                <c:pt idx="3071">
                  <c:v>0.61434153552445148</c:v>
                </c:pt>
                <c:pt idx="3072">
                  <c:v>0.61448005466896116</c:v>
                </c:pt>
                <c:pt idx="3073">
                  <c:v>0.61462310037240919</c:v>
                </c:pt>
                <c:pt idx="3074">
                  <c:v>0.61491711675965166</c:v>
                </c:pt>
                <c:pt idx="3075">
                  <c:v>0.61508580210867481</c:v>
                </c:pt>
                <c:pt idx="3076">
                  <c:v>0.61529426546457555</c:v>
                </c:pt>
                <c:pt idx="3077">
                  <c:v>0.6154432517982189</c:v>
                </c:pt>
                <c:pt idx="3078">
                  <c:v>0.61568596578149259</c:v>
                </c:pt>
                <c:pt idx="3079">
                  <c:v>0.61595628688641735</c:v>
                </c:pt>
                <c:pt idx="3080">
                  <c:v>0.61617833200385297</c:v>
                </c:pt>
                <c:pt idx="3081">
                  <c:v>0.61631484993959662</c:v>
                </c:pt>
                <c:pt idx="3082">
                  <c:v>0.61646031024699566</c:v>
                </c:pt>
                <c:pt idx="3083">
                  <c:v>0.61663802094455755</c:v>
                </c:pt>
                <c:pt idx="3084">
                  <c:v>0.61681868265192463</c:v>
                </c:pt>
                <c:pt idx="3085">
                  <c:v>0.61711428185340822</c:v>
                </c:pt>
                <c:pt idx="3086">
                  <c:v>0.61723328370271091</c:v>
                </c:pt>
                <c:pt idx="3087">
                  <c:v>0.61757249679625326</c:v>
                </c:pt>
                <c:pt idx="3088">
                  <c:v>0.61775996210737161</c:v>
                </c:pt>
                <c:pt idx="3089">
                  <c:v>0.61784145535743829</c:v>
                </c:pt>
                <c:pt idx="3090">
                  <c:v>0.61817665235059727</c:v>
                </c:pt>
                <c:pt idx="3091">
                  <c:v>0.61827024215368331</c:v>
                </c:pt>
                <c:pt idx="3092">
                  <c:v>0.61855155957996644</c:v>
                </c:pt>
                <c:pt idx="3093">
                  <c:v>0.61864015825824814</c:v>
                </c:pt>
                <c:pt idx="3094">
                  <c:v>0.61890247144482624</c:v>
                </c:pt>
                <c:pt idx="3095">
                  <c:v>0.61911925519512012</c:v>
                </c:pt>
                <c:pt idx="3096">
                  <c:v>0.61931000863916941</c:v>
                </c:pt>
                <c:pt idx="3097">
                  <c:v>0.61942376484163664</c:v>
                </c:pt>
                <c:pt idx="3098">
                  <c:v>0.61976193572356419</c:v>
                </c:pt>
                <c:pt idx="3099">
                  <c:v>0.61996505118947598</c:v>
                </c:pt>
                <c:pt idx="3100">
                  <c:v>0.62006153108683926</c:v>
                </c:pt>
                <c:pt idx="3101">
                  <c:v>0.62035345379862783</c:v>
                </c:pt>
                <c:pt idx="3102">
                  <c:v>0.62059923399616945</c:v>
                </c:pt>
                <c:pt idx="3103">
                  <c:v>0.62063255071212364</c:v>
                </c:pt>
                <c:pt idx="3104">
                  <c:v>0.62082431878732147</c:v>
                </c:pt>
                <c:pt idx="3105">
                  <c:v>0.62107398569441252</c:v>
                </c:pt>
                <c:pt idx="3106">
                  <c:v>0.62134486935868505</c:v>
                </c:pt>
                <c:pt idx="3107">
                  <c:v>0.62145317213820594</c:v>
                </c:pt>
                <c:pt idx="3108">
                  <c:v>0.62163760157116632</c:v>
                </c:pt>
                <c:pt idx="3109">
                  <c:v>0.62186998778383018</c:v>
                </c:pt>
                <c:pt idx="3110">
                  <c:v>0.62203573250659638</c:v>
                </c:pt>
                <c:pt idx="3111">
                  <c:v>0.6223766513606479</c:v>
                </c:pt>
                <c:pt idx="3112">
                  <c:v>0.62254705582250536</c:v>
                </c:pt>
                <c:pt idx="3113">
                  <c:v>0.62260484403297411</c:v>
                </c:pt>
                <c:pt idx="3114">
                  <c:v>0.62293391164139233</c:v>
                </c:pt>
                <c:pt idx="3115">
                  <c:v>0.62306282200414287</c:v>
                </c:pt>
                <c:pt idx="3116">
                  <c:v>0.62332739406706006</c:v>
                </c:pt>
                <c:pt idx="3117">
                  <c:v>0.623584035014078</c:v>
                </c:pt>
                <c:pt idx="3118">
                  <c:v>0.6237374736871425</c:v>
                </c:pt>
                <c:pt idx="3119">
                  <c:v>0.62387304997920823</c:v>
                </c:pt>
                <c:pt idx="3120">
                  <c:v>0.62412378881362351</c:v>
                </c:pt>
                <c:pt idx="3121">
                  <c:v>0.62434160974112851</c:v>
                </c:pt>
                <c:pt idx="3122">
                  <c:v>0.62440301126148623</c:v>
                </c:pt>
                <c:pt idx="3123">
                  <c:v>0.62472598494666776</c:v>
                </c:pt>
                <c:pt idx="3124">
                  <c:v>0.62491785470240702</c:v>
                </c:pt>
                <c:pt idx="3125">
                  <c:v>0.62518000826462639</c:v>
                </c:pt>
                <c:pt idx="3126">
                  <c:v>0.62523375461381714</c:v>
                </c:pt>
                <c:pt idx="3127">
                  <c:v>0.62559409506334784</c:v>
                </c:pt>
                <c:pt idx="3128">
                  <c:v>0.62579329591938138</c:v>
                </c:pt>
                <c:pt idx="3129">
                  <c:v>0.62580402418351821</c:v>
                </c:pt>
                <c:pt idx="3130">
                  <c:v>0.62600804287898548</c:v>
                </c:pt>
                <c:pt idx="3131">
                  <c:v>0.62635208146575649</c:v>
                </c:pt>
                <c:pt idx="3132">
                  <c:v>0.62642683234969787</c:v>
                </c:pt>
                <c:pt idx="3133">
                  <c:v>0.62677933641625083</c:v>
                </c:pt>
                <c:pt idx="3134">
                  <c:v>0.62697018546964278</c:v>
                </c:pt>
                <c:pt idx="3135">
                  <c:v>0.62705564013292436</c:v>
                </c:pt>
                <c:pt idx="3136">
                  <c:v>0.62725847890378406</c:v>
                </c:pt>
                <c:pt idx="3137">
                  <c:v>0.62740700934496874</c:v>
                </c:pt>
                <c:pt idx="3138">
                  <c:v>0.62772411422602004</c:v>
                </c:pt>
                <c:pt idx="3139">
                  <c:v>0.62788961924274667</c:v>
                </c:pt>
                <c:pt idx="3140">
                  <c:v>0.62804835383511348</c:v>
                </c:pt>
                <c:pt idx="3141">
                  <c:v>0.62827483176749088</c:v>
                </c:pt>
                <c:pt idx="3142">
                  <c:v>0.62854224452174789</c:v>
                </c:pt>
                <c:pt idx="3143">
                  <c:v>0.62861328128502081</c:v>
                </c:pt>
                <c:pt idx="3144">
                  <c:v>0.62893960672573634</c:v>
                </c:pt>
                <c:pt idx="3145">
                  <c:v>0.62902429957944528</c:v>
                </c:pt>
                <c:pt idx="3146">
                  <c:v>0.62937742394762519</c:v>
                </c:pt>
                <c:pt idx="3147">
                  <c:v>0.62953894716266989</c:v>
                </c:pt>
                <c:pt idx="3148">
                  <c:v>0.62974071881313354</c:v>
                </c:pt>
                <c:pt idx="3149">
                  <c:v>0.62981311251237371</c:v>
                </c:pt>
                <c:pt idx="3150">
                  <c:v>0.63003720075004666</c:v>
                </c:pt>
                <c:pt idx="3151">
                  <c:v>0.63032739671350624</c:v>
                </c:pt>
                <c:pt idx="3152">
                  <c:v>0.63053234738142516</c:v>
                </c:pt>
                <c:pt idx="3153">
                  <c:v>0.63072537213669289</c:v>
                </c:pt>
                <c:pt idx="3154">
                  <c:v>0.63090772265799056</c:v>
                </c:pt>
                <c:pt idx="3155">
                  <c:v>0.63114819539500122</c:v>
                </c:pt>
                <c:pt idx="3156">
                  <c:v>0.63121198800858391</c:v>
                </c:pt>
                <c:pt idx="3157">
                  <c:v>0.63150662203196128</c:v>
                </c:pt>
                <c:pt idx="3158">
                  <c:v>0.63164492461212096</c:v>
                </c:pt>
                <c:pt idx="3159">
                  <c:v>0.6319247155699238</c:v>
                </c:pt>
                <c:pt idx="3160">
                  <c:v>0.63218672930933228</c:v>
                </c:pt>
                <c:pt idx="3161">
                  <c:v>0.63235016375862763</c:v>
                </c:pt>
                <c:pt idx="3162">
                  <c:v>0.63242561003580355</c:v>
                </c:pt>
                <c:pt idx="3163">
                  <c:v>0.63267424455198329</c:v>
                </c:pt>
                <c:pt idx="3164">
                  <c:v>0.63295072965634769</c:v>
                </c:pt>
                <c:pt idx="3165">
                  <c:v>0.63305389705431969</c:v>
                </c:pt>
                <c:pt idx="3166">
                  <c:v>0.63325783002936697</c:v>
                </c:pt>
                <c:pt idx="3167">
                  <c:v>0.63344571627947632</c:v>
                </c:pt>
                <c:pt idx="3168">
                  <c:v>0.63367814323917915</c:v>
                </c:pt>
                <c:pt idx="3169">
                  <c:v>0.63395494498348681</c:v>
                </c:pt>
                <c:pt idx="3170">
                  <c:v>0.63407584506945591</c:v>
                </c:pt>
                <c:pt idx="3171">
                  <c:v>0.63426012921725872</c:v>
                </c:pt>
                <c:pt idx="3172">
                  <c:v>0.63454910532309428</c:v>
                </c:pt>
                <c:pt idx="3173">
                  <c:v>0.63472724579193796</c:v>
                </c:pt>
                <c:pt idx="3174">
                  <c:v>0.63497399991372927</c:v>
                </c:pt>
                <c:pt idx="3175">
                  <c:v>0.63506866989593691</c:v>
                </c:pt>
                <c:pt idx="3176">
                  <c:v>0.63522783874897937</c:v>
                </c:pt>
                <c:pt idx="3177">
                  <c:v>0.63542014728868856</c:v>
                </c:pt>
                <c:pt idx="3178">
                  <c:v>0.63561269509867124</c:v>
                </c:pt>
                <c:pt idx="3179">
                  <c:v>0.63595838159372986</c:v>
                </c:pt>
                <c:pt idx="3180">
                  <c:v>0.63608795486122549</c:v>
                </c:pt>
                <c:pt idx="3181">
                  <c:v>0.63633593425618851</c:v>
                </c:pt>
                <c:pt idx="3182">
                  <c:v>0.63641218615458628</c:v>
                </c:pt>
                <c:pt idx="3183">
                  <c:v>0.63671624236184088</c:v>
                </c:pt>
                <c:pt idx="3184">
                  <c:v>0.63685382332598184</c:v>
                </c:pt>
                <c:pt idx="3185">
                  <c:v>0.6371080719521055</c:v>
                </c:pt>
                <c:pt idx="3186">
                  <c:v>0.63730762511033279</c:v>
                </c:pt>
                <c:pt idx="3187">
                  <c:v>0.637506917350671</c:v>
                </c:pt>
                <c:pt idx="3188">
                  <c:v>0.63761404815940514</c:v>
                </c:pt>
                <c:pt idx="3189">
                  <c:v>0.63797229708073944</c:v>
                </c:pt>
                <c:pt idx="3190">
                  <c:v>0.6380995202642632</c:v>
                </c:pt>
                <c:pt idx="3191">
                  <c:v>0.63832204382329294</c:v>
                </c:pt>
                <c:pt idx="3192">
                  <c:v>0.638488390956374</c:v>
                </c:pt>
                <c:pt idx="3193">
                  <c:v>0.63871782376005271</c:v>
                </c:pt>
                <c:pt idx="3194">
                  <c:v>0.63882348433356351</c:v>
                </c:pt>
                <c:pt idx="3195">
                  <c:v>0.63919140749475722</c:v>
                </c:pt>
                <c:pt idx="3196">
                  <c:v>0.6392787701063507</c:v>
                </c:pt>
                <c:pt idx="3197">
                  <c:v>0.63944878165606611</c:v>
                </c:pt>
                <c:pt idx="3198">
                  <c:v>0.63977917341468371</c:v>
                </c:pt>
                <c:pt idx="3199">
                  <c:v>0.63997379569443269</c:v>
                </c:pt>
                <c:pt idx="3200">
                  <c:v>0.64000771559793679</c:v>
                </c:pt>
                <c:pt idx="3201">
                  <c:v>0.64038126089334979</c:v>
                </c:pt>
                <c:pt idx="3202">
                  <c:v>0.64050224066639838</c:v>
                </c:pt>
                <c:pt idx="3203">
                  <c:v>0.64068845260899709</c:v>
                </c:pt>
                <c:pt idx="3204">
                  <c:v>0.64088132048265112</c:v>
                </c:pt>
                <c:pt idx="3205">
                  <c:v>0.64107457915131805</c:v>
                </c:pt>
                <c:pt idx="3206">
                  <c:v>0.64127609531108198</c:v>
                </c:pt>
                <c:pt idx="3207">
                  <c:v>0.64153851640330128</c:v>
                </c:pt>
                <c:pt idx="3208">
                  <c:v>0.64165305458694999</c:v>
                </c:pt>
                <c:pt idx="3209">
                  <c:v>0.64185272255415393</c:v>
                </c:pt>
                <c:pt idx="3210">
                  <c:v>0.64217637167069519</c:v>
                </c:pt>
                <c:pt idx="3211">
                  <c:v>0.64222525287634358</c:v>
                </c:pt>
                <c:pt idx="3212">
                  <c:v>0.64251492742968608</c:v>
                </c:pt>
                <c:pt idx="3213">
                  <c:v>0.64267870137097283</c:v>
                </c:pt>
                <c:pt idx="3214">
                  <c:v>0.64283938992974332</c:v>
                </c:pt>
                <c:pt idx="3215">
                  <c:v>0.64311796397662679</c:v>
                </c:pt>
                <c:pt idx="3216">
                  <c:v>0.64332663746227658</c:v>
                </c:pt>
                <c:pt idx="3217">
                  <c:v>0.64356264603761082</c:v>
                </c:pt>
                <c:pt idx="3218">
                  <c:v>0.64367947072900811</c:v>
                </c:pt>
                <c:pt idx="3219">
                  <c:v>0.64394697570538773</c:v>
                </c:pt>
                <c:pt idx="3220">
                  <c:v>0.64400863683731491</c:v>
                </c:pt>
                <c:pt idx="3221">
                  <c:v>0.64423247798980032</c:v>
                </c:pt>
                <c:pt idx="3222">
                  <c:v>0.64459473632280595</c:v>
                </c:pt>
                <c:pt idx="3223">
                  <c:v>0.64478222081339498</c:v>
                </c:pt>
                <c:pt idx="3224">
                  <c:v>0.64494388230017941</c:v>
                </c:pt>
                <c:pt idx="3225">
                  <c:v>0.64510987836632638</c:v>
                </c:pt>
                <c:pt idx="3226">
                  <c:v>0.64525422108509911</c:v>
                </c:pt>
                <c:pt idx="3227">
                  <c:v>0.64546365340609657</c:v>
                </c:pt>
                <c:pt idx="3228">
                  <c:v>0.64568795057174</c:v>
                </c:pt>
                <c:pt idx="3229">
                  <c:v>0.64580055649466817</c:v>
                </c:pt>
                <c:pt idx="3230">
                  <c:v>0.64603338295771584</c:v>
                </c:pt>
                <c:pt idx="3231">
                  <c:v>0.64624311798439427</c:v>
                </c:pt>
                <c:pt idx="3232">
                  <c:v>0.64658721858267376</c:v>
                </c:pt>
                <c:pt idx="3233">
                  <c:v>0.6467442545350045</c:v>
                </c:pt>
                <c:pt idx="3234">
                  <c:v>0.64698345532989676</c:v>
                </c:pt>
                <c:pt idx="3235">
                  <c:v>0.64716913972608026</c:v>
                </c:pt>
                <c:pt idx="3236">
                  <c:v>0.6473469998870387</c:v>
                </c:pt>
                <c:pt idx="3237">
                  <c:v>0.64750710121875332</c:v>
                </c:pt>
                <c:pt idx="3238">
                  <c:v>0.64765273014159241</c:v>
                </c:pt>
                <c:pt idx="3239">
                  <c:v>0.64787841332910545</c:v>
                </c:pt>
                <c:pt idx="3240">
                  <c:v>0.64809710526720088</c:v>
                </c:pt>
                <c:pt idx="3241">
                  <c:v>0.64831991060923788</c:v>
                </c:pt>
                <c:pt idx="3242">
                  <c:v>0.64842808931205143</c:v>
                </c:pt>
                <c:pt idx="3243">
                  <c:v>0.64865081316829909</c:v>
                </c:pt>
                <c:pt idx="3244">
                  <c:v>0.6489287972285247</c:v>
                </c:pt>
                <c:pt idx="3245">
                  <c:v>0.64911384454940302</c:v>
                </c:pt>
                <c:pt idx="3246">
                  <c:v>0.64925105613000955</c:v>
                </c:pt>
                <c:pt idx="3247">
                  <c:v>0.6495993104344232</c:v>
                </c:pt>
                <c:pt idx="3248">
                  <c:v>0.64978135806303039</c:v>
                </c:pt>
                <c:pt idx="3249">
                  <c:v>0.64985067748223679</c:v>
                </c:pt>
                <c:pt idx="3250">
                  <c:v>0.6500380371420732</c:v>
                </c:pt>
                <c:pt idx="3251">
                  <c:v>0.65025616055355784</c:v>
                </c:pt>
                <c:pt idx="3252">
                  <c:v>0.65057738105630902</c:v>
                </c:pt>
                <c:pt idx="3253">
                  <c:v>0.65061448009084311</c:v>
                </c:pt>
                <c:pt idx="3254">
                  <c:v>0.65084824602008995</c:v>
                </c:pt>
                <c:pt idx="3255">
                  <c:v>0.6510935322372926</c:v>
                </c:pt>
                <c:pt idx="3256">
                  <c:v>0.65134370126317809</c:v>
                </c:pt>
                <c:pt idx="3257">
                  <c:v>0.65154641301993899</c:v>
                </c:pt>
                <c:pt idx="3258">
                  <c:v>0.65165175601701519</c:v>
                </c:pt>
                <c:pt idx="3259">
                  <c:v>0.65196472710998843</c:v>
                </c:pt>
                <c:pt idx="3260">
                  <c:v>0.65200716206086962</c:v>
                </c:pt>
                <c:pt idx="3261">
                  <c:v>0.6522699220276601</c:v>
                </c:pt>
                <c:pt idx="3262">
                  <c:v>0.6524955741008035</c:v>
                </c:pt>
                <c:pt idx="3263">
                  <c:v>0.6526135395473367</c:v>
                </c:pt>
                <c:pt idx="3264">
                  <c:v>0.65292612669079708</c:v>
                </c:pt>
                <c:pt idx="3265">
                  <c:v>0.65312060556917473</c:v>
                </c:pt>
                <c:pt idx="3266">
                  <c:v>0.65329533091618108</c:v>
                </c:pt>
                <c:pt idx="3267">
                  <c:v>0.65359214540221544</c:v>
                </c:pt>
                <c:pt idx="3268">
                  <c:v>0.65369038742242624</c:v>
                </c:pt>
                <c:pt idx="3269">
                  <c:v>0.65385443862035275</c:v>
                </c:pt>
                <c:pt idx="3270">
                  <c:v>0.65407733227738118</c:v>
                </c:pt>
                <c:pt idx="3271">
                  <c:v>0.65421835362860425</c:v>
                </c:pt>
                <c:pt idx="3272">
                  <c:v>0.65454092382796603</c:v>
                </c:pt>
                <c:pt idx="3273">
                  <c:v>0.65460985652106107</c:v>
                </c:pt>
                <c:pt idx="3274">
                  <c:v>0.65492547836669845</c:v>
                </c:pt>
                <c:pt idx="3275">
                  <c:v>0.65504810705884542</c:v>
                </c:pt>
                <c:pt idx="3276">
                  <c:v>0.6553229075630016</c:v>
                </c:pt>
                <c:pt idx="3277">
                  <c:v>0.65551870255589451</c:v>
                </c:pt>
                <c:pt idx="3278">
                  <c:v>0.6557324410593911</c:v>
                </c:pt>
                <c:pt idx="3279">
                  <c:v>0.65584036481753927</c:v>
                </c:pt>
                <c:pt idx="3280">
                  <c:v>0.65604874984045713</c:v>
                </c:pt>
                <c:pt idx="3281">
                  <c:v>0.65634795680673519</c:v>
                </c:pt>
                <c:pt idx="3282">
                  <c:v>0.65656211287755573</c:v>
                </c:pt>
                <c:pt idx="3283">
                  <c:v>0.65676016996269115</c:v>
                </c:pt>
                <c:pt idx="3284">
                  <c:v>0.65697845658449883</c:v>
                </c:pt>
                <c:pt idx="3285">
                  <c:v>0.65708829324154372</c:v>
                </c:pt>
                <c:pt idx="3286">
                  <c:v>0.65727789724629315</c:v>
                </c:pt>
                <c:pt idx="3287">
                  <c:v>0.65757160885598775</c:v>
                </c:pt>
                <c:pt idx="3288">
                  <c:v>0.657743572515469</c:v>
                </c:pt>
                <c:pt idx="3289">
                  <c:v>0.65780944768241822</c:v>
                </c:pt>
                <c:pt idx="3290">
                  <c:v>0.65803773304560176</c:v>
                </c:pt>
                <c:pt idx="3291">
                  <c:v>0.65833290611508599</c:v>
                </c:pt>
                <c:pt idx="3292">
                  <c:v>0.65840500617870246</c:v>
                </c:pt>
                <c:pt idx="3293">
                  <c:v>0.65876996691286793</c:v>
                </c:pt>
                <c:pt idx="3294">
                  <c:v>0.65888420097615674</c:v>
                </c:pt>
                <c:pt idx="3295">
                  <c:v>0.65911980243486346</c:v>
                </c:pt>
                <c:pt idx="3296">
                  <c:v>0.65932570589951378</c:v>
                </c:pt>
                <c:pt idx="3297">
                  <c:v>0.65957408381397231</c:v>
                </c:pt>
                <c:pt idx="3298">
                  <c:v>0.659674779706652</c:v>
                </c:pt>
                <c:pt idx="3299">
                  <c:v>0.65995250521720206</c:v>
                </c:pt>
                <c:pt idx="3300">
                  <c:v>0.66019267987836916</c:v>
                </c:pt>
                <c:pt idx="3301">
                  <c:v>0.66038593497536746</c:v>
                </c:pt>
                <c:pt idx="3302">
                  <c:v>0.66059662031256516</c:v>
                </c:pt>
                <c:pt idx="3303">
                  <c:v>0.66070202295777902</c:v>
                </c:pt>
                <c:pt idx="3304">
                  <c:v>0.66085899159048189</c:v>
                </c:pt>
                <c:pt idx="3305">
                  <c:v>0.6610200422850484</c:v>
                </c:pt>
                <c:pt idx="3306">
                  <c:v>0.66130467738842236</c:v>
                </c:pt>
                <c:pt idx="3307">
                  <c:v>0.66155602480158116</c:v>
                </c:pt>
                <c:pt idx="3308">
                  <c:v>0.6616559714945629</c:v>
                </c:pt>
                <c:pt idx="3309">
                  <c:v>0.66182581572863874</c:v>
                </c:pt>
                <c:pt idx="3310">
                  <c:v>0.66209009106836525</c:v>
                </c:pt>
                <c:pt idx="3311">
                  <c:v>0.6623590006280129</c:v>
                </c:pt>
                <c:pt idx="3312">
                  <c:v>0.66241753112525159</c:v>
                </c:pt>
                <c:pt idx="3313">
                  <c:v>0.66272518851075435</c:v>
                </c:pt>
                <c:pt idx="3314">
                  <c:v>0.66295933187984846</c:v>
                </c:pt>
                <c:pt idx="3315">
                  <c:v>0.66314156381048761</c:v>
                </c:pt>
                <c:pt idx="3316">
                  <c:v>0.66330048087199689</c:v>
                </c:pt>
                <c:pt idx="3317">
                  <c:v>0.66357796723842111</c:v>
                </c:pt>
                <c:pt idx="3318">
                  <c:v>0.66361449802313333</c:v>
                </c:pt>
                <c:pt idx="3319">
                  <c:v>0.66383006191403371</c:v>
                </c:pt>
                <c:pt idx="3320">
                  <c:v>0.66418466146695077</c:v>
                </c:pt>
                <c:pt idx="3321">
                  <c:v>0.66432658490420471</c:v>
                </c:pt>
                <c:pt idx="3322">
                  <c:v>0.66447650254677904</c:v>
                </c:pt>
                <c:pt idx="3323">
                  <c:v>0.66461028561326907</c:v>
                </c:pt>
                <c:pt idx="3324">
                  <c:v>0.66485667966344786</c:v>
                </c:pt>
                <c:pt idx="3325">
                  <c:v>0.66516653451080587</c:v>
                </c:pt>
                <c:pt idx="3326">
                  <c:v>0.66529325060953692</c:v>
                </c:pt>
                <c:pt idx="3327">
                  <c:v>0.66546241339311529</c:v>
                </c:pt>
                <c:pt idx="3328">
                  <c:v>0.66577747559449107</c:v>
                </c:pt>
                <c:pt idx="3329">
                  <c:v>0.66584564773259813</c:v>
                </c:pt>
                <c:pt idx="3330">
                  <c:v>0.66615882119800873</c:v>
                </c:pt>
                <c:pt idx="3331">
                  <c:v>0.66632969054601376</c:v>
                </c:pt>
                <c:pt idx="3332">
                  <c:v>0.66644918100187767</c:v>
                </c:pt>
                <c:pt idx="3333">
                  <c:v>0.6667759190512299</c:v>
                </c:pt>
                <c:pt idx="3334">
                  <c:v>0.66682925430453133</c:v>
                </c:pt>
                <c:pt idx="3335">
                  <c:v>0.66700643893224332</c:v>
                </c:pt>
                <c:pt idx="3336">
                  <c:v>0.66729621180149168</c:v>
                </c:pt>
                <c:pt idx="3337">
                  <c:v>0.66740829299250803</c:v>
                </c:pt>
                <c:pt idx="3338">
                  <c:v>0.66770375389589554</c:v>
                </c:pt>
                <c:pt idx="3339">
                  <c:v>0.66799071848043023</c:v>
                </c:pt>
                <c:pt idx="3340">
                  <c:v>0.66816969139589222</c:v>
                </c:pt>
                <c:pt idx="3341">
                  <c:v>0.66829855700463481</c:v>
                </c:pt>
                <c:pt idx="3342">
                  <c:v>0.6684063700144659</c:v>
                </c:pt>
                <c:pt idx="3343">
                  <c:v>0.66862054118561109</c:v>
                </c:pt>
                <c:pt idx="3344">
                  <c:v>0.66890163328067898</c:v>
                </c:pt>
                <c:pt idx="3345">
                  <c:v>0.66913641546092373</c:v>
                </c:pt>
                <c:pt idx="3346">
                  <c:v>0.66934556691067892</c:v>
                </c:pt>
                <c:pt idx="3347">
                  <c:v>0.66954158983550538</c:v>
                </c:pt>
                <c:pt idx="3348">
                  <c:v>0.66972292879464179</c:v>
                </c:pt>
                <c:pt idx="3349">
                  <c:v>0.66992015216884215</c:v>
                </c:pt>
                <c:pt idx="3350">
                  <c:v>0.67019633099716069</c:v>
                </c:pt>
                <c:pt idx="3351">
                  <c:v>0.67034630845900312</c:v>
                </c:pt>
                <c:pt idx="3352">
                  <c:v>0.67042058545384109</c:v>
                </c:pt>
                <c:pt idx="3353">
                  <c:v>0.67067834332452125</c:v>
                </c:pt>
                <c:pt idx="3354">
                  <c:v>0.67083888665038138</c:v>
                </c:pt>
                <c:pt idx="3355">
                  <c:v>0.67109583595355404</c:v>
                </c:pt>
                <c:pt idx="3356">
                  <c:v>0.67136912808412896</c:v>
                </c:pt>
                <c:pt idx="3357">
                  <c:v>0.67143760373388361</c:v>
                </c:pt>
                <c:pt idx="3358">
                  <c:v>0.67162082776558141</c:v>
                </c:pt>
                <c:pt idx="3359">
                  <c:v>0.67188290601458467</c:v>
                </c:pt>
                <c:pt idx="3360">
                  <c:v>0.67206107024631023</c:v>
                </c:pt>
                <c:pt idx="3361">
                  <c:v>0.67236744115226144</c:v>
                </c:pt>
                <c:pt idx="3362">
                  <c:v>0.67254946423665374</c:v>
                </c:pt>
                <c:pt idx="3363">
                  <c:v>0.67261897457796593</c:v>
                </c:pt>
                <c:pt idx="3364">
                  <c:v>0.67285610777937255</c:v>
                </c:pt>
                <c:pt idx="3365">
                  <c:v>0.67319773858278009</c:v>
                </c:pt>
                <c:pt idx="3366">
                  <c:v>0.67338089428715897</c:v>
                </c:pt>
                <c:pt idx="3367">
                  <c:v>0.67347733081227101</c:v>
                </c:pt>
                <c:pt idx="3368">
                  <c:v>0.6737649698285304</c:v>
                </c:pt>
                <c:pt idx="3369">
                  <c:v>0.67381493340237408</c:v>
                </c:pt>
                <c:pt idx="3370">
                  <c:v>0.67405440419284957</c:v>
                </c:pt>
                <c:pt idx="3371">
                  <c:v>0.67421973108263222</c:v>
                </c:pt>
                <c:pt idx="3372">
                  <c:v>0.6745647079839755</c:v>
                </c:pt>
                <c:pt idx="3373">
                  <c:v>0.67476543707050518</c:v>
                </c:pt>
                <c:pt idx="3374">
                  <c:v>0.67488370736378334</c:v>
                </c:pt>
                <c:pt idx="3375">
                  <c:v>0.6751877190094413</c:v>
                </c:pt>
                <c:pt idx="3376">
                  <c:v>0.67520827348875068</c:v>
                </c:pt>
                <c:pt idx="3377">
                  <c:v>0.67554680333494832</c:v>
                </c:pt>
                <c:pt idx="3378">
                  <c:v>0.67579223315212689</c:v>
                </c:pt>
                <c:pt idx="3379">
                  <c:v>0.67587539243527583</c:v>
                </c:pt>
                <c:pt idx="3380">
                  <c:v>0.67617002559499118</c:v>
                </c:pt>
                <c:pt idx="3381">
                  <c:v>0.6762406864368451</c:v>
                </c:pt>
                <c:pt idx="3382">
                  <c:v>0.67657978817191433</c:v>
                </c:pt>
                <c:pt idx="3383">
                  <c:v>0.67669653147940911</c:v>
                </c:pt>
                <c:pt idx="3384">
                  <c:v>0.67691892610744542</c:v>
                </c:pt>
                <c:pt idx="3385">
                  <c:v>0.67701653557466723</c:v>
                </c:pt>
                <c:pt idx="3386">
                  <c:v>0.67726473100834172</c:v>
                </c:pt>
                <c:pt idx="3387">
                  <c:v>0.67740925559732346</c:v>
                </c:pt>
                <c:pt idx="3388">
                  <c:v>0.67779982997886834</c:v>
                </c:pt>
                <c:pt idx="3389">
                  <c:v>0.67796805791341885</c:v>
                </c:pt>
                <c:pt idx="3390">
                  <c:v>0.67814890865258615</c:v>
                </c:pt>
                <c:pt idx="3391">
                  <c:v>0.67836939387590844</c:v>
                </c:pt>
                <c:pt idx="3392">
                  <c:v>0.67851619119255713</c:v>
                </c:pt>
                <c:pt idx="3393">
                  <c:v>0.6787411551712409</c:v>
                </c:pt>
                <c:pt idx="3394">
                  <c:v>0.67880832752860343</c:v>
                </c:pt>
                <c:pt idx="3395">
                  <c:v>0.67916899435058453</c:v>
                </c:pt>
                <c:pt idx="3396">
                  <c:v>0.67939073791787741</c:v>
                </c:pt>
                <c:pt idx="3397">
                  <c:v>0.67944111168823229</c:v>
                </c:pt>
                <c:pt idx="3398">
                  <c:v>0.67964488308458704</c:v>
                </c:pt>
                <c:pt idx="3399">
                  <c:v>0.67997691743033406</c:v>
                </c:pt>
                <c:pt idx="3400">
                  <c:v>0.68006020725058858</c:v>
                </c:pt>
                <c:pt idx="3401">
                  <c:v>0.68035799099243199</c:v>
                </c:pt>
                <c:pt idx="3402">
                  <c:v>0.68041718688491204</c:v>
                </c:pt>
                <c:pt idx="3403">
                  <c:v>0.68065807805705303</c:v>
                </c:pt>
                <c:pt idx="3404">
                  <c:v>0.68094390978620944</c:v>
                </c:pt>
                <c:pt idx="3405">
                  <c:v>0.68118091966816707</c:v>
                </c:pt>
                <c:pt idx="3406">
                  <c:v>0.68127606799809171</c:v>
                </c:pt>
                <c:pt idx="3407">
                  <c:v>0.68142692286475259</c:v>
                </c:pt>
                <c:pt idx="3408">
                  <c:v>0.68166686419217537</c:v>
                </c:pt>
                <c:pt idx="3409">
                  <c:v>0.6818732561732348</c:v>
                </c:pt>
                <c:pt idx="3410">
                  <c:v>0.6820593045746115</c:v>
                </c:pt>
                <c:pt idx="3411">
                  <c:v>0.68229422879589119</c:v>
                </c:pt>
                <c:pt idx="3412">
                  <c:v>0.68248575673803824</c:v>
                </c:pt>
                <c:pt idx="3413">
                  <c:v>0.68263312134343046</c:v>
                </c:pt>
                <c:pt idx="3414">
                  <c:v>0.68283902349491576</c:v>
                </c:pt>
                <c:pt idx="3415">
                  <c:v>0.68312739498296926</c:v>
                </c:pt>
                <c:pt idx="3416">
                  <c:v>0.68334270687250942</c:v>
                </c:pt>
                <c:pt idx="3417">
                  <c:v>0.68349168935126903</c:v>
                </c:pt>
                <c:pt idx="3418">
                  <c:v>0.68365629894432056</c:v>
                </c:pt>
                <c:pt idx="3419">
                  <c:v>0.68395473168491261</c:v>
                </c:pt>
                <c:pt idx="3420">
                  <c:v>0.6841410945569959</c:v>
                </c:pt>
                <c:pt idx="3421">
                  <c:v>0.68428643338887163</c:v>
                </c:pt>
                <c:pt idx="3422">
                  <c:v>0.68455702288675979</c:v>
                </c:pt>
                <c:pt idx="3423">
                  <c:v>0.68471589137360356</c:v>
                </c:pt>
                <c:pt idx="3424">
                  <c:v>0.68484642999112755</c:v>
                </c:pt>
                <c:pt idx="3425">
                  <c:v>0.68518601138195623</c:v>
                </c:pt>
                <c:pt idx="3426">
                  <c:v>0.68520169315473212</c:v>
                </c:pt>
                <c:pt idx="3427">
                  <c:v>0.68543195747501029</c:v>
                </c:pt>
                <c:pt idx="3428">
                  <c:v>0.68576732871294188</c:v>
                </c:pt>
                <c:pt idx="3429">
                  <c:v>0.68582660039934018</c:v>
                </c:pt>
                <c:pt idx="3430">
                  <c:v>0.68612471553858478</c:v>
                </c:pt>
                <c:pt idx="3431">
                  <c:v>0.68621561460360314</c:v>
                </c:pt>
                <c:pt idx="3432">
                  <c:v>0.68649374695226872</c:v>
                </c:pt>
                <c:pt idx="3433">
                  <c:v>0.68674336194641505</c:v>
                </c:pt>
                <c:pt idx="3434">
                  <c:v>0.68682092491817226</c:v>
                </c:pt>
                <c:pt idx="3435">
                  <c:v>0.68715716424709117</c:v>
                </c:pt>
                <c:pt idx="3436">
                  <c:v>0.68736431849006663</c:v>
                </c:pt>
                <c:pt idx="3437">
                  <c:v>0.68742109696097231</c:v>
                </c:pt>
                <c:pt idx="3438">
                  <c:v>0.68764984186632794</c:v>
                </c:pt>
                <c:pt idx="3439">
                  <c:v>0.68799462298611047</c:v>
                </c:pt>
                <c:pt idx="3440">
                  <c:v>0.68811234754452311</c:v>
                </c:pt>
                <c:pt idx="3441">
                  <c:v>0.68832113355373059</c:v>
                </c:pt>
                <c:pt idx="3442">
                  <c:v>0.68857063104402527</c:v>
                </c:pt>
                <c:pt idx="3443">
                  <c:v>0.68879180136751195</c:v>
                </c:pt>
                <c:pt idx="3444">
                  <c:v>0.68897157805766251</c:v>
                </c:pt>
                <c:pt idx="3445">
                  <c:v>0.68906160848114217</c:v>
                </c:pt>
                <c:pt idx="3446">
                  <c:v>0.68933150161004897</c:v>
                </c:pt>
                <c:pt idx="3447">
                  <c:v>0.6895263761038255</c:v>
                </c:pt>
                <c:pt idx="3448">
                  <c:v>0.68973463820422409</c:v>
                </c:pt>
                <c:pt idx="3449">
                  <c:v>0.68985256513195414</c:v>
                </c:pt>
                <c:pt idx="3450">
                  <c:v>0.69011101142762021</c:v>
                </c:pt>
                <c:pt idx="3451">
                  <c:v>0.69029527400319823</c:v>
                </c:pt>
                <c:pt idx="3452">
                  <c:v>0.69051251648094325</c:v>
                </c:pt>
                <c:pt idx="3453">
                  <c:v>0.69067441579654687</c:v>
                </c:pt>
                <c:pt idx="3454">
                  <c:v>0.69092406984323729</c:v>
                </c:pt>
                <c:pt idx="3455">
                  <c:v>0.69116347521216681</c:v>
                </c:pt>
                <c:pt idx="3456">
                  <c:v>0.69135350664885564</c:v>
                </c:pt>
                <c:pt idx="3457">
                  <c:v>0.6915104891105347</c:v>
                </c:pt>
                <c:pt idx="3458">
                  <c:v>0.69176928785992065</c:v>
                </c:pt>
                <c:pt idx="3459">
                  <c:v>0.6918931809418587</c:v>
                </c:pt>
                <c:pt idx="3460">
                  <c:v>0.6920300526531018</c:v>
                </c:pt>
                <c:pt idx="3461">
                  <c:v>0.69223229646138673</c:v>
                </c:pt>
                <c:pt idx="3462">
                  <c:v>0.69254794384016372</c:v>
                </c:pt>
                <c:pt idx="3463">
                  <c:v>0.69276880025257559</c:v>
                </c:pt>
                <c:pt idx="3464">
                  <c:v>0.69287720737999248</c:v>
                </c:pt>
                <c:pt idx="3465">
                  <c:v>0.69304810480062107</c:v>
                </c:pt>
                <c:pt idx="3466">
                  <c:v>0.6933002899344779</c:v>
                </c:pt>
                <c:pt idx="3467">
                  <c:v>0.69350620047853007</c:v>
                </c:pt>
                <c:pt idx="3468">
                  <c:v>0.69379741503274939</c:v>
                </c:pt>
                <c:pt idx="3469">
                  <c:v>0.69386329431330396</c:v>
                </c:pt>
                <c:pt idx="3470">
                  <c:v>0.69409438924298028</c:v>
                </c:pt>
                <c:pt idx="3471">
                  <c:v>0.69424596676520212</c:v>
                </c:pt>
                <c:pt idx="3472">
                  <c:v>0.69447821629673201</c:v>
                </c:pt>
                <c:pt idx="3473">
                  <c:v>0.69473906885887005</c:v>
                </c:pt>
                <c:pt idx="3474">
                  <c:v>0.69495295922838918</c:v>
                </c:pt>
                <c:pt idx="3475">
                  <c:v>0.6950545243553945</c:v>
                </c:pt>
                <c:pt idx="3476">
                  <c:v>0.69522400254104844</c:v>
                </c:pt>
                <c:pt idx="3477">
                  <c:v>0.69544997040542078</c:v>
                </c:pt>
                <c:pt idx="3478">
                  <c:v>0.69570248025751258</c:v>
                </c:pt>
                <c:pt idx="3479">
                  <c:v>0.69593995301512535</c:v>
                </c:pt>
                <c:pt idx="3480">
                  <c:v>0.69617494328328755</c:v>
                </c:pt>
                <c:pt idx="3481">
                  <c:v>0.69638820262844403</c:v>
                </c:pt>
                <c:pt idx="3482">
                  <c:v>0.69658030602656784</c:v>
                </c:pt>
                <c:pt idx="3483">
                  <c:v>0.69664352509911254</c:v>
                </c:pt>
                <c:pt idx="3484">
                  <c:v>0.69688129446303504</c:v>
                </c:pt>
                <c:pt idx="3485">
                  <c:v>0.69703552888329967</c:v>
                </c:pt>
                <c:pt idx="3486">
                  <c:v>0.69731256077208381</c:v>
                </c:pt>
                <c:pt idx="3487">
                  <c:v>0.69751995026024993</c:v>
                </c:pt>
                <c:pt idx="3488">
                  <c:v>0.69778608289402577</c:v>
                </c:pt>
                <c:pt idx="3489">
                  <c:v>0.69796071177519869</c:v>
                </c:pt>
                <c:pt idx="3490">
                  <c:v>0.69805014949404864</c:v>
                </c:pt>
                <c:pt idx="3491">
                  <c:v>0.69827905871106288</c:v>
                </c:pt>
                <c:pt idx="3492">
                  <c:v>0.69843463407392492</c:v>
                </c:pt>
                <c:pt idx="3493">
                  <c:v>0.69874917861929842</c:v>
                </c:pt>
                <c:pt idx="3494">
                  <c:v>0.69895547370355471</c:v>
                </c:pt>
                <c:pt idx="3495">
                  <c:v>0.69910636505389268</c:v>
                </c:pt>
                <c:pt idx="3496">
                  <c:v>0.6992157996443602</c:v>
                </c:pt>
                <c:pt idx="3497">
                  <c:v>0.69944308455531556</c:v>
                </c:pt>
                <c:pt idx="3498">
                  <c:v>0.69965376797221923</c:v>
                </c:pt>
                <c:pt idx="3499">
                  <c:v>0.69994051275740854</c:v>
                </c:pt>
                <c:pt idx="3500">
                  <c:v>0.70009222687349937</c:v>
                </c:pt>
                <c:pt idx="3501">
                  <c:v>0.70027225878626864</c:v>
                </c:pt>
                <c:pt idx="3502">
                  <c:v>0.70045587221152517</c:v>
                </c:pt>
                <c:pt idx="3503">
                  <c:v>0.70075551024595173</c:v>
                </c:pt>
                <c:pt idx="3504">
                  <c:v>0.70085348512745782</c:v>
                </c:pt>
                <c:pt idx="3505">
                  <c:v>0.70115066734984299</c:v>
                </c:pt>
                <c:pt idx="3506">
                  <c:v>0.7013785964242133</c:v>
                </c:pt>
                <c:pt idx="3507">
                  <c:v>0.70148159643981645</c:v>
                </c:pt>
                <c:pt idx="3508">
                  <c:v>0.70164127237960727</c:v>
                </c:pt>
                <c:pt idx="3509">
                  <c:v>0.7018599596209032</c:v>
                </c:pt>
                <c:pt idx="3510">
                  <c:v>0.70218221674770631</c:v>
                </c:pt>
                <c:pt idx="3511">
                  <c:v>0.70230073541926707</c:v>
                </c:pt>
                <c:pt idx="3512">
                  <c:v>0.70251697632933896</c:v>
                </c:pt>
                <c:pt idx="3513">
                  <c:v>0.70268316900252437</c:v>
                </c:pt>
                <c:pt idx="3514">
                  <c:v>0.70285734741684458</c:v>
                </c:pt>
                <c:pt idx="3515">
                  <c:v>0.70318534533022559</c:v>
                </c:pt>
                <c:pt idx="3516">
                  <c:v>0.70327794678389988</c:v>
                </c:pt>
                <c:pt idx="3517">
                  <c:v>0.7035718330167634</c:v>
                </c:pt>
                <c:pt idx="3518">
                  <c:v>0.70376649193958529</c:v>
                </c:pt>
                <c:pt idx="3519">
                  <c:v>0.70399463183102073</c:v>
                </c:pt>
                <c:pt idx="3520">
                  <c:v>0.70415907328528327</c:v>
                </c:pt>
                <c:pt idx="3521">
                  <c:v>0.70428121025582802</c:v>
                </c:pt>
                <c:pt idx="3522">
                  <c:v>0.70457607132796574</c:v>
                </c:pt>
                <c:pt idx="3523">
                  <c:v>0.7046816099509321</c:v>
                </c:pt>
                <c:pt idx="3524">
                  <c:v>0.70481759588229875</c:v>
                </c:pt>
                <c:pt idx="3525">
                  <c:v>0.70504684552467589</c:v>
                </c:pt>
                <c:pt idx="3526">
                  <c:v>0.70535319814727482</c:v>
                </c:pt>
                <c:pt idx="3527">
                  <c:v>0.70553757088429703</c:v>
                </c:pt>
                <c:pt idx="3528">
                  <c:v>0.70563937499416984</c:v>
                </c:pt>
                <c:pt idx="3529">
                  <c:v>0.70582286406662853</c:v>
                </c:pt>
                <c:pt idx="3530">
                  <c:v>0.70610801292744185</c:v>
                </c:pt>
                <c:pt idx="3531">
                  <c:v>0.7063141744066761</c:v>
                </c:pt>
                <c:pt idx="3532">
                  <c:v>0.70646260302510633</c:v>
                </c:pt>
                <c:pt idx="3533">
                  <c:v>0.7067777789691877</c:v>
                </c:pt>
                <c:pt idx="3534">
                  <c:v>0.70694531835749408</c:v>
                </c:pt>
                <c:pt idx="3535">
                  <c:v>0.70702989591775234</c:v>
                </c:pt>
                <c:pt idx="3536">
                  <c:v>0.70739197052521441</c:v>
                </c:pt>
                <c:pt idx="3537">
                  <c:v>0.70752410497281804</c:v>
                </c:pt>
                <c:pt idx="3538">
                  <c:v>0.70765998608569147</c:v>
                </c:pt>
                <c:pt idx="3539">
                  <c:v>0.70787188029062742</c:v>
                </c:pt>
                <c:pt idx="3540">
                  <c:v>0.70800453922813866</c:v>
                </c:pt>
                <c:pt idx="3541">
                  <c:v>0.70838408558969013</c:v>
                </c:pt>
                <c:pt idx="3542">
                  <c:v>0.70842932797852654</c:v>
                </c:pt>
                <c:pt idx="3543">
                  <c:v>0.70870215552041826</c:v>
                </c:pt>
                <c:pt idx="3544">
                  <c:v>0.70893141628516165</c:v>
                </c:pt>
                <c:pt idx="3545">
                  <c:v>0.70914305901414321</c:v>
                </c:pt>
                <c:pt idx="3546">
                  <c:v>0.70936099129457975</c:v>
                </c:pt>
                <c:pt idx="3547">
                  <c:v>0.70940158086507621</c:v>
                </c:pt>
                <c:pt idx="3548">
                  <c:v>0.70970279483704424</c:v>
                </c:pt>
                <c:pt idx="3549">
                  <c:v>0.70999576013237142</c:v>
                </c:pt>
                <c:pt idx="3550">
                  <c:v>0.71012996905993908</c:v>
                </c:pt>
                <c:pt idx="3551">
                  <c:v>0.71030382219816179</c:v>
                </c:pt>
                <c:pt idx="3552">
                  <c:v>0.71043348517055471</c:v>
                </c:pt>
                <c:pt idx="3553">
                  <c:v>0.71078098751222274</c:v>
                </c:pt>
                <c:pt idx="3554">
                  <c:v>0.71094879899922503</c:v>
                </c:pt>
                <c:pt idx="3555">
                  <c:v>0.71103756849533817</c:v>
                </c:pt>
                <c:pt idx="3556">
                  <c:v>0.71122512255218462</c:v>
                </c:pt>
                <c:pt idx="3557">
                  <c:v>0.71149938164947069</c:v>
                </c:pt>
                <c:pt idx="3558">
                  <c:v>0.71177205805801136</c:v>
                </c:pt>
                <c:pt idx="3559">
                  <c:v>0.71197772578750218</c:v>
                </c:pt>
                <c:pt idx="3560">
                  <c:v>0.71219892895398629</c:v>
                </c:pt>
                <c:pt idx="3561">
                  <c:v>0.71231072981243737</c:v>
                </c:pt>
                <c:pt idx="3562">
                  <c:v>0.71254133548139165</c:v>
                </c:pt>
                <c:pt idx="3563">
                  <c:v>0.7126424599448784</c:v>
                </c:pt>
                <c:pt idx="3564">
                  <c:v>0.71289868631318654</c:v>
                </c:pt>
                <c:pt idx="3565">
                  <c:v>0.71308962188770286</c:v>
                </c:pt>
                <c:pt idx="3566">
                  <c:v>0.71326784344452154</c:v>
                </c:pt>
                <c:pt idx="3567">
                  <c:v>0.71356324040721242</c:v>
                </c:pt>
                <c:pt idx="3568">
                  <c:v>0.71362576256008492</c:v>
                </c:pt>
                <c:pt idx="3569">
                  <c:v>0.71388871500573325</c:v>
                </c:pt>
                <c:pt idx="3570">
                  <c:v>0.714133941860016</c:v>
                </c:pt>
                <c:pt idx="3571">
                  <c:v>0.714367075373737</c:v>
                </c:pt>
                <c:pt idx="3572">
                  <c:v>0.7144242281224169</c:v>
                </c:pt>
                <c:pt idx="3573">
                  <c:v>0.7147961484455494</c:v>
                </c:pt>
                <c:pt idx="3574">
                  <c:v>0.71485599204074957</c:v>
                </c:pt>
                <c:pt idx="3575">
                  <c:v>0.71501694059037069</c:v>
                </c:pt>
                <c:pt idx="3576">
                  <c:v>0.71521195419333228</c:v>
                </c:pt>
                <c:pt idx="3577">
                  <c:v>0.71558912059352475</c:v>
                </c:pt>
                <c:pt idx="3578">
                  <c:v>0.71571723367490736</c:v>
                </c:pt>
                <c:pt idx="3579">
                  <c:v>0.71595361974107885</c:v>
                </c:pt>
                <c:pt idx="3580">
                  <c:v>0.71619008752936275</c:v>
                </c:pt>
                <c:pt idx="3581">
                  <c:v>0.71628760053936569</c:v>
                </c:pt>
                <c:pt idx="3582">
                  <c:v>0.71640194092737552</c:v>
                </c:pt>
                <c:pt idx="3583">
                  <c:v>0.71668066221961757</c:v>
                </c:pt>
                <c:pt idx="3584">
                  <c:v>0.71695669466945267</c:v>
                </c:pt>
                <c:pt idx="3585">
                  <c:v>0.71708752882287086</c:v>
                </c:pt>
                <c:pt idx="3586">
                  <c:v>0.71735232623716638</c:v>
                </c:pt>
                <c:pt idx="3587">
                  <c:v>0.7174488274420725</c:v>
                </c:pt>
                <c:pt idx="3588">
                  <c:v>0.71762918759030969</c:v>
                </c:pt>
                <c:pt idx="3589">
                  <c:v>0.71799638470192362</c:v>
                </c:pt>
                <c:pt idx="3590">
                  <c:v>0.71811993436909283</c:v>
                </c:pt>
                <c:pt idx="3591">
                  <c:v>0.71823662250070752</c:v>
                </c:pt>
                <c:pt idx="3592">
                  <c:v>0.71845921053277784</c:v>
                </c:pt>
                <c:pt idx="3593">
                  <c:v>0.71876345900408067</c:v>
                </c:pt>
                <c:pt idx="3594">
                  <c:v>0.71880098831267125</c:v>
                </c:pt>
                <c:pt idx="3595">
                  <c:v>0.71906508074069053</c:v>
                </c:pt>
                <c:pt idx="3596">
                  <c:v>0.71938796461485044</c:v>
                </c:pt>
                <c:pt idx="3597">
                  <c:v>0.71941526286770008</c:v>
                </c:pt>
                <c:pt idx="3598">
                  <c:v>0.71966630571071677</c:v>
                </c:pt>
                <c:pt idx="3599">
                  <c:v>0.71998426939691051</c:v>
                </c:pt>
                <c:pt idx="3600">
                  <c:v>0.72015589012921688</c:v>
                </c:pt>
                <c:pt idx="3601">
                  <c:v>0.72026112860810498</c:v>
                </c:pt>
                <c:pt idx="3602">
                  <c:v>0.72053851791665391</c:v>
                </c:pt>
                <c:pt idx="3603">
                  <c:v>0.72072115196644349</c:v>
                </c:pt>
                <c:pt idx="3604">
                  <c:v>0.72096589000322064</c:v>
                </c:pt>
                <c:pt idx="3605">
                  <c:v>0.72113753711351603</c:v>
                </c:pt>
                <c:pt idx="3606">
                  <c:v>0.72134541673952368</c:v>
                </c:pt>
                <c:pt idx="3607">
                  <c:v>0.72158588217561737</c:v>
                </c:pt>
                <c:pt idx="3608">
                  <c:v>0.72168733807645913</c:v>
                </c:pt>
                <c:pt idx="3609">
                  <c:v>0.72195414342674291</c:v>
                </c:pt>
                <c:pt idx="3610">
                  <c:v>0.72207827686753079</c:v>
                </c:pt>
                <c:pt idx="3611">
                  <c:v>0.72234078854367623</c:v>
                </c:pt>
                <c:pt idx="3612">
                  <c:v>0.72242144584898405</c:v>
                </c:pt>
                <c:pt idx="3613">
                  <c:v>0.72272082276286576</c:v>
                </c:pt>
                <c:pt idx="3614">
                  <c:v>0.72294775837663272</c:v>
                </c:pt>
                <c:pt idx="3615">
                  <c:v>0.72317822954575017</c:v>
                </c:pt>
                <c:pt idx="3616">
                  <c:v>0.72330921311599883</c:v>
                </c:pt>
                <c:pt idx="3617">
                  <c:v>0.7235227909699834</c:v>
                </c:pt>
                <c:pt idx="3618">
                  <c:v>0.72362591161770418</c:v>
                </c:pt>
                <c:pt idx="3619">
                  <c:v>0.72391426103667222</c:v>
                </c:pt>
                <c:pt idx="3620">
                  <c:v>0.72404968737625741</c:v>
                </c:pt>
                <c:pt idx="3621">
                  <c:v>0.72427567501139734</c:v>
                </c:pt>
                <c:pt idx="3622">
                  <c:v>0.7244267284320729</c:v>
                </c:pt>
                <c:pt idx="3623">
                  <c:v>0.72475875927045907</c:v>
                </c:pt>
                <c:pt idx="3624">
                  <c:v>0.72496480042174571</c:v>
                </c:pt>
                <c:pt idx="3625">
                  <c:v>0.72507495459748317</c:v>
                </c:pt>
                <c:pt idx="3626">
                  <c:v>0.72522005146216129</c:v>
                </c:pt>
                <c:pt idx="3627">
                  <c:v>0.725432020720847</c:v>
                </c:pt>
                <c:pt idx="3628">
                  <c:v>0.72564255151009249</c:v>
                </c:pt>
                <c:pt idx="3629">
                  <c:v>0.72593568328352076</c:v>
                </c:pt>
                <c:pt idx="3630">
                  <c:v>0.72610308478802976</c:v>
                </c:pt>
                <c:pt idx="3631">
                  <c:v>0.72621260509193231</c:v>
                </c:pt>
                <c:pt idx="3632">
                  <c:v>0.72655489014628227</c:v>
                </c:pt>
                <c:pt idx="3633">
                  <c:v>0.72661834994983354</c:v>
                </c:pt>
                <c:pt idx="3634">
                  <c:v>0.72693967964875972</c:v>
                </c:pt>
                <c:pt idx="3635">
                  <c:v>0.7270026701204485</c:v>
                </c:pt>
                <c:pt idx="3636">
                  <c:v>0.72720188329592395</c:v>
                </c:pt>
                <c:pt idx="3637">
                  <c:v>0.72756358316986902</c:v>
                </c:pt>
                <c:pt idx="3638">
                  <c:v>0.72770580867349777</c:v>
                </c:pt>
                <c:pt idx="3639">
                  <c:v>0.72798816596897975</c:v>
                </c:pt>
                <c:pt idx="3640">
                  <c:v>0.72813857392820969</c:v>
                </c:pt>
                <c:pt idx="3641">
                  <c:v>0.72833466801427649</c:v>
                </c:pt>
                <c:pt idx="3642">
                  <c:v>0.72840190522605597</c:v>
                </c:pt>
                <c:pt idx="3643">
                  <c:v>0.72878653784976033</c:v>
                </c:pt>
                <c:pt idx="3644">
                  <c:v>0.72889089118207129</c:v>
                </c:pt>
                <c:pt idx="3645">
                  <c:v>0.72917680732863421</c:v>
                </c:pt>
                <c:pt idx="3646">
                  <c:v>0.72930313714954609</c:v>
                </c:pt>
                <c:pt idx="3647">
                  <c:v>0.72958998813247067</c:v>
                </c:pt>
                <c:pt idx="3648">
                  <c:v>0.72970071430488037</c:v>
                </c:pt>
                <c:pt idx="3649">
                  <c:v>0.72993841023154982</c:v>
                </c:pt>
                <c:pt idx="3650">
                  <c:v>0.7300256988931042</c:v>
                </c:pt>
                <c:pt idx="3651">
                  <c:v>0.73023817861001894</c:v>
                </c:pt>
                <c:pt idx="3652">
                  <c:v>0.73040275876564043</c:v>
                </c:pt>
                <c:pt idx="3653">
                  <c:v>0.73060551783656824</c:v>
                </c:pt>
                <c:pt idx="3654">
                  <c:v>0.73086703651101959</c:v>
                </c:pt>
                <c:pt idx="3655">
                  <c:v>0.73111824144407134</c:v>
                </c:pt>
                <c:pt idx="3656">
                  <c:v>0.73136013836519798</c:v>
                </c:pt>
                <c:pt idx="3657">
                  <c:v>0.73159243420264508</c:v>
                </c:pt>
                <c:pt idx="3658">
                  <c:v>0.731651165036869</c:v>
                </c:pt>
                <c:pt idx="3659">
                  <c:v>0.73190606280968207</c:v>
                </c:pt>
                <c:pt idx="3660">
                  <c:v>0.73204605814224255</c:v>
                </c:pt>
                <c:pt idx="3661">
                  <c:v>0.73220465714922289</c:v>
                </c:pt>
                <c:pt idx="3662">
                  <c:v>0.73242834993773809</c:v>
                </c:pt>
                <c:pt idx="3663">
                  <c:v>0.73262525151973246</c:v>
                </c:pt>
                <c:pt idx="3664">
                  <c:v>0.73299268729174338</c:v>
                </c:pt>
                <c:pt idx="3665">
                  <c:v>0.7331959546018848</c:v>
                </c:pt>
                <c:pt idx="3666">
                  <c:v>0.73327651931482285</c:v>
                </c:pt>
                <c:pt idx="3667">
                  <c:v>0.73343623452802098</c:v>
                </c:pt>
                <c:pt idx="3668">
                  <c:v>0.73366309614518266</c:v>
                </c:pt>
                <c:pt idx="3669">
                  <c:v>0.7338502075992176</c:v>
                </c:pt>
                <c:pt idx="3670">
                  <c:v>0.73417480626054454</c:v>
                </c:pt>
                <c:pt idx="3671">
                  <c:v>0.73429404662742603</c:v>
                </c:pt>
                <c:pt idx="3672">
                  <c:v>0.73453709556668467</c:v>
                </c:pt>
                <c:pt idx="3673">
                  <c:v>0.73473833105492836</c:v>
                </c:pt>
                <c:pt idx="3674">
                  <c:v>0.73485574641829721</c:v>
                </c:pt>
                <c:pt idx="3675">
                  <c:v>0.73508643907184856</c:v>
                </c:pt>
                <c:pt idx="3676">
                  <c:v>0.73527772576847994</c:v>
                </c:pt>
                <c:pt idx="3677">
                  <c:v>0.73542772668027967</c:v>
                </c:pt>
                <c:pt idx="3678">
                  <c:v>0.73561072714911091</c:v>
                </c:pt>
                <c:pt idx="3679">
                  <c:v>0.73590324088258274</c:v>
                </c:pt>
                <c:pt idx="3680">
                  <c:v>0.73612901700263123</c:v>
                </c:pt>
                <c:pt idx="3681">
                  <c:v>0.73636626428364926</c:v>
                </c:pt>
                <c:pt idx="3682">
                  <c:v>0.73649872457238352</c:v>
                </c:pt>
                <c:pt idx="3683">
                  <c:v>0.73670109634425052</c:v>
                </c:pt>
                <c:pt idx="3684">
                  <c:v>0.73692440039900231</c:v>
                </c:pt>
                <c:pt idx="3685">
                  <c:v>0.73706763974471656</c:v>
                </c:pt>
                <c:pt idx="3686">
                  <c:v>0.73723685274558071</c:v>
                </c:pt>
                <c:pt idx="3687">
                  <c:v>0.73749096849325368</c:v>
                </c:pt>
                <c:pt idx="3688">
                  <c:v>0.73779959333222356</c:v>
                </c:pt>
                <c:pt idx="3689">
                  <c:v>0.73796207637511246</c:v>
                </c:pt>
                <c:pt idx="3690">
                  <c:v>0.73809527901459837</c:v>
                </c:pt>
                <c:pt idx="3691">
                  <c:v>0.73822609767914427</c:v>
                </c:pt>
                <c:pt idx="3692">
                  <c:v>0.73850810466914163</c:v>
                </c:pt>
                <c:pt idx="3693">
                  <c:v>0.73863267628840001</c:v>
                </c:pt>
                <c:pt idx="3694">
                  <c:v>0.73892300577753289</c:v>
                </c:pt>
                <c:pt idx="3695">
                  <c:v>0.73906611441370706</c:v>
                </c:pt>
                <c:pt idx="3696">
                  <c:v>0.73933480664252649</c:v>
                </c:pt>
                <c:pt idx="3697">
                  <c:v>0.73957152105788038</c:v>
                </c:pt>
                <c:pt idx="3698">
                  <c:v>0.73964032572709026</c:v>
                </c:pt>
                <c:pt idx="3699">
                  <c:v>0.73993549100019396</c:v>
                </c:pt>
                <c:pt idx="3700">
                  <c:v>0.74003772369093213</c:v>
                </c:pt>
                <c:pt idx="3701">
                  <c:v>0.74028985862063468</c:v>
                </c:pt>
                <c:pt idx="3702">
                  <c:v>0.74047174959161133</c:v>
                </c:pt>
                <c:pt idx="3703">
                  <c:v>0.74066158698090856</c:v>
                </c:pt>
                <c:pt idx="3704">
                  <c:v>0.74092650001876204</c:v>
                </c:pt>
                <c:pt idx="3705">
                  <c:v>0.74110321207998864</c:v>
                </c:pt>
                <c:pt idx="3706">
                  <c:v>0.74124974891768058</c:v>
                </c:pt>
                <c:pt idx="3707">
                  <c:v>0.74143582364032878</c:v>
                </c:pt>
                <c:pt idx="3708">
                  <c:v>0.74168090905567652</c:v>
                </c:pt>
                <c:pt idx="3709">
                  <c:v>0.7419424943403673</c:v>
                </c:pt>
                <c:pt idx="3710">
                  <c:v>0.74209276727267837</c:v>
                </c:pt>
                <c:pt idx="3711">
                  <c:v>0.74229094547296204</c:v>
                </c:pt>
                <c:pt idx="3712">
                  <c:v>0.74254150100474747</c:v>
                </c:pt>
                <c:pt idx="3713">
                  <c:v>0.74262395884460397</c:v>
                </c:pt>
                <c:pt idx="3714">
                  <c:v>0.74282926046676689</c:v>
                </c:pt>
                <c:pt idx="3715">
                  <c:v>0.74300929479189437</c:v>
                </c:pt>
                <c:pt idx="3716">
                  <c:v>0.74321491891448732</c:v>
                </c:pt>
                <c:pt idx="3717">
                  <c:v>0.74355179387348513</c:v>
                </c:pt>
                <c:pt idx="3718">
                  <c:v>0.7436824208482361</c:v>
                </c:pt>
                <c:pt idx="3719">
                  <c:v>0.74398433320731494</c:v>
                </c:pt>
                <c:pt idx="3720">
                  <c:v>0.74404889969007315</c:v>
                </c:pt>
                <c:pt idx="3721">
                  <c:v>0.74436877318540795</c:v>
                </c:pt>
                <c:pt idx="3722">
                  <c:v>0.74448977921132231</c:v>
                </c:pt>
                <c:pt idx="3723">
                  <c:v>0.74460086148236893</c:v>
                </c:pt>
                <c:pt idx="3724">
                  <c:v>0.74491655760107478</c:v>
                </c:pt>
                <c:pt idx="3725">
                  <c:v>0.74519883539974663</c:v>
                </c:pt>
                <c:pt idx="3726">
                  <c:v>0.74533546188984423</c:v>
                </c:pt>
                <c:pt idx="3727">
                  <c:v>0.74543050001720679</c:v>
                </c:pt>
                <c:pt idx="3728">
                  <c:v>0.74563948541889891</c:v>
                </c:pt>
                <c:pt idx="3729">
                  <c:v>0.74595238817482079</c:v>
                </c:pt>
                <c:pt idx="3730">
                  <c:v>0.74617303833970172</c:v>
                </c:pt>
                <c:pt idx="3731">
                  <c:v>0.74622867843057694</c:v>
                </c:pt>
                <c:pt idx="3732">
                  <c:v>0.74644517596653781</c:v>
                </c:pt>
                <c:pt idx="3733">
                  <c:v>0.74666453018455403</c:v>
                </c:pt>
                <c:pt idx="3734">
                  <c:v>0.74698385954713076</c:v>
                </c:pt>
                <c:pt idx="3735">
                  <c:v>0.74707705865224749</c:v>
                </c:pt>
                <c:pt idx="3736">
                  <c:v>0.74723263540692464</c:v>
                </c:pt>
                <c:pt idx="3737">
                  <c:v>0.74759740221518955</c:v>
                </c:pt>
                <c:pt idx="3738">
                  <c:v>0.74769074172430916</c:v>
                </c:pt>
                <c:pt idx="3739">
                  <c:v>0.74784259639909556</c:v>
                </c:pt>
                <c:pt idx="3740">
                  <c:v>0.74802778221169197</c:v>
                </c:pt>
                <c:pt idx="3741">
                  <c:v>0.74833184028797128</c:v>
                </c:pt>
                <c:pt idx="3742">
                  <c:v>0.74854365823584235</c:v>
                </c:pt>
                <c:pt idx="3743">
                  <c:v>0.74862810860672691</c:v>
                </c:pt>
                <c:pt idx="3744">
                  <c:v>0.74885569596724955</c:v>
                </c:pt>
                <c:pt idx="3745">
                  <c:v>0.74919092136001941</c:v>
                </c:pt>
                <c:pt idx="3746">
                  <c:v>0.74937490585967315</c:v>
                </c:pt>
                <c:pt idx="3747">
                  <c:v>0.74945634672168093</c:v>
                </c:pt>
                <c:pt idx="3748">
                  <c:v>0.74976406914497817</c:v>
                </c:pt>
                <c:pt idx="3749">
                  <c:v>0.74990958418592568</c:v>
                </c:pt>
                <c:pt idx="3750">
                  <c:v>0.75005899196808667</c:v>
                </c:pt>
                <c:pt idx="3751">
                  <c:v>0.75030347180243195</c:v>
                </c:pt>
                <c:pt idx="3752">
                  <c:v>0.75054585514584227</c:v>
                </c:pt>
                <c:pt idx="3753">
                  <c:v>0.75073211985959953</c:v>
                </c:pt>
                <c:pt idx="3754">
                  <c:v>0.75095078824226524</c:v>
                </c:pt>
                <c:pt idx="3755">
                  <c:v>0.75106119548647232</c:v>
                </c:pt>
                <c:pt idx="3756">
                  <c:v>0.75139096150924245</c:v>
                </c:pt>
                <c:pt idx="3757">
                  <c:v>0.75153313071600469</c:v>
                </c:pt>
                <c:pt idx="3758">
                  <c:v>0.75160938760237983</c:v>
                </c:pt>
                <c:pt idx="3759">
                  <c:v>0.75183172117686636</c:v>
                </c:pt>
                <c:pt idx="3760">
                  <c:v>0.75207936770368355</c:v>
                </c:pt>
                <c:pt idx="3761">
                  <c:v>0.75230970643370176</c:v>
                </c:pt>
                <c:pt idx="3762">
                  <c:v>0.75243453142993022</c:v>
                </c:pt>
                <c:pt idx="3763">
                  <c:v>0.75275849767563829</c:v>
                </c:pt>
                <c:pt idx="3764">
                  <c:v>0.75288408396297224</c:v>
                </c:pt>
                <c:pt idx="3765">
                  <c:v>0.75306333030519623</c:v>
                </c:pt>
                <c:pt idx="3766">
                  <c:v>0.75332978859304678</c:v>
                </c:pt>
                <c:pt idx="3767">
                  <c:v>0.75342563129184437</c:v>
                </c:pt>
                <c:pt idx="3768">
                  <c:v>0.75367298006933947</c:v>
                </c:pt>
                <c:pt idx="3769">
                  <c:v>0.75397767085320733</c:v>
                </c:pt>
                <c:pt idx="3770">
                  <c:v>0.75416232961871721</c:v>
                </c:pt>
                <c:pt idx="3771">
                  <c:v>0.75433045264005905</c:v>
                </c:pt>
                <c:pt idx="3772">
                  <c:v>0.75455291788199752</c:v>
                </c:pt>
                <c:pt idx="3773">
                  <c:v>0.75477666049780712</c:v>
                </c:pt>
                <c:pt idx="3774">
                  <c:v>0.75499614014481098</c:v>
                </c:pt>
                <c:pt idx="3775">
                  <c:v>0.75504919805336956</c:v>
                </c:pt>
                <c:pt idx="3776">
                  <c:v>0.75521515810857887</c:v>
                </c:pt>
                <c:pt idx="3777">
                  <c:v>0.755543601076059</c:v>
                </c:pt>
                <c:pt idx="3778">
                  <c:v>0.7556857134875109</c:v>
                </c:pt>
                <c:pt idx="3779">
                  <c:v>0.75596315473051823</c:v>
                </c:pt>
                <c:pt idx="3780">
                  <c:v>0.75607760487200637</c:v>
                </c:pt>
                <c:pt idx="3781">
                  <c:v>0.75632271740271773</c:v>
                </c:pt>
                <c:pt idx="3782">
                  <c:v>0.7565214857206497</c:v>
                </c:pt>
                <c:pt idx="3783">
                  <c:v>0.75679501849464026</c:v>
                </c:pt>
                <c:pt idx="3784">
                  <c:v>0.75680020687640659</c:v>
                </c:pt>
                <c:pt idx="3785">
                  <c:v>0.7571812776572493</c:v>
                </c:pt>
                <c:pt idx="3786">
                  <c:v>0.75738399774217602</c:v>
                </c:pt>
                <c:pt idx="3787">
                  <c:v>0.75752117545039421</c:v>
                </c:pt>
                <c:pt idx="3788">
                  <c:v>0.757644019176961</c:v>
                </c:pt>
                <c:pt idx="3789">
                  <c:v>0.75789503183511431</c:v>
                </c:pt>
                <c:pt idx="3790">
                  <c:v>0.7581438251385334</c:v>
                </c:pt>
                <c:pt idx="3791">
                  <c:v>0.75827937892379227</c:v>
                </c:pt>
                <c:pt idx="3792">
                  <c:v>0.75849865667528915</c:v>
                </c:pt>
                <c:pt idx="3793">
                  <c:v>0.75870346295887225</c:v>
                </c:pt>
                <c:pt idx="3794">
                  <c:v>0.75897878543589703</c:v>
                </c:pt>
                <c:pt idx="3795">
                  <c:v>0.75911070421117133</c:v>
                </c:pt>
                <c:pt idx="3796">
                  <c:v>0.75933813573684039</c:v>
                </c:pt>
                <c:pt idx="3797">
                  <c:v>0.75949602867488197</c:v>
                </c:pt>
                <c:pt idx="3798">
                  <c:v>0.75972055422103046</c:v>
                </c:pt>
                <c:pt idx="3799">
                  <c:v>0.75990149944869367</c:v>
                </c:pt>
                <c:pt idx="3800">
                  <c:v>0.76010084467378924</c:v>
                </c:pt>
                <c:pt idx="3801">
                  <c:v>0.76033527199368345</c:v>
                </c:pt>
                <c:pt idx="3802">
                  <c:v>0.76057190028838162</c:v>
                </c:pt>
                <c:pt idx="3803">
                  <c:v>0.76064659321956485</c:v>
                </c:pt>
                <c:pt idx="3804">
                  <c:v>0.76088174928111996</c:v>
                </c:pt>
                <c:pt idx="3805">
                  <c:v>0.7610218199641029</c:v>
                </c:pt>
                <c:pt idx="3806">
                  <c:v>0.76134512629614803</c:v>
                </c:pt>
                <c:pt idx="3807">
                  <c:v>0.76142846775120787</c:v>
                </c:pt>
                <c:pt idx="3808">
                  <c:v>0.76160116361170105</c:v>
                </c:pt>
                <c:pt idx="3809">
                  <c:v>0.76182231887486351</c:v>
                </c:pt>
                <c:pt idx="3810">
                  <c:v>0.76201438074224037</c:v>
                </c:pt>
                <c:pt idx="3811">
                  <c:v>0.76237002942193532</c:v>
                </c:pt>
                <c:pt idx="3812">
                  <c:v>0.76248306822708878</c:v>
                </c:pt>
                <c:pt idx="3813">
                  <c:v>0.76262181032654408</c:v>
                </c:pt>
                <c:pt idx="3814">
                  <c:v>0.76296725189559333</c:v>
                </c:pt>
                <c:pt idx="3815">
                  <c:v>0.76309851474647838</c:v>
                </c:pt>
                <c:pt idx="3816">
                  <c:v>0.76321035993313657</c:v>
                </c:pt>
                <c:pt idx="3817">
                  <c:v>0.76346437195564254</c:v>
                </c:pt>
                <c:pt idx="3818">
                  <c:v>0.76371653704976583</c:v>
                </c:pt>
                <c:pt idx="3819">
                  <c:v>0.76387773081568944</c:v>
                </c:pt>
                <c:pt idx="3820">
                  <c:v>0.76409630656854632</c:v>
                </c:pt>
                <c:pt idx="3821">
                  <c:v>0.76439729043650373</c:v>
                </c:pt>
                <c:pt idx="3822">
                  <c:v>0.76446018555040007</c:v>
                </c:pt>
                <c:pt idx="3823">
                  <c:v>0.76465923443256401</c:v>
                </c:pt>
                <c:pt idx="3824">
                  <c:v>0.76499611460151995</c:v>
                </c:pt>
                <c:pt idx="3825">
                  <c:v>0.76507406523299271</c:v>
                </c:pt>
                <c:pt idx="3826">
                  <c:v>0.76526860990055579</c:v>
                </c:pt>
                <c:pt idx="3827">
                  <c:v>0.76547102625548635</c:v>
                </c:pt>
                <c:pt idx="3828">
                  <c:v>0.76570607360208087</c:v>
                </c:pt>
                <c:pt idx="3829">
                  <c:v>0.76584808181832731</c:v>
                </c:pt>
                <c:pt idx="3830">
                  <c:v>0.7660315275351125</c:v>
                </c:pt>
                <c:pt idx="3831">
                  <c:v>0.76627593801274796</c:v>
                </c:pt>
                <c:pt idx="3832">
                  <c:v>0.76643054137361011</c:v>
                </c:pt>
                <c:pt idx="3833">
                  <c:v>0.76665602962441182</c:v>
                </c:pt>
                <c:pt idx="3834">
                  <c:v>0.7669553691350286</c:v>
                </c:pt>
                <c:pt idx="3835">
                  <c:v>0.76701360209873259</c:v>
                </c:pt>
                <c:pt idx="3836">
                  <c:v>0.76727555340870179</c:v>
                </c:pt>
                <c:pt idx="3837">
                  <c:v>0.76744812010816488</c:v>
                </c:pt>
                <c:pt idx="3838">
                  <c:v>0.76775762348136811</c:v>
                </c:pt>
                <c:pt idx="3839">
                  <c:v>0.76798183093196282</c:v>
                </c:pt>
                <c:pt idx="3840">
                  <c:v>0.76806243193770352</c:v>
                </c:pt>
                <c:pt idx="3841">
                  <c:v>0.76820687231314533</c:v>
                </c:pt>
                <c:pt idx="3842">
                  <c:v>0.76844764814661992</c:v>
                </c:pt>
                <c:pt idx="3843">
                  <c:v>0.76862074586600548</c:v>
                </c:pt>
                <c:pt idx="3844">
                  <c:v>0.76891476910810796</c:v>
                </c:pt>
                <c:pt idx="3845">
                  <c:v>0.76911464359143622</c:v>
                </c:pt>
                <c:pt idx="3846">
                  <c:v>0.76924673624598583</c:v>
                </c:pt>
                <c:pt idx="3847">
                  <c:v>0.76945782653616224</c:v>
                </c:pt>
                <c:pt idx="3848">
                  <c:v>0.76972999496788952</c:v>
                </c:pt>
                <c:pt idx="3849">
                  <c:v>0.76992564826131005</c:v>
                </c:pt>
                <c:pt idx="3850">
                  <c:v>0.77014160047176794</c:v>
                </c:pt>
                <c:pt idx="3851">
                  <c:v>0.77030817360000414</c:v>
                </c:pt>
                <c:pt idx="3852">
                  <c:v>0.77046613144801601</c:v>
                </c:pt>
                <c:pt idx="3853">
                  <c:v>0.77068443722680313</c:v>
                </c:pt>
                <c:pt idx="3854">
                  <c:v>0.77096132050635324</c:v>
                </c:pt>
                <c:pt idx="3855">
                  <c:v>0.77112492036561597</c:v>
                </c:pt>
                <c:pt idx="3856">
                  <c:v>0.77120799910566018</c:v>
                </c:pt>
                <c:pt idx="3857">
                  <c:v>0.77152632353611439</c:v>
                </c:pt>
                <c:pt idx="3858">
                  <c:v>0.77171097066554029</c:v>
                </c:pt>
                <c:pt idx="3859">
                  <c:v>0.77192755888358866</c:v>
                </c:pt>
                <c:pt idx="3860">
                  <c:v>0.77213936637633929</c:v>
                </c:pt>
                <c:pt idx="3861">
                  <c:v>0.77232436628847478</c:v>
                </c:pt>
                <c:pt idx="3862">
                  <c:v>0.77253101648006839</c:v>
                </c:pt>
                <c:pt idx="3863">
                  <c:v>0.77279941085297599</c:v>
                </c:pt>
                <c:pt idx="3864">
                  <c:v>0.7728220551387458</c:v>
                </c:pt>
                <c:pt idx="3865">
                  <c:v>0.77302793703312711</c:v>
                </c:pt>
                <c:pt idx="3866">
                  <c:v>0.77328046036615983</c:v>
                </c:pt>
                <c:pt idx="3867">
                  <c:v>0.77345908325497503</c:v>
                </c:pt>
                <c:pt idx="3868">
                  <c:v>0.77368021951128729</c:v>
                </c:pt>
                <c:pt idx="3869">
                  <c:v>0.77383235337232059</c:v>
                </c:pt>
                <c:pt idx="3870">
                  <c:v>0.77404360043686904</c:v>
                </c:pt>
                <c:pt idx="3871">
                  <c:v>0.77430104935236765</c:v>
                </c:pt>
                <c:pt idx="3872">
                  <c:v>0.77446910914184275</c:v>
                </c:pt>
                <c:pt idx="3873">
                  <c:v>0.77477410445431583</c:v>
                </c:pt>
                <c:pt idx="3874">
                  <c:v>0.77491245071518056</c:v>
                </c:pt>
                <c:pt idx="3875">
                  <c:v>0.77506411338794601</c:v>
                </c:pt>
                <c:pt idx="3876">
                  <c:v>0.77533983446395482</c:v>
                </c:pt>
                <c:pt idx="3877">
                  <c:v>0.77542956923163253</c:v>
                </c:pt>
                <c:pt idx="3878">
                  <c:v>0.77576299709313612</c:v>
                </c:pt>
                <c:pt idx="3879">
                  <c:v>0.77596530317756474</c:v>
                </c:pt>
                <c:pt idx="3880">
                  <c:v>0.77610574084792894</c:v>
                </c:pt>
                <c:pt idx="3881">
                  <c:v>0.77633045800163658</c:v>
                </c:pt>
                <c:pt idx="3882">
                  <c:v>0.77642114860131894</c:v>
                </c:pt>
                <c:pt idx="3883">
                  <c:v>0.77676515352012709</c:v>
                </c:pt>
                <c:pt idx="3884">
                  <c:v>0.77697642295052682</c:v>
                </c:pt>
                <c:pt idx="3885">
                  <c:v>0.77715538020812802</c:v>
                </c:pt>
                <c:pt idx="3886">
                  <c:v>0.77725793263950804</c:v>
                </c:pt>
                <c:pt idx="3887">
                  <c:v>0.77746579254890458</c:v>
                </c:pt>
                <c:pt idx="3888">
                  <c:v>0.77767502169396607</c:v>
                </c:pt>
                <c:pt idx="3889">
                  <c:v>0.77783367565642891</c:v>
                </c:pt>
                <c:pt idx="3890">
                  <c:v>0.77808450814077734</c:v>
                </c:pt>
                <c:pt idx="3891">
                  <c:v>0.77839213804639695</c:v>
                </c:pt>
                <c:pt idx="3892">
                  <c:v>0.77848985623994138</c:v>
                </c:pt>
                <c:pt idx="3893">
                  <c:v>0.77871425394320726</c:v>
                </c:pt>
                <c:pt idx="3894">
                  <c:v>0.77894596624736345</c:v>
                </c:pt>
                <c:pt idx="3895">
                  <c:v>0.77915282693159593</c:v>
                </c:pt>
                <c:pt idx="3896">
                  <c:v>0.77939660580414261</c:v>
                </c:pt>
                <c:pt idx="3897">
                  <c:v>0.77951998741224404</c:v>
                </c:pt>
                <c:pt idx="3898">
                  <c:v>0.77963945304165583</c:v>
                </c:pt>
                <c:pt idx="3899">
                  <c:v>0.77995462646902414</c:v>
                </c:pt>
                <c:pt idx="3900">
                  <c:v>0.78004747163980448</c:v>
                </c:pt>
                <c:pt idx="3901">
                  <c:v>0.78025160550234174</c:v>
                </c:pt>
                <c:pt idx="3902">
                  <c:v>0.78043753759973622</c:v>
                </c:pt>
                <c:pt idx="3903">
                  <c:v>0.78078993033412603</c:v>
                </c:pt>
                <c:pt idx="3904">
                  <c:v>0.78089386575820241</c:v>
                </c:pt>
                <c:pt idx="3905">
                  <c:v>0.78114442204813117</c:v>
                </c:pt>
                <c:pt idx="3906">
                  <c:v>0.78138807706120139</c:v>
                </c:pt>
                <c:pt idx="3907">
                  <c:v>0.78149859973711389</c:v>
                </c:pt>
                <c:pt idx="3908">
                  <c:v>0.78160716279014175</c:v>
                </c:pt>
                <c:pt idx="3909">
                  <c:v>0.78197824699081897</c:v>
                </c:pt>
                <c:pt idx="3910">
                  <c:v>0.78202077041059281</c:v>
                </c:pt>
                <c:pt idx="3911">
                  <c:v>0.7823586621638291</c:v>
                </c:pt>
                <c:pt idx="3912">
                  <c:v>0.78251034693636701</c:v>
                </c:pt>
                <c:pt idx="3913">
                  <c:v>0.78269836929251868</c:v>
                </c:pt>
                <c:pt idx="3914">
                  <c:v>0.782856304898778</c:v>
                </c:pt>
                <c:pt idx="3915">
                  <c:v>0.78315291379605245</c:v>
                </c:pt>
                <c:pt idx="3916">
                  <c:v>0.78327528940347846</c:v>
                </c:pt>
                <c:pt idx="3917">
                  <c:v>0.78343417037516694</c:v>
                </c:pt>
                <c:pt idx="3918">
                  <c:v>0.78364471292454851</c:v>
                </c:pt>
                <c:pt idx="3919">
                  <c:v>0.78389459002578965</c:v>
                </c:pt>
                <c:pt idx="3920">
                  <c:v>0.78407032982289571</c:v>
                </c:pt>
                <c:pt idx="3921">
                  <c:v>0.78426158352742481</c:v>
                </c:pt>
                <c:pt idx="3922">
                  <c:v>0.78455844060391156</c:v>
                </c:pt>
                <c:pt idx="3923">
                  <c:v>0.78478172074574548</c:v>
                </c:pt>
                <c:pt idx="3924">
                  <c:v>0.78488545279942579</c:v>
                </c:pt>
                <c:pt idx="3925">
                  <c:v>0.78517242770259554</c:v>
                </c:pt>
                <c:pt idx="3926">
                  <c:v>0.78526942463053151</c:v>
                </c:pt>
                <c:pt idx="3927">
                  <c:v>0.78556328149166965</c:v>
                </c:pt>
                <c:pt idx="3928">
                  <c:v>0.78579220781777803</c:v>
                </c:pt>
                <c:pt idx="3929">
                  <c:v>0.7858709102824496</c:v>
                </c:pt>
                <c:pt idx="3930">
                  <c:v>0.78609182382968534</c:v>
                </c:pt>
                <c:pt idx="3931">
                  <c:v>0.78621527405442093</c:v>
                </c:pt>
                <c:pt idx="3932">
                  <c:v>0.78641704516509014</c:v>
                </c:pt>
                <c:pt idx="3933">
                  <c:v>0.78660252988850754</c:v>
                </c:pt>
                <c:pt idx="3934">
                  <c:v>0.78681777241528439</c:v>
                </c:pt>
                <c:pt idx="3935">
                  <c:v>0.78715395132101929</c:v>
                </c:pt>
                <c:pt idx="3936">
                  <c:v>0.78723331232537352</c:v>
                </c:pt>
                <c:pt idx="3937">
                  <c:v>0.78752024383491848</c:v>
                </c:pt>
                <c:pt idx="3938">
                  <c:v>0.78772937337293503</c:v>
                </c:pt>
                <c:pt idx="3939">
                  <c:v>0.78796611291127416</c:v>
                </c:pt>
                <c:pt idx="3940">
                  <c:v>0.78801807063366702</c:v>
                </c:pt>
                <c:pt idx="3941">
                  <c:v>0.78820736762238841</c:v>
                </c:pt>
                <c:pt idx="3942">
                  <c:v>0.78856766282649893</c:v>
                </c:pt>
                <c:pt idx="3943">
                  <c:v>0.78861435121684675</c:v>
                </c:pt>
                <c:pt idx="3944">
                  <c:v>0.78893846886156549</c:v>
                </c:pt>
                <c:pt idx="3945">
                  <c:v>0.78919212876949274</c:v>
                </c:pt>
                <c:pt idx="3946">
                  <c:v>0.78936257005714872</c:v>
                </c:pt>
                <c:pt idx="3947">
                  <c:v>0.78958257143944088</c:v>
                </c:pt>
                <c:pt idx="3948">
                  <c:v>0.7897918890505079</c:v>
                </c:pt>
                <c:pt idx="3949">
                  <c:v>0.78998546191583985</c:v>
                </c:pt>
                <c:pt idx="3950">
                  <c:v>0.79015137715222117</c:v>
                </c:pt>
                <c:pt idx="3951">
                  <c:v>0.79023900536783953</c:v>
                </c:pt>
                <c:pt idx="3952">
                  <c:v>0.79053717084404485</c:v>
                </c:pt>
                <c:pt idx="3953">
                  <c:v>0.79072436313892813</c:v>
                </c:pt>
                <c:pt idx="3954">
                  <c:v>0.79081567530082908</c:v>
                </c:pt>
                <c:pt idx="3955">
                  <c:v>0.79100273277559385</c:v>
                </c:pt>
                <c:pt idx="3956">
                  <c:v>0.79133572876847713</c:v>
                </c:pt>
                <c:pt idx="3957">
                  <c:v>0.79154794814632001</c:v>
                </c:pt>
                <c:pt idx="3958">
                  <c:v>0.79160163635085379</c:v>
                </c:pt>
                <c:pt idx="3959">
                  <c:v>0.79181692792931968</c:v>
                </c:pt>
                <c:pt idx="3960">
                  <c:v>0.79212240611112728</c:v>
                </c:pt>
                <c:pt idx="3961">
                  <c:v>0.79220640614633597</c:v>
                </c:pt>
                <c:pt idx="3962">
                  <c:v>0.7924308792901763</c:v>
                </c:pt>
                <c:pt idx="3963">
                  <c:v>0.79272364243025051</c:v>
                </c:pt>
                <c:pt idx="3964">
                  <c:v>0.79283873796072757</c:v>
                </c:pt>
                <c:pt idx="3965">
                  <c:v>0.79310387939827143</c:v>
                </c:pt>
                <c:pt idx="3966">
                  <c:v>0.79329523547950553</c:v>
                </c:pt>
                <c:pt idx="3967">
                  <c:v>0.793481624531439</c:v>
                </c:pt>
                <c:pt idx="3968">
                  <c:v>0.79377776496046637</c:v>
                </c:pt>
                <c:pt idx="3969">
                  <c:v>0.79394748857695319</c:v>
                </c:pt>
                <c:pt idx="3970">
                  <c:v>0.79410766958289492</c:v>
                </c:pt>
                <c:pt idx="3971">
                  <c:v>0.79432741347046742</c:v>
                </c:pt>
                <c:pt idx="3972">
                  <c:v>0.7944653600958328</c:v>
                </c:pt>
                <c:pt idx="3973">
                  <c:v>0.79461111509525473</c:v>
                </c:pt>
                <c:pt idx="3974">
                  <c:v>0.79488099986670557</c:v>
                </c:pt>
                <c:pt idx="3975">
                  <c:v>0.79510345995992038</c:v>
                </c:pt>
                <c:pt idx="3976">
                  <c:v>0.79520080199344101</c:v>
                </c:pt>
                <c:pt idx="3977">
                  <c:v>0.79541433776081871</c:v>
                </c:pt>
                <c:pt idx="3978">
                  <c:v>0.79576585112110854</c:v>
                </c:pt>
                <c:pt idx="3979">
                  <c:v>0.79593172106862342</c:v>
                </c:pt>
                <c:pt idx="3980">
                  <c:v>0.79602245070646105</c:v>
                </c:pt>
                <c:pt idx="3981">
                  <c:v>0.79631398130001363</c:v>
                </c:pt>
                <c:pt idx="3982">
                  <c:v>0.79649439605634997</c:v>
                </c:pt>
                <c:pt idx="3983">
                  <c:v>0.79672182848153683</c:v>
                </c:pt>
                <c:pt idx="3984">
                  <c:v>0.79682829408762701</c:v>
                </c:pt>
                <c:pt idx="3985">
                  <c:v>0.79713065327655763</c:v>
                </c:pt>
                <c:pt idx="3986">
                  <c:v>0.79732117882238729</c:v>
                </c:pt>
                <c:pt idx="3987">
                  <c:v>0.79745809056029149</c:v>
                </c:pt>
                <c:pt idx="3988">
                  <c:v>0.79763556248327616</c:v>
                </c:pt>
                <c:pt idx="3989">
                  <c:v>0.7978856697893435</c:v>
                </c:pt>
                <c:pt idx="3990">
                  <c:v>0.79818564196289177</c:v>
                </c:pt>
                <c:pt idx="3991">
                  <c:v>0.79838557643671182</c:v>
                </c:pt>
                <c:pt idx="3992">
                  <c:v>0.7985132628163587</c:v>
                </c:pt>
                <c:pt idx="3993">
                  <c:v>0.79864715418313803</c:v>
                </c:pt>
                <c:pt idx="3994">
                  <c:v>0.7988231526006998</c:v>
                </c:pt>
                <c:pt idx="3995">
                  <c:v>0.79907889122922882</c:v>
                </c:pt>
                <c:pt idx="3996">
                  <c:v>0.79939944298928589</c:v>
                </c:pt>
                <c:pt idx="3997">
                  <c:v>0.79940870625805305</c:v>
                </c:pt>
                <c:pt idx="3998">
                  <c:v>0.79972098929251567</c:v>
                </c:pt>
                <c:pt idx="3999">
                  <c:v>0.7999134530286568</c:v>
                </c:pt>
                <c:pt idx="4000">
                  <c:v>0.80007478653413122</c:v>
                </c:pt>
                <c:pt idx="4001">
                  <c:v>0.80036087758121099</c:v>
                </c:pt>
                <c:pt idx="4002">
                  <c:v>0.80058022806630003</c:v>
                </c:pt>
                <c:pt idx="4003">
                  <c:v>0.80075795490722124</c:v>
                </c:pt>
                <c:pt idx="4004">
                  <c:v>0.80099737892663048</c:v>
                </c:pt>
                <c:pt idx="4005">
                  <c:v>0.80100454645035901</c:v>
                </c:pt>
                <c:pt idx="4006">
                  <c:v>0.80133819873773915</c:v>
                </c:pt>
                <c:pt idx="4007">
                  <c:v>0.80145314298603987</c:v>
                </c:pt>
                <c:pt idx="4008">
                  <c:v>0.80171159917346946</c:v>
                </c:pt>
                <c:pt idx="4009">
                  <c:v>0.80196924241980749</c:v>
                </c:pt>
                <c:pt idx="4010">
                  <c:v>0.80216524835204828</c:v>
                </c:pt>
                <c:pt idx="4011">
                  <c:v>0.80232357556892642</c:v>
                </c:pt>
                <c:pt idx="4012">
                  <c:v>0.80240843560360575</c:v>
                </c:pt>
                <c:pt idx="4013">
                  <c:v>0.80262944985517048</c:v>
                </c:pt>
                <c:pt idx="4014">
                  <c:v>0.80286576201847415</c:v>
                </c:pt>
                <c:pt idx="4015">
                  <c:v>0.80306787724948203</c:v>
                </c:pt>
                <c:pt idx="4016">
                  <c:v>0.8033982252986166</c:v>
                </c:pt>
                <c:pt idx="4017">
                  <c:v>0.80348532535594075</c:v>
                </c:pt>
                <c:pt idx="4018">
                  <c:v>0.80374626348147782</c:v>
                </c:pt>
                <c:pt idx="4019">
                  <c:v>0.80385926159165322</c:v>
                </c:pt>
                <c:pt idx="4020">
                  <c:v>0.80409877061743729</c:v>
                </c:pt>
                <c:pt idx="4021">
                  <c:v>0.80427642442590475</c:v>
                </c:pt>
                <c:pt idx="4022">
                  <c:v>0.80458200585776518</c:v>
                </c:pt>
                <c:pt idx="4023">
                  <c:v>0.80464471967929152</c:v>
                </c:pt>
                <c:pt idx="4024">
                  <c:v>0.80481005102349679</c:v>
                </c:pt>
                <c:pt idx="4025">
                  <c:v>0.80512070978221495</c:v>
                </c:pt>
                <c:pt idx="4026">
                  <c:v>0.80520869914670679</c:v>
                </c:pt>
                <c:pt idx="4027">
                  <c:v>0.80541100358064543</c:v>
                </c:pt>
                <c:pt idx="4028">
                  <c:v>0.80577800256697885</c:v>
                </c:pt>
                <c:pt idx="4029">
                  <c:v>0.80583500648379214</c:v>
                </c:pt>
                <c:pt idx="4030">
                  <c:v>0.80602474975353677</c:v>
                </c:pt>
                <c:pt idx="4031">
                  <c:v>0.80638296504779317</c:v>
                </c:pt>
                <c:pt idx="4032">
                  <c:v>0.80641516499920174</c:v>
                </c:pt>
                <c:pt idx="4033">
                  <c:v>0.80662537788013589</c:v>
                </c:pt>
                <c:pt idx="4034">
                  <c:v>0.8068441753415494</c:v>
                </c:pt>
                <c:pt idx="4035">
                  <c:v>0.8071417953185136</c:v>
                </c:pt>
                <c:pt idx="4036">
                  <c:v>0.80738584632258537</c:v>
                </c:pt>
                <c:pt idx="4037">
                  <c:v>0.80759609537394628</c:v>
                </c:pt>
                <c:pt idx="4038">
                  <c:v>0.80761299560973721</c:v>
                </c:pt>
                <c:pt idx="4039">
                  <c:v>0.80797867094827314</c:v>
                </c:pt>
                <c:pt idx="4040">
                  <c:v>0.80808458372421677</c:v>
                </c:pt>
                <c:pt idx="4041">
                  <c:v>0.80837739504794059</c:v>
                </c:pt>
                <c:pt idx="4042">
                  <c:v>0.80856209711296534</c:v>
                </c:pt>
                <c:pt idx="4043">
                  <c:v>0.80879098198669752</c:v>
                </c:pt>
                <c:pt idx="4044">
                  <c:v>0.8088926407021686</c:v>
                </c:pt>
                <c:pt idx="4045">
                  <c:v>0.80909820655470199</c:v>
                </c:pt>
                <c:pt idx="4046">
                  <c:v>0.80927098205747805</c:v>
                </c:pt>
                <c:pt idx="4047">
                  <c:v>0.80946270455742786</c:v>
                </c:pt>
                <c:pt idx="4048">
                  <c:v>0.80972410081939872</c:v>
                </c:pt>
                <c:pt idx="4049">
                  <c:v>0.80987945684322138</c:v>
                </c:pt>
                <c:pt idx="4050">
                  <c:v>0.81004194630636872</c:v>
                </c:pt>
                <c:pt idx="4051">
                  <c:v>0.81025045464254231</c:v>
                </c:pt>
                <c:pt idx="4052">
                  <c:v>0.810576718906168</c:v>
                </c:pt>
                <c:pt idx="4053">
                  <c:v>0.81067486967711588</c:v>
                </c:pt>
                <c:pt idx="4054">
                  <c:v>0.81095527687700364</c:v>
                </c:pt>
                <c:pt idx="4055">
                  <c:v>0.81113641155514316</c:v>
                </c:pt>
                <c:pt idx="4056">
                  <c:v>0.81124253798435497</c:v>
                </c:pt>
                <c:pt idx="4057">
                  <c:v>0.81140970521886124</c:v>
                </c:pt>
                <c:pt idx="4058">
                  <c:v>0.81172265287738354</c:v>
                </c:pt>
                <c:pt idx="4059">
                  <c:v>0.8118634432529247</c:v>
                </c:pt>
                <c:pt idx="4060">
                  <c:v>0.81212254397108286</c:v>
                </c:pt>
                <c:pt idx="4061">
                  <c:v>0.81234794334898419</c:v>
                </c:pt>
                <c:pt idx="4062">
                  <c:v>0.81246733184169684</c:v>
                </c:pt>
                <c:pt idx="4063">
                  <c:v>0.81268694517297835</c:v>
                </c:pt>
                <c:pt idx="4064">
                  <c:v>0.81287291373193105</c:v>
                </c:pt>
                <c:pt idx="4065">
                  <c:v>0.81316801860676335</c:v>
                </c:pt>
                <c:pt idx="4066">
                  <c:v>0.81336178224407174</c:v>
                </c:pt>
                <c:pt idx="4067">
                  <c:v>0.81347499798952483</c:v>
                </c:pt>
                <c:pt idx="4068">
                  <c:v>0.81367602548512541</c:v>
                </c:pt>
                <c:pt idx="4069">
                  <c:v>0.81391925050535219</c:v>
                </c:pt>
                <c:pt idx="4070">
                  <c:v>0.81411401390021532</c:v>
                </c:pt>
                <c:pt idx="4071">
                  <c:v>0.81426674802719312</c:v>
                </c:pt>
                <c:pt idx="4072">
                  <c:v>0.81451801339395302</c:v>
                </c:pt>
                <c:pt idx="4073">
                  <c:v>0.81463186787130126</c:v>
                </c:pt>
                <c:pt idx="4074">
                  <c:v>0.81488675343182093</c:v>
                </c:pt>
                <c:pt idx="4075">
                  <c:v>0.81512041150110781</c:v>
                </c:pt>
                <c:pt idx="4076">
                  <c:v>0.81535371605203344</c:v>
                </c:pt>
                <c:pt idx="4077">
                  <c:v>0.81554368501690766</c:v>
                </c:pt>
                <c:pt idx="4078">
                  <c:v>0.81573860064585202</c:v>
                </c:pt>
                <c:pt idx="4079">
                  <c:v>0.81596741718192767</c:v>
                </c:pt>
                <c:pt idx="4080">
                  <c:v>0.81601544152195926</c:v>
                </c:pt>
                <c:pt idx="4081">
                  <c:v>0.8163260980217546</c:v>
                </c:pt>
                <c:pt idx="4082">
                  <c:v>0.81650139744652006</c:v>
                </c:pt>
                <c:pt idx="4083">
                  <c:v>0.81661313629378873</c:v>
                </c:pt>
                <c:pt idx="4084">
                  <c:v>0.81699984458698893</c:v>
                </c:pt>
                <c:pt idx="4085">
                  <c:v>0.81719501500381042</c:v>
                </c:pt>
                <c:pt idx="4086">
                  <c:v>0.81720842195544596</c:v>
                </c:pt>
                <c:pt idx="4087">
                  <c:v>0.81752179098784039</c:v>
                </c:pt>
                <c:pt idx="4088">
                  <c:v>0.81773829946181231</c:v>
                </c:pt>
                <c:pt idx="4089">
                  <c:v>0.81789845185030685</c:v>
                </c:pt>
                <c:pt idx="4090">
                  <c:v>0.81804394187518481</c:v>
                </c:pt>
                <c:pt idx="4091">
                  <c:v>0.81821881283522091</c:v>
                </c:pt>
                <c:pt idx="4092">
                  <c:v>0.81859684062334637</c:v>
                </c:pt>
                <c:pt idx="4093">
                  <c:v>0.81860819733869472</c:v>
                </c:pt>
                <c:pt idx="4094">
                  <c:v>0.81889185663086639</c:v>
                </c:pt>
                <c:pt idx="4095">
                  <c:v>0.81912000831088994</c:v>
                </c:pt>
                <c:pt idx="4096">
                  <c:v>0.81936364323984912</c:v>
                </c:pt>
                <c:pt idx="4097">
                  <c:v>0.81957351746456075</c:v>
                </c:pt>
                <c:pt idx="4098">
                  <c:v>0.81965594201755154</c:v>
                </c:pt>
                <c:pt idx="4099">
                  <c:v>0.81993883063251594</c:v>
                </c:pt>
                <c:pt idx="4100">
                  <c:v>0.82004967353116953</c:v>
                </c:pt>
                <c:pt idx="4101">
                  <c:v>0.82020117219719146</c:v>
                </c:pt>
                <c:pt idx="4102">
                  <c:v>0.82049291625346354</c:v>
                </c:pt>
                <c:pt idx="4103">
                  <c:v>0.82077813287935641</c:v>
                </c:pt>
                <c:pt idx="4104">
                  <c:v>0.82088248588970925</c:v>
                </c:pt>
                <c:pt idx="4105">
                  <c:v>0.82109274383338471</c:v>
                </c:pt>
                <c:pt idx="4106">
                  <c:v>0.82131413235890538</c:v>
                </c:pt>
                <c:pt idx="4107">
                  <c:v>0.82146702070796562</c:v>
                </c:pt>
                <c:pt idx="4108">
                  <c:v>0.8216497420686879</c:v>
                </c:pt>
                <c:pt idx="4109">
                  <c:v>0.82193428049691353</c:v>
                </c:pt>
                <c:pt idx="4110">
                  <c:v>0.82208265377587708</c:v>
                </c:pt>
                <c:pt idx="4111">
                  <c:v>0.82226175236591648</c:v>
                </c:pt>
                <c:pt idx="4112">
                  <c:v>0.8224428083391494</c:v>
                </c:pt>
                <c:pt idx="4113">
                  <c:v>0.82279698467589846</c:v>
                </c:pt>
                <c:pt idx="4114">
                  <c:v>0.82290373039513454</c:v>
                </c:pt>
                <c:pt idx="4115">
                  <c:v>0.82316075832926694</c:v>
                </c:pt>
                <c:pt idx="4116">
                  <c:v>0.82323175525782444</c:v>
                </c:pt>
                <c:pt idx="4117">
                  <c:v>0.82343612604761407</c:v>
                </c:pt>
                <c:pt idx="4118">
                  <c:v>0.82365182824718108</c:v>
                </c:pt>
                <c:pt idx="4119">
                  <c:v>0.82394384385993324</c:v>
                </c:pt>
                <c:pt idx="4120">
                  <c:v>0.82406052917946604</c:v>
                </c:pt>
                <c:pt idx="4121">
                  <c:v>0.82425752940435382</c:v>
                </c:pt>
                <c:pt idx="4122">
                  <c:v>0.82449934764376354</c:v>
                </c:pt>
                <c:pt idx="4123">
                  <c:v>0.82460970716732773</c:v>
                </c:pt>
                <c:pt idx="4124">
                  <c:v>0.82481998994569772</c:v>
                </c:pt>
                <c:pt idx="4125">
                  <c:v>0.82502449223944552</c:v>
                </c:pt>
                <c:pt idx="4126">
                  <c:v>0.8252155860856677</c:v>
                </c:pt>
                <c:pt idx="4127">
                  <c:v>0.82546294915188645</c:v>
                </c:pt>
                <c:pt idx="4128">
                  <c:v>0.82572219449074979</c:v>
                </c:pt>
                <c:pt idx="4129">
                  <c:v>0.82581273237415875</c:v>
                </c:pt>
                <c:pt idx="4130">
                  <c:v>0.82614868590965596</c:v>
                </c:pt>
                <c:pt idx="4131">
                  <c:v>0.82623734605085042</c:v>
                </c:pt>
                <c:pt idx="4132">
                  <c:v>0.82648518474425314</c:v>
                </c:pt>
                <c:pt idx="4133">
                  <c:v>0.82666185651041146</c:v>
                </c:pt>
                <c:pt idx="4134">
                  <c:v>0.82695912247783487</c:v>
                </c:pt>
                <c:pt idx="4135">
                  <c:v>0.82710885149331492</c:v>
                </c:pt>
                <c:pt idx="4136">
                  <c:v>0.82720909378943253</c:v>
                </c:pt>
                <c:pt idx="4137">
                  <c:v>0.8275674846859572</c:v>
                </c:pt>
                <c:pt idx="4138">
                  <c:v>0.82776276125050208</c:v>
                </c:pt>
                <c:pt idx="4139">
                  <c:v>0.82781302047628291</c:v>
                </c:pt>
                <c:pt idx="4140">
                  <c:v>0.82817520133735967</c:v>
                </c:pt>
                <c:pt idx="4141">
                  <c:v>0.82826673062519784</c:v>
                </c:pt>
                <c:pt idx="4142">
                  <c:v>0.82848382059267811</c:v>
                </c:pt>
                <c:pt idx="4143">
                  <c:v>0.82873227125884319</c:v>
                </c:pt>
                <c:pt idx="4144">
                  <c:v>0.82881562737450365</c:v>
                </c:pt>
                <c:pt idx="4145">
                  <c:v>0.82914460624641384</c:v>
                </c:pt>
                <c:pt idx="4146">
                  <c:v>0.82921949194656208</c:v>
                </c:pt>
                <c:pt idx="4147">
                  <c:v>0.8295665124408822</c:v>
                </c:pt>
                <c:pt idx="4148">
                  <c:v>0.82964456835869804</c:v>
                </c:pt>
                <c:pt idx="4149">
                  <c:v>0.82984357432500544</c:v>
                </c:pt>
                <c:pt idx="4150">
                  <c:v>0.83019468039339284</c:v>
                </c:pt>
                <c:pt idx="4151">
                  <c:v>0.83028051504718148</c:v>
                </c:pt>
                <c:pt idx="4152">
                  <c:v>0.83053007673386714</c:v>
                </c:pt>
                <c:pt idx="4153">
                  <c:v>0.83063921721941769</c:v>
                </c:pt>
                <c:pt idx="4154">
                  <c:v>0.83091957925286131</c:v>
                </c:pt>
                <c:pt idx="4155">
                  <c:v>0.8310149784707499</c:v>
                </c:pt>
                <c:pt idx="4156">
                  <c:v>0.83136390383126313</c:v>
                </c:pt>
                <c:pt idx="4157">
                  <c:v>0.83152292325005928</c:v>
                </c:pt>
                <c:pt idx="4158">
                  <c:v>0.8317430859058963</c:v>
                </c:pt>
                <c:pt idx="4159">
                  <c:v>0.83183843675089031</c:v>
                </c:pt>
                <c:pt idx="4160">
                  <c:v>0.83218381890686777</c:v>
                </c:pt>
                <c:pt idx="4161">
                  <c:v>0.8322807379125805</c:v>
                </c:pt>
                <c:pt idx="4162">
                  <c:v>0.8325132449437197</c:v>
                </c:pt>
                <c:pt idx="4163">
                  <c:v>0.83265174328872271</c:v>
                </c:pt>
                <c:pt idx="4164">
                  <c:v>0.8328857139615542</c:v>
                </c:pt>
                <c:pt idx="4165">
                  <c:v>0.83316527178282052</c:v>
                </c:pt>
                <c:pt idx="4166">
                  <c:v>0.83333696582851391</c:v>
                </c:pt>
                <c:pt idx="4167">
                  <c:v>0.83343438993716479</c:v>
                </c:pt>
                <c:pt idx="4168">
                  <c:v>0.83379844145281201</c:v>
                </c:pt>
                <c:pt idx="4169">
                  <c:v>0.83394299720505782</c:v>
                </c:pt>
                <c:pt idx="4170">
                  <c:v>0.83402100439267723</c:v>
                </c:pt>
                <c:pt idx="4171">
                  <c:v>0.83423746434125057</c:v>
                </c:pt>
                <c:pt idx="4172">
                  <c:v>0.8345008318655428</c:v>
                </c:pt>
                <c:pt idx="4173">
                  <c:v>0.83469684525618726</c:v>
                </c:pt>
                <c:pt idx="4174">
                  <c:v>0.83482308945553918</c:v>
                </c:pt>
                <c:pt idx="4175">
                  <c:v>0.83516766243105944</c:v>
                </c:pt>
                <c:pt idx="4176">
                  <c:v>0.83532876072817686</c:v>
                </c:pt>
                <c:pt idx="4177">
                  <c:v>0.83546471903018305</c:v>
                </c:pt>
                <c:pt idx="4178">
                  <c:v>0.83579014585711753</c:v>
                </c:pt>
                <c:pt idx="4179">
                  <c:v>0.83585669270382656</c:v>
                </c:pt>
                <c:pt idx="4180">
                  <c:v>0.83611273824170063</c:v>
                </c:pt>
                <c:pt idx="4181">
                  <c:v>0.83625500176485035</c:v>
                </c:pt>
                <c:pt idx="4182">
                  <c:v>0.83649229480696197</c:v>
                </c:pt>
                <c:pt idx="4183">
                  <c:v>0.83661402708129351</c:v>
                </c:pt>
                <c:pt idx="4184">
                  <c:v>0.83699552297321966</c:v>
                </c:pt>
                <c:pt idx="4185">
                  <c:v>0.83715165000696468</c:v>
                </c:pt>
                <c:pt idx="4186">
                  <c:v>0.83725825809544385</c:v>
                </c:pt>
                <c:pt idx="4187">
                  <c:v>0.83740978078358108</c:v>
                </c:pt>
                <c:pt idx="4188">
                  <c:v>0.83771579431316712</c:v>
                </c:pt>
                <c:pt idx="4189">
                  <c:v>0.8378765459342572</c:v>
                </c:pt>
                <c:pt idx="4190">
                  <c:v>0.83806196575748304</c:v>
                </c:pt>
                <c:pt idx="4191">
                  <c:v>0.83823398322738563</c:v>
                </c:pt>
                <c:pt idx="4192">
                  <c:v>0.83849274869302592</c:v>
                </c:pt>
                <c:pt idx="4193">
                  <c:v>0.83860074353376424</c:v>
                </c:pt>
                <c:pt idx="4194">
                  <c:v>0.83893864793384876</c:v>
                </c:pt>
                <c:pt idx="4195">
                  <c:v>0.83917278323061129</c:v>
                </c:pt>
                <c:pt idx="4196">
                  <c:v>0.83930912406647329</c:v>
                </c:pt>
                <c:pt idx="4197">
                  <c:v>0.83956169524652924</c:v>
                </c:pt>
                <c:pt idx="4198">
                  <c:v>0.83976844682697416</c:v>
                </c:pt>
                <c:pt idx="4199">
                  <c:v>0.83991480273267138</c:v>
                </c:pt>
                <c:pt idx="4200">
                  <c:v>0.84013243578293662</c:v>
                </c:pt>
                <c:pt idx="4201">
                  <c:v>0.84023827920580241</c:v>
                </c:pt>
                <c:pt idx="4202">
                  <c:v>0.84045138110622097</c:v>
                </c:pt>
                <c:pt idx="4203">
                  <c:v>0.84074705033580466</c:v>
                </c:pt>
                <c:pt idx="4204">
                  <c:v>0.84087204209223199</c:v>
                </c:pt>
                <c:pt idx="4205">
                  <c:v>0.84109733191749492</c:v>
                </c:pt>
                <c:pt idx="4206">
                  <c:v>0.841314405166524</c:v>
                </c:pt>
                <c:pt idx="4207">
                  <c:v>0.84159106135633577</c:v>
                </c:pt>
                <c:pt idx="4208">
                  <c:v>0.84176795443048891</c:v>
                </c:pt>
                <c:pt idx="4209">
                  <c:v>0.84186663499033698</c:v>
                </c:pt>
                <c:pt idx="4210">
                  <c:v>0.84210478063256122</c:v>
                </c:pt>
                <c:pt idx="4211">
                  <c:v>0.84223578901897089</c:v>
                </c:pt>
                <c:pt idx="4212">
                  <c:v>0.84240837270794633</c:v>
                </c:pt>
                <c:pt idx="4213">
                  <c:v>0.84264006768028243</c:v>
                </c:pt>
                <c:pt idx="4214">
                  <c:v>0.84282378164525684</c:v>
                </c:pt>
                <c:pt idx="4215">
                  <c:v>0.84300671540321948</c:v>
                </c:pt>
                <c:pt idx="4216">
                  <c:v>0.84335398683588814</c:v>
                </c:pt>
                <c:pt idx="4217">
                  <c:v>0.84348115325814144</c:v>
                </c:pt>
                <c:pt idx="4218">
                  <c:v>0.84372763770514336</c:v>
                </c:pt>
                <c:pt idx="4219">
                  <c:v>0.84398346711173267</c:v>
                </c:pt>
                <c:pt idx="4220">
                  <c:v>0.84419316025352875</c:v>
                </c:pt>
                <c:pt idx="4221">
                  <c:v>0.84435404746307852</c:v>
                </c:pt>
                <c:pt idx="4222">
                  <c:v>0.84444424954355801</c:v>
                </c:pt>
                <c:pt idx="4223">
                  <c:v>0.84479023464726999</c:v>
                </c:pt>
                <c:pt idx="4224">
                  <c:v>0.84491800566793374</c:v>
                </c:pt>
                <c:pt idx="4225">
                  <c:v>0.84504780204092333</c:v>
                </c:pt>
                <c:pt idx="4226">
                  <c:v>0.8452241497266163</c:v>
                </c:pt>
                <c:pt idx="4227">
                  <c:v>0.84541083146087148</c:v>
                </c:pt>
                <c:pt idx="4228">
                  <c:v>0.84561531704911397</c:v>
                </c:pt>
                <c:pt idx="4229">
                  <c:v>0.8459192142924572</c:v>
                </c:pt>
                <c:pt idx="4230">
                  <c:v>0.84612670326324335</c:v>
                </c:pt>
                <c:pt idx="4231">
                  <c:v>0.84637227190392383</c:v>
                </c:pt>
                <c:pt idx="4232">
                  <c:v>0.84642971143360013</c:v>
                </c:pt>
                <c:pt idx="4233">
                  <c:v>0.84673275722361463</c:v>
                </c:pt>
                <c:pt idx="4234">
                  <c:v>0.8468756216107578</c:v>
                </c:pt>
                <c:pt idx="4235">
                  <c:v>0.84707522419324954</c:v>
                </c:pt>
                <c:pt idx="4236">
                  <c:v>0.84735157770760161</c:v>
                </c:pt>
                <c:pt idx="4237">
                  <c:v>0.84751275124468661</c:v>
                </c:pt>
                <c:pt idx="4238">
                  <c:v>0.84777316321902285</c:v>
                </c:pt>
                <c:pt idx="4239">
                  <c:v>0.84796234899683909</c:v>
                </c:pt>
                <c:pt idx="4240">
                  <c:v>0.84807402186879755</c:v>
                </c:pt>
                <c:pt idx="4241">
                  <c:v>0.84832084467185687</c:v>
                </c:pt>
                <c:pt idx="4242">
                  <c:v>0.84851232036624857</c:v>
                </c:pt>
                <c:pt idx="4243">
                  <c:v>0.84868953374272438</c:v>
                </c:pt>
                <c:pt idx="4244">
                  <c:v>0.84882405591668197</c:v>
                </c:pt>
                <c:pt idx="4245">
                  <c:v>0.84905901071574985</c:v>
                </c:pt>
                <c:pt idx="4246">
                  <c:v>0.84929588947899082</c:v>
                </c:pt>
                <c:pt idx="4247">
                  <c:v>0.8495449831536378</c:v>
                </c:pt>
                <c:pt idx="4248">
                  <c:v>0.84975864186570016</c:v>
                </c:pt>
                <c:pt idx="4249">
                  <c:v>0.84987783938075367</c:v>
                </c:pt>
                <c:pt idx="4250">
                  <c:v>0.85008069213486293</c:v>
                </c:pt>
                <c:pt idx="4251">
                  <c:v>0.85036864880071228</c:v>
                </c:pt>
                <c:pt idx="4252">
                  <c:v>0.850583192570876</c:v>
                </c:pt>
                <c:pt idx="4253">
                  <c:v>0.85077648126882888</c:v>
                </c:pt>
                <c:pt idx="4254">
                  <c:v>0.85098535417662591</c:v>
                </c:pt>
                <c:pt idx="4255">
                  <c:v>0.85100800720025038</c:v>
                </c:pt>
                <c:pt idx="4256">
                  <c:v>0.8513140630155136</c:v>
                </c:pt>
                <c:pt idx="4257">
                  <c:v>0.85148444218576991</c:v>
                </c:pt>
                <c:pt idx="4258">
                  <c:v>0.85160279479478562</c:v>
                </c:pt>
                <c:pt idx="4259">
                  <c:v>0.85180989805935192</c:v>
                </c:pt>
                <c:pt idx="4260">
                  <c:v>0.85200783306807459</c:v>
                </c:pt>
                <c:pt idx="4261">
                  <c:v>0.8522634549314303</c:v>
                </c:pt>
                <c:pt idx="4262">
                  <c:v>0.85250256595013252</c:v>
                </c:pt>
                <c:pt idx="4263">
                  <c:v>0.85269518997708693</c:v>
                </c:pt>
                <c:pt idx="4264">
                  <c:v>0.85286541943742555</c:v>
                </c:pt>
                <c:pt idx="4265">
                  <c:v>0.85319434836851304</c:v>
                </c:pt>
                <c:pt idx="4266">
                  <c:v>0.8533645599920221</c:v>
                </c:pt>
                <c:pt idx="4267">
                  <c:v>0.8534400094656367</c:v>
                </c:pt>
                <c:pt idx="4268">
                  <c:v>0.85364277614388684</c:v>
                </c:pt>
                <c:pt idx="4269">
                  <c:v>0.85392737449526956</c:v>
                </c:pt>
                <c:pt idx="4270">
                  <c:v>0.85418546776012172</c:v>
                </c:pt>
                <c:pt idx="4271">
                  <c:v>0.85430826195900067</c:v>
                </c:pt>
                <c:pt idx="4272">
                  <c:v>0.85451895405149991</c:v>
                </c:pt>
                <c:pt idx="4273">
                  <c:v>0.8547006268138766</c:v>
                </c:pt>
                <c:pt idx="4274">
                  <c:v>0.85484591516560082</c:v>
                </c:pt>
                <c:pt idx="4275">
                  <c:v>0.85501517615397804</c:v>
                </c:pt>
                <c:pt idx="4276">
                  <c:v>0.85534231901460844</c:v>
                </c:pt>
                <c:pt idx="4277">
                  <c:v>0.85549056983224359</c:v>
                </c:pt>
                <c:pt idx="4278">
                  <c:v>0.85578154362700443</c:v>
                </c:pt>
                <c:pt idx="4279">
                  <c:v>0.85594549659042274</c:v>
                </c:pt>
                <c:pt idx="4280">
                  <c:v>0.8560725200021343</c:v>
                </c:pt>
                <c:pt idx="4281">
                  <c:v>0.85620873072459558</c:v>
                </c:pt>
                <c:pt idx="4282">
                  <c:v>0.85657563759148492</c:v>
                </c:pt>
                <c:pt idx="4283">
                  <c:v>0.85675745029350692</c:v>
                </c:pt>
                <c:pt idx="4284">
                  <c:v>0.85680042942655288</c:v>
                </c:pt>
                <c:pt idx="4285">
                  <c:v>0.85713871601832547</c:v>
                </c:pt>
                <c:pt idx="4286">
                  <c:v>0.85720681728976944</c:v>
                </c:pt>
                <c:pt idx="4287">
                  <c:v>0.85753779503976402</c:v>
                </c:pt>
                <c:pt idx="4288">
                  <c:v>0.85769926261662022</c:v>
                </c:pt>
                <c:pt idx="4289">
                  <c:v>0.85781782920016392</c:v>
                </c:pt>
                <c:pt idx="4290">
                  <c:v>0.85801507344041361</c:v>
                </c:pt>
                <c:pt idx="4291">
                  <c:v>0.85839890795201046</c:v>
                </c:pt>
                <c:pt idx="4292">
                  <c:v>0.85841995917275093</c:v>
                </c:pt>
                <c:pt idx="4293">
                  <c:v>0.85878680732892521</c:v>
                </c:pt>
                <c:pt idx="4294">
                  <c:v>0.8589167004958066</c:v>
                </c:pt>
                <c:pt idx="4295">
                  <c:v>0.85919624161184671</c:v>
                </c:pt>
                <c:pt idx="4296">
                  <c:v>0.85927684256487447</c:v>
                </c:pt>
                <c:pt idx="4297">
                  <c:v>0.85959192115440786</c:v>
                </c:pt>
                <c:pt idx="4298">
                  <c:v>0.85963432830647435</c:v>
                </c:pt>
                <c:pt idx="4299">
                  <c:v>0.85989829755432401</c:v>
                </c:pt>
                <c:pt idx="4300">
                  <c:v>0.86015267057836808</c:v>
                </c:pt>
                <c:pt idx="4301">
                  <c:v>0.8603505451311243</c:v>
                </c:pt>
                <c:pt idx="4302">
                  <c:v>0.86054963082385949</c:v>
                </c:pt>
                <c:pt idx="4303">
                  <c:v>0.86069696749525537</c:v>
                </c:pt>
                <c:pt idx="4304">
                  <c:v>0.86090094461070854</c:v>
                </c:pt>
                <c:pt idx="4305">
                  <c:v>0.86112687725818871</c:v>
                </c:pt>
                <c:pt idx="4306">
                  <c:v>0.86132669866469846</c:v>
                </c:pt>
                <c:pt idx="4307">
                  <c:v>0.86154213732926688</c:v>
                </c:pt>
                <c:pt idx="4308">
                  <c:v>0.86174219490353532</c:v>
                </c:pt>
                <c:pt idx="4309">
                  <c:v>0.86197412121681827</c:v>
                </c:pt>
                <c:pt idx="4310">
                  <c:v>0.86209072335783643</c:v>
                </c:pt>
                <c:pt idx="4311">
                  <c:v>0.8623795126278837</c:v>
                </c:pt>
                <c:pt idx="4312">
                  <c:v>0.86246194903810081</c:v>
                </c:pt>
                <c:pt idx="4313">
                  <c:v>0.8626100407645596</c:v>
                </c:pt>
                <c:pt idx="4314">
                  <c:v>0.86288680212807067</c:v>
                </c:pt>
                <c:pt idx="4315">
                  <c:v>0.86315395786570248</c:v>
                </c:pt>
                <c:pt idx="4316">
                  <c:v>0.86327330160892413</c:v>
                </c:pt>
                <c:pt idx="4317">
                  <c:v>0.86347920103182063</c:v>
                </c:pt>
                <c:pt idx="4318">
                  <c:v>0.86378442779504327</c:v>
                </c:pt>
                <c:pt idx="4319">
                  <c:v>0.86380159312575155</c:v>
                </c:pt>
                <c:pt idx="4320">
                  <c:v>0.86405492731315425</c:v>
                </c:pt>
                <c:pt idx="4321">
                  <c:v>0.86437887372392674</c:v>
                </c:pt>
                <c:pt idx="4322">
                  <c:v>0.86452444829268482</c:v>
                </c:pt>
                <c:pt idx="4323">
                  <c:v>0.86477448028413906</c:v>
                </c:pt>
                <c:pt idx="4324">
                  <c:v>0.86484866713584596</c:v>
                </c:pt>
                <c:pt idx="4325">
                  <c:v>0.86506049850211952</c:v>
                </c:pt>
                <c:pt idx="4326">
                  <c:v>0.86539645164622836</c:v>
                </c:pt>
                <c:pt idx="4327">
                  <c:v>0.86553019494575689</c:v>
                </c:pt>
                <c:pt idx="4328">
                  <c:v>0.86578936635618775</c:v>
                </c:pt>
                <c:pt idx="4329">
                  <c:v>0.86591677936611611</c:v>
                </c:pt>
                <c:pt idx="4330">
                  <c:v>0.86611179570092622</c:v>
                </c:pt>
                <c:pt idx="4331">
                  <c:v>0.86637381004611347</c:v>
                </c:pt>
                <c:pt idx="4332">
                  <c:v>0.8665029967685004</c:v>
                </c:pt>
                <c:pt idx="4333">
                  <c:v>0.86678854513647696</c:v>
                </c:pt>
                <c:pt idx="4334">
                  <c:v>0.86688275725969177</c:v>
                </c:pt>
                <c:pt idx="4335">
                  <c:v>0.86714505610231896</c:v>
                </c:pt>
                <c:pt idx="4336">
                  <c:v>0.86729693636821981</c:v>
                </c:pt>
                <c:pt idx="4337">
                  <c:v>0.8674835142462709</c:v>
                </c:pt>
                <c:pt idx="4338">
                  <c:v>0.86774085252348809</c:v>
                </c:pt>
                <c:pt idx="4339">
                  <c:v>0.8679821059935684</c:v>
                </c:pt>
                <c:pt idx="4340">
                  <c:v>0.86808009986972445</c:v>
                </c:pt>
                <c:pt idx="4341">
                  <c:v>0.8682103893362475</c:v>
                </c:pt>
                <c:pt idx="4342">
                  <c:v>0.86857695970730331</c:v>
                </c:pt>
                <c:pt idx="4343">
                  <c:v>0.86879699796647691</c:v>
                </c:pt>
                <c:pt idx="4344">
                  <c:v>0.86887127025906719</c:v>
                </c:pt>
                <c:pt idx="4345">
                  <c:v>0.86906090431210137</c:v>
                </c:pt>
                <c:pt idx="4346">
                  <c:v>0.8692786249578649</c:v>
                </c:pt>
                <c:pt idx="4347">
                  <c:v>0.86950086123577808</c:v>
                </c:pt>
                <c:pt idx="4348">
                  <c:v>0.86976532822646335</c:v>
                </c:pt>
                <c:pt idx="4349">
                  <c:v>0.86984584784201491</c:v>
                </c:pt>
                <c:pt idx="4350">
                  <c:v>0.87017343529308533</c:v>
                </c:pt>
                <c:pt idx="4351">
                  <c:v>0.87022479358106497</c:v>
                </c:pt>
                <c:pt idx="4352">
                  <c:v>0.87057567170750716</c:v>
                </c:pt>
                <c:pt idx="4353">
                  <c:v>0.87073834103595893</c:v>
                </c:pt>
                <c:pt idx="4354">
                  <c:v>0.8708447029741585</c:v>
                </c:pt>
                <c:pt idx="4355">
                  <c:v>0.87100953055685604</c:v>
                </c:pt>
                <c:pt idx="4356">
                  <c:v>0.87128601638974756</c:v>
                </c:pt>
                <c:pt idx="4357">
                  <c:v>0.87142938101129364</c:v>
                </c:pt>
                <c:pt idx="4358">
                  <c:v>0.87166826041035073</c:v>
                </c:pt>
                <c:pt idx="4359">
                  <c:v>0.87185608528369485</c:v>
                </c:pt>
                <c:pt idx="4360">
                  <c:v>0.87218195911389362</c:v>
                </c:pt>
                <c:pt idx="4361">
                  <c:v>0.87227256155486044</c:v>
                </c:pt>
                <c:pt idx="4362">
                  <c:v>0.87255388599921813</c:v>
                </c:pt>
                <c:pt idx="4363">
                  <c:v>0.87272367965707631</c:v>
                </c:pt>
                <c:pt idx="4364">
                  <c:v>0.87291690587632298</c:v>
                </c:pt>
                <c:pt idx="4365">
                  <c:v>0.87317846701242452</c:v>
                </c:pt>
                <c:pt idx="4366">
                  <c:v>0.87337870125020367</c:v>
                </c:pt>
                <c:pt idx="4367">
                  <c:v>0.87347118130672519</c:v>
                </c:pt>
                <c:pt idx="4368">
                  <c:v>0.87371963535782871</c:v>
                </c:pt>
                <c:pt idx="4369">
                  <c:v>0.87393364717753919</c:v>
                </c:pt>
                <c:pt idx="4370">
                  <c:v>0.87403387855809034</c:v>
                </c:pt>
                <c:pt idx="4371">
                  <c:v>0.87426956483243723</c:v>
                </c:pt>
                <c:pt idx="4372">
                  <c:v>0.87443036134825802</c:v>
                </c:pt>
                <c:pt idx="4373">
                  <c:v>0.87470997794720118</c:v>
                </c:pt>
                <c:pt idx="4374">
                  <c:v>0.87481178134433268</c:v>
                </c:pt>
                <c:pt idx="4375">
                  <c:v>0.87500851394264223</c:v>
                </c:pt>
                <c:pt idx="4376">
                  <c:v>0.87536783867561441</c:v>
                </c:pt>
                <c:pt idx="4377">
                  <c:v>0.8755927182216181</c:v>
                </c:pt>
                <c:pt idx="4378">
                  <c:v>0.87568355892195449</c:v>
                </c:pt>
                <c:pt idx="4379">
                  <c:v>0.87591588582971958</c:v>
                </c:pt>
                <c:pt idx="4380">
                  <c:v>0.87614130886442532</c:v>
                </c:pt>
                <c:pt idx="4381">
                  <c:v>0.87635746187380459</c:v>
                </c:pt>
                <c:pt idx="4382">
                  <c:v>0.87655987363112164</c:v>
                </c:pt>
                <c:pt idx="4383">
                  <c:v>0.87674213385403676</c:v>
                </c:pt>
                <c:pt idx="4384">
                  <c:v>0.87685925629699124</c:v>
                </c:pt>
                <c:pt idx="4385">
                  <c:v>0.87702412911160477</c:v>
                </c:pt>
                <c:pt idx="4386">
                  <c:v>0.87721747124763605</c:v>
                </c:pt>
                <c:pt idx="4387">
                  <c:v>0.87747981988165524</c:v>
                </c:pt>
                <c:pt idx="4388">
                  <c:v>0.87772654823156226</c:v>
                </c:pt>
                <c:pt idx="4389">
                  <c:v>0.8778340812037313</c:v>
                </c:pt>
                <c:pt idx="4390">
                  <c:v>0.87800071429372784</c:v>
                </c:pt>
                <c:pt idx="4391">
                  <c:v>0.87837775207301094</c:v>
                </c:pt>
                <c:pt idx="4392">
                  <c:v>0.87858013051640715</c:v>
                </c:pt>
                <c:pt idx="4393">
                  <c:v>0.87871168169325953</c:v>
                </c:pt>
                <c:pt idx="4394">
                  <c:v>0.87888544771943367</c:v>
                </c:pt>
                <c:pt idx="4395">
                  <c:v>0.87903943732023215</c:v>
                </c:pt>
                <c:pt idx="4396">
                  <c:v>0.87933328946804012</c:v>
                </c:pt>
                <c:pt idx="4397">
                  <c:v>0.8794118931563133</c:v>
                </c:pt>
                <c:pt idx="4398">
                  <c:v>0.87967432591209049</c:v>
                </c:pt>
                <c:pt idx="4399">
                  <c:v>0.87997707840203709</c:v>
                </c:pt>
                <c:pt idx="4400">
                  <c:v>0.88009762304129491</c:v>
                </c:pt>
                <c:pt idx="4401">
                  <c:v>0.88026265878329579</c:v>
                </c:pt>
                <c:pt idx="4402">
                  <c:v>0.88057379148043069</c:v>
                </c:pt>
                <c:pt idx="4403">
                  <c:v>0.88067563792003223</c:v>
                </c:pt>
                <c:pt idx="4404">
                  <c:v>0.88082999837795029</c:v>
                </c:pt>
                <c:pt idx="4405">
                  <c:v>0.88107195735389177</c:v>
                </c:pt>
                <c:pt idx="4406">
                  <c:v>0.88135918303433791</c:v>
                </c:pt>
                <c:pt idx="4407">
                  <c:v>0.88151423300842613</c:v>
                </c:pt>
                <c:pt idx="4408">
                  <c:v>0.88163566172202956</c:v>
                </c:pt>
                <c:pt idx="4409">
                  <c:v>0.88196534248380121</c:v>
                </c:pt>
                <c:pt idx="4410">
                  <c:v>0.88201105812043201</c:v>
                </c:pt>
                <c:pt idx="4411">
                  <c:v>0.88227359926688331</c:v>
                </c:pt>
                <c:pt idx="4412">
                  <c:v>0.88259854719312825</c:v>
                </c:pt>
                <c:pt idx="4413">
                  <c:v>0.88260983078894439</c:v>
                </c:pt>
                <c:pt idx="4414">
                  <c:v>0.88293322944737351</c:v>
                </c:pt>
                <c:pt idx="4415">
                  <c:v>0.88311981980822041</c:v>
                </c:pt>
                <c:pt idx="4416">
                  <c:v>0.88326407430853326</c:v>
                </c:pt>
                <c:pt idx="4417">
                  <c:v>0.88351902980378805</c:v>
                </c:pt>
                <c:pt idx="4418">
                  <c:v>0.88374992079375081</c:v>
                </c:pt>
                <c:pt idx="4419">
                  <c:v>0.88399719220395123</c:v>
                </c:pt>
                <c:pt idx="4420">
                  <c:v>0.88414612058981934</c:v>
                </c:pt>
                <c:pt idx="4421">
                  <c:v>0.88428183392679371</c:v>
                </c:pt>
                <c:pt idx="4422">
                  <c:v>0.88449441997145639</c:v>
                </c:pt>
                <c:pt idx="4423">
                  <c:v>0.88469775612319301</c:v>
                </c:pt>
                <c:pt idx="4424">
                  <c:v>0.88486739062598607</c:v>
                </c:pt>
                <c:pt idx="4425">
                  <c:v>0.88512896341451652</c:v>
                </c:pt>
                <c:pt idx="4426">
                  <c:v>0.88527344184803625</c:v>
                </c:pt>
                <c:pt idx="4427">
                  <c:v>0.88559722397206275</c:v>
                </c:pt>
                <c:pt idx="4428">
                  <c:v>0.88572223991898869</c:v>
                </c:pt>
                <c:pt idx="4429">
                  <c:v>0.885808362334503</c:v>
                </c:pt>
                <c:pt idx="4430">
                  <c:v>0.88609726931501587</c:v>
                </c:pt>
                <c:pt idx="4431">
                  <c:v>0.8863680739206653</c:v>
                </c:pt>
                <c:pt idx="4432">
                  <c:v>0.88658507103626272</c:v>
                </c:pt>
                <c:pt idx="4433">
                  <c:v>0.88677325658127049</c:v>
                </c:pt>
                <c:pt idx="4434">
                  <c:v>0.8868373146362224</c:v>
                </c:pt>
                <c:pt idx="4435">
                  <c:v>0.88708454414263471</c:v>
                </c:pt>
                <c:pt idx="4436">
                  <c:v>0.88734857036116266</c:v>
                </c:pt>
                <c:pt idx="4437">
                  <c:v>0.88759758832841129</c:v>
                </c:pt>
                <c:pt idx="4438">
                  <c:v>0.88760449617202508</c:v>
                </c:pt>
                <c:pt idx="4439">
                  <c:v>0.887942722699126</c:v>
                </c:pt>
                <c:pt idx="4440">
                  <c:v>0.88802474756953886</c:v>
                </c:pt>
                <c:pt idx="4441">
                  <c:v>0.88834451228346312</c:v>
                </c:pt>
                <c:pt idx="4442">
                  <c:v>0.88843663577172827</c:v>
                </c:pt>
                <c:pt idx="4443">
                  <c:v>0.88874667730977452</c:v>
                </c:pt>
                <c:pt idx="4444">
                  <c:v>0.88898986517349021</c:v>
                </c:pt>
                <c:pt idx="4445">
                  <c:v>0.8890529133903452</c:v>
                </c:pt>
                <c:pt idx="4446">
                  <c:v>0.88939517354699671</c:v>
                </c:pt>
                <c:pt idx="4447">
                  <c:v>0.88944731881335559</c:v>
                </c:pt>
                <c:pt idx="4448">
                  <c:v>0.88979835839997945</c:v>
                </c:pt>
                <c:pt idx="4449">
                  <c:v>0.88982686936930444</c:v>
                </c:pt>
                <c:pt idx="4450">
                  <c:v>0.89001868328946143</c:v>
                </c:pt>
                <c:pt idx="4451">
                  <c:v>0.8902627222502284</c:v>
                </c:pt>
                <c:pt idx="4452">
                  <c:v>0.89055539731563893</c:v>
                </c:pt>
                <c:pt idx="4453">
                  <c:v>0.89066739256229888</c:v>
                </c:pt>
                <c:pt idx="4454">
                  <c:v>0.89090672596993559</c:v>
                </c:pt>
                <c:pt idx="4455">
                  <c:v>0.89111478930784271</c:v>
                </c:pt>
                <c:pt idx="4456">
                  <c:v>0.89124428386838284</c:v>
                </c:pt>
                <c:pt idx="4457">
                  <c:v>0.89157026816033069</c:v>
                </c:pt>
                <c:pt idx="4458">
                  <c:v>0.8916241097069868</c:v>
                </c:pt>
                <c:pt idx="4459">
                  <c:v>0.891948426277551</c:v>
                </c:pt>
                <c:pt idx="4460">
                  <c:v>0.89211354772684004</c:v>
                </c:pt>
                <c:pt idx="4461">
                  <c:v>0.89239336053351725</c:v>
                </c:pt>
                <c:pt idx="4462">
                  <c:v>0.89243503718567896</c:v>
                </c:pt>
                <c:pt idx="4463">
                  <c:v>0.89265075120512649</c:v>
                </c:pt>
                <c:pt idx="4464">
                  <c:v>0.89285870278427815</c:v>
                </c:pt>
                <c:pt idx="4465">
                  <c:v>0.89317381018315756</c:v>
                </c:pt>
                <c:pt idx="4466">
                  <c:v>0.89324669897436326</c:v>
                </c:pt>
                <c:pt idx="4467">
                  <c:v>0.89359152089669169</c:v>
                </c:pt>
                <c:pt idx="4468">
                  <c:v>0.89365430384377365</c:v>
                </c:pt>
                <c:pt idx="4469">
                  <c:v>0.89398034304142471</c:v>
                </c:pt>
                <c:pt idx="4470">
                  <c:v>0.89412084501835543</c:v>
                </c:pt>
                <c:pt idx="4471">
                  <c:v>0.8943246641265985</c:v>
                </c:pt>
                <c:pt idx="4472">
                  <c:v>0.89459468778879259</c:v>
                </c:pt>
                <c:pt idx="4473">
                  <c:v>0.89476198354190251</c:v>
                </c:pt>
                <c:pt idx="4474">
                  <c:v>0.89494086614436019</c:v>
                </c:pt>
                <c:pt idx="4475">
                  <c:v>0.89516726100052879</c:v>
                </c:pt>
                <c:pt idx="4476">
                  <c:v>0.89527926940812708</c:v>
                </c:pt>
                <c:pt idx="4477">
                  <c:v>0.89553434664079323</c:v>
                </c:pt>
                <c:pt idx="4478">
                  <c:v>0.89569247626673709</c:v>
                </c:pt>
                <c:pt idx="4479">
                  <c:v>0.8959351052434964</c:v>
                </c:pt>
                <c:pt idx="4480">
                  <c:v>0.89616532850143626</c:v>
                </c:pt>
                <c:pt idx="4481">
                  <c:v>0.89628055827703335</c:v>
                </c:pt>
                <c:pt idx="4482">
                  <c:v>0.8965372675485298</c:v>
                </c:pt>
                <c:pt idx="4483">
                  <c:v>0.89667340077675728</c:v>
                </c:pt>
                <c:pt idx="4484">
                  <c:v>0.89686870979482047</c:v>
                </c:pt>
                <c:pt idx="4485">
                  <c:v>0.89715757705414612</c:v>
                </c:pt>
                <c:pt idx="4486">
                  <c:v>0.89720748162400155</c:v>
                </c:pt>
                <c:pt idx="4487">
                  <c:v>0.89751118690686094</c:v>
                </c:pt>
                <c:pt idx="4488">
                  <c:v>0.8976015095324259</c:v>
                </c:pt>
                <c:pt idx="4489">
                  <c:v>0.89799316585273314</c:v>
                </c:pt>
                <c:pt idx="4490">
                  <c:v>0.89817875537531888</c:v>
                </c:pt>
                <c:pt idx="4491">
                  <c:v>0.89824172405042724</c:v>
                </c:pt>
                <c:pt idx="4492">
                  <c:v>0.89853625383529256</c:v>
                </c:pt>
                <c:pt idx="4493">
                  <c:v>0.89879343150467461</c:v>
                </c:pt>
                <c:pt idx="4494">
                  <c:v>0.89880946379997984</c:v>
                </c:pt>
                <c:pt idx="4495">
                  <c:v>0.89904496720634519</c:v>
                </c:pt>
                <c:pt idx="4496">
                  <c:v>0.89923921319046962</c:v>
                </c:pt>
                <c:pt idx="4497">
                  <c:v>0.89941800374291325</c:v>
                </c:pt>
                <c:pt idx="4498">
                  <c:v>0.89978503151526334</c:v>
                </c:pt>
                <c:pt idx="4499">
                  <c:v>0.89998741616522604</c:v>
                </c:pt>
                <c:pt idx="4500">
                  <c:v>0.90002878964185451</c:v>
                </c:pt>
                <c:pt idx="4501">
                  <c:v>0.9003858358164285</c:v>
                </c:pt>
                <c:pt idx="4502">
                  <c:v>0.90047012298569784</c:v>
                </c:pt>
                <c:pt idx="4503">
                  <c:v>0.90077624389598532</c:v>
                </c:pt>
                <c:pt idx="4504">
                  <c:v>0.90098242378769977</c:v>
                </c:pt>
                <c:pt idx="4505">
                  <c:v>0.90107180522551567</c:v>
                </c:pt>
                <c:pt idx="4506">
                  <c:v>0.90136147052467841</c:v>
                </c:pt>
                <c:pt idx="4507">
                  <c:v>0.90156118446778533</c:v>
                </c:pt>
                <c:pt idx="4508">
                  <c:v>0.90178065316271516</c:v>
                </c:pt>
                <c:pt idx="4509">
                  <c:v>0.90199305040542799</c:v>
                </c:pt>
                <c:pt idx="4510">
                  <c:v>0.90208840383069777</c:v>
                </c:pt>
                <c:pt idx="4511">
                  <c:v>0.90232192107581577</c:v>
                </c:pt>
                <c:pt idx="4512">
                  <c:v>0.90244652786172153</c:v>
                </c:pt>
                <c:pt idx="4513">
                  <c:v>0.9027476790923038</c:v>
                </c:pt>
                <c:pt idx="4514">
                  <c:v>0.90297111388537354</c:v>
                </c:pt>
                <c:pt idx="4515">
                  <c:v>0.90302174599520435</c:v>
                </c:pt>
                <c:pt idx="4516">
                  <c:v>0.90322597243828373</c:v>
                </c:pt>
                <c:pt idx="4517">
                  <c:v>0.90352145902172687</c:v>
                </c:pt>
                <c:pt idx="4518">
                  <c:v>0.90377527351169262</c:v>
                </c:pt>
                <c:pt idx="4519">
                  <c:v>0.90392798064405289</c:v>
                </c:pt>
                <c:pt idx="4520">
                  <c:v>0.90408840710229432</c:v>
                </c:pt>
                <c:pt idx="4521">
                  <c:v>0.90436414767004647</c:v>
                </c:pt>
                <c:pt idx="4522">
                  <c:v>0.90447940888117995</c:v>
                </c:pt>
                <c:pt idx="4523">
                  <c:v>0.90460068606152222</c:v>
                </c:pt>
                <c:pt idx="4524">
                  <c:v>0.90489561506241911</c:v>
                </c:pt>
                <c:pt idx="4525">
                  <c:v>0.90516521243843362</c:v>
                </c:pt>
                <c:pt idx="4526">
                  <c:v>0.90523907904174161</c:v>
                </c:pt>
                <c:pt idx="4527">
                  <c:v>0.90542848320138369</c:v>
                </c:pt>
                <c:pt idx="4528">
                  <c:v>0.90566782262755274</c:v>
                </c:pt>
                <c:pt idx="4529">
                  <c:v>0.90599122776570529</c:v>
                </c:pt>
                <c:pt idx="4530">
                  <c:v>0.90601629110146698</c:v>
                </c:pt>
                <c:pt idx="4531">
                  <c:v>0.90639892093385555</c:v>
                </c:pt>
                <c:pt idx="4532">
                  <c:v>0.90648681709796342</c:v>
                </c:pt>
                <c:pt idx="4533">
                  <c:v>0.90675461237839294</c:v>
                </c:pt>
                <c:pt idx="4534">
                  <c:v>0.90688703306333318</c:v>
                </c:pt>
                <c:pt idx="4535">
                  <c:v>0.9071453922298609</c:v>
                </c:pt>
                <c:pt idx="4536">
                  <c:v>0.90730955447957606</c:v>
                </c:pt>
                <c:pt idx="4537">
                  <c:v>0.90751183084876086</c:v>
                </c:pt>
                <c:pt idx="4538">
                  <c:v>0.90761347039626294</c:v>
                </c:pt>
                <c:pt idx="4539">
                  <c:v>0.907867626476909</c:v>
                </c:pt>
                <c:pt idx="4540">
                  <c:v>0.90819209614242247</c:v>
                </c:pt>
                <c:pt idx="4541">
                  <c:v>0.90821235485622021</c:v>
                </c:pt>
                <c:pt idx="4542">
                  <c:v>0.90855813669873353</c:v>
                </c:pt>
                <c:pt idx="4543">
                  <c:v>0.90870062127995788</c:v>
                </c:pt>
                <c:pt idx="4544">
                  <c:v>0.90891816014454652</c:v>
                </c:pt>
                <c:pt idx="4545">
                  <c:v>0.90915547994746726</c:v>
                </c:pt>
                <c:pt idx="4546">
                  <c:v>0.90936253362814023</c:v>
                </c:pt>
                <c:pt idx="4547">
                  <c:v>0.90950422218584082</c:v>
                </c:pt>
                <c:pt idx="4548">
                  <c:v>0.9097774580628093</c:v>
                </c:pt>
                <c:pt idx="4549">
                  <c:v>0.90981603816906376</c:v>
                </c:pt>
                <c:pt idx="4550">
                  <c:v>0.91006987370053993</c:v>
                </c:pt>
                <c:pt idx="4551">
                  <c:v>0.91031061545100789</c:v>
                </c:pt>
                <c:pt idx="4552">
                  <c:v>0.91055754151040635</c:v>
                </c:pt>
                <c:pt idx="4553">
                  <c:v>0.91075838340971582</c:v>
                </c:pt>
                <c:pt idx="4554">
                  <c:v>0.9108842385446384</c:v>
                </c:pt>
                <c:pt idx="4555">
                  <c:v>0.9110621249241434</c:v>
                </c:pt>
                <c:pt idx="4556">
                  <c:v>0.91139760411246629</c:v>
                </c:pt>
                <c:pt idx="4557">
                  <c:v>0.9114496122080018</c:v>
                </c:pt>
                <c:pt idx="4558">
                  <c:v>0.9117465972008526</c:v>
                </c:pt>
                <c:pt idx="4559">
                  <c:v>0.91190029738422018</c:v>
                </c:pt>
                <c:pt idx="4560">
                  <c:v>0.91200499943574065</c:v>
                </c:pt>
                <c:pt idx="4561">
                  <c:v>0.91224508672623084</c:v>
                </c:pt>
                <c:pt idx="4562">
                  <c:v>0.91247950500512487</c:v>
                </c:pt>
                <c:pt idx="4563">
                  <c:v>0.91273773219649157</c:v>
                </c:pt>
                <c:pt idx="4564">
                  <c:v>0.91294189919315794</c:v>
                </c:pt>
                <c:pt idx="4565">
                  <c:v>0.91303300898806961</c:v>
                </c:pt>
                <c:pt idx="4566">
                  <c:v>0.91329866777129898</c:v>
                </c:pt>
                <c:pt idx="4567">
                  <c:v>0.91359795033871138</c:v>
                </c:pt>
                <c:pt idx="4568">
                  <c:v>0.91367142258832956</c:v>
                </c:pt>
                <c:pt idx="4569">
                  <c:v>0.91391854796263361</c:v>
                </c:pt>
                <c:pt idx="4570">
                  <c:v>0.91401083076047029</c:v>
                </c:pt>
                <c:pt idx="4571">
                  <c:v>0.91426771217181069</c:v>
                </c:pt>
                <c:pt idx="4572">
                  <c:v>0.91443635120551026</c:v>
                </c:pt>
                <c:pt idx="4573">
                  <c:v>0.91469018112302058</c:v>
                </c:pt>
                <c:pt idx="4574">
                  <c:v>0.91492105845923566</c:v>
                </c:pt>
                <c:pt idx="4575">
                  <c:v>0.91501313426816211</c:v>
                </c:pt>
                <c:pt idx="4576">
                  <c:v>0.91524417323745888</c:v>
                </c:pt>
                <c:pt idx="4577">
                  <c:v>0.91558148574493392</c:v>
                </c:pt>
                <c:pt idx="4578">
                  <c:v>0.91570129245927123</c:v>
                </c:pt>
                <c:pt idx="4579">
                  <c:v>0.91587869487113294</c:v>
                </c:pt>
                <c:pt idx="4580">
                  <c:v>0.91611569443897245</c:v>
                </c:pt>
                <c:pt idx="4581">
                  <c:v>0.9163196568183879</c:v>
                </c:pt>
                <c:pt idx="4582">
                  <c:v>0.91651457627283284</c:v>
                </c:pt>
                <c:pt idx="4583">
                  <c:v>0.91675394264868315</c:v>
                </c:pt>
                <c:pt idx="4584">
                  <c:v>0.91695553494732718</c:v>
                </c:pt>
                <c:pt idx="4585">
                  <c:v>0.91717896123206688</c:v>
                </c:pt>
                <c:pt idx="4586">
                  <c:v>0.91723105467479471</c:v>
                </c:pt>
                <c:pt idx="4587">
                  <c:v>0.91748033475868418</c:v>
                </c:pt>
                <c:pt idx="4588">
                  <c:v>0.91771214223497377</c:v>
                </c:pt>
                <c:pt idx="4589">
                  <c:v>0.9178815803193211</c:v>
                </c:pt>
                <c:pt idx="4590">
                  <c:v>0.91814237175209967</c:v>
                </c:pt>
                <c:pt idx="4591">
                  <c:v>0.9183387303485393</c:v>
                </c:pt>
                <c:pt idx="4592">
                  <c:v>0.91856210539726579</c:v>
                </c:pt>
                <c:pt idx="4593">
                  <c:v>0.9186448020649246</c:v>
                </c:pt>
                <c:pt idx="4594">
                  <c:v>0.91880968442321975</c:v>
                </c:pt>
                <c:pt idx="4595">
                  <c:v>0.91912700894091448</c:v>
                </c:pt>
                <c:pt idx="4596">
                  <c:v>0.91933319343699438</c:v>
                </c:pt>
                <c:pt idx="4597">
                  <c:v>0.91945654618597039</c:v>
                </c:pt>
                <c:pt idx="4598">
                  <c:v>0.91960931750876118</c:v>
                </c:pt>
                <c:pt idx="4599">
                  <c:v>0.91996300289820954</c:v>
                </c:pt>
                <c:pt idx="4600">
                  <c:v>0.920020090876571</c:v>
                </c:pt>
                <c:pt idx="4601">
                  <c:v>0.92030366360934079</c:v>
                </c:pt>
                <c:pt idx="4602">
                  <c:v>0.92049566593950038</c:v>
                </c:pt>
                <c:pt idx="4603">
                  <c:v>0.92063285143338913</c:v>
                </c:pt>
                <c:pt idx="4604">
                  <c:v>0.92080042286873809</c:v>
                </c:pt>
                <c:pt idx="4605">
                  <c:v>0.92107227067893205</c:v>
                </c:pt>
                <c:pt idx="4606">
                  <c:v>0.92129592720351561</c:v>
                </c:pt>
                <c:pt idx="4607">
                  <c:v>0.92146228462198343</c:v>
                </c:pt>
                <c:pt idx="4608">
                  <c:v>0.92170251581736429</c:v>
                </c:pt>
                <c:pt idx="4609">
                  <c:v>0.92192122815682576</c:v>
                </c:pt>
                <c:pt idx="4610">
                  <c:v>0.92211143413519292</c:v>
                </c:pt>
                <c:pt idx="4611">
                  <c:v>0.92229863513137644</c:v>
                </c:pt>
                <c:pt idx="4612">
                  <c:v>0.92250615642958</c:v>
                </c:pt>
                <c:pt idx="4613">
                  <c:v>0.92263088392653303</c:v>
                </c:pt>
                <c:pt idx="4614">
                  <c:v>0.92286554545291366</c:v>
                </c:pt>
                <c:pt idx="4615">
                  <c:v>0.92302687284714224</c:v>
                </c:pt>
                <c:pt idx="4616">
                  <c:v>0.92327420420355033</c:v>
                </c:pt>
                <c:pt idx="4617">
                  <c:v>0.92346642313899152</c:v>
                </c:pt>
                <c:pt idx="4618">
                  <c:v>0.92376492678955313</c:v>
                </c:pt>
                <c:pt idx="4619">
                  <c:v>0.92382244036864081</c:v>
                </c:pt>
                <c:pt idx="4620">
                  <c:v>0.92405128366003086</c:v>
                </c:pt>
                <c:pt idx="4621">
                  <c:v>0.92422864800184712</c:v>
                </c:pt>
                <c:pt idx="4622">
                  <c:v>0.92459723384780734</c:v>
                </c:pt>
                <c:pt idx="4623">
                  <c:v>0.92474575465306319</c:v>
                </c:pt>
                <c:pt idx="4624">
                  <c:v>0.92489247112867701</c:v>
                </c:pt>
                <c:pt idx="4625">
                  <c:v>0.92511442631816354</c:v>
                </c:pt>
                <c:pt idx="4626">
                  <c:v>0.92531517826591503</c:v>
                </c:pt>
                <c:pt idx="4627">
                  <c:v>0.92554568105934776</c:v>
                </c:pt>
                <c:pt idx="4628">
                  <c:v>0.9257392952876955</c:v>
                </c:pt>
                <c:pt idx="4629">
                  <c:v>0.92598963586850791</c:v>
                </c:pt>
                <c:pt idx="4630">
                  <c:v>0.92619413312719989</c:v>
                </c:pt>
                <c:pt idx="4631">
                  <c:v>0.92631415363832237</c:v>
                </c:pt>
                <c:pt idx="4632">
                  <c:v>0.92642126586912688</c:v>
                </c:pt>
                <c:pt idx="4633">
                  <c:v>0.92667423741213839</c:v>
                </c:pt>
                <c:pt idx="4634">
                  <c:v>0.92685756130806585</c:v>
                </c:pt>
                <c:pt idx="4635">
                  <c:v>0.92700152919967693</c:v>
                </c:pt>
                <c:pt idx="4636">
                  <c:v>0.92732973145421815</c:v>
                </c:pt>
                <c:pt idx="4637">
                  <c:v>0.9275652379150422</c:v>
                </c:pt>
                <c:pt idx="4638">
                  <c:v>0.927638680960573</c:v>
                </c:pt>
                <c:pt idx="4639">
                  <c:v>0.92780416366155349</c:v>
                </c:pt>
                <c:pt idx="4640">
                  <c:v>0.92813827281895522</c:v>
                </c:pt>
                <c:pt idx="4641">
                  <c:v>0.92833829328006556</c:v>
                </c:pt>
                <c:pt idx="4642">
                  <c:v>0.92845023627002954</c:v>
                </c:pt>
                <c:pt idx="4643">
                  <c:v>0.92870179276617748</c:v>
                </c:pt>
                <c:pt idx="4644">
                  <c:v>0.92899138531884906</c:v>
                </c:pt>
                <c:pt idx="4645">
                  <c:v>0.92919586904616935</c:v>
                </c:pt>
                <c:pt idx="4646">
                  <c:v>0.92924515371672933</c:v>
                </c:pt>
                <c:pt idx="4647">
                  <c:v>0.92943324914151648</c:v>
                </c:pt>
                <c:pt idx="4648">
                  <c:v>0.92963909687563751</c:v>
                </c:pt>
                <c:pt idx="4649">
                  <c:v>0.92992133495889628</c:v>
                </c:pt>
                <c:pt idx="4650">
                  <c:v>0.93003147230344618</c:v>
                </c:pt>
                <c:pt idx="4651">
                  <c:v>0.9303914337214062</c:v>
                </c:pt>
                <c:pt idx="4652">
                  <c:v>0.93056256213918387</c:v>
                </c:pt>
                <c:pt idx="4653">
                  <c:v>0.93078566842558463</c:v>
                </c:pt>
                <c:pt idx="4654">
                  <c:v>0.93083196077780617</c:v>
                </c:pt>
                <c:pt idx="4655">
                  <c:v>0.931039275951972</c:v>
                </c:pt>
                <c:pt idx="4656">
                  <c:v>0.931351665276138</c:v>
                </c:pt>
                <c:pt idx="4657">
                  <c:v>0.93151662957340398</c:v>
                </c:pt>
                <c:pt idx="4658">
                  <c:v>0.93168737466495655</c:v>
                </c:pt>
                <c:pt idx="4659">
                  <c:v>0.9319701575509669</c:v>
                </c:pt>
                <c:pt idx="4660">
                  <c:v>0.93212225480464328</c:v>
                </c:pt>
                <c:pt idx="4661">
                  <c:v>0.93227827096564653</c:v>
                </c:pt>
                <c:pt idx="4662">
                  <c:v>0.93243336346220074</c:v>
                </c:pt>
                <c:pt idx="4663">
                  <c:v>0.93265141413259589</c:v>
                </c:pt>
                <c:pt idx="4664">
                  <c:v>0.93294897410239774</c:v>
                </c:pt>
                <c:pt idx="4665">
                  <c:v>0.93301100718146446</c:v>
                </c:pt>
                <c:pt idx="4666">
                  <c:v>0.93328301728448892</c:v>
                </c:pt>
                <c:pt idx="4667">
                  <c:v>0.93357970749726049</c:v>
                </c:pt>
                <c:pt idx="4668">
                  <c:v>0.933798121580388</c:v>
                </c:pt>
                <c:pt idx="4669">
                  <c:v>0.93398284645117424</c:v>
                </c:pt>
                <c:pt idx="4670">
                  <c:v>0.93410310794708862</c:v>
                </c:pt>
                <c:pt idx="4671">
                  <c:v>0.93429213578838211</c:v>
                </c:pt>
                <c:pt idx="4672">
                  <c:v>0.93443027985734639</c:v>
                </c:pt>
                <c:pt idx="4673">
                  <c:v>0.93478662463389028</c:v>
                </c:pt>
                <c:pt idx="4674">
                  <c:v>0.93495683769326587</c:v>
                </c:pt>
                <c:pt idx="4675">
                  <c:v>0.93517474083271224</c:v>
                </c:pt>
                <c:pt idx="4676">
                  <c:v>0.93534834894988417</c:v>
                </c:pt>
                <c:pt idx="4677">
                  <c:v>0.93550004959104116</c:v>
                </c:pt>
                <c:pt idx="4678">
                  <c:v>0.9356068094467761</c:v>
                </c:pt>
                <c:pt idx="4679">
                  <c:v>0.93589206887094589</c:v>
                </c:pt>
                <c:pt idx="4680">
                  <c:v>0.93604118246199597</c:v>
                </c:pt>
                <c:pt idx="4681">
                  <c:v>0.93627562065121617</c:v>
                </c:pt>
                <c:pt idx="4682">
                  <c:v>0.93643510919144268</c:v>
                </c:pt>
                <c:pt idx="4683">
                  <c:v>0.93675585021547869</c:v>
                </c:pt>
                <c:pt idx="4684">
                  <c:v>0.93695116750573526</c:v>
                </c:pt>
                <c:pt idx="4685">
                  <c:v>0.93711270038348449</c:v>
                </c:pt>
                <c:pt idx="4686">
                  <c:v>0.93729056251847431</c:v>
                </c:pt>
                <c:pt idx="4687">
                  <c:v>0.93741728296163895</c:v>
                </c:pt>
                <c:pt idx="4688">
                  <c:v>0.93761265842654107</c:v>
                </c:pt>
                <c:pt idx="4689">
                  <c:v>0.93793240656646248</c:v>
                </c:pt>
                <c:pt idx="4690">
                  <c:v>0.93805613317127723</c:v>
                </c:pt>
                <c:pt idx="4691">
                  <c:v>0.93830253718511725</c:v>
                </c:pt>
                <c:pt idx="4692">
                  <c:v>0.93857765764835699</c:v>
                </c:pt>
                <c:pt idx="4693">
                  <c:v>0.9386832439606273</c:v>
                </c:pt>
                <c:pt idx="4694">
                  <c:v>0.93886821234311624</c:v>
                </c:pt>
                <c:pt idx="4695">
                  <c:v>0.93909981416624511</c:v>
                </c:pt>
                <c:pt idx="4696">
                  <c:v>0.93939966815998777</c:v>
                </c:pt>
                <c:pt idx="4697">
                  <c:v>0.93958284878716403</c:v>
                </c:pt>
                <c:pt idx="4698">
                  <c:v>0.93971219773816705</c:v>
                </c:pt>
                <c:pt idx="4699">
                  <c:v>0.93988547155817159</c:v>
                </c:pt>
                <c:pt idx="4700">
                  <c:v>0.94016457870960346</c:v>
                </c:pt>
                <c:pt idx="4701">
                  <c:v>0.94037489150892362</c:v>
                </c:pt>
                <c:pt idx="4702">
                  <c:v>0.94049332304915712</c:v>
                </c:pt>
                <c:pt idx="4703">
                  <c:v>0.94068108542763662</c:v>
                </c:pt>
                <c:pt idx="4704">
                  <c:v>0.9409593372156283</c:v>
                </c:pt>
                <c:pt idx="4705">
                  <c:v>0.94105476726737214</c:v>
                </c:pt>
                <c:pt idx="4706">
                  <c:v>0.94138361089881128</c:v>
                </c:pt>
                <c:pt idx="4707">
                  <c:v>0.94146667013500496</c:v>
                </c:pt>
                <c:pt idx="4708">
                  <c:v>0.94161658004722937</c:v>
                </c:pt>
                <c:pt idx="4709">
                  <c:v>0.94194457193765424</c:v>
                </c:pt>
                <c:pt idx="4710">
                  <c:v>0.94210237565937038</c:v>
                </c:pt>
                <c:pt idx="4711">
                  <c:v>0.94231323726971472</c:v>
                </c:pt>
                <c:pt idx="4712">
                  <c:v>0.94246140430356884</c:v>
                </c:pt>
                <c:pt idx="4713">
                  <c:v>0.94265464537796906</c:v>
                </c:pt>
                <c:pt idx="4714">
                  <c:v>0.94284867453674048</c:v>
                </c:pt>
                <c:pt idx="4715">
                  <c:v>0.94300215699342138</c:v>
                </c:pt>
                <c:pt idx="4716">
                  <c:v>0.94338632917515619</c:v>
                </c:pt>
                <c:pt idx="4717">
                  <c:v>0.94358204532125545</c:v>
                </c:pt>
                <c:pt idx="4718">
                  <c:v>0.9436302788116574</c:v>
                </c:pt>
                <c:pt idx="4719">
                  <c:v>0.94382759989058307</c:v>
                </c:pt>
                <c:pt idx="4720">
                  <c:v>0.94401501034810553</c:v>
                </c:pt>
                <c:pt idx="4721">
                  <c:v>0.94420451982212361</c:v>
                </c:pt>
                <c:pt idx="4722">
                  <c:v>0.94441383421030223</c:v>
                </c:pt>
                <c:pt idx="4723">
                  <c:v>0.9447011225744385</c:v>
                </c:pt>
                <c:pt idx="4724">
                  <c:v>0.94485464992794554</c:v>
                </c:pt>
                <c:pt idx="4725">
                  <c:v>0.94500850964687033</c:v>
                </c:pt>
                <c:pt idx="4726">
                  <c:v>0.94532881826766046</c:v>
                </c:pt>
                <c:pt idx="4727">
                  <c:v>0.94547026467739381</c:v>
                </c:pt>
                <c:pt idx="4728">
                  <c:v>0.94563619888723738</c:v>
                </c:pt>
                <c:pt idx="4729">
                  <c:v>0.945913118473234</c:v>
                </c:pt>
                <c:pt idx="4730">
                  <c:v>0.94617796878739679</c:v>
                </c:pt>
                <c:pt idx="4731">
                  <c:v>0.94621887848889896</c:v>
                </c:pt>
                <c:pt idx="4732">
                  <c:v>0.9465125784365257</c:v>
                </c:pt>
                <c:pt idx="4733">
                  <c:v>0.94674834801739749</c:v>
                </c:pt>
                <c:pt idx="4734">
                  <c:v>0.94695926224630311</c:v>
                </c:pt>
                <c:pt idx="4735">
                  <c:v>0.94713512465374894</c:v>
                </c:pt>
                <c:pt idx="4736">
                  <c:v>0.94721349265957555</c:v>
                </c:pt>
                <c:pt idx="4737">
                  <c:v>0.94746380248262174</c:v>
                </c:pt>
                <c:pt idx="4738">
                  <c:v>0.94775826266816787</c:v>
                </c:pt>
                <c:pt idx="4739">
                  <c:v>0.94792834297286532</c:v>
                </c:pt>
                <c:pt idx="4740">
                  <c:v>0.94804416958788518</c:v>
                </c:pt>
                <c:pt idx="4741">
                  <c:v>0.94829486949469299</c:v>
                </c:pt>
                <c:pt idx="4742">
                  <c:v>0.94850284397199358</c:v>
                </c:pt>
                <c:pt idx="4743">
                  <c:v>0.94878267317595488</c:v>
                </c:pt>
                <c:pt idx="4744">
                  <c:v>0.94885589482655197</c:v>
                </c:pt>
                <c:pt idx="4745">
                  <c:v>0.94916438729063701</c:v>
                </c:pt>
                <c:pt idx="4746">
                  <c:v>0.94920966460001877</c:v>
                </c:pt>
                <c:pt idx="4747">
                  <c:v>0.94948620258106053</c:v>
                </c:pt>
                <c:pt idx="4748">
                  <c:v>0.94964027143792262</c:v>
                </c:pt>
                <c:pt idx="4749">
                  <c:v>0.94984453351200659</c:v>
                </c:pt>
                <c:pt idx="4750">
                  <c:v>0.95011767763805532</c:v>
                </c:pt>
                <c:pt idx="4751">
                  <c:v>0.95034299008020739</c:v>
                </c:pt>
                <c:pt idx="4752">
                  <c:v>0.95055800307061478</c:v>
                </c:pt>
                <c:pt idx="4753">
                  <c:v>0.95070970772679653</c:v>
                </c:pt>
                <c:pt idx="4754">
                  <c:v>0.95084552981658965</c:v>
                </c:pt>
                <c:pt idx="4755">
                  <c:v>0.95102855655272234</c:v>
                </c:pt>
                <c:pt idx="4756">
                  <c:v>0.95123831496248912</c:v>
                </c:pt>
                <c:pt idx="4757">
                  <c:v>0.95141586565752878</c:v>
                </c:pt>
                <c:pt idx="4758">
                  <c:v>0.95169214349591458</c:v>
                </c:pt>
                <c:pt idx="4759">
                  <c:v>0.95193363656432683</c:v>
                </c:pt>
                <c:pt idx="4760">
                  <c:v>0.95210082110140959</c:v>
                </c:pt>
                <c:pt idx="4761">
                  <c:v>0.95239068472385191</c:v>
                </c:pt>
                <c:pt idx="4762">
                  <c:v>0.95248560940951243</c:v>
                </c:pt>
                <c:pt idx="4763">
                  <c:v>0.95261727046920386</c:v>
                </c:pt>
                <c:pt idx="4764">
                  <c:v>0.95293617744830805</c:v>
                </c:pt>
                <c:pt idx="4765">
                  <c:v>0.95306766811047405</c:v>
                </c:pt>
                <c:pt idx="4766">
                  <c:v>0.95325611621077555</c:v>
                </c:pt>
                <c:pt idx="4767">
                  <c:v>0.95354577080713265</c:v>
                </c:pt>
                <c:pt idx="4768">
                  <c:v>0.95371778346843039</c:v>
                </c:pt>
                <c:pt idx="4769">
                  <c:v>0.95399992142473344</c:v>
                </c:pt>
                <c:pt idx="4770">
                  <c:v>0.95416867604413269</c:v>
                </c:pt>
                <c:pt idx="4771">
                  <c:v>0.95422510350044465</c:v>
                </c:pt>
                <c:pt idx="4772">
                  <c:v>0.95459578931811173</c:v>
                </c:pt>
                <c:pt idx="4773">
                  <c:v>0.95466374698161705</c:v>
                </c:pt>
                <c:pt idx="4774">
                  <c:v>0.95490005240717435</c:v>
                </c:pt>
                <c:pt idx="4775">
                  <c:v>0.9550433869780609</c:v>
                </c:pt>
                <c:pt idx="4776">
                  <c:v>0.95529217722115389</c:v>
                </c:pt>
                <c:pt idx="4777">
                  <c:v>0.95548670835166394</c:v>
                </c:pt>
                <c:pt idx="4778">
                  <c:v>0.95565569953165375</c:v>
                </c:pt>
                <c:pt idx="4779">
                  <c:v>0.95586738540000915</c:v>
                </c:pt>
                <c:pt idx="4780">
                  <c:v>0.95605430936027658</c:v>
                </c:pt>
                <c:pt idx="4781">
                  <c:v>0.9563956039095286</c:v>
                </c:pt>
                <c:pt idx="4782">
                  <c:v>0.95645192042017624</c:v>
                </c:pt>
                <c:pt idx="4783">
                  <c:v>0.95671467762117157</c:v>
                </c:pt>
                <c:pt idx="4784">
                  <c:v>0.95682672846792882</c:v>
                </c:pt>
                <c:pt idx="4785">
                  <c:v>0.95712804170407539</c:v>
                </c:pt>
                <c:pt idx="4786">
                  <c:v>0.95735242460448111</c:v>
                </c:pt>
                <c:pt idx="4787">
                  <c:v>0.95756964100347119</c:v>
                </c:pt>
                <c:pt idx="4788">
                  <c:v>0.9576668107825953</c:v>
                </c:pt>
                <c:pt idx="4789">
                  <c:v>0.95787111254261603</c:v>
                </c:pt>
                <c:pt idx="4790">
                  <c:v>0.95804403057956222</c:v>
                </c:pt>
                <c:pt idx="4791">
                  <c:v>0.95821823763139968</c:v>
                </c:pt>
                <c:pt idx="4792">
                  <c:v>0.9584245661830586</c:v>
                </c:pt>
                <c:pt idx="4793">
                  <c:v>0.95869978113842658</c:v>
                </c:pt>
                <c:pt idx="4794">
                  <c:v>0.95888094241853827</c:v>
                </c:pt>
                <c:pt idx="4795">
                  <c:v>0.95913784513192657</c:v>
                </c:pt>
                <c:pt idx="4796">
                  <c:v>0.95925530502131573</c:v>
                </c:pt>
                <c:pt idx="4797">
                  <c:v>0.95943109716079922</c:v>
                </c:pt>
                <c:pt idx="4798">
                  <c:v>0.95964043761972351</c:v>
                </c:pt>
                <c:pt idx="4799">
                  <c:v>0.95990089388082289</c:v>
                </c:pt>
                <c:pt idx="4800">
                  <c:v>0.96016078261215265</c:v>
                </c:pt>
                <c:pt idx="4801">
                  <c:v>0.96024381709579465</c:v>
                </c:pt>
                <c:pt idx="4802">
                  <c:v>0.96043733305228818</c:v>
                </c:pt>
                <c:pt idx="4803">
                  <c:v>0.9606522702318272</c:v>
                </c:pt>
                <c:pt idx="4804">
                  <c:v>0.96094404157040259</c:v>
                </c:pt>
                <c:pt idx="4805">
                  <c:v>0.96103830390484968</c:v>
                </c:pt>
                <c:pt idx="4806">
                  <c:v>0.9612123171149316</c:v>
                </c:pt>
                <c:pt idx="4807">
                  <c:v>0.9615370075788201</c:v>
                </c:pt>
                <c:pt idx="4808">
                  <c:v>0.96165338145444479</c:v>
                </c:pt>
                <c:pt idx="4809">
                  <c:v>0.96199318548762081</c:v>
                </c:pt>
                <c:pt idx="4810">
                  <c:v>0.96206222873853109</c:v>
                </c:pt>
                <c:pt idx="4811">
                  <c:v>0.96237583223771672</c:v>
                </c:pt>
                <c:pt idx="4812">
                  <c:v>0.96244386339384214</c:v>
                </c:pt>
                <c:pt idx="4813">
                  <c:v>0.96268329224020321</c:v>
                </c:pt>
                <c:pt idx="4814">
                  <c:v>0.96295626327822825</c:v>
                </c:pt>
                <c:pt idx="4815">
                  <c:v>0.96305269465410437</c:v>
                </c:pt>
                <c:pt idx="4816">
                  <c:v>0.96332486323027988</c:v>
                </c:pt>
                <c:pt idx="4817">
                  <c:v>0.96346889316743911</c:v>
                </c:pt>
                <c:pt idx="4818">
                  <c:v>0.96368907390662684</c:v>
                </c:pt>
                <c:pt idx="4819">
                  <c:v>0.96385353833377685</c:v>
                </c:pt>
                <c:pt idx="4820">
                  <c:v>0.9641552081539192</c:v>
                </c:pt>
                <c:pt idx="4821">
                  <c:v>0.96421906814999381</c:v>
                </c:pt>
                <c:pt idx="4822">
                  <c:v>0.96448130102941798</c:v>
                </c:pt>
                <c:pt idx="4823">
                  <c:v>0.96475792323592069</c:v>
                </c:pt>
                <c:pt idx="4824">
                  <c:v>0.96490902743723928</c:v>
                </c:pt>
                <c:pt idx="4825">
                  <c:v>0.96515034542608769</c:v>
                </c:pt>
                <c:pt idx="4826">
                  <c:v>0.96532428509744916</c:v>
                </c:pt>
                <c:pt idx="4827">
                  <c:v>0.96554485483792252</c:v>
                </c:pt>
                <c:pt idx="4828">
                  <c:v>0.96573348448135277</c:v>
                </c:pt>
                <c:pt idx="4829">
                  <c:v>0.96586384710405582</c:v>
                </c:pt>
                <c:pt idx="4830">
                  <c:v>0.96616624400098028</c:v>
                </c:pt>
                <c:pt idx="4831">
                  <c:v>0.96620635824469059</c:v>
                </c:pt>
                <c:pt idx="4832">
                  <c:v>0.96647697593608806</c:v>
                </c:pt>
                <c:pt idx="4833">
                  <c:v>0.96677266813841944</c:v>
                </c:pt>
                <c:pt idx="4834">
                  <c:v>0.96695966368321318</c:v>
                </c:pt>
                <c:pt idx="4835">
                  <c:v>0.96714168073813001</c:v>
                </c:pt>
                <c:pt idx="4836">
                  <c:v>0.96720303790764961</c:v>
                </c:pt>
                <c:pt idx="4837">
                  <c:v>0.9674258742929962</c:v>
                </c:pt>
                <c:pt idx="4838">
                  <c:v>0.96768142766158127</c:v>
                </c:pt>
                <c:pt idx="4839">
                  <c:v>0.96782519140323275</c:v>
                </c:pt>
                <c:pt idx="4840">
                  <c:v>0.96815010564693949</c:v>
                </c:pt>
                <c:pt idx="4841">
                  <c:v>0.96828088883982999</c:v>
                </c:pt>
                <c:pt idx="4842">
                  <c:v>0.96857284400555599</c:v>
                </c:pt>
                <c:pt idx="4843">
                  <c:v>0.96876914296442862</c:v>
                </c:pt>
                <c:pt idx="4844">
                  <c:v>0.96884901470897</c:v>
                </c:pt>
                <c:pt idx="4845">
                  <c:v>0.96918922001169738</c:v>
                </c:pt>
                <c:pt idx="4846">
                  <c:v>0.96929335124965132</c:v>
                </c:pt>
                <c:pt idx="4847">
                  <c:v>0.96959069780767682</c:v>
                </c:pt>
                <c:pt idx="4848">
                  <c:v>0.9696654288776837</c:v>
                </c:pt>
                <c:pt idx="4849">
                  <c:v>0.96982789340727682</c:v>
                </c:pt>
                <c:pt idx="4850">
                  <c:v>0.97012153214773211</c:v>
                </c:pt>
                <c:pt idx="4851">
                  <c:v>0.97037111559621314</c:v>
                </c:pt>
                <c:pt idx="4852">
                  <c:v>0.97053592852892723</c:v>
                </c:pt>
                <c:pt idx="4853">
                  <c:v>0.97071609409086324</c:v>
                </c:pt>
                <c:pt idx="4854">
                  <c:v>0.97097553850560814</c:v>
                </c:pt>
                <c:pt idx="4855">
                  <c:v>0.97106420768132995</c:v>
                </c:pt>
                <c:pt idx="4856">
                  <c:v>0.97123738022326433</c:v>
                </c:pt>
                <c:pt idx="4857">
                  <c:v>0.97141386120231221</c:v>
                </c:pt>
                <c:pt idx="4858">
                  <c:v>0.97173571241245049</c:v>
                </c:pt>
                <c:pt idx="4859">
                  <c:v>0.97184998587412996</c:v>
                </c:pt>
                <c:pt idx="4860">
                  <c:v>0.9720641250697114</c:v>
                </c:pt>
                <c:pt idx="4861">
                  <c:v>0.97235372807112386</c:v>
                </c:pt>
                <c:pt idx="4862">
                  <c:v>0.97241650725687301</c:v>
                </c:pt>
                <c:pt idx="4863">
                  <c:v>0.97278000694484912</c:v>
                </c:pt>
                <c:pt idx="4864">
                  <c:v>0.97283885688126071</c:v>
                </c:pt>
                <c:pt idx="4865">
                  <c:v>0.97305006821641005</c:v>
                </c:pt>
                <c:pt idx="4866">
                  <c:v>0.97325913786023377</c:v>
                </c:pt>
                <c:pt idx="4867">
                  <c:v>0.97355589204545978</c:v>
                </c:pt>
                <c:pt idx="4868">
                  <c:v>0.97376917950328656</c:v>
                </c:pt>
                <c:pt idx="4869">
                  <c:v>0.97392120175923247</c:v>
                </c:pt>
                <c:pt idx="4870">
                  <c:v>0.97410626085705732</c:v>
                </c:pt>
                <c:pt idx="4871">
                  <c:v>0.97423089637715166</c:v>
                </c:pt>
                <c:pt idx="4872">
                  <c:v>0.97454074352717512</c:v>
                </c:pt>
                <c:pt idx="4873">
                  <c:v>0.97473254121456598</c:v>
                </c:pt>
                <c:pt idx="4874">
                  <c:v>0.97488839413106632</c:v>
                </c:pt>
                <c:pt idx="4875">
                  <c:v>0.97513282499037046</c:v>
                </c:pt>
                <c:pt idx="4876">
                  <c:v>0.97533148365461531</c:v>
                </c:pt>
                <c:pt idx="4877">
                  <c:v>0.97551708940917559</c:v>
                </c:pt>
                <c:pt idx="4878">
                  <c:v>0.97578803541101244</c:v>
                </c:pt>
                <c:pt idx="4879">
                  <c:v>0.97582938861279511</c:v>
                </c:pt>
                <c:pt idx="4880">
                  <c:v>0.97619872888121717</c:v>
                </c:pt>
                <c:pt idx="4881">
                  <c:v>0.97634485948009986</c:v>
                </c:pt>
                <c:pt idx="4882">
                  <c:v>0.97650154431632286</c:v>
                </c:pt>
                <c:pt idx="4883">
                  <c:v>0.97664836080433992</c:v>
                </c:pt>
                <c:pt idx="4884">
                  <c:v>0.9769921867134963</c:v>
                </c:pt>
                <c:pt idx="4885">
                  <c:v>0.97707927494307023</c:v>
                </c:pt>
                <c:pt idx="4886">
                  <c:v>0.97728230924529069</c:v>
                </c:pt>
                <c:pt idx="4887">
                  <c:v>0.97742044800343464</c:v>
                </c:pt>
                <c:pt idx="4888">
                  <c:v>0.97773464173128233</c:v>
                </c:pt>
                <c:pt idx="4889">
                  <c:v>0.97788641183620473</c:v>
                </c:pt>
                <c:pt idx="4890">
                  <c:v>0.97800469939187273</c:v>
                </c:pt>
                <c:pt idx="4891">
                  <c:v>0.97831235838935537</c:v>
                </c:pt>
                <c:pt idx="4892">
                  <c:v>0.97852956796221657</c:v>
                </c:pt>
                <c:pt idx="4893">
                  <c:v>0.97864119262803384</c:v>
                </c:pt>
                <c:pt idx="4894">
                  <c:v>0.97894584853135658</c:v>
                </c:pt>
                <c:pt idx="4895">
                  <c:v>0.97903657733812854</c:v>
                </c:pt>
                <c:pt idx="4896">
                  <c:v>0.97922781046555096</c:v>
                </c:pt>
                <c:pt idx="4897">
                  <c:v>0.97944943064536183</c:v>
                </c:pt>
                <c:pt idx="4898">
                  <c:v>0.9797222053114143</c:v>
                </c:pt>
                <c:pt idx="4899">
                  <c:v>0.97984966169396648</c:v>
                </c:pt>
                <c:pt idx="4900">
                  <c:v>0.98002225228208628</c:v>
                </c:pt>
                <c:pt idx="4901">
                  <c:v>0.98035580277986722</c:v>
                </c:pt>
                <c:pt idx="4902">
                  <c:v>0.98048618388098807</c:v>
                </c:pt>
                <c:pt idx="4903">
                  <c:v>0.98070254512133592</c:v>
                </c:pt>
                <c:pt idx="4904">
                  <c:v>0.9808456588586898</c:v>
                </c:pt>
                <c:pt idx="4905">
                  <c:v>0.98103794768877284</c:v>
                </c:pt>
                <c:pt idx="4906">
                  <c:v>0.98138665128596747</c:v>
                </c:pt>
                <c:pt idx="4907">
                  <c:v>0.98140124872089396</c:v>
                </c:pt>
                <c:pt idx="4908">
                  <c:v>0.98169285963864372</c:v>
                </c:pt>
                <c:pt idx="4909">
                  <c:v>0.9819041574484445</c:v>
                </c:pt>
                <c:pt idx="4910">
                  <c:v>0.98214495795493606</c:v>
                </c:pt>
                <c:pt idx="4911">
                  <c:v>0.98225712321173797</c:v>
                </c:pt>
                <c:pt idx="4912">
                  <c:v>0.9824523644622537</c:v>
                </c:pt>
                <c:pt idx="4913">
                  <c:v>0.98269232226304992</c:v>
                </c:pt>
                <c:pt idx="4914">
                  <c:v>0.98295667844041179</c:v>
                </c:pt>
                <c:pt idx="4915">
                  <c:v>0.9830914097523995</c:v>
                </c:pt>
                <c:pt idx="4916">
                  <c:v>0.98324736070489693</c:v>
                </c:pt>
                <c:pt idx="4917">
                  <c:v>0.98342712053452319</c:v>
                </c:pt>
                <c:pt idx="4918">
                  <c:v>0.98364975274672029</c:v>
                </c:pt>
                <c:pt idx="4919">
                  <c:v>0.98395172689574573</c:v>
                </c:pt>
                <c:pt idx="4920">
                  <c:v>0.9840715505564287</c:v>
                </c:pt>
                <c:pt idx="4921">
                  <c:v>0.98426937674015513</c:v>
                </c:pt>
                <c:pt idx="4922">
                  <c:v>0.98453050126976582</c:v>
                </c:pt>
                <c:pt idx="4923">
                  <c:v>0.98478042787108111</c:v>
                </c:pt>
                <c:pt idx="4924">
                  <c:v>0.98490800372099219</c:v>
                </c:pt>
                <c:pt idx="4925">
                  <c:v>0.98509272971411532</c:v>
                </c:pt>
                <c:pt idx="4926">
                  <c:v>0.98529667829119061</c:v>
                </c:pt>
                <c:pt idx="4927">
                  <c:v>0.98543575251717952</c:v>
                </c:pt>
                <c:pt idx="4928">
                  <c:v>0.98571144064560334</c:v>
                </c:pt>
                <c:pt idx="4929">
                  <c:v>0.98591906096351301</c:v>
                </c:pt>
                <c:pt idx="4930">
                  <c:v>0.98618417502329325</c:v>
                </c:pt>
                <c:pt idx="4931">
                  <c:v>0.98630227017232741</c:v>
                </c:pt>
                <c:pt idx="4932">
                  <c:v>0.98657465634899566</c:v>
                </c:pt>
                <c:pt idx="4933">
                  <c:v>0.98662347470857747</c:v>
                </c:pt>
                <c:pt idx="4934">
                  <c:v>0.98683360516541485</c:v>
                </c:pt>
                <c:pt idx="4935">
                  <c:v>0.98718410709923698</c:v>
                </c:pt>
                <c:pt idx="4936">
                  <c:v>0.98727190066731341</c:v>
                </c:pt>
                <c:pt idx="4937">
                  <c:v>0.987424169552099</c:v>
                </c:pt>
                <c:pt idx="4938">
                  <c:v>0.98778755733105061</c:v>
                </c:pt>
                <c:pt idx="4939">
                  <c:v>0.9878307071362693</c:v>
                </c:pt>
                <c:pt idx="4940">
                  <c:v>0.98816280449884075</c:v>
                </c:pt>
                <c:pt idx="4941">
                  <c:v>0.98822034516358292</c:v>
                </c:pt>
                <c:pt idx="4942">
                  <c:v>0.98857955451299895</c:v>
                </c:pt>
                <c:pt idx="4943">
                  <c:v>0.98868964376130375</c:v>
                </c:pt>
                <c:pt idx="4944">
                  <c:v>0.98882280647587562</c:v>
                </c:pt>
                <c:pt idx="4945">
                  <c:v>0.98910589256428794</c:v>
                </c:pt>
                <c:pt idx="4946">
                  <c:v>0.98920034355497921</c:v>
                </c:pt>
                <c:pt idx="4947">
                  <c:v>0.989416166713046</c:v>
                </c:pt>
                <c:pt idx="4948">
                  <c:v>0.98968042411480106</c:v>
                </c:pt>
                <c:pt idx="4949">
                  <c:v>0.98996572159453422</c:v>
                </c:pt>
                <c:pt idx="4950">
                  <c:v>0.99004828721136984</c:v>
                </c:pt>
                <c:pt idx="4951">
                  <c:v>0.99022952043233203</c:v>
                </c:pt>
                <c:pt idx="4952">
                  <c:v>0.99040222383118293</c:v>
                </c:pt>
                <c:pt idx="4953">
                  <c:v>0.99069427832683887</c:v>
                </c:pt>
                <c:pt idx="4954">
                  <c:v>0.99085758329039852</c:v>
                </c:pt>
                <c:pt idx="4955">
                  <c:v>0.99108919463960665</c:v>
                </c:pt>
                <c:pt idx="4956">
                  <c:v>0.99127806855483869</c:v>
                </c:pt>
                <c:pt idx="4957">
                  <c:v>0.9915246914850373</c:v>
                </c:pt>
                <c:pt idx="4958">
                  <c:v>0.99161694634999553</c:v>
                </c:pt>
                <c:pt idx="4959">
                  <c:v>0.99194566135875539</c:v>
                </c:pt>
                <c:pt idx="4960">
                  <c:v>0.99215285130034969</c:v>
                </c:pt>
                <c:pt idx="4961">
                  <c:v>0.99233777646574595</c:v>
                </c:pt>
                <c:pt idx="4962">
                  <c:v>0.99258654881752717</c:v>
                </c:pt>
                <c:pt idx="4963">
                  <c:v>0.99276219449251946</c:v>
                </c:pt>
                <c:pt idx="4964">
                  <c:v>0.99284234450283515</c:v>
                </c:pt>
                <c:pt idx="4965">
                  <c:v>0.99304355597385296</c:v>
                </c:pt>
                <c:pt idx="4966">
                  <c:v>0.99332354755865493</c:v>
                </c:pt>
                <c:pt idx="4967">
                  <c:v>0.99359461679439864</c:v>
                </c:pt>
                <c:pt idx="4968">
                  <c:v>0.99377660885638941</c:v>
                </c:pt>
                <c:pt idx="4969">
                  <c:v>0.99380861582737612</c:v>
                </c:pt>
                <c:pt idx="4970">
                  <c:v>0.99404699588414447</c:v>
                </c:pt>
                <c:pt idx="4971">
                  <c:v>0.99428745573258204</c:v>
                </c:pt>
                <c:pt idx="4972">
                  <c:v>0.99452161421624985</c:v>
                </c:pt>
                <c:pt idx="4973">
                  <c:v>0.99478847897764955</c:v>
                </c:pt>
                <c:pt idx="4974">
                  <c:v>0.99495259350769971</c:v>
                </c:pt>
                <c:pt idx="4975">
                  <c:v>0.99509542766038683</c:v>
                </c:pt>
                <c:pt idx="4976">
                  <c:v>0.99525846767296511</c:v>
                </c:pt>
                <c:pt idx="4977">
                  <c:v>0.99546508255411514</c:v>
                </c:pt>
                <c:pt idx="4978">
                  <c:v>0.99574801945890012</c:v>
                </c:pt>
                <c:pt idx="4979">
                  <c:v>0.99589482495651915</c:v>
                </c:pt>
                <c:pt idx="4980">
                  <c:v>0.9961419988719612</c:v>
                </c:pt>
                <c:pt idx="4981">
                  <c:v>0.99628648588496416</c:v>
                </c:pt>
                <c:pt idx="4982">
                  <c:v>0.99646809933415337</c:v>
                </c:pt>
                <c:pt idx="4983">
                  <c:v>0.9967671531529555</c:v>
                </c:pt>
                <c:pt idx="4984">
                  <c:v>0.99691855479509539</c:v>
                </c:pt>
                <c:pt idx="4985">
                  <c:v>0.99714871234822744</c:v>
                </c:pt>
                <c:pt idx="4986">
                  <c:v>0.99720397446602671</c:v>
                </c:pt>
                <c:pt idx="4987">
                  <c:v>0.99754741484377241</c:v>
                </c:pt>
                <c:pt idx="4988">
                  <c:v>0.99769420739041981</c:v>
                </c:pt>
                <c:pt idx="4989">
                  <c:v>0.99787325605984623</c:v>
                </c:pt>
                <c:pt idx="4990">
                  <c:v>0.99805083355364643</c:v>
                </c:pt>
                <c:pt idx="4991">
                  <c:v>0.99837087968461469</c:v>
                </c:pt>
                <c:pt idx="4992">
                  <c:v>0.99843180470127424</c:v>
                </c:pt>
                <c:pt idx="4993">
                  <c:v>0.99867768504644683</c:v>
                </c:pt>
                <c:pt idx="4994">
                  <c:v>0.99883887859728171</c:v>
                </c:pt>
                <c:pt idx="4995">
                  <c:v>0.99915828955559027</c:v>
                </c:pt>
                <c:pt idx="4996">
                  <c:v>0.9993497651514015</c:v>
                </c:pt>
                <c:pt idx="4997">
                  <c:v>0.99957717811311064</c:v>
                </c:pt>
                <c:pt idx="4998">
                  <c:v>0.99971750882373123</c:v>
                </c:pt>
                <c:pt idx="4999">
                  <c:v>0.99984674193962642</c:v>
                </c:pt>
              </c:numCache>
            </c:numRef>
          </c:xVal>
          <c:yVal>
            <c:numRef>
              <c:f>SimData5000!$I$5009:$I$10008</c:f>
              <c:numCache>
                <c:formatCode>General</c:formatCode>
                <c:ptCount val="5000"/>
                <c:pt idx="0">
                  <c:v>0</c:v>
                </c:pt>
                <c:pt idx="1">
                  <c:v>2.0004000800160032E-4</c:v>
                </c:pt>
                <c:pt idx="2">
                  <c:v>4.0008001600320064E-4</c:v>
                </c:pt>
                <c:pt idx="3">
                  <c:v>6.0012002400480096E-4</c:v>
                </c:pt>
                <c:pt idx="4">
                  <c:v>8.0016003200640128E-4</c:v>
                </c:pt>
                <c:pt idx="5">
                  <c:v>1.0002000400080016E-3</c:v>
                </c:pt>
                <c:pt idx="6">
                  <c:v>1.2002400480096019E-3</c:v>
                </c:pt>
                <c:pt idx="7">
                  <c:v>1.4002800560112022E-3</c:v>
                </c:pt>
                <c:pt idx="8">
                  <c:v>1.6003200640128026E-3</c:v>
                </c:pt>
                <c:pt idx="9">
                  <c:v>1.8003600720144029E-3</c:v>
                </c:pt>
                <c:pt idx="10">
                  <c:v>2.0004000800160032E-3</c:v>
                </c:pt>
                <c:pt idx="11">
                  <c:v>2.2004400880176033E-3</c:v>
                </c:pt>
                <c:pt idx="12">
                  <c:v>2.4004800960192038E-3</c:v>
                </c:pt>
                <c:pt idx="13">
                  <c:v>2.6005201040208044E-3</c:v>
                </c:pt>
                <c:pt idx="14">
                  <c:v>2.8005601120224049E-3</c:v>
                </c:pt>
                <c:pt idx="15">
                  <c:v>3.0006001200240055E-3</c:v>
                </c:pt>
                <c:pt idx="16">
                  <c:v>3.200640128025606E-3</c:v>
                </c:pt>
                <c:pt idx="17">
                  <c:v>3.4006801360272065E-3</c:v>
                </c:pt>
                <c:pt idx="18">
                  <c:v>3.6007201440288071E-3</c:v>
                </c:pt>
                <c:pt idx="19">
                  <c:v>3.8007601520304076E-3</c:v>
                </c:pt>
                <c:pt idx="20">
                  <c:v>4.0008001600320081E-3</c:v>
                </c:pt>
                <c:pt idx="21">
                  <c:v>4.2008401680336087E-3</c:v>
                </c:pt>
                <c:pt idx="22">
                  <c:v>4.4008801760352092E-3</c:v>
                </c:pt>
                <c:pt idx="23">
                  <c:v>4.6009201840368098E-3</c:v>
                </c:pt>
                <c:pt idx="24">
                  <c:v>4.8009601920384103E-3</c:v>
                </c:pt>
                <c:pt idx="25">
                  <c:v>5.0010002000400108E-3</c:v>
                </c:pt>
                <c:pt idx="26">
                  <c:v>5.2010402080416114E-3</c:v>
                </c:pt>
                <c:pt idx="27">
                  <c:v>5.4010802160432119E-3</c:v>
                </c:pt>
                <c:pt idx="28">
                  <c:v>5.6011202240448124E-3</c:v>
                </c:pt>
                <c:pt idx="29">
                  <c:v>5.801160232046413E-3</c:v>
                </c:pt>
                <c:pt idx="30">
                  <c:v>6.0012002400480135E-3</c:v>
                </c:pt>
                <c:pt idx="31">
                  <c:v>6.2012402480496141E-3</c:v>
                </c:pt>
                <c:pt idx="32">
                  <c:v>6.4012802560512146E-3</c:v>
                </c:pt>
                <c:pt idx="33">
                  <c:v>6.6013202640528151E-3</c:v>
                </c:pt>
                <c:pt idx="34">
                  <c:v>6.8013602720544157E-3</c:v>
                </c:pt>
                <c:pt idx="35">
                  <c:v>7.0014002800560162E-3</c:v>
                </c:pt>
                <c:pt idx="36">
                  <c:v>7.2014402880576167E-3</c:v>
                </c:pt>
                <c:pt idx="37">
                  <c:v>7.4014802960592173E-3</c:v>
                </c:pt>
                <c:pt idx="38">
                  <c:v>7.6015203040608178E-3</c:v>
                </c:pt>
                <c:pt idx="39">
                  <c:v>7.8015603120624184E-3</c:v>
                </c:pt>
                <c:pt idx="40">
                  <c:v>8.001600320064018E-3</c:v>
                </c:pt>
                <c:pt idx="41">
                  <c:v>8.2016403280656177E-3</c:v>
                </c:pt>
                <c:pt idx="42">
                  <c:v>8.4016803360672174E-3</c:v>
                </c:pt>
                <c:pt idx="43">
                  <c:v>8.601720344068817E-3</c:v>
                </c:pt>
                <c:pt idx="44">
                  <c:v>8.8017603520704167E-3</c:v>
                </c:pt>
                <c:pt idx="45">
                  <c:v>9.0018003600720164E-3</c:v>
                </c:pt>
                <c:pt idx="46">
                  <c:v>9.201840368073616E-3</c:v>
                </c:pt>
                <c:pt idx="47">
                  <c:v>9.4018803760752157E-3</c:v>
                </c:pt>
                <c:pt idx="48">
                  <c:v>9.6019203840768154E-3</c:v>
                </c:pt>
                <c:pt idx="49">
                  <c:v>9.8019603920784151E-3</c:v>
                </c:pt>
                <c:pt idx="50">
                  <c:v>1.0002000400080015E-2</c:v>
                </c:pt>
                <c:pt idx="51">
                  <c:v>1.0202040408081614E-2</c:v>
                </c:pt>
                <c:pt idx="52">
                  <c:v>1.0402080416083214E-2</c:v>
                </c:pt>
                <c:pt idx="53">
                  <c:v>1.0602120424084814E-2</c:v>
                </c:pt>
                <c:pt idx="54">
                  <c:v>1.0802160432086413E-2</c:v>
                </c:pt>
                <c:pt idx="55">
                  <c:v>1.1002200440088013E-2</c:v>
                </c:pt>
                <c:pt idx="56">
                  <c:v>1.1202240448089613E-2</c:v>
                </c:pt>
                <c:pt idx="57">
                  <c:v>1.1402280456091212E-2</c:v>
                </c:pt>
                <c:pt idx="58">
                  <c:v>1.1602320464092812E-2</c:v>
                </c:pt>
                <c:pt idx="59">
                  <c:v>1.1802360472094412E-2</c:v>
                </c:pt>
                <c:pt idx="60">
                  <c:v>1.2002400480096011E-2</c:v>
                </c:pt>
                <c:pt idx="61">
                  <c:v>1.2202440488097611E-2</c:v>
                </c:pt>
                <c:pt idx="62">
                  <c:v>1.2402480496099211E-2</c:v>
                </c:pt>
                <c:pt idx="63">
                  <c:v>1.260252050410081E-2</c:v>
                </c:pt>
                <c:pt idx="64">
                  <c:v>1.280256051210241E-2</c:v>
                </c:pt>
                <c:pt idx="65">
                  <c:v>1.300260052010401E-2</c:v>
                </c:pt>
                <c:pt idx="66">
                  <c:v>1.3202640528105609E-2</c:v>
                </c:pt>
                <c:pt idx="67">
                  <c:v>1.3402680536107209E-2</c:v>
                </c:pt>
                <c:pt idx="68">
                  <c:v>1.3602720544108809E-2</c:v>
                </c:pt>
                <c:pt idx="69">
                  <c:v>1.3802760552110408E-2</c:v>
                </c:pt>
                <c:pt idx="70">
                  <c:v>1.4002800560112008E-2</c:v>
                </c:pt>
                <c:pt idx="71">
                  <c:v>1.4202840568113608E-2</c:v>
                </c:pt>
                <c:pt idx="72">
                  <c:v>1.4402880576115207E-2</c:v>
                </c:pt>
                <c:pt idx="73">
                  <c:v>1.4602920584116807E-2</c:v>
                </c:pt>
                <c:pt idx="74">
                  <c:v>1.4802960592118407E-2</c:v>
                </c:pt>
                <c:pt idx="75">
                  <c:v>1.5003000600120006E-2</c:v>
                </c:pt>
                <c:pt idx="76">
                  <c:v>1.5203040608121606E-2</c:v>
                </c:pt>
                <c:pt idx="77">
                  <c:v>1.5403080616123206E-2</c:v>
                </c:pt>
                <c:pt idx="78">
                  <c:v>1.5603120624124805E-2</c:v>
                </c:pt>
                <c:pt idx="79">
                  <c:v>1.5803160632126407E-2</c:v>
                </c:pt>
                <c:pt idx="80">
                  <c:v>1.6003200640128008E-2</c:v>
                </c:pt>
                <c:pt idx="81">
                  <c:v>1.620324064812961E-2</c:v>
                </c:pt>
                <c:pt idx="82">
                  <c:v>1.6403280656131211E-2</c:v>
                </c:pt>
                <c:pt idx="83">
                  <c:v>1.6603320664132813E-2</c:v>
                </c:pt>
                <c:pt idx="84">
                  <c:v>1.6803360672134414E-2</c:v>
                </c:pt>
                <c:pt idx="85">
                  <c:v>1.7003400680136015E-2</c:v>
                </c:pt>
                <c:pt idx="86">
                  <c:v>1.7203440688137617E-2</c:v>
                </c:pt>
                <c:pt idx="87">
                  <c:v>1.7403480696139218E-2</c:v>
                </c:pt>
                <c:pt idx="88">
                  <c:v>1.760352070414082E-2</c:v>
                </c:pt>
                <c:pt idx="89">
                  <c:v>1.7803560712142421E-2</c:v>
                </c:pt>
                <c:pt idx="90">
                  <c:v>1.8003600720144022E-2</c:v>
                </c:pt>
                <c:pt idx="91">
                  <c:v>1.8203640728145624E-2</c:v>
                </c:pt>
                <c:pt idx="92">
                  <c:v>1.8403680736147225E-2</c:v>
                </c:pt>
                <c:pt idx="93">
                  <c:v>1.8603720744148827E-2</c:v>
                </c:pt>
                <c:pt idx="94">
                  <c:v>1.8803760752150428E-2</c:v>
                </c:pt>
                <c:pt idx="95">
                  <c:v>1.9003800760152029E-2</c:v>
                </c:pt>
                <c:pt idx="96">
                  <c:v>1.9203840768153631E-2</c:v>
                </c:pt>
                <c:pt idx="97">
                  <c:v>1.9403880776155232E-2</c:v>
                </c:pt>
                <c:pt idx="98">
                  <c:v>1.9603920784156834E-2</c:v>
                </c:pt>
                <c:pt idx="99">
                  <c:v>1.9803960792158435E-2</c:v>
                </c:pt>
                <c:pt idx="100">
                  <c:v>2.0004000800160036E-2</c:v>
                </c:pt>
                <c:pt idx="101">
                  <c:v>2.0204040808161638E-2</c:v>
                </c:pt>
                <c:pt idx="102">
                  <c:v>2.0404080816163239E-2</c:v>
                </c:pt>
                <c:pt idx="103">
                  <c:v>2.0604120824164841E-2</c:v>
                </c:pt>
                <c:pt idx="104">
                  <c:v>2.0804160832166442E-2</c:v>
                </c:pt>
                <c:pt idx="105">
                  <c:v>2.1004200840168043E-2</c:v>
                </c:pt>
                <c:pt idx="106">
                  <c:v>2.1204240848169645E-2</c:v>
                </c:pt>
                <c:pt idx="107">
                  <c:v>2.1404280856171246E-2</c:v>
                </c:pt>
                <c:pt idx="108">
                  <c:v>2.1604320864172848E-2</c:v>
                </c:pt>
                <c:pt idx="109">
                  <c:v>2.1804360872174449E-2</c:v>
                </c:pt>
                <c:pt idx="110">
                  <c:v>2.200440088017605E-2</c:v>
                </c:pt>
                <c:pt idx="111">
                  <c:v>2.2204440888177652E-2</c:v>
                </c:pt>
                <c:pt idx="112">
                  <c:v>2.2404480896179253E-2</c:v>
                </c:pt>
                <c:pt idx="113">
                  <c:v>2.2604520904180855E-2</c:v>
                </c:pt>
                <c:pt idx="114">
                  <c:v>2.2804560912182456E-2</c:v>
                </c:pt>
                <c:pt idx="115">
                  <c:v>2.3004600920184057E-2</c:v>
                </c:pt>
                <c:pt idx="116">
                  <c:v>2.3204640928185659E-2</c:v>
                </c:pt>
                <c:pt idx="117">
                  <c:v>2.340468093618726E-2</c:v>
                </c:pt>
                <c:pt idx="118">
                  <c:v>2.3604720944188862E-2</c:v>
                </c:pt>
                <c:pt idx="119">
                  <c:v>2.3804760952190463E-2</c:v>
                </c:pt>
                <c:pt idx="120">
                  <c:v>2.4004800960192064E-2</c:v>
                </c:pt>
                <c:pt idx="121">
                  <c:v>2.4204840968193666E-2</c:v>
                </c:pt>
                <c:pt idx="122">
                  <c:v>2.4404880976195267E-2</c:v>
                </c:pt>
                <c:pt idx="123">
                  <c:v>2.4604920984196869E-2</c:v>
                </c:pt>
                <c:pt idx="124">
                  <c:v>2.480496099219847E-2</c:v>
                </c:pt>
                <c:pt idx="125">
                  <c:v>2.5005001000200072E-2</c:v>
                </c:pt>
                <c:pt idx="126">
                  <c:v>2.5205041008201673E-2</c:v>
                </c:pt>
                <c:pt idx="127">
                  <c:v>2.5405081016203274E-2</c:v>
                </c:pt>
                <c:pt idx="128">
                  <c:v>2.5605121024204876E-2</c:v>
                </c:pt>
                <c:pt idx="129">
                  <c:v>2.5805161032206477E-2</c:v>
                </c:pt>
                <c:pt idx="130">
                  <c:v>2.6005201040208079E-2</c:v>
                </c:pt>
                <c:pt idx="131">
                  <c:v>2.620524104820968E-2</c:v>
                </c:pt>
                <c:pt idx="132">
                  <c:v>2.6405281056211281E-2</c:v>
                </c:pt>
                <c:pt idx="133">
                  <c:v>2.6605321064212883E-2</c:v>
                </c:pt>
                <c:pt idx="134">
                  <c:v>2.6805361072214484E-2</c:v>
                </c:pt>
                <c:pt idx="135">
                  <c:v>2.7005401080216086E-2</c:v>
                </c:pt>
                <c:pt idx="136">
                  <c:v>2.7205441088217687E-2</c:v>
                </c:pt>
                <c:pt idx="137">
                  <c:v>2.7405481096219288E-2</c:v>
                </c:pt>
                <c:pt idx="138">
                  <c:v>2.760552110422089E-2</c:v>
                </c:pt>
                <c:pt idx="139">
                  <c:v>2.7805561112222491E-2</c:v>
                </c:pt>
                <c:pt idx="140">
                  <c:v>2.8005601120224093E-2</c:v>
                </c:pt>
                <c:pt idx="141">
                  <c:v>2.8205641128225694E-2</c:v>
                </c:pt>
                <c:pt idx="142">
                  <c:v>2.8405681136227295E-2</c:v>
                </c:pt>
                <c:pt idx="143">
                  <c:v>2.8605721144228897E-2</c:v>
                </c:pt>
                <c:pt idx="144">
                  <c:v>2.8805761152230498E-2</c:v>
                </c:pt>
                <c:pt idx="145">
                  <c:v>2.90058011602321E-2</c:v>
                </c:pt>
                <c:pt idx="146">
                  <c:v>2.9205841168233701E-2</c:v>
                </c:pt>
                <c:pt idx="147">
                  <c:v>2.9405881176235302E-2</c:v>
                </c:pt>
                <c:pt idx="148">
                  <c:v>2.9605921184236904E-2</c:v>
                </c:pt>
                <c:pt idx="149">
                  <c:v>2.9805961192238505E-2</c:v>
                </c:pt>
                <c:pt idx="150">
                  <c:v>3.0006001200240107E-2</c:v>
                </c:pt>
                <c:pt idx="151">
                  <c:v>3.0206041208241708E-2</c:v>
                </c:pt>
                <c:pt idx="152">
                  <c:v>3.0406081216243309E-2</c:v>
                </c:pt>
                <c:pt idx="153">
                  <c:v>3.0606121224244911E-2</c:v>
                </c:pt>
                <c:pt idx="154">
                  <c:v>3.0806161232246512E-2</c:v>
                </c:pt>
                <c:pt idx="155">
                  <c:v>3.1006201240248114E-2</c:v>
                </c:pt>
                <c:pt idx="156">
                  <c:v>3.1206241248249715E-2</c:v>
                </c:pt>
                <c:pt idx="157">
                  <c:v>3.1406281256251313E-2</c:v>
                </c:pt>
                <c:pt idx="158">
                  <c:v>3.1606321264252911E-2</c:v>
                </c:pt>
                <c:pt idx="159">
                  <c:v>3.1806361272254509E-2</c:v>
                </c:pt>
                <c:pt idx="160">
                  <c:v>3.2006401280256107E-2</c:v>
                </c:pt>
                <c:pt idx="161">
                  <c:v>3.2206441288257705E-2</c:v>
                </c:pt>
                <c:pt idx="162">
                  <c:v>3.2406481296259303E-2</c:v>
                </c:pt>
                <c:pt idx="163">
                  <c:v>3.2606521304260901E-2</c:v>
                </c:pt>
                <c:pt idx="164">
                  <c:v>3.2806561312262499E-2</c:v>
                </c:pt>
                <c:pt idx="165">
                  <c:v>3.3006601320264096E-2</c:v>
                </c:pt>
                <c:pt idx="166">
                  <c:v>3.3206641328265694E-2</c:v>
                </c:pt>
                <c:pt idx="167">
                  <c:v>3.3406681336267292E-2</c:v>
                </c:pt>
                <c:pt idx="168">
                  <c:v>3.360672134426889E-2</c:v>
                </c:pt>
                <c:pt idx="169">
                  <c:v>3.3806761352270488E-2</c:v>
                </c:pt>
                <c:pt idx="170">
                  <c:v>3.4006801360272086E-2</c:v>
                </c:pt>
                <c:pt idx="171">
                  <c:v>3.4206841368273684E-2</c:v>
                </c:pt>
                <c:pt idx="172">
                  <c:v>3.4406881376275282E-2</c:v>
                </c:pt>
                <c:pt idx="173">
                  <c:v>3.460692138427688E-2</c:v>
                </c:pt>
                <c:pt idx="174">
                  <c:v>3.4806961392278478E-2</c:v>
                </c:pt>
                <c:pt idx="175">
                  <c:v>3.5007001400280076E-2</c:v>
                </c:pt>
                <c:pt idx="176">
                  <c:v>3.5207041408281674E-2</c:v>
                </c:pt>
                <c:pt idx="177">
                  <c:v>3.5407081416283272E-2</c:v>
                </c:pt>
                <c:pt idx="178">
                  <c:v>3.560712142428487E-2</c:v>
                </c:pt>
                <c:pt idx="179">
                  <c:v>3.5807161432286468E-2</c:v>
                </c:pt>
                <c:pt idx="180">
                  <c:v>3.6007201440288066E-2</c:v>
                </c:pt>
                <c:pt idx="181">
                  <c:v>3.6207241448289663E-2</c:v>
                </c:pt>
                <c:pt idx="182">
                  <c:v>3.6407281456291261E-2</c:v>
                </c:pt>
                <c:pt idx="183">
                  <c:v>3.6607321464292859E-2</c:v>
                </c:pt>
                <c:pt idx="184">
                  <c:v>3.6807361472294457E-2</c:v>
                </c:pt>
                <c:pt idx="185">
                  <c:v>3.7007401480296055E-2</c:v>
                </c:pt>
                <c:pt idx="186">
                  <c:v>3.7207441488297653E-2</c:v>
                </c:pt>
                <c:pt idx="187">
                  <c:v>3.7407481496299251E-2</c:v>
                </c:pt>
                <c:pt idx="188">
                  <c:v>3.7607521504300849E-2</c:v>
                </c:pt>
                <c:pt idx="189">
                  <c:v>3.7807561512302447E-2</c:v>
                </c:pt>
                <c:pt idx="190">
                  <c:v>3.8007601520304045E-2</c:v>
                </c:pt>
                <c:pt idx="191">
                  <c:v>3.8207641528305643E-2</c:v>
                </c:pt>
                <c:pt idx="192">
                  <c:v>3.8407681536307241E-2</c:v>
                </c:pt>
                <c:pt idx="193">
                  <c:v>3.8607721544308839E-2</c:v>
                </c:pt>
                <c:pt idx="194">
                  <c:v>3.8807761552310437E-2</c:v>
                </c:pt>
                <c:pt idx="195">
                  <c:v>3.9007801560312035E-2</c:v>
                </c:pt>
                <c:pt idx="196">
                  <c:v>3.9207841568313632E-2</c:v>
                </c:pt>
                <c:pt idx="197">
                  <c:v>3.940788157631523E-2</c:v>
                </c:pt>
                <c:pt idx="198">
                  <c:v>3.9607921584316828E-2</c:v>
                </c:pt>
                <c:pt idx="199">
                  <c:v>3.9807961592318426E-2</c:v>
                </c:pt>
                <c:pt idx="200">
                  <c:v>4.0008001600320024E-2</c:v>
                </c:pt>
                <c:pt idx="201">
                  <c:v>4.0208041608321622E-2</c:v>
                </c:pt>
                <c:pt idx="202">
                  <c:v>4.040808161632322E-2</c:v>
                </c:pt>
                <c:pt idx="203">
                  <c:v>4.0608121624324818E-2</c:v>
                </c:pt>
                <c:pt idx="204">
                  <c:v>4.0808161632326416E-2</c:v>
                </c:pt>
                <c:pt idx="205">
                  <c:v>4.1008201640328014E-2</c:v>
                </c:pt>
                <c:pt idx="206">
                  <c:v>4.1208241648329612E-2</c:v>
                </c:pt>
                <c:pt idx="207">
                  <c:v>4.140828165633121E-2</c:v>
                </c:pt>
                <c:pt idx="208">
                  <c:v>4.1608321664332808E-2</c:v>
                </c:pt>
                <c:pt idx="209">
                  <c:v>4.1808361672334406E-2</c:v>
                </c:pt>
                <c:pt idx="210">
                  <c:v>4.2008401680336004E-2</c:v>
                </c:pt>
                <c:pt idx="211">
                  <c:v>4.2208441688337602E-2</c:v>
                </c:pt>
                <c:pt idx="212">
                  <c:v>4.2408481696339199E-2</c:v>
                </c:pt>
                <c:pt idx="213">
                  <c:v>4.2608521704340797E-2</c:v>
                </c:pt>
                <c:pt idx="214">
                  <c:v>4.2808561712342395E-2</c:v>
                </c:pt>
                <c:pt idx="215">
                  <c:v>4.3008601720343993E-2</c:v>
                </c:pt>
                <c:pt idx="216">
                  <c:v>4.3208641728345591E-2</c:v>
                </c:pt>
                <c:pt idx="217">
                  <c:v>4.3408681736347189E-2</c:v>
                </c:pt>
                <c:pt idx="218">
                  <c:v>4.3608721744348787E-2</c:v>
                </c:pt>
                <c:pt idx="219">
                  <c:v>4.3808761752350385E-2</c:v>
                </c:pt>
                <c:pt idx="220">
                  <c:v>4.4008801760351983E-2</c:v>
                </c:pt>
                <c:pt idx="221">
                  <c:v>4.4208841768353581E-2</c:v>
                </c:pt>
                <c:pt idx="222">
                  <c:v>4.4408881776355179E-2</c:v>
                </c:pt>
                <c:pt idx="223">
                  <c:v>4.4608921784356777E-2</c:v>
                </c:pt>
                <c:pt idx="224">
                  <c:v>4.4808961792358375E-2</c:v>
                </c:pt>
                <c:pt idx="225">
                  <c:v>4.5009001800359973E-2</c:v>
                </c:pt>
                <c:pt idx="226">
                  <c:v>4.5209041808361571E-2</c:v>
                </c:pt>
                <c:pt idx="227">
                  <c:v>4.5409081816363168E-2</c:v>
                </c:pt>
                <c:pt idx="228">
                  <c:v>4.5609121824364766E-2</c:v>
                </c:pt>
                <c:pt idx="229">
                  <c:v>4.5809161832366364E-2</c:v>
                </c:pt>
                <c:pt idx="230">
                  <c:v>4.6009201840367962E-2</c:v>
                </c:pt>
                <c:pt idx="231">
                  <c:v>4.620924184836956E-2</c:v>
                </c:pt>
                <c:pt idx="232">
                  <c:v>4.6409281856371158E-2</c:v>
                </c:pt>
                <c:pt idx="233">
                  <c:v>4.6609321864372756E-2</c:v>
                </c:pt>
                <c:pt idx="234">
                  <c:v>4.6809361872374354E-2</c:v>
                </c:pt>
                <c:pt idx="235">
                  <c:v>4.7009401880375952E-2</c:v>
                </c:pt>
                <c:pt idx="236">
                  <c:v>4.720944188837755E-2</c:v>
                </c:pt>
                <c:pt idx="237">
                  <c:v>4.7409481896379148E-2</c:v>
                </c:pt>
                <c:pt idx="238">
                  <c:v>4.7609521904380746E-2</c:v>
                </c:pt>
                <c:pt idx="239">
                  <c:v>4.7809561912382344E-2</c:v>
                </c:pt>
                <c:pt idx="240">
                  <c:v>4.8009601920383942E-2</c:v>
                </c:pt>
                <c:pt idx="241">
                  <c:v>4.820964192838554E-2</c:v>
                </c:pt>
                <c:pt idx="242">
                  <c:v>4.8409681936387138E-2</c:v>
                </c:pt>
                <c:pt idx="243">
                  <c:v>4.8609721944388735E-2</c:v>
                </c:pt>
                <c:pt idx="244">
                  <c:v>4.8809761952390333E-2</c:v>
                </c:pt>
                <c:pt idx="245">
                  <c:v>4.9009801960391931E-2</c:v>
                </c:pt>
                <c:pt idx="246">
                  <c:v>4.9209841968393529E-2</c:v>
                </c:pt>
                <c:pt idx="247">
                  <c:v>4.9409881976395127E-2</c:v>
                </c:pt>
                <c:pt idx="248">
                  <c:v>4.9609921984396725E-2</c:v>
                </c:pt>
                <c:pt idx="249">
                  <c:v>4.9809961992398323E-2</c:v>
                </c:pt>
                <c:pt idx="250">
                  <c:v>5.0010002000399921E-2</c:v>
                </c:pt>
                <c:pt idx="251">
                  <c:v>5.0210042008401519E-2</c:v>
                </c:pt>
                <c:pt idx="252">
                  <c:v>5.0410082016403117E-2</c:v>
                </c:pt>
                <c:pt idx="253">
                  <c:v>5.0610122024404715E-2</c:v>
                </c:pt>
                <c:pt idx="254">
                  <c:v>5.0810162032406313E-2</c:v>
                </c:pt>
                <c:pt idx="255">
                  <c:v>5.1010202040407911E-2</c:v>
                </c:pt>
                <c:pt idx="256">
                  <c:v>5.1210242048409509E-2</c:v>
                </c:pt>
                <c:pt idx="257">
                  <c:v>5.1410282056411107E-2</c:v>
                </c:pt>
                <c:pt idx="258">
                  <c:v>5.1610322064412704E-2</c:v>
                </c:pt>
                <c:pt idx="259">
                  <c:v>5.1810362072414302E-2</c:v>
                </c:pt>
                <c:pt idx="260">
                  <c:v>5.20104020804159E-2</c:v>
                </c:pt>
                <c:pt idx="261">
                  <c:v>5.2210442088417498E-2</c:v>
                </c:pt>
                <c:pt idx="262">
                  <c:v>5.2410482096419096E-2</c:v>
                </c:pt>
                <c:pt idx="263">
                  <c:v>5.2610522104420694E-2</c:v>
                </c:pt>
                <c:pt idx="264">
                  <c:v>5.2810562112422292E-2</c:v>
                </c:pt>
                <c:pt idx="265">
                  <c:v>5.301060212042389E-2</c:v>
                </c:pt>
                <c:pt idx="266">
                  <c:v>5.3210642128425488E-2</c:v>
                </c:pt>
                <c:pt idx="267">
                  <c:v>5.3410682136427086E-2</c:v>
                </c:pt>
                <c:pt idx="268">
                  <c:v>5.3610722144428684E-2</c:v>
                </c:pt>
                <c:pt idx="269">
                  <c:v>5.3810762152430282E-2</c:v>
                </c:pt>
                <c:pt idx="270">
                  <c:v>5.401080216043188E-2</c:v>
                </c:pt>
                <c:pt idx="271">
                  <c:v>5.4210842168433478E-2</c:v>
                </c:pt>
                <c:pt idx="272">
                  <c:v>5.4410882176435076E-2</c:v>
                </c:pt>
                <c:pt idx="273">
                  <c:v>5.4610922184436674E-2</c:v>
                </c:pt>
                <c:pt idx="274">
                  <c:v>5.4810962192438271E-2</c:v>
                </c:pt>
                <c:pt idx="275">
                  <c:v>5.5011002200439869E-2</c:v>
                </c:pt>
                <c:pt idx="276">
                  <c:v>5.5211042208441467E-2</c:v>
                </c:pt>
                <c:pt idx="277">
                  <c:v>5.5411082216443065E-2</c:v>
                </c:pt>
                <c:pt idx="278">
                  <c:v>5.5611122224444663E-2</c:v>
                </c:pt>
                <c:pt idx="279">
                  <c:v>5.5811162232446261E-2</c:v>
                </c:pt>
                <c:pt idx="280">
                  <c:v>5.6011202240447859E-2</c:v>
                </c:pt>
                <c:pt idx="281">
                  <c:v>5.6211242248449457E-2</c:v>
                </c:pt>
                <c:pt idx="282">
                  <c:v>5.6411282256451055E-2</c:v>
                </c:pt>
                <c:pt idx="283">
                  <c:v>5.6611322264452653E-2</c:v>
                </c:pt>
                <c:pt idx="284">
                  <c:v>5.6811362272454251E-2</c:v>
                </c:pt>
                <c:pt idx="285">
                  <c:v>5.7011402280455849E-2</c:v>
                </c:pt>
                <c:pt idx="286">
                  <c:v>5.7211442288457447E-2</c:v>
                </c:pt>
                <c:pt idx="287">
                  <c:v>5.7411482296459045E-2</c:v>
                </c:pt>
                <c:pt idx="288">
                  <c:v>5.7611522304460643E-2</c:v>
                </c:pt>
                <c:pt idx="289">
                  <c:v>5.781156231246224E-2</c:v>
                </c:pt>
                <c:pt idx="290">
                  <c:v>5.8011602320463838E-2</c:v>
                </c:pt>
                <c:pt idx="291">
                  <c:v>5.8211642328465436E-2</c:v>
                </c:pt>
                <c:pt idx="292">
                  <c:v>5.8411682336467034E-2</c:v>
                </c:pt>
                <c:pt idx="293">
                  <c:v>5.8611722344468632E-2</c:v>
                </c:pt>
                <c:pt idx="294">
                  <c:v>5.881176235247023E-2</c:v>
                </c:pt>
                <c:pt idx="295">
                  <c:v>5.9011802360471828E-2</c:v>
                </c:pt>
                <c:pt idx="296">
                  <c:v>5.9211842368473426E-2</c:v>
                </c:pt>
                <c:pt idx="297">
                  <c:v>5.9411882376475024E-2</c:v>
                </c:pt>
                <c:pt idx="298">
                  <c:v>5.9611922384476622E-2</c:v>
                </c:pt>
                <c:pt idx="299">
                  <c:v>5.981196239247822E-2</c:v>
                </c:pt>
                <c:pt idx="300">
                  <c:v>6.0012002400479818E-2</c:v>
                </c:pt>
                <c:pt idx="301">
                  <c:v>6.0212042408481416E-2</c:v>
                </c:pt>
                <c:pt idx="302">
                  <c:v>6.0412082416483014E-2</c:v>
                </c:pt>
                <c:pt idx="303">
                  <c:v>6.0612122424484612E-2</c:v>
                </c:pt>
                <c:pt idx="304">
                  <c:v>6.081216243248621E-2</c:v>
                </c:pt>
                <c:pt idx="305">
                  <c:v>6.1012202440487807E-2</c:v>
                </c:pt>
                <c:pt idx="306">
                  <c:v>6.1212242448489405E-2</c:v>
                </c:pt>
                <c:pt idx="307">
                  <c:v>6.1412282456491003E-2</c:v>
                </c:pt>
                <c:pt idx="308">
                  <c:v>6.1612322464492601E-2</c:v>
                </c:pt>
                <c:pt idx="309">
                  <c:v>6.1812362472494199E-2</c:v>
                </c:pt>
                <c:pt idx="310">
                  <c:v>6.2012402480495797E-2</c:v>
                </c:pt>
                <c:pt idx="311">
                  <c:v>6.2212442488497395E-2</c:v>
                </c:pt>
                <c:pt idx="312">
                  <c:v>6.2412482496498993E-2</c:v>
                </c:pt>
                <c:pt idx="313">
                  <c:v>6.2612522504500598E-2</c:v>
                </c:pt>
                <c:pt idx="314">
                  <c:v>6.2812562512502196E-2</c:v>
                </c:pt>
                <c:pt idx="315">
                  <c:v>6.3012602520503794E-2</c:v>
                </c:pt>
                <c:pt idx="316">
                  <c:v>6.3212642528505392E-2</c:v>
                </c:pt>
                <c:pt idx="317">
                  <c:v>6.341268253650699E-2</c:v>
                </c:pt>
                <c:pt idx="318">
                  <c:v>6.3612722544508588E-2</c:v>
                </c:pt>
                <c:pt idx="319">
                  <c:v>6.3812762552510185E-2</c:v>
                </c:pt>
                <c:pt idx="320">
                  <c:v>6.4012802560511783E-2</c:v>
                </c:pt>
                <c:pt idx="321">
                  <c:v>6.4212842568513381E-2</c:v>
                </c:pt>
                <c:pt idx="322">
                  <c:v>6.4412882576514979E-2</c:v>
                </c:pt>
                <c:pt idx="323">
                  <c:v>6.4612922584516577E-2</c:v>
                </c:pt>
                <c:pt idx="324">
                  <c:v>6.4812962592518175E-2</c:v>
                </c:pt>
                <c:pt idx="325">
                  <c:v>6.5013002600519773E-2</c:v>
                </c:pt>
                <c:pt idx="326">
                  <c:v>6.5213042608521371E-2</c:v>
                </c:pt>
                <c:pt idx="327">
                  <c:v>6.5413082616522969E-2</c:v>
                </c:pt>
                <c:pt idx="328">
                  <c:v>6.5613122624524567E-2</c:v>
                </c:pt>
                <c:pt idx="329">
                  <c:v>6.5813162632526165E-2</c:v>
                </c:pt>
                <c:pt idx="330">
                  <c:v>6.6013202640527763E-2</c:v>
                </c:pt>
                <c:pt idx="331">
                  <c:v>6.6213242648529361E-2</c:v>
                </c:pt>
                <c:pt idx="332">
                  <c:v>6.6413282656530959E-2</c:v>
                </c:pt>
                <c:pt idx="333">
                  <c:v>6.6613322664532557E-2</c:v>
                </c:pt>
                <c:pt idx="334">
                  <c:v>6.6813362672534155E-2</c:v>
                </c:pt>
                <c:pt idx="335">
                  <c:v>6.7013402680535752E-2</c:v>
                </c:pt>
                <c:pt idx="336">
                  <c:v>6.721344268853735E-2</c:v>
                </c:pt>
                <c:pt idx="337">
                  <c:v>6.7413482696538948E-2</c:v>
                </c:pt>
                <c:pt idx="338">
                  <c:v>6.7613522704540546E-2</c:v>
                </c:pt>
                <c:pt idx="339">
                  <c:v>6.7813562712542144E-2</c:v>
                </c:pt>
                <c:pt idx="340">
                  <c:v>6.8013602720543742E-2</c:v>
                </c:pt>
                <c:pt idx="341">
                  <c:v>6.821364272854534E-2</c:v>
                </c:pt>
                <c:pt idx="342">
                  <c:v>6.8413682736546938E-2</c:v>
                </c:pt>
                <c:pt idx="343">
                  <c:v>6.8613722744548536E-2</c:v>
                </c:pt>
                <c:pt idx="344">
                  <c:v>6.8813762752550134E-2</c:v>
                </c:pt>
                <c:pt idx="345">
                  <c:v>6.9013802760551732E-2</c:v>
                </c:pt>
                <c:pt idx="346">
                  <c:v>6.921384276855333E-2</c:v>
                </c:pt>
                <c:pt idx="347">
                  <c:v>6.9413882776554928E-2</c:v>
                </c:pt>
                <c:pt idx="348">
                  <c:v>6.9613922784556526E-2</c:v>
                </c:pt>
                <c:pt idx="349">
                  <c:v>6.9813962792558124E-2</c:v>
                </c:pt>
                <c:pt idx="350">
                  <c:v>7.0014002800559721E-2</c:v>
                </c:pt>
                <c:pt idx="351">
                  <c:v>7.0214042808561319E-2</c:v>
                </c:pt>
                <c:pt idx="352">
                  <c:v>7.0414082816562917E-2</c:v>
                </c:pt>
                <c:pt idx="353">
                  <c:v>7.0614122824564515E-2</c:v>
                </c:pt>
                <c:pt idx="354">
                  <c:v>7.0814162832566113E-2</c:v>
                </c:pt>
                <c:pt idx="355">
                  <c:v>7.1014202840567711E-2</c:v>
                </c:pt>
                <c:pt idx="356">
                  <c:v>7.1214242848569309E-2</c:v>
                </c:pt>
                <c:pt idx="357">
                  <c:v>7.1414282856570907E-2</c:v>
                </c:pt>
                <c:pt idx="358">
                  <c:v>7.1614322864572505E-2</c:v>
                </c:pt>
                <c:pt idx="359">
                  <c:v>7.1814362872574103E-2</c:v>
                </c:pt>
                <c:pt idx="360">
                  <c:v>7.2014402880575701E-2</c:v>
                </c:pt>
                <c:pt idx="361">
                  <c:v>7.2214442888577299E-2</c:v>
                </c:pt>
                <c:pt idx="362">
                  <c:v>7.2414482896578897E-2</c:v>
                </c:pt>
                <c:pt idx="363">
                  <c:v>7.2614522904580495E-2</c:v>
                </c:pt>
                <c:pt idx="364">
                  <c:v>7.2814562912582093E-2</c:v>
                </c:pt>
                <c:pt idx="365">
                  <c:v>7.3014602920583691E-2</c:v>
                </c:pt>
                <c:pt idx="366">
                  <c:v>7.3214642928585288E-2</c:v>
                </c:pt>
                <c:pt idx="367">
                  <c:v>7.3414682936586886E-2</c:v>
                </c:pt>
                <c:pt idx="368">
                  <c:v>7.3614722944588484E-2</c:v>
                </c:pt>
                <c:pt idx="369">
                  <c:v>7.3814762952590082E-2</c:v>
                </c:pt>
                <c:pt idx="370">
                  <c:v>7.401480296059168E-2</c:v>
                </c:pt>
                <c:pt idx="371">
                  <c:v>7.4214842968593278E-2</c:v>
                </c:pt>
                <c:pt idx="372">
                  <c:v>7.4414882976594876E-2</c:v>
                </c:pt>
                <c:pt idx="373">
                  <c:v>7.4614922984596474E-2</c:v>
                </c:pt>
                <c:pt idx="374">
                  <c:v>7.4814962992598072E-2</c:v>
                </c:pt>
                <c:pt idx="375">
                  <c:v>7.501500300059967E-2</c:v>
                </c:pt>
                <c:pt idx="376">
                  <c:v>7.5215043008601268E-2</c:v>
                </c:pt>
                <c:pt idx="377">
                  <c:v>7.5415083016602866E-2</c:v>
                </c:pt>
                <c:pt idx="378">
                  <c:v>7.5615123024604464E-2</c:v>
                </c:pt>
                <c:pt idx="379">
                  <c:v>7.5815163032606062E-2</c:v>
                </c:pt>
                <c:pt idx="380">
                  <c:v>7.601520304060766E-2</c:v>
                </c:pt>
                <c:pt idx="381">
                  <c:v>7.6215243048609257E-2</c:v>
                </c:pt>
                <c:pt idx="382">
                  <c:v>7.6415283056610855E-2</c:v>
                </c:pt>
                <c:pt idx="383">
                  <c:v>7.6615323064612453E-2</c:v>
                </c:pt>
                <c:pt idx="384">
                  <c:v>7.6815363072614051E-2</c:v>
                </c:pt>
                <c:pt idx="385">
                  <c:v>7.7015403080615649E-2</c:v>
                </c:pt>
                <c:pt idx="386">
                  <c:v>7.7215443088617247E-2</c:v>
                </c:pt>
                <c:pt idx="387">
                  <c:v>7.7415483096618845E-2</c:v>
                </c:pt>
                <c:pt idx="388">
                  <c:v>7.7615523104620443E-2</c:v>
                </c:pt>
                <c:pt idx="389">
                  <c:v>7.7815563112622041E-2</c:v>
                </c:pt>
                <c:pt idx="390">
                  <c:v>7.8015603120623639E-2</c:v>
                </c:pt>
                <c:pt idx="391">
                  <c:v>7.8215643128625237E-2</c:v>
                </c:pt>
                <c:pt idx="392">
                  <c:v>7.8415683136626835E-2</c:v>
                </c:pt>
                <c:pt idx="393">
                  <c:v>7.8615723144628433E-2</c:v>
                </c:pt>
                <c:pt idx="394">
                  <c:v>7.8815763152630031E-2</c:v>
                </c:pt>
                <c:pt idx="395">
                  <c:v>7.9015803160631629E-2</c:v>
                </c:pt>
                <c:pt idx="396">
                  <c:v>7.9215843168633227E-2</c:v>
                </c:pt>
                <c:pt idx="397">
                  <c:v>7.9415883176634824E-2</c:v>
                </c:pt>
                <c:pt idx="398">
                  <c:v>7.9615923184636422E-2</c:v>
                </c:pt>
                <c:pt idx="399">
                  <c:v>7.981596319263802E-2</c:v>
                </c:pt>
                <c:pt idx="400">
                  <c:v>8.0016003200639618E-2</c:v>
                </c:pt>
                <c:pt idx="401">
                  <c:v>8.0216043208641216E-2</c:v>
                </c:pt>
                <c:pt idx="402">
                  <c:v>8.0416083216642814E-2</c:v>
                </c:pt>
                <c:pt idx="403">
                  <c:v>8.0616123224644412E-2</c:v>
                </c:pt>
                <c:pt idx="404">
                  <c:v>8.081616323264601E-2</c:v>
                </c:pt>
                <c:pt idx="405">
                  <c:v>8.1016203240647608E-2</c:v>
                </c:pt>
                <c:pt idx="406">
                  <c:v>8.1216243248649206E-2</c:v>
                </c:pt>
                <c:pt idx="407">
                  <c:v>8.1416283256650804E-2</c:v>
                </c:pt>
                <c:pt idx="408">
                  <c:v>8.1616323264652402E-2</c:v>
                </c:pt>
                <c:pt idx="409">
                  <c:v>8.1816363272654E-2</c:v>
                </c:pt>
                <c:pt idx="410">
                  <c:v>8.2016403280655598E-2</c:v>
                </c:pt>
                <c:pt idx="411">
                  <c:v>8.2216443288657196E-2</c:v>
                </c:pt>
                <c:pt idx="412">
                  <c:v>8.2416483296658793E-2</c:v>
                </c:pt>
                <c:pt idx="413">
                  <c:v>8.2616523304660391E-2</c:v>
                </c:pt>
                <c:pt idx="414">
                  <c:v>8.2816563312661989E-2</c:v>
                </c:pt>
                <c:pt idx="415">
                  <c:v>8.3016603320663587E-2</c:v>
                </c:pt>
                <c:pt idx="416">
                  <c:v>8.3216643328665185E-2</c:v>
                </c:pt>
                <c:pt idx="417">
                  <c:v>8.3416683336666783E-2</c:v>
                </c:pt>
                <c:pt idx="418">
                  <c:v>8.3616723344668381E-2</c:v>
                </c:pt>
                <c:pt idx="419">
                  <c:v>8.3816763352669979E-2</c:v>
                </c:pt>
                <c:pt idx="420">
                  <c:v>8.4016803360671577E-2</c:v>
                </c:pt>
                <c:pt idx="421">
                  <c:v>8.4216843368673175E-2</c:v>
                </c:pt>
                <c:pt idx="422">
                  <c:v>8.4416883376674773E-2</c:v>
                </c:pt>
                <c:pt idx="423">
                  <c:v>8.4616923384676371E-2</c:v>
                </c:pt>
                <c:pt idx="424">
                  <c:v>8.4816963392677969E-2</c:v>
                </c:pt>
                <c:pt idx="425">
                  <c:v>8.5017003400679567E-2</c:v>
                </c:pt>
                <c:pt idx="426">
                  <c:v>8.5217043408681165E-2</c:v>
                </c:pt>
                <c:pt idx="427">
                  <c:v>8.5417083416682762E-2</c:v>
                </c:pt>
                <c:pt idx="428">
                  <c:v>8.561712342468436E-2</c:v>
                </c:pt>
                <c:pt idx="429">
                  <c:v>8.5817163432685958E-2</c:v>
                </c:pt>
                <c:pt idx="430">
                  <c:v>8.6017203440687556E-2</c:v>
                </c:pt>
                <c:pt idx="431">
                  <c:v>8.6217243448689154E-2</c:v>
                </c:pt>
                <c:pt idx="432">
                  <c:v>8.6417283456690752E-2</c:v>
                </c:pt>
                <c:pt idx="433">
                  <c:v>8.661732346469235E-2</c:v>
                </c:pt>
                <c:pt idx="434">
                  <c:v>8.6817363472693948E-2</c:v>
                </c:pt>
                <c:pt idx="435">
                  <c:v>8.7017403480695546E-2</c:v>
                </c:pt>
                <c:pt idx="436">
                  <c:v>8.7217443488697144E-2</c:v>
                </c:pt>
                <c:pt idx="437">
                  <c:v>8.7417483496698742E-2</c:v>
                </c:pt>
                <c:pt idx="438">
                  <c:v>8.761752350470034E-2</c:v>
                </c:pt>
                <c:pt idx="439">
                  <c:v>8.7817563512701938E-2</c:v>
                </c:pt>
                <c:pt idx="440">
                  <c:v>8.8017603520703536E-2</c:v>
                </c:pt>
                <c:pt idx="441">
                  <c:v>8.8217643528705134E-2</c:v>
                </c:pt>
                <c:pt idx="442">
                  <c:v>8.8417683536706732E-2</c:v>
                </c:pt>
                <c:pt idx="443">
                  <c:v>8.8617723544708329E-2</c:v>
                </c:pt>
                <c:pt idx="444">
                  <c:v>8.8817763552709927E-2</c:v>
                </c:pt>
                <c:pt idx="445">
                  <c:v>8.9017803560711525E-2</c:v>
                </c:pt>
                <c:pt idx="446">
                  <c:v>8.9217843568713123E-2</c:v>
                </c:pt>
                <c:pt idx="447">
                  <c:v>8.9417883576714721E-2</c:v>
                </c:pt>
                <c:pt idx="448">
                  <c:v>8.9617923584716319E-2</c:v>
                </c:pt>
                <c:pt idx="449">
                  <c:v>8.9817963592717917E-2</c:v>
                </c:pt>
                <c:pt idx="450">
                  <c:v>9.0018003600719515E-2</c:v>
                </c:pt>
                <c:pt idx="451">
                  <c:v>9.0218043608721113E-2</c:v>
                </c:pt>
                <c:pt idx="452">
                  <c:v>9.0418083616722711E-2</c:v>
                </c:pt>
                <c:pt idx="453">
                  <c:v>9.0618123624724309E-2</c:v>
                </c:pt>
                <c:pt idx="454">
                  <c:v>9.0818163632725907E-2</c:v>
                </c:pt>
                <c:pt idx="455">
                  <c:v>9.1018203640727505E-2</c:v>
                </c:pt>
                <c:pt idx="456">
                  <c:v>9.1218243648729103E-2</c:v>
                </c:pt>
                <c:pt idx="457">
                  <c:v>9.1418283656730701E-2</c:v>
                </c:pt>
                <c:pt idx="458">
                  <c:v>9.1618323664732298E-2</c:v>
                </c:pt>
                <c:pt idx="459">
                  <c:v>9.1818363672733896E-2</c:v>
                </c:pt>
                <c:pt idx="460">
                  <c:v>9.2018403680735494E-2</c:v>
                </c:pt>
                <c:pt idx="461">
                  <c:v>9.2218443688737092E-2</c:v>
                </c:pt>
                <c:pt idx="462">
                  <c:v>9.241848369673869E-2</c:v>
                </c:pt>
                <c:pt idx="463">
                  <c:v>9.2618523704740288E-2</c:v>
                </c:pt>
                <c:pt idx="464">
                  <c:v>9.2818563712741886E-2</c:v>
                </c:pt>
                <c:pt idx="465">
                  <c:v>9.3018603720743484E-2</c:v>
                </c:pt>
                <c:pt idx="466">
                  <c:v>9.3218643728745082E-2</c:v>
                </c:pt>
                <c:pt idx="467">
                  <c:v>9.341868373674668E-2</c:v>
                </c:pt>
                <c:pt idx="468">
                  <c:v>9.3618723744748278E-2</c:v>
                </c:pt>
                <c:pt idx="469">
                  <c:v>9.3818763752749876E-2</c:v>
                </c:pt>
                <c:pt idx="470">
                  <c:v>9.4018803760751474E-2</c:v>
                </c:pt>
                <c:pt idx="471">
                  <c:v>9.4218843768753072E-2</c:v>
                </c:pt>
                <c:pt idx="472">
                  <c:v>9.441888377675467E-2</c:v>
                </c:pt>
                <c:pt idx="473">
                  <c:v>9.4618923784756268E-2</c:v>
                </c:pt>
                <c:pt idx="474">
                  <c:v>9.4818963792757865E-2</c:v>
                </c:pt>
                <c:pt idx="475">
                  <c:v>9.5019003800759463E-2</c:v>
                </c:pt>
                <c:pt idx="476">
                  <c:v>9.5219043808761061E-2</c:v>
                </c:pt>
                <c:pt idx="477">
                  <c:v>9.5419083816762659E-2</c:v>
                </c:pt>
                <c:pt idx="478">
                  <c:v>9.5619123824764257E-2</c:v>
                </c:pt>
                <c:pt idx="479">
                  <c:v>9.5819163832765855E-2</c:v>
                </c:pt>
                <c:pt idx="480">
                  <c:v>9.6019203840767453E-2</c:v>
                </c:pt>
                <c:pt idx="481">
                  <c:v>9.6219243848769051E-2</c:v>
                </c:pt>
                <c:pt idx="482">
                  <c:v>9.6419283856770649E-2</c:v>
                </c:pt>
                <c:pt idx="483">
                  <c:v>9.6619323864772247E-2</c:v>
                </c:pt>
                <c:pt idx="484">
                  <c:v>9.6819363872773845E-2</c:v>
                </c:pt>
                <c:pt idx="485">
                  <c:v>9.7019403880775443E-2</c:v>
                </c:pt>
                <c:pt idx="486">
                  <c:v>9.7219443888777041E-2</c:v>
                </c:pt>
                <c:pt idx="487">
                  <c:v>9.7419483896778639E-2</c:v>
                </c:pt>
                <c:pt idx="488">
                  <c:v>9.7619523904780237E-2</c:v>
                </c:pt>
                <c:pt idx="489">
                  <c:v>9.7819563912781834E-2</c:v>
                </c:pt>
                <c:pt idx="490">
                  <c:v>9.8019603920783432E-2</c:v>
                </c:pt>
                <c:pt idx="491">
                  <c:v>9.821964392878503E-2</c:v>
                </c:pt>
                <c:pt idx="492">
                  <c:v>9.8419683936786628E-2</c:v>
                </c:pt>
                <c:pt idx="493">
                  <c:v>9.8619723944788226E-2</c:v>
                </c:pt>
                <c:pt idx="494">
                  <c:v>9.8819763952789824E-2</c:v>
                </c:pt>
                <c:pt idx="495">
                  <c:v>9.9019803960791422E-2</c:v>
                </c:pt>
                <c:pt idx="496">
                  <c:v>9.921984396879302E-2</c:v>
                </c:pt>
                <c:pt idx="497">
                  <c:v>9.9419883976794618E-2</c:v>
                </c:pt>
                <c:pt idx="498">
                  <c:v>9.9619923984796216E-2</c:v>
                </c:pt>
                <c:pt idx="499">
                  <c:v>9.9819963992797814E-2</c:v>
                </c:pt>
                <c:pt idx="500">
                  <c:v>0.10002000400079941</c:v>
                </c:pt>
                <c:pt idx="501">
                  <c:v>0.10022004400880101</c:v>
                </c:pt>
                <c:pt idx="502">
                  <c:v>0.10042008401680261</c:v>
                </c:pt>
                <c:pt idx="503">
                  <c:v>0.10062012402480421</c:v>
                </c:pt>
                <c:pt idx="504">
                  <c:v>0.1008201640328058</c:v>
                </c:pt>
                <c:pt idx="505">
                  <c:v>0.1010202040408074</c:v>
                </c:pt>
                <c:pt idx="506">
                  <c:v>0.101220244048809</c:v>
                </c:pt>
                <c:pt idx="507">
                  <c:v>0.1014202840568106</c:v>
                </c:pt>
                <c:pt idx="508">
                  <c:v>0.1016203240648122</c:v>
                </c:pt>
                <c:pt idx="509">
                  <c:v>0.10182036407281379</c:v>
                </c:pt>
                <c:pt idx="510">
                  <c:v>0.10202040408081539</c:v>
                </c:pt>
                <c:pt idx="511">
                  <c:v>0.10222044408881699</c:v>
                </c:pt>
                <c:pt idx="512">
                  <c:v>0.10242048409681859</c:v>
                </c:pt>
                <c:pt idx="513">
                  <c:v>0.10262052410482018</c:v>
                </c:pt>
                <c:pt idx="514">
                  <c:v>0.10282056411282178</c:v>
                </c:pt>
                <c:pt idx="515">
                  <c:v>0.10302060412082338</c:v>
                </c:pt>
                <c:pt idx="516">
                  <c:v>0.10322064412882498</c:v>
                </c:pt>
                <c:pt idx="517">
                  <c:v>0.10342068413682658</c:v>
                </c:pt>
                <c:pt idx="518">
                  <c:v>0.10362072414482817</c:v>
                </c:pt>
                <c:pt idx="519">
                  <c:v>0.10382076415282977</c:v>
                </c:pt>
                <c:pt idx="520">
                  <c:v>0.10402080416083137</c:v>
                </c:pt>
                <c:pt idx="521">
                  <c:v>0.10422084416883297</c:v>
                </c:pt>
                <c:pt idx="522">
                  <c:v>0.10442088417683457</c:v>
                </c:pt>
                <c:pt idx="523">
                  <c:v>0.10462092418483616</c:v>
                </c:pt>
                <c:pt idx="524">
                  <c:v>0.10482096419283776</c:v>
                </c:pt>
                <c:pt idx="525">
                  <c:v>0.10502100420083936</c:v>
                </c:pt>
                <c:pt idx="526">
                  <c:v>0.10522104420884096</c:v>
                </c:pt>
                <c:pt idx="527">
                  <c:v>0.10542108421684256</c:v>
                </c:pt>
                <c:pt idx="528">
                  <c:v>0.10562112422484415</c:v>
                </c:pt>
                <c:pt idx="529">
                  <c:v>0.10582116423284575</c:v>
                </c:pt>
                <c:pt idx="530">
                  <c:v>0.10602120424084735</c:v>
                </c:pt>
                <c:pt idx="531">
                  <c:v>0.10622124424884895</c:v>
                </c:pt>
                <c:pt idx="532">
                  <c:v>0.10642128425685055</c:v>
                </c:pt>
                <c:pt idx="533">
                  <c:v>0.10662132426485214</c:v>
                </c:pt>
                <c:pt idx="534">
                  <c:v>0.10682136427285374</c:v>
                </c:pt>
                <c:pt idx="535">
                  <c:v>0.10702140428085534</c:v>
                </c:pt>
                <c:pt idx="536">
                  <c:v>0.10722144428885694</c:v>
                </c:pt>
                <c:pt idx="537">
                  <c:v>0.10742148429685854</c:v>
                </c:pt>
                <c:pt idx="538">
                  <c:v>0.10762152430486013</c:v>
                </c:pt>
                <c:pt idx="539">
                  <c:v>0.10782156431286173</c:v>
                </c:pt>
                <c:pt idx="540">
                  <c:v>0.10802160432086333</c:v>
                </c:pt>
                <c:pt idx="541">
                  <c:v>0.10822164432886493</c:v>
                </c:pt>
                <c:pt idx="542">
                  <c:v>0.10842168433686653</c:v>
                </c:pt>
                <c:pt idx="543">
                  <c:v>0.10862172434486812</c:v>
                </c:pt>
                <c:pt idx="544">
                  <c:v>0.10882176435286972</c:v>
                </c:pt>
                <c:pt idx="545">
                  <c:v>0.10902180436087132</c:v>
                </c:pt>
                <c:pt idx="546">
                  <c:v>0.10922184436887292</c:v>
                </c:pt>
                <c:pt idx="547">
                  <c:v>0.10942188437687451</c:v>
                </c:pt>
                <c:pt idx="548">
                  <c:v>0.10962192438487611</c:v>
                </c:pt>
                <c:pt idx="549">
                  <c:v>0.10982196439287771</c:v>
                </c:pt>
                <c:pt idx="550">
                  <c:v>0.11002200440087931</c:v>
                </c:pt>
                <c:pt idx="551">
                  <c:v>0.11022204440888091</c:v>
                </c:pt>
                <c:pt idx="552">
                  <c:v>0.1104220844168825</c:v>
                </c:pt>
                <c:pt idx="553">
                  <c:v>0.1106221244248841</c:v>
                </c:pt>
                <c:pt idx="554">
                  <c:v>0.1108221644328857</c:v>
                </c:pt>
                <c:pt idx="555">
                  <c:v>0.1110222044408873</c:v>
                </c:pt>
                <c:pt idx="556">
                  <c:v>0.1112222444488889</c:v>
                </c:pt>
                <c:pt idx="557">
                  <c:v>0.11142228445689049</c:v>
                </c:pt>
                <c:pt idx="558">
                  <c:v>0.11162232446489209</c:v>
                </c:pt>
                <c:pt idx="559">
                  <c:v>0.11182236447289369</c:v>
                </c:pt>
                <c:pt idx="560">
                  <c:v>0.11202240448089529</c:v>
                </c:pt>
                <c:pt idx="561">
                  <c:v>0.11222244448889689</c:v>
                </c:pt>
                <c:pt idx="562">
                  <c:v>0.11242248449689848</c:v>
                </c:pt>
                <c:pt idx="563">
                  <c:v>0.11262252450490008</c:v>
                </c:pt>
                <c:pt idx="564">
                  <c:v>0.11282256451290168</c:v>
                </c:pt>
                <c:pt idx="565">
                  <c:v>0.11302260452090328</c:v>
                </c:pt>
                <c:pt idx="566">
                  <c:v>0.11322264452890488</c:v>
                </c:pt>
                <c:pt idx="567">
                  <c:v>0.11342268453690647</c:v>
                </c:pt>
                <c:pt idx="568">
                  <c:v>0.11362272454490807</c:v>
                </c:pt>
                <c:pt idx="569">
                  <c:v>0.11382276455290967</c:v>
                </c:pt>
                <c:pt idx="570">
                  <c:v>0.11402280456091127</c:v>
                </c:pt>
                <c:pt idx="571">
                  <c:v>0.11422284456891287</c:v>
                </c:pt>
                <c:pt idx="572">
                  <c:v>0.11442288457691446</c:v>
                </c:pt>
                <c:pt idx="573">
                  <c:v>0.11462292458491606</c:v>
                </c:pt>
                <c:pt idx="574">
                  <c:v>0.11482296459291766</c:v>
                </c:pt>
                <c:pt idx="575">
                  <c:v>0.11502300460091926</c:v>
                </c:pt>
                <c:pt idx="576">
                  <c:v>0.11522304460892085</c:v>
                </c:pt>
                <c:pt idx="577">
                  <c:v>0.11542308461692245</c:v>
                </c:pt>
                <c:pt idx="578">
                  <c:v>0.11562312462492405</c:v>
                </c:pt>
                <c:pt idx="579">
                  <c:v>0.11582316463292565</c:v>
                </c:pt>
                <c:pt idx="580">
                  <c:v>0.11602320464092725</c:v>
                </c:pt>
                <c:pt idx="581">
                  <c:v>0.11622324464892884</c:v>
                </c:pt>
                <c:pt idx="582">
                  <c:v>0.11642328465693044</c:v>
                </c:pt>
                <c:pt idx="583">
                  <c:v>0.11662332466493204</c:v>
                </c:pt>
                <c:pt idx="584">
                  <c:v>0.11682336467293364</c:v>
                </c:pt>
                <c:pt idx="585">
                  <c:v>0.11702340468093524</c:v>
                </c:pt>
                <c:pt idx="586">
                  <c:v>0.11722344468893683</c:v>
                </c:pt>
                <c:pt idx="587">
                  <c:v>0.11742348469693843</c:v>
                </c:pt>
                <c:pt idx="588">
                  <c:v>0.11762352470494003</c:v>
                </c:pt>
                <c:pt idx="589">
                  <c:v>0.11782356471294163</c:v>
                </c:pt>
                <c:pt idx="590">
                  <c:v>0.11802360472094323</c:v>
                </c:pt>
                <c:pt idx="591">
                  <c:v>0.11822364472894482</c:v>
                </c:pt>
                <c:pt idx="592">
                  <c:v>0.11842368473694642</c:v>
                </c:pt>
                <c:pt idx="593">
                  <c:v>0.11862372474494802</c:v>
                </c:pt>
                <c:pt idx="594">
                  <c:v>0.11882376475294962</c:v>
                </c:pt>
                <c:pt idx="595">
                  <c:v>0.11902380476095122</c:v>
                </c:pt>
                <c:pt idx="596">
                  <c:v>0.11922384476895281</c:v>
                </c:pt>
                <c:pt idx="597">
                  <c:v>0.11942388477695441</c:v>
                </c:pt>
                <c:pt idx="598">
                  <c:v>0.11962392478495601</c:v>
                </c:pt>
                <c:pt idx="599">
                  <c:v>0.11982396479295761</c:v>
                </c:pt>
                <c:pt idx="600">
                  <c:v>0.12002400480095921</c:v>
                </c:pt>
                <c:pt idx="601">
                  <c:v>0.1202240448089608</c:v>
                </c:pt>
                <c:pt idx="602">
                  <c:v>0.1204240848169624</c:v>
                </c:pt>
                <c:pt idx="603">
                  <c:v>0.120624124824964</c:v>
                </c:pt>
                <c:pt idx="604">
                  <c:v>0.1208241648329656</c:v>
                </c:pt>
                <c:pt idx="605">
                  <c:v>0.12102420484096719</c:v>
                </c:pt>
                <c:pt idx="606">
                  <c:v>0.12122424484896879</c:v>
                </c:pt>
                <c:pt idx="607">
                  <c:v>0.12142428485697039</c:v>
                </c:pt>
                <c:pt idx="608">
                  <c:v>0.12162432486497199</c:v>
                </c:pt>
                <c:pt idx="609">
                  <c:v>0.12182436487297359</c:v>
                </c:pt>
                <c:pt idx="610">
                  <c:v>0.12202440488097518</c:v>
                </c:pt>
                <c:pt idx="611">
                  <c:v>0.12222444488897678</c:v>
                </c:pt>
                <c:pt idx="612">
                  <c:v>0.12242448489697838</c:v>
                </c:pt>
                <c:pt idx="613">
                  <c:v>0.12262452490497998</c:v>
                </c:pt>
                <c:pt idx="614">
                  <c:v>0.12282456491298158</c:v>
                </c:pt>
                <c:pt idx="615">
                  <c:v>0.12302460492098317</c:v>
                </c:pt>
                <c:pt idx="616">
                  <c:v>0.12322464492898477</c:v>
                </c:pt>
                <c:pt idx="617">
                  <c:v>0.12342468493698637</c:v>
                </c:pt>
                <c:pt idx="618">
                  <c:v>0.12362472494498797</c:v>
                </c:pt>
                <c:pt idx="619">
                  <c:v>0.12382476495298957</c:v>
                </c:pt>
                <c:pt idx="620">
                  <c:v>0.12402480496099116</c:v>
                </c:pt>
                <c:pt idx="621">
                  <c:v>0.12422484496899276</c:v>
                </c:pt>
                <c:pt idx="622">
                  <c:v>0.12442488497699436</c:v>
                </c:pt>
                <c:pt idx="623">
                  <c:v>0.12462492498499596</c:v>
                </c:pt>
                <c:pt idx="624">
                  <c:v>0.12482496499299756</c:v>
                </c:pt>
                <c:pt idx="625">
                  <c:v>0.12502500500099917</c:v>
                </c:pt>
                <c:pt idx="626">
                  <c:v>0.12522504500900078</c:v>
                </c:pt>
                <c:pt idx="627">
                  <c:v>0.12542508501700239</c:v>
                </c:pt>
                <c:pt idx="628">
                  <c:v>0.125625125025004</c:v>
                </c:pt>
                <c:pt idx="629">
                  <c:v>0.12582516503300561</c:v>
                </c:pt>
                <c:pt idx="630">
                  <c:v>0.12602520504100723</c:v>
                </c:pt>
                <c:pt idx="631">
                  <c:v>0.12622524504900884</c:v>
                </c:pt>
                <c:pt idx="632">
                  <c:v>0.12642528505701045</c:v>
                </c:pt>
                <c:pt idx="633">
                  <c:v>0.12662532506501206</c:v>
                </c:pt>
                <c:pt idx="634">
                  <c:v>0.12682536507301367</c:v>
                </c:pt>
                <c:pt idx="635">
                  <c:v>0.12702540508101529</c:v>
                </c:pt>
                <c:pt idx="636">
                  <c:v>0.1272254450890169</c:v>
                </c:pt>
                <c:pt idx="637">
                  <c:v>0.12742548509701851</c:v>
                </c:pt>
                <c:pt idx="638">
                  <c:v>0.12762552510502012</c:v>
                </c:pt>
                <c:pt idx="639">
                  <c:v>0.12782556511302173</c:v>
                </c:pt>
                <c:pt idx="640">
                  <c:v>0.12802560512102334</c:v>
                </c:pt>
                <c:pt idx="641">
                  <c:v>0.12822564512902496</c:v>
                </c:pt>
                <c:pt idx="642">
                  <c:v>0.12842568513702657</c:v>
                </c:pt>
                <c:pt idx="643">
                  <c:v>0.12862572514502818</c:v>
                </c:pt>
                <c:pt idx="644">
                  <c:v>0.12882576515302979</c:v>
                </c:pt>
                <c:pt idx="645">
                  <c:v>0.1290258051610314</c:v>
                </c:pt>
                <c:pt idx="646">
                  <c:v>0.12922584516903302</c:v>
                </c:pt>
                <c:pt idx="647">
                  <c:v>0.12942588517703463</c:v>
                </c:pt>
                <c:pt idx="648">
                  <c:v>0.12962592518503624</c:v>
                </c:pt>
                <c:pt idx="649">
                  <c:v>0.12982596519303785</c:v>
                </c:pt>
                <c:pt idx="650">
                  <c:v>0.13002600520103946</c:v>
                </c:pt>
                <c:pt idx="651">
                  <c:v>0.13022604520904107</c:v>
                </c:pt>
                <c:pt idx="652">
                  <c:v>0.13042608521704269</c:v>
                </c:pt>
                <c:pt idx="653">
                  <c:v>0.1306261252250443</c:v>
                </c:pt>
                <c:pt idx="654">
                  <c:v>0.13082616523304591</c:v>
                </c:pt>
                <c:pt idx="655">
                  <c:v>0.13102620524104752</c:v>
                </c:pt>
                <c:pt idx="656">
                  <c:v>0.13122624524904913</c:v>
                </c:pt>
                <c:pt idx="657">
                  <c:v>0.13142628525705075</c:v>
                </c:pt>
                <c:pt idx="658">
                  <c:v>0.13162632526505236</c:v>
                </c:pt>
                <c:pt idx="659">
                  <c:v>0.13182636527305397</c:v>
                </c:pt>
                <c:pt idx="660">
                  <c:v>0.13202640528105558</c:v>
                </c:pt>
                <c:pt idx="661">
                  <c:v>0.13222644528905719</c:v>
                </c:pt>
                <c:pt idx="662">
                  <c:v>0.1324264852970588</c:v>
                </c:pt>
                <c:pt idx="663">
                  <c:v>0.13262652530506042</c:v>
                </c:pt>
                <c:pt idx="664">
                  <c:v>0.13282656531306203</c:v>
                </c:pt>
                <c:pt idx="665">
                  <c:v>0.13302660532106364</c:v>
                </c:pt>
                <c:pt idx="666">
                  <c:v>0.13322664532906525</c:v>
                </c:pt>
                <c:pt idx="667">
                  <c:v>0.13342668533706686</c:v>
                </c:pt>
                <c:pt idx="668">
                  <c:v>0.13362672534506848</c:v>
                </c:pt>
                <c:pt idx="669">
                  <c:v>0.13382676535307009</c:v>
                </c:pt>
                <c:pt idx="670">
                  <c:v>0.1340268053610717</c:v>
                </c:pt>
                <c:pt idx="671">
                  <c:v>0.13422684536907331</c:v>
                </c:pt>
                <c:pt idx="672">
                  <c:v>0.13442688537707492</c:v>
                </c:pt>
                <c:pt idx="673">
                  <c:v>0.13462692538507653</c:v>
                </c:pt>
                <c:pt idx="674">
                  <c:v>0.13482696539307815</c:v>
                </c:pt>
                <c:pt idx="675">
                  <c:v>0.13502700540107976</c:v>
                </c:pt>
                <c:pt idx="676">
                  <c:v>0.13522704540908137</c:v>
                </c:pt>
                <c:pt idx="677">
                  <c:v>0.13542708541708298</c:v>
                </c:pt>
                <c:pt idx="678">
                  <c:v>0.13562712542508459</c:v>
                </c:pt>
                <c:pt idx="679">
                  <c:v>0.13582716543308621</c:v>
                </c:pt>
                <c:pt idx="680">
                  <c:v>0.13602720544108782</c:v>
                </c:pt>
                <c:pt idx="681">
                  <c:v>0.13622724544908943</c:v>
                </c:pt>
                <c:pt idx="682">
                  <c:v>0.13642728545709104</c:v>
                </c:pt>
                <c:pt idx="683">
                  <c:v>0.13662732546509265</c:v>
                </c:pt>
                <c:pt idx="684">
                  <c:v>0.13682736547309426</c:v>
                </c:pt>
                <c:pt idx="685">
                  <c:v>0.13702740548109588</c:v>
                </c:pt>
                <c:pt idx="686">
                  <c:v>0.13722744548909749</c:v>
                </c:pt>
                <c:pt idx="687">
                  <c:v>0.1374274854970991</c:v>
                </c:pt>
                <c:pt idx="688">
                  <c:v>0.13762752550510071</c:v>
                </c:pt>
                <c:pt idx="689">
                  <c:v>0.13782756551310232</c:v>
                </c:pt>
                <c:pt idx="690">
                  <c:v>0.13802760552110394</c:v>
                </c:pt>
                <c:pt idx="691">
                  <c:v>0.13822764552910555</c:v>
                </c:pt>
                <c:pt idx="692">
                  <c:v>0.13842768553710716</c:v>
                </c:pt>
                <c:pt idx="693">
                  <c:v>0.13862772554510877</c:v>
                </c:pt>
                <c:pt idx="694">
                  <c:v>0.13882776555311038</c:v>
                </c:pt>
                <c:pt idx="695">
                  <c:v>0.13902780556111199</c:v>
                </c:pt>
                <c:pt idx="696">
                  <c:v>0.13922784556911361</c:v>
                </c:pt>
                <c:pt idx="697">
                  <c:v>0.13942788557711522</c:v>
                </c:pt>
                <c:pt idx="698">
                  <c:v>0.13962792558511683</c:v>
                </c:pt>
                <c:pt idx="699">
                  <c:v>0.13982796559311844</c:v>
                </c:pt>
                <c:pt idx="700">
                  <c:v>0.14002800560112005</c:v>
                </c:pt>
                <c:pt idx="701">
                  <c:v>0.14022804560912167</c:v>
                </c:pt>
                <c:pt idx="702">
                  <c:v>0.14042808561712328</c:v>
                </c:pt>
                <c:pt idx="703">
                  <c:v>0.14062812562512489</c:v>
                </c:pt>
                <c:pt idx="704">
                  <c:v>0.1408281656331265</c:v>
                </c:pt>
                <c:pt idx="705">
                  <c:v>0.14102820564112811</c:v>
                </c:pt>
                <c:pt idx="706">
                  <c:v>0.14122824564912972</c:v>
                </c:pt>
                <c:pt idx="707">
                  <c:v>0.14142828565713134</c:v>
                </c:pt>
                <c:pt idx="708">
                  <c:v>0.14162832566513295</c:v>
                </c:pt>
                <c:pt idx="709">
                  <c:v>0.14182836567313456</c:v>
                </c:pt>
                <c:pt idx="710">
                  <c:v>0.14202840568113617</c:v>
                </c:pt>
                <c:pt idx="711">
                  <c:v>0.14222844568913778</c:v>
                </c:pt>
                <c:pt idx="712">
                  <c:v>0.1424284856971394</c:v>
                </c:pt>
                <c:pt idx="713">
                  <c:v>0.14262852570514101</c:v>
                </c:pt>
                <c:pt idx="714">
                  <c:v>0.14282856571314262</c:v>
                </c:pt>
                <c:pt idx="715">
                  <c:v>0.14302860572114423</c:v>
                </c:pt>
                <c:pt idx="716">
                  <c:v>0.14322864572914584</c:v>
                </c:pt>
                <c:pt idx="717">
                  <c:v>0.14342868573714745</c:v>
                </c:pt>
                <c:pt idx="718">
                  <c:v>0.14362872574514907</c:v>
                </c:pt>
                <c:pt idx="719">
                  <c:v>0.14382876575315068</c:v>
                </c:pt>
                <c:pt idx="720">
                  <c:v>0.14402880576115229</c:v>
                </c:pt>
                <c:pt idx="721">
                  <c:v>0.1442288457691539</c:v>
                </c:pt>
                <c:pt idx="722">
                  <c:v>0.14442888577715551</c:v>
                </c:pt>
                <c:pt idx="723">
                  <c:v>0.14462892578515713</c:v>
                </c:pt>
                <c:pt idx="724">
                  <c:v>0.14482896579315874</c:v>
                </c:pt>
                <c:pt idx="725">
                  <c:v>0.14502900580116035</c:v>
                </c:pt>
                <c:pt idx="726">
                  <c:v>0.14522904580916196</c:v>
                </c:pt>
                <c:pt idx="727">
                  <c:v>0.14542908581716357</c:v>
                </c:pt>
                <c:pt idx="728">
                  <c:v>0.14562912582516518</c:v>
                </c:pt>
                <c:pt idx="729">
                  <c:v>0.1458291658331668</c:v>
                </c:pt>
                <c:pt idx="730">
                  <c:v>0.14602920584116841</c:v>
                </c:pt>
                <c:pt idx="731">
                  <c:v>0.14622924584917002</c:v>
                </c:pt>
                <c:pt idx="732">
                  <c:v>0.14642928585717163</c:v>
                </c:pt>
                <c:pt idx="733">
                  <c:v>0.14662932586517324</c:v>
                </c:pt>
                <c:pt idx="734">
                  <c:v>0.14682936587317486</c:v>
                </c:pt>
                <c:pt idx="735">
                  <c:v>0.14702940588117647</c:v>
                </c:pt>
                <c:pt idx="736">
                  <c:v>0.14722944588917808</c:v>
                </c:pt>
                <c:pt idx="737">
                  <c:v>0.14742948589717969</c:v>
                </c:pt>
                <c:pt idx="738">
                  <c:v>0.1476295259051813</c:v>
                </c:pt>
                <c:pt idx="739">
                  <c:v>0.14782956591318291</c:v>
                </c:pt>
                <c:pt idx="740">
                  <c:v>0.14802960592118453</c:v>
                </c:pt>
                <c:pt idx="741">
                  <c:v>0.14822964592918614</c:v>
                </c:pt>
                <c:pt idx="742">
                  <c:v>0.14842968593718775</c:v>
                </c:pt>
                <c:pt idx="743">
                  <c:v>0.14862972594518936</c:v>
                </c:pt>
                <c:pt idx="744">
                  <c:v>0.14882976595319097</c:v>
                </c:pt>
                <c:pt idx="745">
                  <c:v>0.14902980596119259</c:v>
                </c:pt>
                <c:pt idx="746">
                  <c:v>0.1492298459691942</c:v>
                </c:pt>
                <c:pt idx="747">
                  <c:v>0.14942988597719581</c:v>
                </c:pt>
                <c:pt idx="748">
                  <c:v>0.14962992598519742</c:v>
                </c:pt>
                <c:pt idx="749">
                  <c:v>0.14982996599319903</c:v>
                </c:pt>
                <c:pt idx="750">
                  <c:v>0.15003000600120064</c:v>
                </c:pt>
                <c:pt idx="751">
                  <c:v>0.15023004600920226</c:v>
                </c:pt>
                <c:pt idx="752">
                  <c:v>0.15043008601720387</c:v>
                </c:pt>
                <c:pt idx="753">
                  <c:v>0.15063012602520548</c:v>
                </c:pt>
                <c:pt idx="754">
                  <c:v>0.15083016603320709</c:v>
                </c:pt>
                <c:pt idx="755">
                  <c:v>0.1510302060412087</c:v>
                </c:pt>
                <c:pt idx="756">
                  <c:v>0.15123024604921032</c:v>
                </c:pt>
                <c:pt idx="757">
                  <c:v>0.15143028605721193</c:v>
                </c:pt>
                <c:pt idx="758">
                  <c:v>0.15163032606521354</c:v>
                </c:pt>
                <c:pt idx="759">
                  <c:v>0.15183036607321515</c:v>
                </c:pt>
                <c:pt idx="760">
                  <c:v>0.15203040608121676</c:v>
                </c:pt>
                <c:pt idx="761">
                  <c:v>0.15223044608921837</c:v>
                </c:pt>
                <c:pt idx="762">
                  <c:v>0.15243048609721999</c:v>
                </c:pt>
                <c:pt idx="763">
                  <c:v>0.1526305261052216</c:v>
                </c:pt>
                <c:pt idx="764">
                  <c:v>0.15283056611322321</c:v>
                </c:pt>
                <c:pt idx="765">
                  <c:v>0.15303060612122482</c:v>
                </c:pt>
                <c:pt idx="766">
                  <c:v>0.15323064612922643</c:v>
                </c:pt>
                <c:pt idx="767">
                  <c:v>0.15343068613722805</c:v>
                </c:pt>
                <c:pt idx="768">
                  <c:v>0.15363072614522966</c:v>
                </c:pt>
                <c:pt idx="769">
                  <c:v>0.15383076615323127</c:v>
                </c:pt>
                <c:pt idx="770">
                  <c:v>0.15403080616123288</c:v>
                </c:pt>
                <c:pt idx="771">
                  <c:v>0.15423084616923449</c:v>
                </c:pt>
                <c:pt idx="772">
                  <c:v>0.1544308861772361</c:v>
                </c:pt>
                <c:pt idx="773">
                  <c:v>0.15463092618523772</c:v>
                </c:pt>
                <c:pt idx="774">
                  <c:v>0.15483096619323933</c:v>
                </c:pt>
                <c:pt idx="775">
                  <c:v>0.15503100620124094</c:v>
                </c:pt>
                <c:pt idx="776">
                  <c:v>0.15523104620924255</c:v>
                </c:pt>
                <c:pt idx="777">
                  <c:v>0.15543108621724416</c:v>
                </c:pt>
                <c:pt idx="778">
                  <c:v>0.15563112622524577</c:v>
                </c:pt>
                <c:pt idx="779">
                  <c:v>0.15583116623324739</c:v>
                </c:pt>
                <c:pt idx="780">
                  <c:v>0.156031206241249</c:v>
                </c:pt>
                <c:pt idx="781">
                  <c:v>0.15623124624925061</c:v>
                </c:pt>
                <c:pt idx="782">
                  <c:v>0.15643128625725222</c:v>
                </c:pt>
                <c:pt idx="783">
                  <c:v>0.15663132626525383</c:v>
                </c:pt>
                <c:pt idx="784">
                  <c:v>0.15683136627325545</c:v>
                </c:pt>
                <c:pt idx="785">
                  <c:v>0.15703140628125706</c:v>
                </c:pt>
                <c:pt idx="786">
                  <c:v>0.15723144628925867</c:v>
                </c:pt>
                <c:pt idx="787">
                  <c:v>0.15743148629726028</c:v>
                </c:pt>
                <c:pt idx="788">
                  <c:v>0.15763152630526189</c:v>
                </c:pt>
                <c:pt idx="789">
                  <c:v>0.1578315663132635</c:v>
                </c:pt>
                <c:pt idx="790">
                  <c:v>0.15803160632126512</c:v>
                </c:pt>
                <c:pt idx="791">
                  <c:v>0.15823164632926673</c:v>
                </c:pt>
                <c:pt idx="792">
                  <c:v>0.15843168633726834</c:v>
                </c:pt>
                <c:pt idx="793">
                  <c:v>0.15863172634526995</c:v>
                </c:pt>
                <c:pt idx="794">
                  <c:v>0.15883176635327156</c:v>
                </c:pt>
                <c:pt idx="795">
                  <c:v>0.15903180636127318</c:v>
                </c:pt>
                <c:pt idx="796">
                  <c:v>0.15923184636927479</c:v>
                </c:pt>
                <c:pt idx="797">
                  <c:v>0.1594318863772764</c:v>
                </c:pt>
                <c:pt idx="798">
                  <c:v>0.15963192638527801</c:v>
                </c:pt>
                <c:pt idx="799">
                  <c:v>0.15983196639327962</c:v>
                </c:pt>
                <c:pt idx="800">
                  <c:v>0.16003200640128123</c:v>
                </c:pt>
                <c:pt idx="801">
                  <c:v>0.16023204640928285</c:v>
                </c:pt>
                <c:pt idx="802">
                  <c:v>0.16043208641728446</c:v>
                </c:pt>
                <c:pt idx="803">
                  <c:v>0.16063212642528607</c:v>
                </c:pt>
                <c:pt idx="804">
                  <c:v>0.16083216643328768</c:v>
                </c:pt>
                <c:pt idx="805">
                  <c:v>0.16103220644128929</c:v>
                </c:pt>
                <c:pt idx="806">
                  <c:v>0.16123224644929091</c:v>
                </c:pt>
                <c:pt idx="807">
                  <c:v>0.16143228645729252</c:v>
                </c:pt>
                <c:pt idx="808">
                  <c:v>0.16163232646529413</c:v>
                </c:pt>
                <c:pt idx="809">
                  <c:v>0.16183236647329574</c:v>
                </c:pt>
                <c:pt idx="810">
                  <c:v>0.16203240648129735</c:v>
                </c:pt>
                <c:pt idx="811">
                  <c:v>0.16223244648929896</c:v>
                </c:pt>
                <c:pt idx="812">
                  <c:v>0.16243248649730058</c:v>
                </c:pt>
                <c:pt idx="813">
                  <c:v>0.16263252650530219</c:v>
                </c:pt>
                <c:pt idx="814">
                  <c:v>0.1628325665133038</c:v>
                </c:pt>
                <c:pt idx="815">
                  <c:v>0.16303260652130541</c:v>
                </c:pt>
                <c:pt idx="816">
                  <c:v>0.16323264652930702</c:v>
                </c:pt>
                <c:pt idx="817">
                  <c:v>0.16343268653730864</c:v>
                </c:pt>
                <c:pt idx="818">
                  <c:v>0.16363272654531025</c:v>
                </c:pt>
                <c:pt idx="819">
                  <c:v>0.16383276655331186</c:v>
                </c:pt>
                <c:pt idx="820">
                  <c:v>0.16403280656131347</c:v>
                </c:pt>
                <c:pt idx="821">
                  <c:v>0.16423284656931508</c:v>
                </c:pt>
                <c:pt idx="822">
                  <c:v>0.16443288657731669</c:v>
                </c:pt>
                <c:pt idx="823">
                  <c:v>0.16463292658531831</c:v>
                </c:pt>
                <c:pt idx="824">
                  <c:v>0.16483296659331992</c:v>
                </c:pt>
                <c:pt idx="825">
                  <c:v>0.16503300660132153</c:v>
                </c:pt>
                <c:pt idx="826">
                  <c:v>0.16523304660932314</c:v>
                </c:pt>
                <c:pt idx="827">
                  <c:v>0.16543308661732475</c:v>
                </c:pt>
                <c:pt idx="828">
                  <c:v>0.16563312662532637</c:v>
                </c:pt>
                <c:pt idx="829">
                  <c:v>0.16583316663332798</c:v>
                </c:pt>
                <c:pt idx="830">
                  <c:v>0.16603320664132959</c:v>
                </c:pt>
                <c:pt idx="831">
                  <c:v>0.1662332466493312</c:v>
                </c:pt>
                <c:pt idx="832">
                  <c:v>0.16643328665733281</c:v>
                </c:pt>
                <c:pt idx="833">
                  <c:v>0.16663332666533442</c:v>
                </c:pt>
                <c:pt idx="834">
                  <c:v>0.16683336667333604</c:v>
                </c:pt>
                <c:pt idx="835">
                  <c:v>0.16703340668133765</c:v>
                </c:pt>
                <c:pt idx="836">
                  <c:v>0.16723344668933926</c:v>
                </c:pt>
                <c:pt idx="837">
                  <c:v>0.16743348669734087</c:v>
                </c:pt>
                <c:pt idx="838">
                  <c:v>0.16763352670534248</c:v>
                </c:pt>
                <c:pt idx="839">
                  <c:v>0.1678335667133441</c:v>
                </c:pt>
                <c:pt idx="840">
                  <c:v>0.16803360672134571</c:v>
                </c:pt>
                <c:pt idx="841">
                  <c:v>0.16823364672934732</c:v>
                </c:pt>
                <c:pt idx="842">
                  <c:v>0.16843368673734893</c:v>
                </c:pt>
                <c:pt idx="843">
                  <c:v>0.16863372674535054</c:v>
                </c:pt>
                <c:pt idx="844">
                  <c:v>0.16883376675335215</c:v>
                </c:pt>
                <c:pt idx="845">
                  <c:v>0.16903380676135377</c:v>
                </c:pt>
                <c:pt idx="846">
                  <c:v>0.16923384676935538</c:v>
                </c:pt>
                <c:pt idx="847">
                  <c:v>0.16943388677735699</c:v>
                </c:pt>
                <c:pt idx="848">
                  <c:v>0.1696339267853586</c:v>
                </c:pt>
                <c:pt idx="849">
                  <c:v>0.16983396679336021</c:v>
                </c:pt>
                <c:pt idx="850">
                  <c:v>0.17003400680136183</c:v>
                </c:pt>
                <c:pt idx="851">
                  <c:v>0.17023404680936344</c:v>
                </c:pt>
                <c:pt idx="852">
                  <c:v>0.17043408681736505</c:v>
                </c:pt>
                <c:pt idx="853">
                  <c:v>0.17063412682536666</c:v>
                </c:pt>
                <c:pt idx="854">
                  <c:v>0.17083416683336827</c:v>
                </c:pt>
                <c:pt idx="855">
                  <c:v>0.17103420684136988</c:v>
                </c:pt>
                <c:pt idx="856">
                  <c:v>0.1712342468493715</c:v>
                </c:pt>
                <c:pt idx="857">
                  <c:v>0.17143428685737311</c:v>
                </c:pt>
                <c:pt idx="858">
                  <c:v>0.17163432686537472</c:v>
                </c:pt>
                <c:pt idx="859">
                  <c:v>0.17183436687337633</c:v>
                </c:pt>
                <c:pt idx="860">
                  <c:v>0.17203440688137794</c:v>
                </c:pt>
                <c:pt idx="861">
                  <c:v>0.17223444688937956</c:v>
                </c:pt>
                <c:pt idx="862">
                  <c:v>0.17243448689738117</c:v>
                </c:pt>
                <c:pt idx="863">
                  <c:v>0.17263452690538278</c:v>
                </c:pt>
                <c:pt idx="864">
                  <c:v>0.17283456691338439</c:v>
                </c:pt>
                <c:pt idx="865">
                  <c:v>0.173034606921386</c:v>
                </c:pt>
                <c:pt idx="866">
                  <c:v>0.17323464692938761</c:v>
                </c:pt>
                <c:pt idx="867">
                  <c:v>0.17343468693738923</c:v>
                </c:pt>
                <c:pt idx="868">
                  <c:v>0.17363472694539084</c:v>
                </c:pt>
                <c:pt idx="869">
                  <c:v>0.17383476695339245</c:v>
                </c:pt>
                <c:pt idx="870">
                  <c:v>0.17403480696139406</c:v>
                </c:pt>
                <c:pt idx="871">
                  <c:v>0.17423484696939567</c:v>
                </c:pt>
                <c:pt idx="872">
                  <c:v>0.17443488697739729</c:v>
                </c:pt>
                <c:pt idx="873">
                  <c:v>0.1746349269853989</c:v>
                </c:pt>
                <c:pt idx="874">
                  <c:v>0.17483496699340051</c:v>
                </c:pt>
                <c:pt idx="875">
                  <c:v>0.17503500700140212</c:v>
                </c:pt>
                <c:pt idx="876">
                  <c:v>0.17523504700940373</c:v>
                </c:pt>
                <c:pt idx="877">
                  <c:v>0.17543508701740534</c:v>
                </c:pt>
                <c:pt idx="878">
                  <c:v>0.17563512702540696</c:v>
                </c:pt>
                <c:pt idx="879">
                  <c:v>0.17583516703340857</c:v>
                </c:pt>
                <c:pt idx="880">
                  <c:v>0.17603520704141018</c:v>
                </c:pt>
                <c:pt idx="881">
                  <c:v>0.17623524704941179</c:v>
                </c:pt>
                <c:pt idx="882">
                  <c:v>0.1764352870574134</c:v>
                </c:pt>
                <c:pt idx="883">
                  <c:v>0.17663532706541502</c:v>
                </c:pt>
                <c:pt idx="884">
                  <c:v>0.17683536707341663</c:v>
                </c:pt>
                <c:pt idx="885">
                  <c:v>0.17703540708141824</c:v>
                </c:pt>
                <c:pt idx="886">
                  <c:v>0.17723544708941985</c:v>
                </c:pt>
                <c:pt idx="887">
                  <c:v>0.17743548709742146</c:v>
                </c:pt>
                <c:pt idx="888">
                  <c:v>0.17763552710542307</c:v>
                </c:pt>
                <c:pt idx="889">
                  <c:v>0.17783556711342469</c:v>
                </c:pt>
                <c:pt idx="890">
                  <c:v>0.1780356071214263</c:v>
                </c:pt>
                <c:pt idx="891">
                  <c:v>0.17823564712942791</c:v>
                </c:pt>
                <c:pt idx="892">
                  <c:v>0.17843568713742952</c:v>
                </c:pt>
                <c:pt idx="893">
                  <c:v>0.17863572714543113</c:v>
                </c:pt>
                <c:pt idx="894">
                  <c:v>0.17883576715343275</c:v>
                </c:pt>
                <c:pt idx="895">
                  <c:v>0.17903580716143436</c:v>
                </c:pt>
                <c:pt idx="896">
                  <c:v>0.17923584716943597</c:v>
                </c:pt>
                <c:pt idx="897">
                  <c:v>0.17943588717743758</c:v>
                </c:pt>
                <c:pt idx="898">
                  <c:v>0.17963592718543919</c:v>
                </c:pt>
                <c:pt idx="899">
                  <c:v>0.1798359671934408</c:v>
                </c:pt>
                <c:pt idx="900">
                  <c:v>0.18003600720144242</c:v>
                </c:pt>
                <c:pt idx="901">
                  <c:v>0.18023604720944403</c:v>
                </c:pt>
                <c:pt idx="902">
                  <c:v>0.18043608721744564</c:v>
                </c:pt>
                <c:pt idx="903">
                  <c:v>0.18063612722544725</c:v>
                </c:pt>
                <c:pt idx="904">
                  <c:v>0.18083616723344886</c:v>
                </c:pt>
                <c:pt idx="905">
                  <c:v>0.18103620724145048</c:v>
                </c:pt>
                <c:pt idx="906">
                  <c:v>0.18123624724945209</c:v>
                </c:pt>
                <c:pt idx="907">
                  <c:v>0.1814362872574537</c:v>
                </c:pt>
                <c:pt idx="908">
                  <c:v>0.18163632726545531</c:v>
                </c:pt>
                <c:pt idx="909">
                  <c:v>0.18183636727345692</c:v>
                </c:pt>
                <c:pt idx="910">
                  <c:v>0.18203640728145853</c:v>
                </c:pt>
                <c:pt idx="911">
                  <c:v>0.18223644728946015</c:v>
                </c:pt>
                <c:pt idx="912">
                  <c:v>0.18243648729746176</c:v>
                </c:pt>
                <c:pt idx="913">
                  <c:v>0.18263652730546337</c:v>
                </c:pt>
                <c:pt idx="914">
                  <c:v>0.18283656731346498</c:v>
                </c:pt>
                <c:pt idx="915">
                  <c:v>0.18303660732146659</c:v>
                </c:pt>
                <c:pt idx="916">
                  <c:v>0.18323664732946821</c:v>
                </c:pt>
                <c:pt idx="917">
                  <c:v>0.18343668733746982</c:v>
                </c:pt>
                <c:pt idx="918">
                  <c:v>0.18363672734547143</c:v>
                </c:pt>
                <c:pt idx="919">
                  <c:v>0.18383676735347304</c:v>
                </c:pt>
                <c:pt idx="920">
                  <c:v>0.18403680736147465</c:v>
                </c:pt>
                <c:pt idx="921">
                  <c:v>0.18423684736947626</c:v>
                </c:pt>
                <c:pt idx="922">
                  <c:v>0.18443688737747788</c:v>
                </c:pt>
                <c:pt idx="923">
                  <c:v>0.18463692738547949</c:v>
                </c:pt>
                <c:pt idx="924">
                  <c:v>0.1848369673934811</c:v>
                </c:pt>
                <c:pt idx="925">
                  <c:v>0.18503700740148271</c:v>
                </c:pt>
                <c:pt idx="926">
                  <c:v>0.18523704740948432</c:v>
                </c:pt>
                <c:pt idx="927">
                  <c:v>0.18543708741748594</c:v>
                </c:pt>
                <c:pt idx="928">
                  <c:v>0.18563712742548755</c:v>
                </c:pt>
                <c:pt idx="929">
                  <c:v>0.18583716743348916</c:v>
                </c:pt>
                <c:pt idx="930">
                  <c:v>0.18603720744149077</c:v>
                </c:pt>
                <c:pt idx="931">
                  <c:v>0.18623724744949238</c:v>
                </c:pt>
                <c:pt idx="932">
                  <c:v>0.18643728745749399</c:v>
                </c:pt>
                <c:pt idx="933">
                  <c:v>0.18663732746549561</c:v>
                </c:pt>
                <c:pt idx="934">
                  <c:v>0.18683736747349722</c:v>
                </c:pt>
                <c:pt idx="935">
                  <c:v>0.18703740748149883</c:v>
                </c:pt>
                <c:pt idx="936">
                  <c:v>0.18723744748950044</c:v>
                </c:pt>
                <c:pt idx="937">
                  <c:v>0.18743748749750205</c:v>
                </c:pt>
                <c:pt idx="938">
                  <c:v>0.18763752750550367</c:v>
                </c:pt>
                <c:pt idx="939">
                  <c:v>0.18783756751350528</c:v>
                </c:pt>
                <c:pt idx="940">
                  <c:v>0.18803760752150689</c:v>
                </c:pt>
                <c:pt idx="941">
                  <c:v>0.1882376475295085</c:v>
                </c:pt>
                <c:pt idx="942">
                  <c:v>0.18843768753751011</c:v>
                </c:pt>
                <c:pt idx="943">
                  <c:v>0.18863772754551172</c:v>
                </c:pt>
                <c:pt idx="944">
                  <c:v>0.18883776755351334</c:v>
                </c:pt>
                <c:pt idx="945">
                  <c:v>0.18903780756151495</c:v>
                </c:pt>
                <c:pt idx="946">
                  <c:v>0.18923784756951656</c:v>
                </c:pt>
                <c:pt idx="947">
                  <c:v>0.18943788757751817</c:v>
                </c:pt>
                <c:pt idx="948">
                  <c:v>0.18963792758551978</c:v>
                </c:pt>
                <c:pt idx="949">
                  <c:v>0.1898379675935214</c:v>
                </c:pt>
                <c:pt idx="950">
                  <c:v>0.19003800760152301</c:v>
                </c:pt>
                <c:pt idx="951">
                  <c:v>0.19023804760952462</c:v>
                </c:pt>
                <c:pt idx="952">
                  <c:v>0.19043808761752623</c:v>
                </c:pt>
                <c:pt idx="953">
                  <c:v>0.19063812762552784</c:v>
                </c:pt>
                <c:pt idx="954">
                  <c:v>0.19083816763352945</c:v>
                </c:pt>
                <c:pt idx="955">
                  <c:v>0.19103820764153107</c:v>
                </c:pt>
                <c:pt idx="956">
                  <c:v>0.19123824764953268</c:v>
                </c:pt>
                <c:pt idx="957">
                  <c:v>0.19143828765753429</c:v>
                </c:pt>
                <c:pt idx="958">
                  <c:v>0.1916383276655359</c:v>
                </c:pt>
                <c:pt idx="959">
                  <c:v>0.19183836767353751</c:v>
                </c:pt>
                <c:pt idx="960">
                  <c:v>0.19203840768153912</c:v>
                </c:pt>
                <c:pt idx="961">
                  <c:v>0.19223844768954074</c:v>
                </c:pt>
                <c:pt idx="962">
                  <c:v>0.19243848769754235</c:v>
                </c:pt>
                <c:pt idx="963">
                  <c:v>0.19263852770554396</c:v>
                </c:pt>
                <c:pt idx="964">
                  <c:v>0.19283856771354557</c:v>
                </c:pt>
                <c:pt idx="965">
                  <c:v>0.19303860772154718</c:v>
                </c:pt>
                <c:pt idx="966">
                  <c:v>0.1932386477295488</c:v>
                </c:pt>
                <c:pt idx="967">
                  <c:v>0.19343868773755041</c:v>
                </c:pt>
                <c:pt idx="968">
                  <c:v>0.19363872774555202</c:v>
                </c:pt>
                <c:pt idx="969">
                  <c:v>0.19383876775355363</c:v>
                </c:pt>
                <c:pt idx="970">
                  <c:v>0.19403880776155524</c:v>
                </c:pt>
                <c:pt idx="971">
                  <c:v>0.19423884776955685</c:v>
                </c:pt>
                <c:pt idx="972">
                  <c:v>0.19443888777755847</c:v>
                </c:pt>
                <c:pt idx="973">
                  <c:v>0.19463892778556008</c:v>
                </c:pt>
                <c:pt idx="974">
                  <c:v>0.19483896779356169</c:v>
                </c:pt>
                <c:pt idx="975">
                  <c:v>0.1950390078015633</c:v>
                </c:pt>
                <c:pt idx="976">
                  <c:v>0.19523904780956491</c:v>
                </c:pt>
                <c:pt idx="977">
                  <c:v>0.19543908781756653</c:v>
                </c:pt>
                <c:pt idx="978">
                  <c:v>0.19563912782556814</c:v>
                </c:pt>
                <c:pt idx="979">
                  <c:v>0.19583916783356975</c:v>
                </c:pt>
                <c:pt idx="980">
                  <c:v>0.19603920784157136</c:v>
                </c:pt>
                <c:pt idx="981">
                  <c:v>0.19623924784957297</c:v>
                </c:pt>
                <c:pt idx="982">
                  <c:v>0.19643928785757458</c:v>
                </c:pt>
                <c:pt idx="983">
                  <c:v>0.1966393278655762</c:v>
                </c:pt>
                <c:pt idx="984">
                  <c:v>0.19683936787357781</c:v>
                </c:pt>
                <c:pt idx="985">
                  <c:v>0.19703940788157942</c:v>
                </c:pt>
                <c:pt idx="986">
                  <c:v>0.19723944788958103</c:v>
                </c:pt>
                <c:pt idx="987">
                  <c:v>0.19743948789758264</c:v>
                </c:pt>
                <c:pt idx="988">
                  <c:v>0.19763952790558426</c:v>
                </c:pt>
                <c:pt idx="989">
                  <c:v>0.19783956791358587</c:v>
                </c:pt>
                <c:pt idx="990">
                  <c:v>0.19803960792158748</c:v>
                </c:pt>
                <c:pt idx="991">
                  <c:v>0.19823964792958909</c:v>
                </c:pt>
                <c:pt idx="992">
                  <c:v>0.1984396879375907</c:v>
                </c:pt>
                <c:pt idx="993">
                  <c:v>0.19863972794559231</c:v>
                </c:pt>
                <c:pt idx="994">
                  <c:v>0.19883976795359393</c:v>
                </c:pt>
                <c:pt idx="995">
                  <c:v>0.19903980796159554</c:v>
                </c:pt>
                <c:pt idx="996">
                  <c:v>0.19923984796959715</c:v>
                </c:pt>
                <c:pt idx="997">
                  <c:v>0.19943988797759876</c:v>
                </c:pt>
                <c:pt idx="998">
                  <c:v>0.19963992798560037</c:v>
                </c:pt>
                <c:pt idx="999">
                  <c:v>0.19983996799360199</c:v>
                </c:pt>
                <c:pt idx="1000">
                  <c:v>0.2000400080016036</c:v>
                </c:pt>
                <c:pt idx="1001">
                  <c:v>0.20024004800960521</c:v>
                </c:pt>
                <c:pt idx="1002">
                  <c:v>0.20044008801760682</c:v>
                </c:pt>
                <c:pt idx="1003">
                  <c:v>0.20064012802560843</c:v>
                </c:pt>
                <c:pt idx="1004">
                  <c:v>0.20084016803361004</c:v>
                </c:pt>
                <c:pt idx="1005">
                  <c:v>0.20104020804161166</c:v>
                </c:pt>
                <c:pt idx="1006">
                  <c:v>0.20124024804961327</c:v>
                </c:pt>
                <c:pt idx="1007">
                  <c:v>0.20144028805761488</c:v>
                </c:pt>
                <c:pt idx="1008">
                  <c:v>0.20164032806561649</c:v>
                </c:pt>
                <c:pt idx="1009">
                  <c:v>0.2018403680736181</c:v>
                </c:pt>
                <c:pt idx="1010">
                  <c:v>0.20204040808161972</c:v>
                </c:pt>
                <c:pt idx="1011">
                  <c:v>0.20224044808962133</c:v>
                </c:pt>
                <c:pt idx="1012">
                  <c:v>0.20244048809762294</c:v>
                </c:pt>
                <c:pt idx="1013">
                  <c:v>0.20264052810562455</c:v>
                </c:pt>
                <c:pt idx="1014">
                  <c:v>0.20284056811362616</c:v>
                </c:pt>
                <c:pt idx="1015">
                  <c:v>0.20304060812162777</c:v>
                </c:pt>
                <c:pt idx="1016">
                  <c:v>0.20324064812962939</c:v>
                </c:pt>
                <c:pt idx="1017">
                  <c:v>0.203440688137631</c:v>
                </c:pt>
                <c:pt idx="1018">
                  <c:v>0.20364072814563261</c:v>
                </c:pt>
                <c:pt idx="1019">
                  <c:v>0.20384076815363422</c:v>
                </c:pt>
                <c:pt idx="1020">
                  <c:v>0.20404080816163583</c:v>
                </c:pt>
                <c:pt idx="1021">
                  <c:v>0.20424084816963745</c:v>
                </c:pt>
                <c:pt idx="1022">
                  <c:v>0.20444088817763906</c:v>
                </c:pt>
                <c:pt idx="1023">
                  <c:v>0.20464092818564067</c:v>
                </c:pt>
                <c:pt idx="1024">
                  <c:v>0.20484096819364228</c:v>
                </c:pt>
                <c:pt idx="1025">
                  <c:v>0.20504100820164389</c:v>
                </c:pt>
                <c:pt idx="1026">
                  <c:v>0.2052410482096455</c:v>
                </c:pt>
                <c:pt idx="1027">
                  <c:v>0.20544108821764712</c:v>
                </c:pt>
                <c:pt idx="1028">
                  <c:v>0.20564112822564873</c:v>
                </c:pt>
                <c:pt idx="1029">
                  <c:v>0.20584116823365034</c:v>
                </c:pt>
                <c:pt idx="1030">
                  <c:v>0.20604120824165195</c:v>
                </c:pt>
                <c:pt idx="1031">
                  <c:v>0.20624124824965356</c:v>
                </c:pt>
                <c:pt idx="1032">
                  <c:v>0.20644128825765518</c:v>
                </c:pt>
                <c:pt idx="1033">
                  <c:v>0.20664132826565679</c:v>
                </c:pt>
                <c:pt idx="1034">
                  <c:v>0.2068413682736584</c:v>
                </c:pt>
                <c:pt idx="1035">
                  <c:v>0.20704140828166001</c:v>
                </c:pt>
                <c:pt idx="1036">
                  <c:v>0.20724144828966162</c:v>
                </c:pt>
                <c:pt idx="1037">
                  <c:v>0.20744148829766323</c:v>
                </c:pt>
                <c:pt idx="1038">
                  <c:v>0.20764152830566485</c:v>
                </c:pt>
                <c:pt idx="1039">
                  <c:v>0.20784156831366646</c:v>
                </c:pt>
                <c:pt idx="1040">
                  <c:v>0.20804160832166807</c:v>
                </c:pt>
                <c:pt idx="1041">
                  <c:v>0.20824164832966968</c:v>
                </c:pt>
                <c:pt idx="1042">
                  <c:v>0.20844168833767129</c:v>
                </c:pt>
                <c:pt idx="1043">
                  <c:v>0.20864172834567291</c:v>
                </c:pt>
                <c:pt idx="1044">
                  <c:v>0.20884176835367452</c:v>
                </c:pt>
                <c:pt idx="1045">
                  <c:v>0.20904180836167613</c:v>
                </c:pt>
                <c:pt idx="1046">
                  <c:v>0.20924184836967774</c:v>
                </c:pt>
                <c:pt idx="1047">
                  <c:v>0.20944188837767935</c:v>
                </c:pt>
                <c:pt idx="1048">
                  <c:v>0.20964192838568096</c:v>
                </c:pt>
                <c:pt idx="1049">
                  <c:v>0.20984196839368258</c:v>
                </c:pt>
                <c:pt idx="1050">
                  <c:v>0.21004200840168419</c:v>
                </c:pt>
                <c:pt idx="1051">
                  <c:v>0.2102420484096858</c:v>
                </c:pt>
                <c:pt idx="1052">
                  <c:v>0.21044208841768741</c:v>
                </c:pt>
                <c:pt idx="1053">
                  <c:v>0.21064212842568902</c:v>
                </c:pt>
                <c:pt idx="1054">
                  <c:v>0.21084216843369064</c:v>
                </c:pt>
                <c:pt idx="1055">
                  <c:v>0.21104220844169225</c:v>
                </c:pt>
                <c:pt idx="1056">
                  <c:v>0.21124224844969386</c:v>
                </c:pt>
                <c:pt idx="1057">
                  <c:v>0.21144228845769547</c:v>
                </c:pt>
                <c:pt idx="1058">
                  <c:v>0.21164232846569708</c:v>
                </c:pt>
                <c:pt idx="1059">
                  <c:v>0.21184236847369869</c:v>
                </c:pt>
                <c:pt idx="1060">
                  <c:v>0.21204240848170031</c:v>
                </c:pt>
                <c:pt idx="1061">
                  <c:v>0.21224244848970192</c:v>
                </c:pt>
                <c:pt idx="1062">
                  <c:v>0.21244248849770353</c:v>
                </c:pt>
                <c:pt idx="1063">
                  <c:v>0.21264252850570514</c:v>
                </c:pt>
                <c:pt idx="1064">
                  <c:v>0.21284256851370675</c:v>
                </c:pt>
                <c:pt idx="1065">
                  <c:v>0.21304260852170837</c:v>
                </c:pt>
                <c:pt idx="1066">
                  <c:v>0.21324264852970998</c:v>
                </c:pt>
                <c:pt idx="1067">
                  <c:v>0.21344268853771159</c:v>
                </c:pt>
                <c:pt idx="1068">
                  <c:v>0.2136427285457132</c:v>
                </c:pt>
                <c:pt idx="1069">
                  <c:v>0.21384276855371481</c:v>
                </c:pt>
                <c:pt idx="1070">
                  <c:v>0.21404280856171642</c:v>
                </c:pt>
                <c:pt idx="1071">
                  <c:v>0.21424284856971804</c:v>
                </c:pt>
                <c:pt idx="1072">
                  <c:v>0.21444288857771965</c:v>
                </c:pt>
                <c:pt idx="1073">
                  <c:v>0.21464292858572126</c:v>
                </c:pt>
                <c:pt idx="1074">
                  <c:v>0.21484296859372287</c:v>
                </c:pt>
                <c:pt idx="1075">
                  <c:v>0.21504300860172448</c:v>
                </c:pt>
                <c:pt idx="1076">
                  <c:v>0.2152430486097261</c:v>
                </c:pt>
                <c:pt idx="1077">
                  <c:v>0.21544308861772771</c:v>
                </c:pt>
                <c:pt idx="1078">
                  <c:v>0.21564312862572932</c:v>
                </c:pt>
                <c:pt idx="1079">
                  <c:v>0.21584316863373093</c:v>
                </c:pt>
                <c:pt idx="1080">
                  <c:v>0.21604320864173254</c:v>
                </c:pt>
                <c:pt idx="1081">
                  <c:v>0.21624324864973415</c:v>
                </c:pt>
                <c:pt idx="1082">
                  <c:v>0.21644328865773577</c:v>
                </c:pt>
                <c:pt idx="1083">
                  <c:v>0.21664332866573738</c:v>
                </c:pt>
                <c:pt idx="1084">
                  <c:v>0.21684336867373899</c:v>
                </c:pt>
                <c:pt idx="1085">
                  <c:v>0.2170434086817406</c:v>
                </c:pt>
                <c:pt idx="1086">
                  <c:v>0.21724344868974221</c:v>
                </c:pt>
                <c:pt idx="1087">
                  <c:v>0.21744348869774383</c:v>
                </c:pt>
                <c:pt idx="1088">
                  <c:v>0.21764352870574544</c:v>
                </c:pt>
                <c:pt idx="1089">
                  <c:v>0.21784356871374705</c:v>
                </c:pt>
                <c:pt idx="1090">
                  <c:v>0.21804360872174866</c:v>
                </c:pt>
                <c:pt idx="1091">
                  <c:v>0.21824364872975027</c:v>
                </c:pt>
                <c:pt idx="1092">
                  <c:v>0.21844368873775188</c:v>
                </c:pt>
                <c:pt idx="1093">
                  <c:v>0.2186437287457535</c:v>
                </c:pt>
                <c:pt idx="1094">
                  <c:v>0.21884376875375511</c:v>
                </c:pt>
                <c:pt idx="1095">
                  <c:v>0.21904380876175672</c:v>
                </c:pt>
                <c:pt idx="1096">
                  <c:v>0.21924384876975833</c:v>
                </c:pt>
                <c:pt idx="1097">
                  <c:v>0.21944388877775994</c:v>
                </c:pt>
                <c:pt idx="1098">
                  <c:v>0.21964392878576156</c:v>
                </c:pt>
                <c:pt idx="1099">
                  <c:v>0.21984396879376317</c:v>
                </c:pt>
                <c:pt idx="1100">
                  <c:v>0.22004400880176478</c:v>
                </c:pt>
                <c:pt idx="1101">
                  <c:v>0.22024404880976639</c:v>
                </c:pt>
                <c:pt idx="1102">
                  <c:v>0.220444088817768</c:v>
                </c:pt>
                <c:pt idx="1103">
                  <c:v>0.22064412882576961</c:v>
                </c:pt>
                <c:pt idx="1104">
                  <c:v>0.22084416883377123</c:v>
                </c:pt>
                <c:pt idx="1105">
                  <c:v>0.22104420884177284</c:v>
                </c:pt>
                <c:pt idx="1106">
                  <c:v>0.22124424884977445</c:v>
                </c:pt>
                <c:pt idx="1107">
                  <c:v>0.22144428885777606</c:v>
                </c:pt>
                <c:pt idx="1108">
                  <c:v>0.22164432886577767</c:v>
                </c:pt>
                <c:pt idx="1109">
                  <c:v>0.22184436887377929</c:v>
                </c:pt>
                <c:pt idx="1110">
                  <c:v>0.2220444088817809</c:v>
                </c:pt>
                <c:pt idx="1111">
                  <c:v>0.22224444888978251</c:v>
                </c:pt>
                <c:pt idx="1112">
                  <c:v>0.22244448889778412</c:v>
                </c:pt>
                <c:pt idx="1113">
                  <c:v>0.22264452890578573</c:v>
                </c:pt>
                <c:pt idx="1114">
                  <c:v>0.22284456891378734</c:v>
                </c:pt>
                <c:pt idx="1115">
                  <c:v>0.22304460892178896</c:v>
                </c:pt>
                <c:pt idx="1116">
                  <c:v>0.22324464892979057</c:v>
                </c:pt>
                <c:pt idx="1117">
                  <c:v>0.22344468893779218</c:v>
                </c:pt>
                <c:pt idx="1118">
                  <c:v>0.22364472894579379</c:v>
                </c:pt>
                <c:pt idx="1119">
                  <c:v>0.2238447689537954</c:v>
                </c:pt>
                <c:pt idx="1120">
                  <c:v>0.22404480896179702</c:v>
                </c:pt>
                <c:pt idx="1121">
                  <c:v>0.22424484896979863</c:v>
                </c:pt>
                <c:pt idx="1122">
                  <c:v>0.22444488897780024</c:v>
                </c:pt>
                <c:pt idx="1123">
                  <c:v>0.22464492898580185</c:v>
                </c:pt>
                <c:pt idx="1124">
                  <c:v>0.22484496899380346</c:v>
                </c:pt>
                <c:pt idx="1125">
                  <c:v>0.22504500900180507</c:v>
                </c:pt>
                <c:pt idx="1126">
                  <c:v>0.22524504900980669</c:v>
                </c:pt>
                <c:pt idx="1127">
                  <c:v>0.2254450890178083</c:v>
                </c:pt>
                <c:pt idx="1128">
                  <c:v>0.22564512902580991</c:v>
                </c:pt>
                <c:pt idx="1129">
                  <c:v>0.22584516903381152</c:v>
                </c:pt>
                <c:pt idx="1130">
                  <c:v>0.22604520904181313</c:v>
                </c:pt>
                <c:pt idx="1131">
                  <c:v>0.22624524904981475</c:v>
                </c:pt>
                <c:pt idx="1132">
                  <c:v>0.22644528905781636</c:v>
                </c:pt>
                <c:pt idx="1133">
                  <c:v>0.22664532906581797</c:v>
                </c:pt>
                <c:pt idx="1134">
                  <c:v>0.22684536907381958</c:v>
                </c:pt>
                <c:pt idx="1135">
                  <c:v>0.22704540908182119</c:v>
                </c:pt>
                <c:pt idx="1136">
                  <c:v>0.2272454490898228</c:v>
                </c:pt>
                <c:pt idx="1137">
                  <c:v>0.22744548909782442</c:v>
                </c:pt>
                <c:pt idx="1138">
                  <c:v>0.22764552910582603</c:v>
                </c:pt>
                <c:pt idx="1139">
                  <c:v>0.22784556911382764</c:v>
                </c:pt>
                <c:pt idx="1140">
                  <c:v>0.22804560912182925</c:v>
                </c:pt>
                <c:pt idx="1141">
                  <c:v>0.22824564912983086</c:v>
                </c:pt>
                <c:pt idx="1142">
                  <c:v>0.22844568913783247</c:v>
                </c:pt>
                <c:pt idx="1143">
                  <c:v>0.22864572914583409</c:v>
                </c:pt>
                <c:pt idx="1144">
                  <c:v>0.2288457691538357</c:v>
                </c:pt>
                <c:pt idx="1145">
                  <c:v>0.22904580916183731</c:v>
                </c:pt>
                <c:pt idx="1146">
                  <c:v>0.22924584916983892</c:v>
                </c:pt>
                <c:pt idx="1147">
                  <c:v>0.22944588917784053</c:v>
                </c:pt>
                <c:pt idx="1148">
                  <c:v>0.22964592918584215</c:v>
                </c:pt>
                <c:pt idx="1149">
                  <c:v>0.22984596919384376</c:v>
                </c:pt>
                <c:pt idx="1150">
                  <c:v>0.23004600920184537</c:v>
                </c:pt>
                <c:pt idx="1151">
                  <c:v>0.23024604920984698</c:v>
                </c:pt>
                <c:pt idx="1152">
                  <c:v>0.23044608921784859</c:v>
                </c:pt>
                <c:pt idx="1153">
                  <c:v>0.2306461292258502</c:v>
                </c:pt>
                <c:pt idx="1154">
                  <c:v>0.23084616923385182</c:v>
                </c:pt>
                <c:pt idx="1155">
                  <c:v>0.23104620924185343</c:v>
                </c:pt>
                <c:pt idx="1156">
                  <c:v>0.23124624924985504</c:v>
                </c:pt>
                <c:pt idx="1157">
                  <c:v>0.23144628925785665</c:v>
                </c:pt>
                <c:pt idx="1158">
                  <c:v>0.23164632926585826</c:v>
                </c:pt>
                <c:pt idx="1159">
                  <c:v>0.23184636927385988</c:v>
                </c:pt>
                <c:pt idx="1160">
                  <c:v>0.23204640928186149</c:v>
                </c:pt>
                <c:pt idx="1161">
                  <c:v>0.2322464492898631</c:v>
                </c:pt>
                <c:pt idx="1162">
                  <c:v>0.23244648929786471</c:v>
                </c:pt>
                <c:pt idx="1163">
                  <c:v>0.23264652930586632</c:v>
                </c:pt>
                <c:pt idx="1164">
                  <c:v>0.23284656931386793</c:v>
                </c:pt>
                <c:pt idx="1165">
                  <c:v>0.23304660932186955</c:v>
                </c:pt>
                <c:pt idx="1166">
                  <c:v>0.23324664932987116</c:v>
                </c:pt>
                <c:pt idx="1167">
                  <c:v>0.23344668933787277</c:v>
                </c:pt>
                <c:pt idx="1168">
                  <c:v>0.23364672934587438</c:v>
                </c:pt>
                <c:pt idx="1169">
                  <c:v>0.23384676935387599</c:v>
                </c:pt>
                <c:pt idx="1170">
                  <c:v>0.23404680936187761</c:v>
                </c:pt>
                <c:pt idx="1171">
                  <c:v>0.23424684936987922</c:v>
                </c:pt>
                <c:pt idx="1172">
                  <c:v>0.23444688937788083</c:v>
                </c:pt>
                <c:pt idx="1173">
                  <c:v>0.23464692938588244</c:v>
                </c:pt>
                <c:pt idx="1174">
                  <c:v>0.23484696939388405</c:v>
                </c:pt>
                <c:pt idx="1175">
                  <c:v>0.23504700940188566</c:v>
                </c:pt>
                <c:pt idx="1176">
                  <c:v>0.23524704940988728</c:v>
                </c:pt>
                <c:pt idx="1177">
                  <c:v>0.23544708941788889</c:v>
                </c:pt>
                <c:pt idx="1178">
                  <c:v>0.2356471294258905</c:v>
                </c:pt>
                <c:pt idx="1179">
                  <c:v>0.23584716943389211</c:v>
                </c:pt>
                <c:pt idx="1180">
                  <c:v>0.23604720944189372</c:v>
                </c:pt>
                <c:pt idx="1181">
                  <c:v>0.23624724944989534</c:v>
                </c:pt>
                <c:pt idx="1182">
                  <c:v>0.23644728945789695</c:v>
                </c:pt>
                <c:pt idx="1183">
                  <c:v>0.23664732946589856</c:v>
                </c:pt>
                <c:pt idx="1184">
                  <c:v>0.23684736947390017</c:v>
                </c:pt>
                <c:pt idx="1185">
                  <c:v>0.23704740948190178</c:v>
                </c:pt>
                <c:pt idx="1186">
                  <c:v>0.23724744948990339</c:v>
                </c:pt>
                <c:pt idx="1187">
                  <c:v>0.23744748949790501</c:v>
                </c:pt>
                <c:pt idx="1188">
                  <c:v>0.23764752950590662</c:v>
                </c:pt>
                <c:pt idx="1189">
                  <c:v>0.23784756951390823</c:v>
                </c:pt>
                <c:pt idx="1190">
                  <c:v>0.23804760952190984</c:v>
                </c:pt>
                <c:pt idx="1191">
                  <c:v>0.23824764952991145</c:v>
                </c:pt>
                <c:pt idx="1192">
                  <c:v>0.23844768953791307</c:v>
                </c:pt>
                <c:pt idx="1193">
                  <c:v>0.23864772954591468</c:v>
                </c:pt>
                <c:pt idx="1194">
                  <c:v>0.23884776955391629</c:v>
                </c:pt>
                <c:pt idx="1195">
                  <c:v>0.2390478095619179</c:v>
                </c:pt>
                <c:pt idx="1196">
                  <c:v>0.23924784956991951</c:v>
                </c:pt>
                <c:pt idx="1197">
                  <c:v>0.23944788957792112</c:v>
                </c:pt>
                <c:pt idx="1198">
                  <c:v>0.23964792958592274</c:v>
                </c:pt>
                <c:pt idx="1199">
                  <c:v>0.23984796959392435</c:v>
                </c:pt>
                <c:pt idx="1200">
                  <c:v>0.24004800960192596</c:v>
                </c:pt>
                <c:pt idx="1201">
                  <c:v>0.24024804960992757</c:v>
                </c:pt>
                <c:pt idx="1202">
                  <c:v>0.24044808961792918</c:v>
                </c:pt>
                <c:pt idx="1203">
                  <c:v>0.2406481296259308</c:v>
                </c:pt>
                <c:pt idx="1204">
                  <c:v>0.24084816963393241</c:v>
                </c:pt>
                <c:pt idx="1205">
                  <c:v>0.24104820964193402</c:v>
                </c:pt>
                <c:pt idx="1206">
                  <c:v>0.24124824964993563</c:v>
                </c:pt>
                <c:pt idx="1207">
                  <c:v>0.24144828965793724</c:v>
                </c:pt>
                <c:pt idx="1208">
                  <c:v>0.24164832966593885</c:v>
                </c:pt>
                <c:pt idx="1209">
                  <c:v>0.24184836967394047</c:v>
                </c:pt>
                <c:pt idx="1210">
                  <c:v>0.24204840968194208</c:v>
                </c:pt>
                <c:pt idx="1211">
                  <c:v>0.24224844968994369</c:v>
                </c:pt>
                <c:pt idx="1212">
                  <c:v>0.2424484896979453</c:v>
                </c:pt>
                <c:pt idx="1213">
                  <c:v>0.24264852970594691</c:v>
                </c:pt>
                <c:pt idx="1214">
                  <c:v>0.24284856971394853</c:v>
                </c:pt>
                <c:pt idx="1215">
                  <c:v>0.24304860972195014</c:v>
                </c:pt>
                <c:pt idx="1216">
                  <c:v>0.24324864972995175</c:v>
                </c:pt>
                <c:pt idx="1217">
                  <c:v>0.24344868973795336</c:v>
                </c:pt>
                <c:pt idx="1218">
                  <c:v>0.24364872974595497</c:v>
                </c:pt>
                <c:pt idx="1219">
                  <c:v>0.24384876975395658</c:v>
                </c:pt>
                <c:pt idx="1220">
                  <c:v>0.2440488097619582</c:v>
                </c:pt>
                <c:pt idx="1221">
                  <c:v>0.24424884976995981</c:v>
                </c:pt>
                <c:pt idx="1222">
                  <c:v>0.24444888977796142</c:v>
                </c:pt>
                <c:pt idx="1223">
                  <c:v>0.24464892978596303</c:v>
                </c:pt>
                <c:pt idx="1224">
                  <c:v>0.24484896979396464</c:v>
                </c:pt>
                <c:pt idx="1225">
                  <c:v>0.24504900980196626</c:v>
                </c:pt>
                <c:pt idx="1226">
                  <c:v>0.24524904980996787</c:v>
                </c:pt>
                <c:pt idx="1227">
                  <c:v>0.24544908981796948</c:v>
                </c:pt>
                <c:pt idx="1228">
                  <c:v>0.24564912982597109</c:v>
                </c:pt>
                <c:pt idx="1229">
                  <c:v>0.2458491698339727</c:v>
                </c:pt>
                <c:pt idx="1230">
                  <c:v>0.24604920984197431</c:v>
                </c:pt>
                <c:pt idx="1231">
                  <c:v>0.24624924984997593</c:v>
                </c:pt>
                <c:pt idx="1232">
                  <c:v>0.24644928985797754</c:v>
                </c:pt>
                <c:pt idx="1233">
                  <c:v>0.24664932986597915</c:v>
                </c:pt>
                <c:pt idx="1234">
                  <c:v>0.24684936987398076</c:v>
                </c:pt>
                <c:pt idx="1235">
                  <c:v>0.24704940988198237</c:v>
                </c:pt>
                <c:pt idx="1236">
                  <c:v>0.24724944988998399</c:v>
                </c:pt>
                <c:pt idx="1237">
                  <c:v>0.2474494898979856</c:v>
                </c:pt>
                <c:pt idx="1238">
                  <c:v>0.24764952990598721</c:v>
                </c:pt>
                <c:pt idx="1239">
                  <c:v>0.24784956991398882</c:v>
                </c:pt>
                <c:pt idx="1240">
                  <c:v>0.24804960992199043</c:v>
                </c:pt>
                <c:pt idx="1241">
                  <c:v>0.24824964992999204</c:v>
                </c:pt>
                <c:pt idx="1242">
                  <c:v>0.24844968993799366</c:v>
                </c:pt>
                <c:pt idx="1243">
                  <c:v>0.24864972994599527</c:v>
                </c:pt>
                <c:pt idx="1244">
                  <c:v>0.24884976995399688</c:v>
                </c:pt>
                <c:pt idx="1245">
                  <c:v>0.24904980996199849</c:v>
                </c:pt>
                <c:pt idx="1246">
                  <c:v>0.2492498499700001</c:v>
                </c:pt>
                <c:pt idx="1247">
                  <c:v>0.24944988997800172</c:v>
                </c:pt>
                <c:pt idx="1248">
                  <c:v>0.24964992998600333</c:v>
                </c:pt>
                <c:pt idx="1249">
                  <c:v>0.24984996999400494</c:v>
                </c:pt>
                <c:pt idx="1250">
                  <c:v>0.25005001000200655</c:v>
                </c:pt>
                <c:pt idx="1251">
                  <c:v>0.25025005001000816</c:v>
                </c:pt>
                <c:pt idx="1252">
                  <c:v>0.25045009001800977</c:v>
                </c:pt>
                <c:pt idx="1253">
                  <c:v>0.25065013002601139</c:v>
                </c:pt>
                <c:pt idx="1254">
                  <c:v>0.250850170034013</c:v>
                </c:pt>
                <c:pt idx="1255">
                  <c:v>0.25105021004201461</c:v>
                </c:pt>
                <c:pt idx="1256">
                  <c:v>0.25125025005001622</c:v>
                </c:pt>
                <c:pt idx="1257">
                  <c:v>0.25145029005801783</c:v>
                </c:pt>
                <c:pt idx="1258">
                  <c:v>0.25165033006601945</c:v>
                </c:pt>
                <c:pt idx="1259">
                  <c:v>0.25185037007402106</c:v>
                </c:pt>
                <c:pt idx="1260">
                  <c:v>0.25205041008202267</c:v>
                </c:pt>
                <c:pt idx="1261">
                  <c:v>0.25225045009002428</c:v>
                </c:pt>
                <c:pt idx="1262">
                  <c:v>0.25245049009802589</c:v>
                </c:pt>
                <c:pt idx="1263">
                  <c:v>0.2526505301060275</c:v>
                </c:pt>
                <c:pt idx="1264">
                  <c:v>0.25285057011402912</c:v>
                </c:pt>
                <c:pt idx="1265">
                  <c:v>0.25305061012203073</c:v>
                </c:pt>
                <c:pt idx="1266">
                  <c:v>0.25325065013003234</c:v>
                </c:pt>
                <c:pt idx="1267">
                  <c:v>0.25345069013803395</c:v>
                </c:pt>
                <c:pt idx="1268">
                  <c:v>0.25365073014603556</c:v>
                </c:pt>
                <c:pt idx="1269">
                  <c:v>0.25385077015403718</c:v>
                </c:pt>
                <c:pt idx="1270">
                  <c:v>0.25405081016203879</c:v>
                </c:pt>
                <c:pt idx="1271">
                  <c:v>0.2542508501700404</c:v>
                </c:pt>
                <c:pt idx="1272">
                  <c:v>0.25445089017804201</c:v>
                </c:pt>
                <c:pt idx="1273">
                  <c:v>0.25465093018604362</c:v>
                </c:pt>
                <c:pt idx="1274">
                  <c:v>0.25485097019404523</c:v>
                </c:pt>
                <c:pt idx="1275">
                  <c:v>0.25505101020204685</c:v>
                </c:pt>
                <c:pt idx="1276">
                  <c:v>0.25525105021004846</c:v>
                </c:pt>
                <c:pt idx="1277">
                  <c:v>0.25545109021805007</c:v>
                </c:pt>
                <c:pt idx="1278">
                  <c:v>0.25565113022605168</c:v>
                </c:pt>
                <c:pt idx="1279">
                  <c:v>0.25585117023405329</c:v>
                </c:pt>
                <c:pt idx="1280">
                  <c:v>0.25605121024205491</c:v>
                </c:pt>
                <c:pt idx="1281">
                  <c:v>0.25625125025005652</c:v>
                </c:pt>
                <c:pt idx="1282">
                  <c:v>0.25645129025805813</c:v>
                </c:pt>
                <c:pt idx="1283">
                  <c:v>0.25665133026605974</c:v>
                </c:pt>
                <c:pt idx="1284">
                  <c:v>0.25685137027406135</c:v>
                </c:pt>
                <c:pt idx="1285">
                  <c:v>0.25705141028206296</c:v>
                </c:pt>
                <c:pt idx="1286">
                  <c:v>0.25725145029006458</c:v>
                </c:pt>
                <c:pt idx="1287">
                  <c:v>0.25745149029806619</c:v>
                </c:pt>
                <c:pt idx="1288">
                  <c:v>0.2576515303060678</c:v>
                </c:pt>
                <c:pt idx="1289">
                  <c:v>0.25785157031406941</c:v>
                </c:pt>
                <c:pt idx="1290">
                  <c:v>0.25805161032207102</c:v>
                </c:pt>
                <c:pt idx="1291">
                  <c:v>0.25825165033007264</c:v>
                </c:pt>
                <c:pt idx="1292">
                  <c:v>0.25845169033807425</c:v>
                </c:pt>
                <c:pt idx="1293">
                  <c:v>0.25865173034607586</c:v>
                </c:pt>
                <c:pt idx="1294">
                  <c:v>0.25885177035407747</c:v>
                </c:pt>
                <c:pt idx="1295">
                  <c:v>0.25905181036207908</c:v>
                </c:pt>
                <c:pt idx="1296">
                  <c:v>0.25925185037008069</c:v>
                </c:pt>
                <c:pt idx="1297">
                  <c:v>0.25945189037808231</c:v>
                </c:pt>
                <c:pt idx="1298">
                  <c:v>0.25965193038608392</c:v>
                </c:pt>
                <c:pt idx="1299">
                  <c:v>0.25985197039408553</c:v>
                </c:pt>
                <c:pt idx="1300">
                  <c:v>0.26005201040208714</c:v>
                </c:pt>
                <c:pt idx="1301">
                  <c:v>0.26025205041008875</c:v>
                </c:pt>
                <c:pt idx="1302">
                  <c:v>0.26045209041809037</c:v>
                </c:pt>
                <c:pt idx="1303">
                  <c:v>0.26065213042609198</c:v>
                </c:pt>
                <c:pt idx="1304">
                  <c:v>0.26085217043409359</c:v>
                </c:pt>
                <c:pt idx="1305">
                  <c:v>0.2610522104420952</c:v>
                </c:pt>
                <c:pt idx="1306">
                  <c:v>0.26125225045009681</c:v>
                </c:pt>
                <c:pt idx="1307">
                  <c:v>0.26145229045809842</c:v>
                </c:pt>
                <c:pt idx="1308">
                  <c:v>0.26165233046610004</c:v>
                </c:pt>
                <c:pt idx="1309">
                  <c:v>0.26185237047410165</c:v>
                </c:pt>
                <c:pt idx="1310">
                  <c:v>0.26205241048210326</c:v>
                </c:pt>
                <c:pt idx="1311">
                  <c:v>0.26225245049010487</c:v>
                </c:pt>
                <c:pt idx="1312">
                  <c:v>0.26245249049810648</c:v>
                </c:pt>
                <c:pt idx="1313">
                  <c:v>0.2626525305061081</c:v>
                </c:pt>
                <c:pt idx="1314">
                  <c:v>0.26285257051410971</c:v>
                </c:pt>
                <c:pt idx="1315">
                  <c:v>0.26305261052211132</c:v>
                </c:pt>
                <c:pt idx="1316">
                  <c:v>0.26325265053011293</c:v>
                </c:pt>
                <c:pt idx="1317">
                  <c:v>0.26345269053811454</c:v>
                </c:pt>
                <c:pt idx="1318">
                  <c:v>0.26365273054611615</c:v>
                </c:pt>
                <c:pt idx="1319">
                  <c:v>0.26385277055411777</c:v>
                </c:pt>
                <c:pt idx="1320">
                  <c:v>0.26405281056211938</c:v>
                </c:pt>
                <c:pt idx="1321">
                  <c:v>0.26425285057012099</c:v>
                </c:pt>
                <c:pt idx="1322">
                  <c:v>0.2644528905781226</c:v>
                </c:pt>
                <c:pt idx="1323">
                  <c:v>0.26465293058612421</c:v>
                </c:pt>
                <c:pt idx="1324">
                  <c:v>0.26485297059412582</c:v>
                </c:pt>
                <c:pt idx="1325">
                  <c:v>0.26505301060212744</c:v>
                </c:pt>
                <c:pt idx="1326">
                  <c:v>0.26525305061012905</c:v>
                </c:pt>
                <c:pt idx="1327">
                  <c:v>0.26545309061813066</c:v>
                </c:pt>
                <c:pt idx="1328">
                  <c:v>0.26565313062613227</c:v>
                </c:pt>
                <c:pt idx="1329">
                  <c:v>0.26585317063413388</c:v>
                </c:pt>
                <c:pt idx="1330">
                  <c:v>0.2660532106421355</c:v>
                </c:pt>
                <c:pt idx="1331">
                  <c:v>0.26625325065013711</c:v>
                </c:pt>
                <c:pt idx="1332">
                  <c:v>0.26645329065813872</c:v>
                </c:pt>
                <c:pt idx="1333">
                  <c:v>0.26665333066614033</c:v>
                </c:pt>
                <c:pt idx="1334">
                  <c:v>0.26685337067414194</c:v>
                </c:pt>
                <c:pt idx="1335">
                  <c:v>0.26705341068214355</c:v>
                </c:pt>
                <c:pt idx="1336">
                  <c:v>0.26725345069014517</c:v>
                </c:pt>
                <c:pt idx="1337">
                  <c:v>0.26745349069814678</c:v>
                </c:pt>
                <c:pt idx="1338">
                  <c:v>0.26765353070614839</c:v>
                </c:pt>
                <c:pt idx="1339">
                  <c:v>0.26785357071415</c:v>
                </c:pt>
                <c:pt idx="1340">
                  <c:v>0.26805361072215161</c:v>
                </c:pt>
                <c:pt idx="1341">
                  <c:v>0.26825365073015323</c:v>
                </c:pt>
                <c:pt idx="1342">
                  <c:v>0.26845369073815484</c:v>
                </c:pt>
                <c:pt idx="1343">
                  <c:v>0.26865373074615645</c:v>
                </c:pt>
                <c:pt idx="1344">
                  <c:v>0.26885377075415806</c:v>
                </c:pt>
                <c:pt idx="1345">
                  <c:v>0.26905381076215967</c:v>
                </c:pt>
                <c:pt idx="1346">
                  <c:v>0.26925385077016128</c:v>
                </c:pt>
                <c:pt idx="1347">
                  <c:v>0.2694538907781629</c:v>
                </c:pt>
                <c:pt idx="1348">
                  <c:v>0.26965393078616451</c:v>
                </c:pt>
                <c:pt idx="1349">
                  <c:v>0.26985397079416612</c:v>
                </c:pt>
                <c:pt idx="1350">
                  <c:v>0.27005401080216773</c:v>
                </c:pt>
                <c:pt idx="1351">
                  <c:v>0.27025405081016934</c:v>
                </c:pt>
                <c:pt idx="1352">
                  <c:v>0.27045409081817096</c:v>
                </c:pt>
                <c:pt idx="1353">
                  <c:v>0.27065413082617257</c:v>
                </c:pt>
                <c:pt idx="1354">
                  <c:v>0.27085417083417418</c:v>
                </c:pt>
                <c:pt idx="1355">
                  <c:v>0.27105421084217579</c:v>
                </c:pt>
                <c:pt idx="1356">
                  <c:v>0.2712542508501774</c:v>
                </c:pt>
                <c:pt idx="1357">
                  <c:v>0.27145429085817901</c:v>
                </c:pt>
                <c:pt idx="1358">
                  <c:v>0.27165433086618063</c:v>
                </c:pt>
                <c:pt idx="1359">
                  <c:v>0.27185437087418224</c:v>
                </c:pt>
                <c:pt idx="1360">
                  <c:v>0.27205441088218385</c:v>
                </c:pt>
                <c:pt idx="1361">
                  <c:v>0.27225445089018546</c:v>
                </c:pt>
                <c:pt idx="1362">
                  <c:v>0.27245449089818707</c:v>
                </c:pt>
                <c:pt idx="1363">
                  <c:v>0.27265453090618869</c:v>
                </c:pt>
                <c:pt idx="1364">
                  <c:v>0.2728545709141903</c:v>
                </c:pt>
                <c:pt idx="1365">
                  <c:v>0.27305461092219191</c:v>
                </c:pt>
                <c:pt idx="1366">
                  <c:v>0.27325465093019352</c:v>
                </c:pt>
                <c:pt idx="1367">
                  <c:v>0.27345469093819513</c:v>
                </c:pt>
                <c:pt idx="1368">
                  <c:v>0.27365473094619674</c:v>
                </c:pt>
                <c:pt idx="1369">
                  <c:v>0.27385477095419836</c:v>
                </c:pt>
                <c:pt idx="1370">
                  <c:v>0.27405481096219997</c:v>
                </c:pt>
                <c:pt idx="1371">
                  <c:v>0.27425485097020158</c:v>
                </c:pt>
                <c:pt idx="1372">
                  <c:v>0.27445489097820319</c:v>
                </c:pt>
                <c:pt idx="1373">
                  <c:v>0.2746549309862048</c:v>
                </c:pt>
                <c:pt idx="1374">
                  <c:v>0.27485497099420642</c:v>
                </c:pt>
                <c:pt idx="1375">
                  <c:v>0.27505501100220803</c:v>
                </c:pt>
                <c:pt idx="1376">
                  <c:v>0.27525505101020964</c:v>
                </c:pt>
                <c:pt idx="1377">
                  <c:v>0.27545509101821125</c:v>
                </c:pt>
                <c:pt idx="1378">
                  <c:v>0.27565513102621286</c:v>
                </c:pt>
                <c:pt idx="1379">
                  <c:v>0.27585517103421447</c:v>
                </c:pt>
                <c:pt idx="1380">
                  <c:v>0.27605521104221609</c:v>
                </c:pt>
                <c:pt idx="1381">
                  <c:v>0.2762552510502177</c:v>
                </c:pt>
                <c:pt idx="1382">
                  <c:v>0.27645529105821931</c:v>
                </c:pt>
                <c:pt idx="1383">
                  <c:v>0.27665533106622092</c:v>
                </c:pt>
                <c:pt idx="1384">
                  <c:v>0.27685537107422253</c:v>
                </c:pt>
                <c:pt idx="1385">
                  <c:v>0.27705541108222415</c:v>
                </c:pt>
                <c:pt idx="1386">
                  <c:v>0.27725545109022576</c:v>
                </c:pt>
                <c:pt idx="1387">
                  <c:v>0.27745549109822737</c:v>
                </c:pt>
                <c:pt idx="1388">
                  <c:v>0.27765553110622898</c:v>
                </c:pt>
                <c:pt idx="1389">
                  <c:v>0.27785557111423059</c:v>
                </c:pt>
                <c:pt idx="1390">
                  <c:v>0.2780556111222322</c:v>
                </c:pt>
                <c:pt idx="1391">
                  <c:v>0.27825565113023382</c:v>
                </c:pt>
                <c:pt idx="1392">
                  <c:v>0.27845569113823543</c:v>
                </c:pt>
                <c:pt idx="1393">
                  <c:v>0.27865573114623704</c:v>
                </c:pt>
                <c:pt idx="1394">
                  <c:v>0.27885577115423865</c:v>
                </c:pt>
                <c:pt idx="1395">
                  <c:v>0.27905581116224026</c:v>
                </c:pt>
                <c:pt idx="1396">
                  <c:v>0.27925585117024188</c:v>
                </c:pt>
                <c:pt idx="1397">
                  <c:v>0.27945589117824349</c:v>
                </c:pt>
                <c:pt idx="1398">
                  <c:v>0.2796559311862451</c:v>
                </c:pt>
                <c:pt idx="1399">
                  <c:v>0.27985597119424671</c:v>
                </c:pt>
                <c:pt idx="1400">
                  <c:v>0.28005601120224832</c:v>
                </c:pt>
                <c:pt idx="1401">
                  <c:v>0.28025605121024993</c:v>
                </c:pt>
                <c:pt idx="1402">
                  <c:v>0.28045609121825155</c:v>
                </c:pt>
                <c:pt idx="1403">
                  <c:v>0.28065613122625316</c:v>
                </c:pt>
                <c:pt idx="1404">
                  <c:v>0.28085617123425477</c:v>
                </c:pt>
                <c:pt idx="1405">
                  <c:v>0.28105621124225638</c:v>
                </c:pt>
                <c:pt idx="1406">
                  <c:v>0.28125625125025799</c:v>
                </c:pt>
                <c:pt idx="1407">
                  <c:v>0.28145629125825961</c:v>
                </c:pt>
                <c:pt idx="1408">
                  <c:v>0.28165633126626122</c:v>
                </c:pt>
                <c:pt idx="1409">
                  <c:v>0.28185637127426283</c:v>
                </c:pt>
                <c:pt idx="1410">
                  <c:v>0.28205641128226444</c:v>
                </c:pt>
                <c:pt idx="1411">
                  <c:v>0.28225645129026605</c:v>
                </c:pt>
                <c:pt idx="1412">
                  <c:v>0.28245649129826766</c:v>
                </c:pt>
                <c:pt idx="1413">
                  <c:v>0.28265653130626928</c:v>
                </c:pt>
                <c:pt idx="1414">
                  <c:v>0.28285657131427089</c:v>
                </c:pt>
                <c:pt idx="1415">
                  <c:v>0.2830566113222725</c:v>
                </c:pt>
                <c:pt idx="1416">
                  <c:v>0.28325665133027411</c:v>
                </c:pt>
                <c:pt idx="1417">
                  <c:v>0.28345669133827572</c:v>
                </c:pt>
                <c:pt idx="1418">
                  <c:v>0.28365673134627734</c:v>
                </c:pt>
                <c:pt idx="1419">
                  <c:v>0.28385677135427895</c:v>
                </c:pt>
                <c:pt idx="1420">
                  <c:v>0.28405681136228056</c:v>
                </c:pt>
                <c:pt idx="1421">
                  <c:v>0.28425685137028217</c:v>
                </c:pt>
                <c:pt idx="1422">
                  <c:v>0.28445689137828378</c:v>
                </c:pt>
                <c:pt idx="1423">
                  <c:v>0.28465693138628539</c:v>
                </c:pt>
                <c:pt idx="1424">
                  <c:v>0.28485697139428701</c:v>
                </c:pt>
                <c:pt idx="1425">
                  <c:v>0.28505701140228862</c:v>
                </c:pt>
                <c:pt idx="1426">
                  <c:v>0.28525705141029023</c:v>
                </c:pt>
                <c:pt idx="1427">
                  <c:v>0.28545709141829184</c:v>
                </c:pt>
                <c:pt idx="1428">
                  <c:v>0.28565713142629345</c:v>
                </c:pt>
                <c:pt idx="1429">
                  <c:v>0.28585717143429507</c:v>
                </c:pt>
                <c:pt idx="1430">
                  <c:v>0.28605721144229668</c:v>
                </c:pt>
                <c:pt idx="1431">
                  <c:v>0.28625725145029829</c:v>
                </c:pt>
                <c:pt idx="1432">
                  <c:v>0.2864572914582999</c:v>
                </c:pt>
                <c:pt idx="1433">
                  <c:v>0.28665733146630151</c:v>
                </c:pt>
                <c:pt idx="1434">
                  <c:v>0.28685737147430312</c:v>
                </c:pt>
                <c:pt idx="1435">
                  <c:v>0.28705741148230474</c:v>
                </c:pt>
                <c:pt idx="1436">
                  <c:v>0.28725745149030635</c:v>
                </c:pt>
                <c:pt idx="1437">
                  <c:v>0.28745749149830796</c:v>
                </c:pt>
                <c:pt idx="1438">
                  <c:v>0.28765753150630957</c:v>
                </c:pt>
                <c:pt idx="1439">
                  <c:v>0.28785757151431118</c:v>
                </c:pt>
                <c:pt idx="1440">
                  <c:v>0.2880576115223128</c:v>
                </c:pt>
                <c:pt idx="1441">
                  <c:v>0.28825765153031441</c:v>
                </c:pt>
                <c:pt idx="1442">
                  <c:v>0.28845769153831602</c:v>
                </c:pt>
                <c:pt idx="1443">
                  <c:v>0.28865773154631763</c:v>
                </c:pt>
                <c:pt idx="1444">
                  <c:v>0.28885777155431924</c:v>
                </c:pt>
                <c:pt idx="1445">
                  <c:v>0.28905781156232085</c:v>
                </c:pt>
                <c:pt idx="1446">
                  <c:v>0.28925785157032247</c:v>
                </c:pt>
                <c:pt idx="1447">
                  <c:v>0.28945789157832408</c:v>
                </c:pt>
                <c:pt idx="1448">
                  <c:v>0.28965793158632569</c:v>
                </c:pt>
                <c:pt idx="1449">
                  <c:v>0.2898579715943273</c:v>
                </c:pt>
                <c:pt idx="1450">
                  <c:v>0.29005801160232891</c:v>
                </c:pt>
                <c:pt idx="1451">
                  <c:v>0.29025805161033053</c:v>
                </c:pt>
                <c:pt idx="1452">
                  <c:v>0.29045809161833214</c:v>
                </c:pt>
                <c:pt idx="1453">
                  <c:v>0.29065813162633375</c:v>
                </c:pt>
                <c:pt idx="1454">
                  <c:v>0.29085817163433536</c:v>
                </c:pt>
                <c:pt idx="1455">
                  <c:v>0.29105821164233697</c:v>
                </c:pt>
                <c:pt idx="1456">
                  <c:v>0.29125825165033858</c:v>
                </c:pt>
                <c:pt idx="1457">
                  <c:v>0.2914582916583402</c:v>
                </c:pt>
                <c:pt idx="1458">
                  <c:v>0.29165833166634181</c:v>
                </c:pt>
                <c:pt idx="1459">
                  <c:v>0.29185837167434342</c:v>
                </c:pt>
                <c:pt idx="1460">
                  <c:v>0.29205841168234503</c:v>
                </c:pt>
                <c:pt idx="1461">
                  <c:v>0.29225845169034664</c:v>
                </c:pt>
                <c:pt idx="1462">
                  <c:v>0.29245849169834826</c:v>
                </c:pt>
                <c:pt idx="1463">
                  <c:v>0.29265853170634987</c:v>
                </c:pt>
                <c:pt idx="1464">
                  <c:v>0.29285857171435148</c:v>
                </c:pt>
                <c:pt idx="1465">
                  <c:v>0.29305861172235309</c:v>
                </c:pt>
                <c:pt idx="1466">
                  <c:v>0.2932586517303547</c:v>
                </c:pt>
                <c:pt idx="1467">
                  <c:v>0.29345869173835631</c:v>
                </c:pt>
                <c:pt idx="1468">
                  <c:v>0.29365873174635793</c:v>
                </c:pt>
                <c:pt idx="1469">
                  <c:v>0.29385877175435954</c:v>
                </c:pt>
                <c:pt idx="1470">
                  <c:v>0.29405881176236115</c:v>
                </c:pt>
                <c:pt idx="1471">
                  <c:v>0.29425885177036276</c:v>
                </c:pt>
                <c:pt idx="1472">
                  <c:v>0.29445889177836437</c:v>
                </c:pt>
                <c:pt idx="1473">
                  <c:v>0.29465893178636599</c:v>
                </c:pt>
                <c:pt idx="1474">
                  <c:v>0.2948589717943676</c:v>
                </c:pt>
                <c:pt idx="1475">
                  <c:v>0.29505901180236921</c:v>
                </c:pt>
                <c:pt idx="1476">
                  <c:v>0.29525905181037082</c:v>
                </c:pt>
                <c:pt idx="1477">
                  <c:v>0.29545909181837243</c:v>
                </c:pt>
                <c:pt idx="1478">
                  <c:v>0.29565913182637404</c:v>
                </c:pt>
                <c:pt idx="1479">
                  <c:v>0.29585917183437566</c:v>
                </c:pt>
                <c:pt idx="1480">
                  <c:v>0.29605921184237727</c:v>
                </c:pt>
                <c:pt idx="1481">
                  <c:v>0.29625925185037888</c:v>
                </c:pt>
                <c:pt idx="1482">
                  <c:v>0.29645929185838049</c:v>
                </c:pt>
                <c:pt idx="1483">
                  <c:v>0.2966593318663821</c:v>
                </c:pt>
                <c:pt idx="1484">
                  <c:v>0.29685937187438372</c:v>
                </c:pt>
                <c:pt idx="1485">
                  <c:v>0.29705941188238533</c:v>
                </c:pt>
                <c:pt idx="1486">
                  <c:v>0.29725945189038694</c:v>
                </c:pt>
                <c:pt idx="1487">
                  <c:v>0.29745949189838855</c:v>
                </c:pt>
                <c:pt idx="1488">
                  <c:v>0.29765953190639016</c:v>
                </c:pt>
                <c:pt idx="1489">
                  <c:v>0.29785957191439177</c:v>
                </c:pt>
                <c:pt idx="1490">
                  <c:v>0.29805961192239339</c:v>
                </c:pt>
                <c:pt idx="1491">
                  <c:v>0.298259651930395</c:v>
                </c:pt>
                <c:pt idx="1492">
                  <c:v>0.29845969193839661</c:v>
                </c:pt>
                <c:pt idx="1493">
                  <c:v>0.29865973194639822</c:v>
                </c:pt>
                <c:pt idx="1494">
                  <c:v>0.29885977195439983</c:v>
                </c:pt>
                <c:pt idx="1495">
                  <c:v>0.29905981196240145</c:v>
                </c:pt>
                <c:pt idx="1496">
                  <c:v>0.29925985197040306</c:v>
                </c:pt>
                <c:pt idx="1497">
                  <c:v>0.29945989197840467</c:v>
                </c:pt>
                <c:pt idx="1498">
                  <c:v>0.29965993198640628</c:v>
                </c:pt>
                <c:pt idx="1499">
                  <c:v>0.29985997199440789</c:v>
                </c:pt>
                <c:pt idx="1500">
                  <c:v>0.3000600120024095</c:v>
                </c:pt>
                <c:pt idx="1501">
                  <c:v>0.30026005201041112</c:v>
                </c:pt>
                <c:pt idx="1502">
                  <c:v>0.30046009201841273</c:v>
                </c:pt>
                <c:pt idx="1503">
                  <c:v>0.30066013202641434</c:v>
                </c:pt>
                <c:pt idx="1504">
                  <c:v>0.30086017203441595</c:v>
                </c:pt>
                <c:pt idx="1505">
                  <c:v>0.30106021204241756</c:v>
                </c:pt>
                <c:pt idx="1506">
                  <c:v>0.30126025205041917</c:v>
                </c:pt>
                <c:pt idx="1507">
                  <c:v>0.30146029205842079</c:v>
                </c:pt>
                <c:pt idx="1508">
                  <c:v>0.3016603320664224</c:v>
                </c:pt>
                <c:pt idx="1509">
                  <c:v>0.30186037207442401</c:v>
                </c:pt>
                <c:pt idx="1510">
                  <c:v>0.30206041208242562</c:v>
                </c:pt>
                <c:pt idx="1511">
                  <c:v>0.30226045209042723</c:v>
                </c:pt>
                <c:pt idx="1512">
                  <c:v>0.30246049209842885</c:v>
                </c:pt>
                <c:pt idx="1513">
                  <c:v>0.30266053210643046</c:v>
                </c:pt>
                <c:pt idx="1514">
                  <c:v>0.30286057211443207</c:v>
                </c:pt>
                <c:pt idx="1515">
                  <c:v>0.30306061212243368</c:v>
                </c:pt>
                <c:pt idx="1516">
                  <c:v>0.30326065213043529</c:v>
                </c:pt>
                <c:pt idx="1517">
                  <c:v>0.3034606921384369</c:v>
                </c:pt>
                <c:pt idx="1518">
                  <c:v>0.30366073214643852</c:v>
                </c:pt>
                <c:pt idx="1519">
                  <c:v>0.30386077215444013</c:v>
                </c:pt>
                <c:pt idx="1520">
                  <c:v>0.30406081216244174</c:v>
                </c:pt>
                <c:pt idx="1521">
                  <c:v>0.30426085217044335</c:v>
                </c:pt>
                <c:pt idx="1522">
                  <c:v>0.30446089217844496</c:v>
                </c:pt>
                <c:pt idx="1523">
                  <c:v>0.30466093218644658</c:v>
                </c:pt>
                <c:pt idx="1524">
                  <c:v>0.30486097219444819</c:v>
                </c:pt>
                <c:pt idx="1525">
                  <c:v>0.3050610122024498</c:v>
                </c:pt>
                <c:pt idx="1526">
                  <c:v>0.30526105221045141</c:v>
                </c:pt>
                <c:pt idx="1527">
                  <c:v>0.30546109221845302</c:v>
                </c:pt>
                <c:pt idx="1528">
                  <c:v>0.30566113222645463</c:v>
                </c:pt>
                <c:pt idx="1529">
                  <c:v>0.30586117223445625</c:v>
                </c:pt>
                <c:pt idx="1530">
                  <c:v>0.30606121224245786</c:v>
                </c:pt>
                <c:pt idx="1531">
                  <c:v>0.30626125225045947</c:v>
                </c:pt>
                <c:pt idx="1532">
                  <c:v>0.30646129225846108</c:v>
                </c:pt>
                <c:pt idx="1533">
                  <c:v>0.30666133226646269</c:v>
                </c:pt>
                <c:pt idx="1534">
                  <c:v>0.30686137227446431</c:v>
                </c:pt>
                <c:pt idx="1535">
                  <c:v>0.30706141228246592</c:v>
                </c:pt>
                <c:pt idx="1536">
                  <c:v>0.30726145229046753</c:v>
                </c:pt>
                <c:pt idx="1537">
                  <c:v>0.30746149229846914</c:v>
                </c:pt>
                <c:pt idx="1538">
                  <c:v>0.30766153230647075</c:v>
                </c:pt>
                <c:pt idx="1539">
                  <c:v>0.30786157231447236</c:v>
                </c:pt>
                <c:pt idx="1540">
                  <c:v>0.30806161232247398</c:v>
                </c:pt>
                <c:pt idx="1541">
                  <c:v>0.30826165233047559</c:v>
                </c:pt>
                <c:pt idx="1542">
                  <c:v>0.3084616923384772</c:v>
                </c:pt>
                <c:pt idx="1543">
                  <c:v>0.30866173234647881</c:v>
                </c:pt>
                <c:pt idx="1544">
                  <c:v>0.30886177235448042</c:v>
                </c:pt>
                <c:pt idx="1545">
                  <c:v>0.30906181236248204</c:v>
                </c:pt>
                <c:pt idx="1546">
                  <c:v>0.30926185237048365</c:v>
                </c:pt>
                <c:pt idx="1547">
                  <c:v>0.30946189237848526</c:v>
                </c:pt>
                <c:pt idx="1548">
                  <c:v>0.30966193238648687</c:v>
                </c:pt>
                <c:pt idx="1549">
                  <c:v>0.30986197239448848</c:v>
                </c:pt>
                <c:pt idx="1550">
                  <c:v>0.31006201240249009</c:v>
                </c:pt>
                <c:pt idx="1551">
                  <c:v>0.31026205241049171</c:v>
                </c:pt>
                <c:pt idx="1552">
                  <c:v>0.31046209241849332</c:v>
                </c:pt>
                <c:pt idx="1553">
                  <c:v>0.31066213242649493</c:v>
                </c:pt>
                <c:pt idx="1554">
                  <c:v>0.31086217243449654</c:v>
                </c:pt>
                <c:pt idx="1555">
                  <c:v>0.31106221244249815</c:v>
                </c:pt>
                <c:pt idx="1556">
                  <c:v>0.31126225245049977</c:v>
                </c:pt>
                <c:pt idx="1557">
                  <c:v>0.31146229245850138</c:v>
                </c:pt>
                <c:pt idx="1558">
                  <c:v>0.31166233246650299</c:v>
                </c:pt>
                <c:pt idx="1559">
                  <c:v>0.3118623724745046</c:v>
                </c:pt>
                <c:pt idx="1560">
                  <c:v>0.31206241248250621</c:v>
                </c:pt>
                <c:pt idx="1561">
                  <c:v>0.31226245249050782</c:v>
                </c:pt>
                <c:pt idx="1562">
                  <c:v>0.31246249249850944</c:v>
                </c:pt>
                <c:pt idx="1563">
                  <c:v>0.31266253250651105</c:v>
                </c:pt>
                <c:pt idx="1564">
                  <c:v>0.31286257251451266</c:v>
                </c:pt>
                <c:pt idx="1565">
                  <c:v>0.31306261252251427</c:v>
                </c:pt>
                <c:pt idx="1566">
                  <c:v>0.31326265253051588</c:v>
                </c:pt>
                <c:pt idx="1567">
                  <c:v>0.3134626925385175</c:v>
                </c:pt>
                <c:pt idx="1568">
                  <c:v>0.31366273254651911</c:v>
                </c:pt>
                <c:pt idx="1569">
                  <c:v>0.31386277255452072</c:v>
                </c:pt>
                <c:pt idx="1570">
                  <c:v>0.31406281256252233</c:v>
                </c:pt>
                <c:pt idx="1571">
                  <c:v>0.31426285257052394</c:v>
                </c:pt>
                <c:pt idx="1572">
                  <c:v>0.31446289257852555</c:v>
                </c:pt>
                <c:pt idx="1573">
                  <c:v>0.31466293258652717</c:v>
                </c:pt>
                <c:pt idx="1574">
                  <c:v>0.31486297259452878</c:v>
                </c:pt>
                <c:pt idx="1575">
                  <c:v>0.31506301260253039</c:v>
                </c:pt>
                <c:pt idx="1576">
                  <c:v>0.315263052610532</c:v>
                </c:pt>
                <c:pt idx="1577">
                  <c:v>0.31546309261853361</c:v>
                </c:pt>
                <c:pt idx="1578">
                  <c:v>0.31566313262653523</c:v>
                </c:pt>
                <c:pt idx="1579">
                  <c:v>0.31586317263453684</c:v>
                </c:pt>
                <c:pt idx="1580">
                  <c:v>0.31606321264253845</c:v>
                </c:pt>
                <c:pt idx="1581">
                  <c:v>0.31626325265054006</c:v>
                </c:pt>
                <c:pt idx="1582">
                  <c:v>0.31646329265854167</c:v>
                </c:pt>
                <c:pt idx="1583">
                  <c:v>0.31666333266654328</c:v>
                </c:pt>
                <c:pt idx="1584">
                  <c:v>0.3168633726745449</c:v>
                </c:pt>
                <c:pt idx="1585">
                  <c:v>0.31706341268254651</c:v>
                </c:pt>
                <c:pt idx="1586">
                  <c:v>0.31726345269054812</c:v>
                </c:pt>
                <c:pt idx="1587">
                  <c:v>0.31746349269854973</c:v>
                </c:pt>
                <c:pt idx="1588">
                  <c:v>0.31766353270655134</c:v>
                </c:pt>
                <c:pt idx="1589">
                  <c:v>0.31786357271455296</c:v>
                </c:pt>
                <c:pt idx="1590">
                  <c:v>0.31806361272255457</c:v>
                </c:pt>
                <c:pt idx="1591">
                  <c:v>0.31826365273055618</c:v>
                </c:pt>
                <c:pt idx="1592">
                  <c:v>0.31846369273855779</c:v>
                </c:pt>
                <c:pt idx="1593">
                  <c:v>0.3186637327465594</c:v>
                </c:pt>
                <c:pt idx="1594">
                  <c:v>0.31886377275456101</c:v>
                </c:pt>
                <c:pt idx="1595">
                  <c:v>0.31906381276256263</c:v>
                </c:pt>
                <c:pt idx="1596">
                  <c:v>0.31926385277056424</c:v>
                </c:pt>
                <c:pt idx="1597">
                  <c:v>0.31946389277856585</c:v>
                </c:pt>
                <c:pt idx="1598">
                  <c:v>0.31966393278656746</c:v>
                </c:pt>
                <c:pt idx="1599">
                  <c:v>0.31986397279456907</c:v>
                </c:pt>
                <c:pt idx="1600">
                  <c:v>0.32006401280257069</c:v>
                </c:pt>
                <c:pt idx="1601">
                  <c:v>0.3202640528105723</c:v>
                </c:pt>
                <c:pt idx="1602">
                  <c:v>0.32046409281857391</c:v>
                </c:pt>
                <c:pt idx="1603">
                  <c:v>0.32066413282657552</c:v>
                </c:pt>
                <c:pt idx="1604">
                  <c:v>0.32086417283457713</c:v>
                </c:pt>
                <c:pt idx="1605">
                  <c:v>0.32106421284257874</c:v>
                </c:pt>
                <c:pt idx="1606">
                  <c:v>0.32126425285058036</c:v>
                </c:pt>
                <c:pt idx="1607">
                  <c:v>0.32146429285858197</c:v>
                </c:pt>
                <c:pt idx="1608">
                  <c:v>0.32166433286658358</c:v>
                </c:pt>
                <c:pt idx="1609">
                  <c:v>0.32186437287458519</c:v>
                </c:pt>
                <c:pt idx="1610">
                  <c:v>0.3220644128825868</c:v>
                </c:pt>
                <c:pt idx="1611">
                  <c:v>0.32226445289058842</c:v>
                </c:pt>
                <c:pt idx="1612">
                  <c:v>0.32246449289859003</c:v>
                </c:pt>
                <c:pt idx="1613">
                  <c:v>0.32266453290659164</c:v>
                </c:pt>
                <c:pt idx="1614">
                  <c:v>0.32286457291459325</c:v>
                </c:pt>
                <c:pt idx="1615">
                  <c:v>0.32306461292259486</c:v>
                </c:pt>
                <c:pt idx="1616">
                  <c:v>0.32326465293059647</c:v>
                </c:pt>
                <c:pt idx="1617">
                  <c:v>0.32346469293859809</c:v>
                </c:pt>
                <c:pt idx="1618">
                  <c:v>0.3236647329465997</c:v>
                </c:pt>
                <c:pt idx="1619">
                  <c:v>0.32386477295460131</c:v>
                </c:pt>
                <c:pt idx="1620">
                  <c:v>0.32406481296260292</c:v>
                </c:pt>
                <c:pt idx="1621">
                  <c:v>0.32426485297060453</c:v>
                </c:pt>
                <c:pt idx="1622">
                  <c:v>0.32446489297860615</c:v>
                </c:pt>
                <c:pt idx="1623">
                  <c:v>0.32466493298660776</c:v>
                </c:pt>
                <c:pt idx="1624">
                  <c:v>0.32486497299460937</c:v>
                </c:pt>
                <c:pt idx="1625">
                  <c:v>0.32506501300261098</c:v>
                </c:pt>
                <c:pt idx="1626">
                  <c:v>0.32526505301061259</c:v>
                </c:pt>
                <c:pt idx="1627">
                  <c:v>0.3254650930186142</c:v>
                </c:pt>
                <c:pt idx="1628">
                  <c:v>0.32566513302661582</c:v>
                </c:pt>
                <c:pt idx="1629">
                  <c:v>0.32586517303461743</c:v>
                </c:pt>
                <c:pt idx="1630">
                  <c:v>0.32606521304261904</c:v>
                </c:pt>
                <c:pt idx="1631">
                  <c:v>0.32626525305062065</c:v>
                </c:pt>
                <c:pt idx="1632">
                  <c:v>0.32646529305862226</c:v>
                </c:pt>
                <c:pt idx="1633">
                  <c:v>0.32666533306662388</c:v>
                </c:pt>
                <c:pt idx="1634">
                  <c:v>0.32686537307462549</c:v>
                </c:pt>
                <c:pt idx="1635">
                  <c:v>0.3270654130826271</c:v>
                </c:pt>
                <c:pt idx="1636">
                  <c:v>0.32726545309062871</c:v>
                </c:pt>
                <c:pt idx="1637">
                  <c:v>0.32746549309863032</c:v>
                </c:pt>
                <c:pt idx="1638">
                  <c:v>0.32766553310663193</c:v>
                </c:pt>
                <c:pt idx="1639">
                  <c:v>0.32786557311463355</c:v>
                </c:pt>
                <c:pt idx="1640">
                  <c:v>0.32806561312263516</c:v>
                </c:pt>
                <c:pt idx="1641">
                  <c:v>0.32826565313063677</c:v>
                </c:pt>
                <c:pt idx="1642">
                  <c:v>0.32846569313863838</c:v>
                </c:pt>
                <c:pt idx="1643">
                  <c:v>0.32866573314663999</c:v>
                </c:pt>
                <c:pt idx="1644">
                  <c:v>0.32886577315464161</c:v>
                </c:pt>
                <c:pt idx="1645">
                  <c:v>0.32906581316264322</c:v>
                </c:pt>
                <c:pt idx="1646">
                  <c:v>0.32926585317064483</c:v>
                </c:pt>
                <c:pt idx="1647">
                  <c:v>0.32946589317864644</c:v>
                </c:pt>
                <c:pt idx="1648">
                  <c:v>0.32966593318664805</c:v>
                </c:pt>
                <c:pt idx="1649">
                  <c:v>0.32986597319464966</c:v>
                </c:pt>
                <c:pt idx="1650">
                  <c:v>0.33006601320265128</c:v>
                </c:pt>
                <c:pt idx="1651">
                  <c:v>0.33026605321065289</c:v>
                </c:pt>
                <c:pt idx="1652">
                  <c:v>0.3304660932186545</c:v>
                </c:pt>
                <c:pt idx="1653">
                  <c:v>0.33066613322665611</c:v>
                </c:pt>
                <c:pt idx="1654">
                  <c:v>0.33086617323465772</c:v>
                </c:pt>
                <c:pt idx="1655">
                  <c:v>0.33106621324265934</c:v>
                </c:pt>
                <c:pt idx="1656">
                  <c:v>0.33126625325066095</c:v>
                </c:pt>
                <c:pt idx="1657">
                  <c:v>0.33146629325866256</c:v>
                </c:pt>
                <c:pt idx="1658">
                  <c:v>0.33166633326666417</c:v>
                </c:pt>
                <c:pt idx="1659">
                  <c:v>0.33186637327466578</c:v>
                </c:pt>
                <c:pt idx="1660">
                  <c:v>0.33206641328266739</c:v>
                </c:pt>
                <c:pt idx="1661">
                  <c:v>0.33226645329066901</c:v>
                </c:pt>
                <c:pt idx="1662">
                  <c:v>0.33246649329867062</c:v>
                </c:pt>
                <c:pt idx="1663">
                  <c:v>0.33266653330667223</c:v>
                </c:pt>
                <c:pt idx="1664">
                  <c:v>0.33286657331467384</c:v>
                </c:pt>
                <c:pt idx="1665">
                  <c:v>0.33306661332267545</c:v>
                </c:pt>
                <c:pt idx="1666">
                  <c:v>0.33326665333067707</c:v>
                </c:pt>
                <c:pt idx="1667">
                  <c:v>0.33346669333867868</c:v>
                </c:pt>
                <c:pt idx="1668">
                  <c:v>0.33366673334668029</c:v>
                </c:pt>
                <c:pt idx="1669">
                  <c:v>0.3338667733546819</c:v>
                </c:pt>
                <c:pt idx="1670">
                  <c:v>0.33406681336268351</c:v>
                </c:pt>
                <c:pt idx="1671">
                  <c:v>0.33426685337068512</c:v>
                </c:pt>
                <c:pt idx="1672">
                  <c:v>0.33446689337868674</c:v>
                </c:pt>
                <c:pt idx="1673">
                  <c:v>0.33466693338668835</c:v>
                </c:pt>
                <c:pt idx="1674">
                  <c:v>0.33486697339468996</c:v>
                </c:pt>
                <c:pt idx="1675">
                  <c:v>0.33506701340269157</c:v>
                </c:pt>
                <c:pt idx="1676">
                  <c:v>0.33526705341069318</c:v>
                </c:pt>
                <c:pt idx="1677">
                  <c:v>0.3354670934186948</c:v>
                </c:pt>
                <c:pt idx="1678">
                  <c:v>0.33566713342669641</c:v>
                </c:pt>
                <c:pt idx="1679">
                  <c:v>0.33586717343469802</c:v>
                </c:pt>
                <c:pt idx="1680">
                  <c:v>0.33606721344269963</c:v>
                </c:pt>
                <c:pt idx="1681">
                  <c:v>0.33626725345070124</c:v>
                </c:pt>
                <c:pt idx="1682">
                  <c:v>0.33646729345870285</c:v>
                </c:pt>
                <c:pt idx="1683">
                  <c:v>0.33666733346670447</c:v>
                </c:pt>
                <c:pt idx="1684">
                  <c:v>0.33686737347470608</c:v>
                </c:pt>
                <c:pt idx="1685">
                  <c:v>0.33706741348270769</c:v>
                </c:pt>
                <c:pt idx="1686">
                  <c:v>0.3372674534907093</c:v>
                </c:pt>
                <c:pt idx="1687">
                  <c:v>0.33746749349871091</c:v>
                </c:pt>
                <c:pt idx="1688">
                  <c:v>0.33766753350671252</c:v>
                </c:pt>
                <c:pt idx="1689">
                  <c:v>0.33786757351471414</c:v>
                </c:pt>
                <c:pt idx="1690">
                  <c:v>0.33806761352271575</c:v>
                </c:pt>
                <c:pt idx="1691">
                  <c:v>0.33826765353071736</c:v>
                </c:pt>
                <c:pt idx="1692">
                  <c:v>0.33846769353871897</c:v>
                </c:pt>
                <c:pt idx="1693">
                  <c:v>0.33866773354672058</c:v>
                </c:pt>
                <c:pt idx="1694">
                  <c:v>0.3388677735547222</c:v>
                </c:pt>
                <c:pt idx="1695">
                  <c:v>0.33906781356272381</c:v>
                </c:pt>
                <c:pt idx="1696">
                  <c:v>0.33926785357072542</c:v>
                </c:pt>
                <c:pt idx="1697">
                  <c:v>0.33946789357872703</c:v>
                </c:pt>
                <c:pt idx="1698">
                  <c:v>0.33966793358672864</c:v>
                </c:pt>
                <c:pt idx="1699">
                  <c:v>0.33986797359473025</c:v>
                </c:pt>
                <c:pt idx="1700">
                  <c:v>0.34006801360273187</c:v>
                </c:pt>
                <c:pt idx="1701">
                  <c:v>0.34026805361073348</c:v>
                </c:pt>
                <c:pt idx="1702">
                  <c:v>0.34046809361873509</c:v>
                </c:pt>
                <c:pt idx="1703">
                  <c:v>0.3406681336267367</c:v>
                </c:pt>
                <c:pt idx="1704">
                  <c:v>0.34086817363473831</c:v>
                </c:pt>
                <c:pt idx="1705">
                  <c:v>0.34106821364273993</c:v>
                </c:pt>
                <c:pt idx="1706">
                  <c:v>0.34126825365074154</c:v>
                </c:pt>
                <c:pt idx="1707">
                  <c:v>0.34146829365874315</c:v>
                </c:pt>
                <c:pt idx="1708">
                  <c:v>0.34166833366674476</c:v>
                </c:pt>
                <c:pt idx="1709">
                  <c:v>0.34186837367474637</c:v>
                </c:pt>
                <c:pt idx="1710">
                  <c:v>0.34206841368274798</c:v>
                </c:pt>
                <c:pt idx="1711">
                  <c:v>0.3422684536907496</c:v>
                </c:pt>
                <c:pt idx="1712">
                  <c:v>0.34246849369875121</c:v>
                </c:pt>
                <c:pt idx="1713">
                  <c:v>0.34266853370675282</c:v>
                </c:pt>
                <c:pt idx="1714">
                  <c:v>0.34286857371475443</c:v>
                </c:pt>
                <c:pt idx="1715">
                  <c:v>0.34306861372275604</c:v>
                </c:pt>
                <c:pt idx="1716">
                  <c:v>0.34326865373075766</c:v>
                </c:pt>
                <c:pt idx="1717">
                  <c:v>0.34346869373875927</c:v>
                </c:pt>
                <c:pt idx="1718">
                  <c:v>0.34366873374676088</c:v>
                </c:pt>
                <c:pt idx="1719">
                  <c:v>0.34386877375476249</c:v>
                </c:pt>
                <c:pt idx="1720">
                  <c:v>0.3440688137627641</c:v>
                </c:pt>
                <c:pt idx="1721">
                  <c:v>0.34426885377076571</c:v>
                </c:pt>
                <c:pt idx="1722">
                  <c:v>0.34446889377876733</c:v>
                </c:pt>
                <c:pt idx="1723">
                  <c:v>0.34466893378676894</c:v>
                </c:pt>
                <c:pt idx="1724">
                  <c:v>0.34486897379477055</c:v>
                </c:pt>
                <c:pt idx="1725">
                  <c:v>0.34506901380277216</c:v>
                </c:pt>
                <c:pt idx="1726">
                  <c:v>0.34526905381077377</c:v>
                </c:pt>
                <c:pt idx="1727">
                  <c:v>0.34546909381877539</c:v>
                </c:pt>
                <c:pt idx="1728">
                  <c:v>0.345669133826777</c:v>
                </c:pt>
                <c:pt idx="1729">
                  <c:v>0.34586917383477861</c:v>
                </c:pt>
                <c:pt idx="1730">
                  <c:v>0.34606921384278022</c:v>
                </c:pt>
                <c:pt idx="1731">
                  <c:v>0.34626925385078183</c:v>
                </c:pt>
                <c:pt idx="1732">
                  <c:v>0.34646929385878344</c:v>
                </c:pt>
                <c:pt idx="1733">
                  <c:v>0.34666933386678506</c:v>
                </c:pt>
                <c:pt idx="1734">
                  <c:v>0.34686937387478667</c:v>
                </c:pt>
                <c:pt idx="1735">
                  <c:v>0.34706941388278828</c:v>
                </c:pt>
                <c:pt idx="1736">
                  <c:v>0.34726945389078989</c:v>
                </c:pt>
                <c:pt idx="1737">
                  <c:v>0.3474694938987915</c:v>
                </c:pt>
                <c:pt idx="1738">
                  <c:v>0.34766953390679312</c:v>
                </c:pt>
                <c:pt idx="1739">
                  <c:v>0.34786957391479473</c:v>
                </c:pt>
                <c:pt idx="1740">
                  <c:v>0.34806961392279634</c:v>
                </c:pt>
                <c:pt idx="1741">
                  <c:v>0.34826965393079795</c:v>
                </c:pt>
                <c:pt idx="1742">
                  <c:v>0.34846969393879956</c:v>
                </c:pt>
                <c:pt idx="1743">
                  <c:v>0.34866973394680117</c:v>
                </c:pt>
                <c:pt idx="1744">
                  <c:v>0.34886977395480279</c:v>
                </c:pt>
                <c:pt idx="1745">
                  <c:v>0.3490698139628044</c:v>
                </c:pt>
                <c:pt idx="1746">
                  <c:v>0.34926985397080601</c:v>
                </c:pt>
                <c:pt idx="1747">
                  <c:v>0.34946989397880762</c:v>
                </c:pt>
                <c:pt idx="1748">
                  <c:v>0.34966993398680923</c:v>
                </c:pt>
                <c:pt idx="1749">
                  <c:v>0.34986997399481085</c:v>
                </c:pt>
                <c:pt idx="1750">
                  <c:v>0.35007001400281246</c:v>
                </c:pt>
                <c:pt idx="1751">
                  <c:v>0.35027005401081407</c:v>
                </c:pt>
                <c:pt idx="1752">
                  <c:v>0.35047009401881568</c:v>
                </c:pt>
                <c:pt idx="1753">
                  <c:v>0.35067013402681729</c:v>
                </c:pt>
                <c:pt idx="1754">
                  <c:v>0.3508701740348189</c:v>
                </c:pt>
                <c:pt idx="1755">
                  <c:v>0.35107021404282052</c:v>
                </c:pt>
                <c:pt idx="1756">
                  <c:v>0.35127025405082213</c:v>
                </c:pt>
                <c:pt idx="1757">
                  <c:v>0.35147029405882374</c:v>
                </c:pt>
                <c:pt idx="1758">
                  <c:v>0.35167033406682535</c:v>
                </c:pt>
                <c:pt idx="1759">
                  <c:v>0.35187037407482696</c:v>
                </c:pt>
                <c:pt idx="1760">
                  <c:v>0.35207041408282858</c:v>
                </c:pt>
                <c:pt idx="1761">
                  <c:v>0.35227045409083019</c:v>
                </c:pt>
                <c:pt idx="1762">
                  <c:v>0.3524704940988318</c:v>
                </c:pt>
                <c:pt idx="1763">
                  <c:v>0.35267053410683341</c:v>
                </c:pt>
                <c:pt idx="1764">
                  <c:v>0.35287057411483502</c:v>
                </c:pt>
                <c:pt idx="1765">
                  <c:v>0.35307061412283663</c:v>
                </c:pt>
                <c:pt idx="1766">
                  <c:v>0.35327065413083825</c:v>
                </c:pt>
                <c:pt idx="1767">
                  <c:v>0.35347069413883986</c:v>
                </c:pt>
                <c:pt idx="1768">
                  <c:v>0.35367073414684147</c:v>
                </c:pt>
                <c:pt idx="1769">
                  <c:v>0.35387077415484308</c:v>
                </c:pt>
                <c:pt idx="1770">
                  <c:v>0.35407081416284469</c:v>
                </c:pt>
                <c:pt idx="1771">
                  <c:v>0.35427085417084631</c:v>
                </c:pt>
                <c:pt idx="1772">
                  <c:v>0.35447089417884792</c:v>
                </c:pt>
                <c:pt idx="1773">
                  <c:v>0.35467093418684953</c:v>
                </c:pt>
                <c:pt idx="1774">
                  <c:v>0.35487097419485114</c:v>
                </c:pt>
                <c:pt idx="1775">
                  <c:v>0.35507101420285275</c:v>
                </c:pt>
                <c:pt idx="1776">
                  <c:v>0.35527105421085436</c:v>
                </c:pt>
                <c:pt idx="1777">
                  <c:v>0.35547109421885598</c:v>
                </c:pt>
                <c:pt idx="1778">
                  <c:v>0.35567113422685759</c:v>
                </c:pt>
                <c:pt idx="1779">
                  <c:v>0.3558711742348592</c:v>
                </c:pt>
                <c:pt idx="1780">
                  <c:v>0.35607121424286081</c:v>
                </c:pt>
                <c:pt idx="1781">
                  <c:v>0.35627125425086242</c:v>
                </c:pt>
                <c:pt idx="1782">
                  <c:v>0.35647129425886404</c:v>
                </c:pt>
                <c:pt idx="1783">
                  <c:v>0.35667133426686565</c:v>
                </c:pt>
                <c:pt idx="1784">
                  <c:v>0.35687137427486726</c:v>
                </c:pt>
                <c:pt idx="1785">
                  <c:v>0.35707141428286887</c:v>
                </c:pt>
                <c:pt idx="1786">
                  <c:v>0.35727145429087048</c:v>
                </c:pt>
                <c:pt idx="1787">
                  <c:v>0.35747149429887209</c:v>
                </c:pt>
                <c:pt idx="1788">
                  <c:v>0.35767153430687371</c:v>
                </c:pt>
                <c:pt idx="1789">
                  <c:v>0.35787157431487532</c:v>
                </c:pt>
                <c:pt idx="1790">
                  <c:v>0.35807161432287693</c:v>
                </c:pt>
                <c:pt idx="1791">
                  <c:v>0.35827165433087854</c:v>
                </c:pt>
                <c:pt idx="1792">
                  <c:v>0.35847169433888015</c:v>
                </c:pt>
                <c:pt idx="1793">
                  <c:v>0.35867173434688177</c:v>
                </c:pt>
                <c:pt idx="1794">
                  <c:v>0.35887177435488338</c:v>
                </c:pt>
                <c:pt idx="1795">
                  <c:v>0.35907181436288499</c:v>
                </c:pt>
                <c:pt idx="1796">
                  <c:v>0.3592718543708866</c:v>
                </c:pt>
                <c:pt idx="1797">
                  <c:v>0.35947189437888821</c:v>
                </c:pt>
                <c:pt idx="1798">
                  <c:v>0.35967193438688982</c:v>
                </c:pt>
                <c:pt idx="1799">
                  <c:v>0.35987197439489144</c:v>
                </c:pt>
                <c:pt idx="1800">
                  <c:v>0.36007201440289305</c:v>
                </c:pt>
                <c:pt idx="1801">
                  <c:v>0.36027205441089466</c:v>
                </c:pt>
                <c:pt idx="1802">
                  <c:v>0.36047209441889627</c:v>
                </c:pt>
                <c:pt idx="1803">
                  <c:v>0.36067213442689788</c:v>
                </c:pt>
                <c:pt idx="1804">
                  <c:v>0.3608721744348995</c:v>
                </c:pt>
                <c:pt idx="1805">
                  <c:v>0.36107221444290111</c:v>
                </c:pt>
                <c:pt idx="1806">
                  <c:v>0.36127225445090272</c:v>
                </c:pt>
                <c:pt idx="1807">
                  <c:v>0.36147229445890433</c:v>
                </c:pt>
                <c:pt idx="1808">
                  <c:v>0.36167233446690594</c:v>
                </c:pt>
                <c:pt idx="1809">
                  <c:v>0.36187237447490755</c:v>
                </c:pt>
                <c:pt idx="1810">
                  <c:v>0.36207241448290917</c:v>
                </c:pt>
                <c:pt idx="1811">
                  <c:v>0.36227245449091078</c:v>
                </c:pt>
                <c:pt idx="1812">
                  <c:v>0.36247249449891239</c:v>
                </c:pt>
                <c:pt idx="1813">
                  <c:v>0.362672534506914</c:v>
                </c:pt>
                <c:pt idx="1814">
                  <c:v>0.36287257451491561</c:v>
                </c:pt>
                <c:pt idx="1815">
                  <c:v>0.36307261452291723</c:v>
                </c:pt>
                <c:pt idx="1816">
                  <c:v>0.36327265453091884</c:v>
                </c:pt>
                <c:pt idx="1817">
                  <c:v>0.36347269453892045</c:v>
                </c:pt>
                <c:pt idx="1818">
                  <c:v>0.36367273454692206</c:v>
                </c:pt>
                <c:pt idx="1819">
                  <c:v>0.36387277455492367</c:v>
                </c:pt>
                <c:pt idx="1820">
                  <c:v>0.36407281456292528</c:v>
                </c:pt>
                <c:pt idx="1821">
                  <c:v>0.3642728545709269</c:v>
                </c:pt>
                <c:pt idx="1822">
                  <c:v>0.36447289457892851</c:v>
                </c:pt>
                <c:pt idx="1823">
                  <c:v>0.36467293458693012</c:v>
                </c:pt>
                <c:pt idx="1824">
                  <c:v>0.36487297459493173</c:v>
                </c:pt>
                <c:pt idx="1825">
                  <c:v>0.36507301460293334</c:v>
                </c:pt>
                <c:pt idx="1826">
                  <c:v>0.36527305461093496</c:v>
                </c:pt>
                <c:pt idx="1827">
                  <c:v>0.36547309461893657</c:v>
                </c:pt>
                <c:pt idx="1828">
                  <c:v>0.36567313462693818</c:v>
                </c:pt>
                <c:pt idx="1829">
                  <c:v>0.36587317463493979</c:v>
                </c:pt>
                <c:pt idx="1830">
                  <c:v>0.3660732146429414</c:v>
                </c:pt>
                <c:pt idx="1831">
                  <c:v>0.36627325465094301</c:v>
                </c:pt>
                <c:pt idx="1832">
                  <c:v>0.36647329465894463</c:v>
                </c:pt>
                <c:pt idx="1833">
                  <c:v>0.36667333466694624</c:v>
                </c:pt>
                <c:pt idx="1834">
                  <c:v>0.36687337467494785</c:v>
                </c:pt>
                <c:pt idx="1835">
                  <c:v>0.36707341468294946</c:v>
                </c:pt>
                <c:pt idx="1836">
                  <c:v>0.36727345469095107</c:v>
                </c:pt>
                <c:pt idx="1837">
                  <c:v>0.36747349469895269</c:v>
                </c:pt>
                <c:pt idx="1838">
                  <c:v>0.3676735347069543</c:v>
                </c:pt>
                <c:pt idx="1839">
                  <c:v>0.36787357471495591</c:v>
                </c:pt>
                <c:pt idx="1840">
                  <c:v>0.36807361472295752</c:v>
                </c:pt>
                <c:pt idx="1841">
                  <c:v>0.36827365473095913</c:v>
                </c:pt>
                <c:pt idx="1842">
                  <c:v>0.36847369473896074</c:v>
                </c:pt>
                <c:pt idx="1843">
                  <c:v>0.36867373474696236</c:v>
                </c:pt>
                <c:pt idx="1844">
                  <c:v>0.36887377475496397</c:v>
                </c:pt>
                <c:pt idx="1845">
                  <c:v>0.36907381476296558</c:v>
                </c:pt>
                <c:pt idx="1846">
                  <c:v>0.36927385477096719</c:v>
                </c:pt>
                <c:pt idx="1847">
                  <c:v>0.3694738947789688</c:v>
                </c:pt>
                <c:pt idx="1848">
                  <c:v>0.36967393478697042</c:v>
                </c:pt>
                <c:pt idx="1849">
                  <c:v>0.36987397479497203</c:v>
                </c:pt>
                <c:pt idx="1850">
                  <c:v>0.37007401480297364</c:v>
                </c:pt>
                <c:pt idx="1851">
                  <c:v>0.37027405481097525</c:v>
                </c:pt>
                <c:pt idx="1852">
                  <c:v>0.37047409481897686</c:v>
                </c:pt>
                <c:pt idx="1853">
                  <c:v>0.37067413482697847</c:v>
                </c:pt>
                <c:pt idx="1854">
                  <c:v>0.37087417483498009</c:v>
                </c:pt>
                <c:pt idx="1855">
                  <c:v>0.3710742148429817</c:v>
                </c:pt>
                <c:pt idx="1856">
                  <c:v>0.37127425485098331</c:v>
                </c:pt>
                <c:pt idx="1857">
                  <c:v>0.37147429485898492</c:v>
                </c:pt>
                <c:pt idx="1858">
                  <c:v>0.37167433486698653</c:v>
                </c:pt>
                <c:pt idx="1859">
                  <c:v>0.37187437487498815</c:v>
                </c:pt>
                <c:pt idx="1860">
                  <c:v>0.37207441488298976</c:v>
                </c:pt>
                <c:pt idx="1861">
                  <c:v>0.37227445489099137</c:v>
                </c:pt>
                <c:pt idx="1862">
                  <c:v>0.37247449489899298</c:v>
                </c:pt>
                <c:pt idx="1863">
                  <c:v>0.37267453490699459</c:v>
                </c:pt>
                <c:pt idx="1864">
                  <c:v>0.3728745749149962</c:v>
                </c:pt>
                <c:pt idx="1865">
                  <c:v>0.37307461492299782</c:v>
                </c:pt>
                <c:pt idx="1866">
                  <c:v>0.37327465493099943</c:v>
                </c:pt>
                <c:pt idx="1867">
                  <c:v>0.37347469493900104</c:v>
                </c:pt>
                <c:pt idx="1868">
                  <c:v>0.37367473494700265</c:v>
                </c:pt>
                <c:pt idx="1869">
                  <c:v>0.37387477495500426</c:v>
                </c:pt>
                <c:pt idx="1870">
                  <c:v>0.37407481496300587</c:v>
                </c:pt>
                <c:pt idx="1871">
                  <c:v>0.37427485497100749</c:v>
                </c:pt>
                <c:pt idx="1872">
                  <c:v>0.3744748949790091</c:v>
                </c:pt>
                <c:pt idx="1873">
                  <c:v>0.37467493498701071</c:v>
                </c:pt>
                <c:pt idx="1874">
                  <c:v>0.37487497499501232</c:v>
                </c:pt>
                <c:pt idx="1875">
                  <c:v>0.37507501500301393</c:v>
                </c:pt>
                <c:pt idx="1876">
                  <c:v>0.37527505501101555</c:v>
                </c:pt>
                <c:pt idx="1877">
                  <c:v>0.37547509501901716</c:v>
                </c:pt>
                <c:pt idx="1878">
                  <c:v>0.37567513502701877</c:v>
                </c:pt>
                <c:pt idx="1879">
                  <c:v>0.37587517503502038</c:v>
                </c:pt>
                <c:pt idx="1880">
                  <c:v>0.37607521504302199</c:v>
                </c:pt>
                <c:pt idx="1881">
                  <c:v>0.3762752550510236</c:v>
                </c:pt>
                <c:pt idx="1882">
                  <c:v>0.37647529505902522</c:v>
                </c:pt>
                <c:pt idx="1883">
                  <c:v>0.37667533506702683</c:v>
                </c:pt>
                <c:pt idx="1884">
                  <c:v>0.37687537507502844</c:v>
                </c:pt>
                <c:pt idx="1885">
                  <c:v>0.37707541508303005</c:v>
                </c:pt>
                <c:pt idx="1886">
                  <c:v>0.37727545509103166</c:v>
                </c:pt>
                <c:pt idx="1887">
                  <c:v>0.37747549509903328</c:v>
                </c:pt>
                <c:pt idx="1888">
                  <c:v>0.37767553510703489</c:v>
                </c:pt>
                <c:pt idx="1889">
                  <c:v>0.3778755751150365</c:v>
                </c:pt>
                <c:pt idx="1890">
                  <c:v>0.37807561512303811</c:v>
                </c:pt>
                <c:pt idx="1891">
                  <c:v>0.37827565513103972</c:v>
                </c:pt>
                <c:pt idx="1892">
                  <c:v>0.37847569513904133</c:v>
                </c:pt>
                <c:pt idx="1893">
                  <c:v>0.37867573514704295</c:v>
                </c:pt>
                <c:pt idx="1894">
                  <c:v>0.37887577515504456</c:v>
                </c:pt>
                <c:pt idx="1895">
                  <c:v>0.37907581516304617</c:v>
                </c:pt>
                <c:pt idx="1896">
                  <c:v>0.37927585517104778</c:v>
                </c:pt>
                <c:pt idx="1897">
                  <c:v>0.37947589517904939</c:v>
                </c:pt>
                <c:pt idx="1898">
                  <c:v>0.37967593518705101</c:v>
                </c:pt>
                <c:pt idx="1899">
                  <c:v>0.37987597519505262</c:v>
                </c:pt>
                <c:pt idx="1900">
                  <c:v>0.38007601520305423</c:v>
                </c:pt>
                <c:pt idx="1901">
                  <c:v>0.38027605521105584</c:v>
                </c:pt>
                <c:pt idx="1902">
                  <c:v>0.38047609521905745</c:v>
                </c:pt>
                <c:pt idx="1903">
                  <c:v>0.38067613522705906</c:v>
                </c:pt>
                <c:pt idx="1904">
                  <c:v>0.38087617523506068</c:v>
                </c:pt>
                <c:pt idx="1905">
                  <c:v>0.38107621524306229</c:v>
                </c:pt>
                <c:pt idx="1906">
                  <c:v>0.3812762552510639</c:v>
                </c:pt>
                <c:pt idx="1907">
                  <c:v>0.38147629525906551</c:v>
                </c:pt>
                <c:pt idx="1908">
                  <c:v>0.38167633526706712</c:v>
                </c:pt>
                <c:pt idx="1909">
                  <c:v>0.38187637527506874</c:v>
                </c:pt>
                <c:pt idx="1910">
                  <c:v>0.38207641528307035</c:v>
                </c:pt>
                <c:pt idx="1911">
                  <c:v>0.38227645529107196</c:v>
                </c:pt>
                <c:pt idx="1912">
                  <c:v>0.38247649529907357</c:v>
                </c:pt>
                <c:pt idx="1913">
                  <c:v>0.38267653530707518</c:v>
                </c:pt>
                <c:pt idx="1914">
                  <c:v>0.38287657531507679</c:v>
                </c:pt>
                <c:pt idx="1915">
                  <c:v>0.38307661532307841</c:v>
                </c:pt>
                <c:pt idx="1916">
                  <c:v>0.38327665533108002</c:v>
                </c:pt>
                <c:pt idx="1917">
                  <c:v>0.38347669533908163</c:v>
                </c:pt>
                <c:pt idx="1918">
                  <c:v>0.38367673534708324</c:v>
                </c:pt>
                <c:pt idx="1919">
                  <c:v>0.38387677535508485</c:v>
                </c:pt>
                <c:pt idx="1920">
                  <c:v>0.38407681536308647</c:v>
                </c:pt>
                <c:pt idx="1921">
                  <c:v>0.38427685537108808</c:v>
                </c:pt>
                <c:pt idx="1922">
                  <c:v>0.38447689537908969</c:v>
                </c:pt>
                <c:pt idx="1923">
                  <c:v>0.3846769353870913</c:v>
                </c:pt>
                <c:pt idx="1924">
                  <c:v>0.38487697539509291</c:v>
                </c:pt>
                <c:pt idx="1925">
                  <c:v>0.38507701540309452</c:v>
                </c:pt>
                <c:pt idx="1926">
                  <c:v>0.38527705541109614</c:v>
                </c:pt>
                <c:pt idx="1927">
                  <c:v>0.38547709541909775</c:v>
                </c:pt>
                <c:pt idx="1928">
                  <c:v>0.38567713542709936</c:v>
                </c:pt>
                <c:pt idx="1929">
                  <c:v>0.38587717543510097</c:v>
                </c:pt>
                <c:pt idx="1930">
                  <c:v>0.38607721544310258</c:v>
                </c:pt>
                <c:pt idx="1931">
                  <c:v>0.3862772554511042</c:v>
                </c:pt>
                <c:pt idx="1932">
                  <c:v>0.38647729545910581</c:v>
                </c:pt>
                <c:pt idx="1933">
                  <c:v>0.38667733546710742</c:v>
                </c:pt>
                <c:pt idx="1934">
                  <c:v>0.38687737547510903</c:v>
                </c:pt>
                <c:pt idx="1935">
                  <c:v>0.38707741548311064</c:v>
                </c:pt>
                <c:pt idx="1936">
                  <c:v>0.38727745549111225</c:v>
                </c:pt>
                <c:pt idx="1937">
                  <c:v>0.38747749549911387</c:v>
                </c:pt>
                <c:pt idx="1938">
                  <c:v>0.38767753550711548</c:v>
                </c:pt>
                <c:pt idx="1939">
                  <c:v>0.38787757551511709</c:v>
                </c:pt>
                <c:pt idx="1940">
                  <c:v>0.3880776155231187</c:v>
                </c:pt>
                <c:pt idx="1941">
                  <c:v>0.38827765553112031</c:v>
                </c:pt>
                <c:pt idx="1942">
                  <c:v>0.38847769553912193</c:v>
                </c:pt>
                <c:pt idx="1943">
                  <c:v>0.38867773554712354</c:v>
                </c:pt>
                <c:pt idx="1944">
                  <c:v>0.38887777555512515</c:v>
                </c:pt>
                <c:pt idx="1945">
                  <c:v>0.38907781556312676</c:v>
                </c:pt>
                <c:pt idx="1946">
                  <c:v>0.38927785557112837</c:v>
                </c:pt>
                <c:pt idx="1947">
                  <c:v>0.38947789557912998</c:v>
                </c:pt>
                <c:pt idx="1948">
                  <c:v>0.3896779355871316</c:v>
                </c:pt>
                <c:pt idx="1949">
                  <c:v>0.38987797559513321</c:v>
                </c:pt>
                <c:pt idx="1950">
                  <c:v>0.39007801560313482</c:v>
                </c:pt>
                <c:pt idx="1951">
                  <c:v>0.39027805561113643</c:v>
                </c:pt>
                <c:pt idx="1952">
                  <c:v>0.39047809561913804</c:v>
                </c:pt>
                <c:pt idx="1953">
                  <c:v>0.39067813562713966</c:v>
                </c:pt>
                <c:pt idx="1954">
                  <c:v>0.39087817563514127</c:v>
                </c:pt>
                <c:pt idx="1955">
                  <c:v>0.39107821564314288</c:v>
                </c:pt>
                <c:pt idx="1956">
                  <c:v>0.39127825565114449</c:v>
                </c:pt>
                <c:pt idx="1957">
                  <c:v>0.3914782956591461</c:v>
                </c:pt>
                <c:pt idx="1958">
                  <c:v>0.39167833566714771</c:v>
                </c:pt>
                <c:pt idx="1959">
                  <c:v>0.39187837567514933</c:v>
                </c:pt>
                <c:pt idx="1960">
                  <c:v>0.39207841568315094</c:v>
                </c:pt>
                <c:pt idx="1961">
                  <c:v>0.39227845569115255</c:v>
                </c:pt>
                <c:pt idx="1962">
                  <c:v>0.39247849569915416</c:v>
                </c:pt>
                <c:pt idx="1963">
                  <c:v>0.39267853570715577</c:v>
                </c:pt>
                <c:pt idx="1964">
                  <c:v>0.39287857571515739</c:v>
                </c:pt>
                <c:pt idx="1965">
                  <c:v>0.393078615723159</c:v>
                </c:pt>
                <c:pt idx="1966">
                  <c:v>0.39327865573116061</c:v>
                </c:pt>
                <c:pt idx="1967">
                  <c:v>0.39347869573916222</c:v>
                </c:pt>
                <c:pt idx="1968">
                  <c:v>0.39367873574716383</c:v>
                </c:pt>
                <c:pt idx="1969">
                  <c:v>0.39387877575516544</c:v>
                </c:pt>
                <c:pt idx="1970">
                  <c:v>0.39407881576316706</c:v>
                </c:pt>
                <c:pt idx="1971">
                  <c:v>0.39427885577116867</c:v>
                </c:pt>
                <c:pt idx="1972">
                  <c:v>0.39447889577917028</c:v>
                </c:pt>
                <c:pt idx="1973">
                  <c:v>0.39467893578717189</c:v>
                </c:pt>
                <c:pt idx="1974">
                  <c:v>0.3948789757951735</c:v>
                </c:pt>
                <c:pt idx="1975">
                  <c:v>0.39507901580317512</c:v>
                </c:pt>
                <c:pt idx="1976">
                  <c:v>0.39527905581117673</c:v>
                </c:pt>
                <c:pt idx="1977">
                  <c:v>0.39547909581917834</c:v>
                </c:pt>
                <c:pt idx="1978">
                  <c:v>0.39567913582717995</c:v>
                </c:pt>
                <c:pt idx="1979">
                  <c:v>0.39587917583518156</c:v>
                </c:pt>
                <c:pt idx="1980">
                  <c:v>0.39607921584318317</c:v>
                </c:pt>
                <c:pt idx="1981">
                  <c:v>0.39627925585118479</c:v>
                </c:pt>
                <c:pt idx="1982">
                  <c:v>0.3964792958591864</c:v>
                </c:pt>
                <c:pt idx="1983">
                  <c:v>0.39667933586718801</c:v>
                </c:pt>
                <c:pt idx="1984">
                  <c:v>0.39687937587518962</c:v>
                </c:pt>
                <c:pt idx="1985">
                  <c:v>0.39707941588319123</c:v>
                </c:pt>
                <c:pt idx="1986">
                  <c:v>0.39727945589119285</c:v>
                </c:pt>
                <c:pt idx="1987">
                  <c:v>0.39747949589919446</c:v>
                </c:pt>
                <c:pt idx="1988">
                  <c:v>0.39767953590719607</c:v>
                </c:pt>
                <c:pt idx="1989">
                  <c:v>0.39787957591519768</c:v>
                </c:pt>
                <c:pt idx="1990">
                  <c:v>0.39807961592319929</c:v>
                </c:pt>
                <c:pt idx="1991">
                  <c:v>0.3982796559312009</c:v>
                </c:pt>
                <c:pt idx="1992">
                  <c:v>0.39847969593920252</c:v>
                </c:pt>
                <c:pt idx="1993">
                  <c:v>0.39867973594720413</c:v>
                </c:pt>
                <c:pt idx="1994">
                  <c:v>0.39887977595520574</c:v>
                </c:pt>
                <c:pt idx="1995">
                  <c:v>0.39907981596320735</c:v>
                </c:pt>
                <c:pt idx="1996">
                  <c:v>0.39927985597120896</c:v>
                </c:pt>
                <c:pt idx="1997">
                  <c:v>0.39947989597921058</c:v>
                </c:pt>
                <c:pt idx="1998">
                  <c:v>0.39967993598721219</c:v>
                </c:pt>
                <c:pt idx="1999">
                  <c:v>0.3998799759952138</c:v>
                </c:pt>
                <c:pt idx="2000">
                  <c:v>0.40008001600321541</c:v>
                </c:pt>
                <c:pt idx="2001">
                  <c:v>0.40028005601121702</c:v>
                </c:pt>
                <c:pt idx="2002">
                  <c:v>0.40048009601921863</c:v>
                </c:pt>
                <c:pt idx="2003">
                  <c:v>0.40068013602722025</c:v>
                </c:pt>
                <c:pt idx="2004">
                  <c:v>0.40088017603522186</c:v>
                </c:pt>
                <c:pt idx="2005">
                  <c:v>0.40108021604322347</c:v>
                </c:pt>
                <c:pt idx="2006">
                  <c:v>0.40128025605122508</c:v>
                </c:pt>
                <c:pt idx="2007">
                  <c:v>0.40148029605922669</c:v>
                </c:pt>
                <c:pt idx="2008">
                  <c:v>0.40168033606722831</c:v>
                </c:pt>
                <c:pt idx="2009">
                  <c:v>0.40188037607522992</c:v>
                </c:pt>
                <c:pt idx="2010">
                  <c:v>0.40208041608323153</c:v>
                </c:pt>
                <c:pt idx="2011">
                  <c:v>0.40228045609123314</c:v>
                </c:pt>
                <c:pt idx="2012">
                  <c:v>0.40248049609923475</c:v>
                </c:pt>
                <c:pt idx="2013">
                  <c:v>0.40268053610723636</c:v>
                </c:pt>
                <c:pt idx="2014">
                  <c:v>0.40288057611523798</c:v>
                </c:pt>
                <c:pt idx="2015">
                  <c:v>0.40308061612323959</c:v>
                </c:pt>
                <c:pt idx="2016">
                  <c:v>0.4032806561312412</c:v>
                </c:pt>
                <c:pt idx="2017">
                  <c:v>0.40348069613924281</c:v>
                </c:pt>
                <c:pt idx="2018">
                  <c:v>0.40368073614724442</c:v>
                </c:pt>
                <c:pt idx="2019">
                  <c:v>0.40388077615524604</c:v>
                </c:pt>
                <c:pt idx="2020">
                  <c:v>0.40408081616324765</c:v>
                </c:pt>
                <c:pt idx="2021">
                  <c:v>0.40428085617124926</c:v>
                </c:pt>
                <c:pt idx="2022">
                  <c:v>0.40448089617925087</c:v>
                </c:pt>
                <c:pt idx="2023">
                  <c:v>0.40468093618725248</c:v>
                </c:pt>
                <c:pt idx="2024">
                  <c:v>0.40488097619525409</c:v>
                </c:pt>
                <c:pt idx="2025">
                  <c:v>0.40508101620325571</c:v>
                </c:pt>
                <c:pt idx="2026">
                  <c:v>0.40528105621125732</c:v>
                </c:pt>
                <c:pt idx="2027">
                  <c:v>0.40548109621925893</c:v>
                </c:pt>
                <c:pt idx="2028">
                  <c:v>0.40568113622726054</c:v>
                </c:pt>
                <c:pt idx="2029">
                  <c:v>0.40588117623526215</c:v>
                </c:pt>
                <c:pt idx="2030">
                  <c:v>0.40608121624326377</c:v>
                </c:pt>
                <c:pt idx="2031">
                  <c:v>0.40628125625126538</c:v>
                </c:pt>
                <c:pt idx="2032">
                  <c:v>0.40648129625926699</c:v>
                </c:pt>
                <c:pt idx="2033">
                  <c:v>0.4066813362672686</c:v>
                </c:pt>
                <c:pt idx="2034">
                  <c:v>0.40688137627527021</c:v>
                </c:pt>
                <c:pt idx="2035">
                  <c:v>0.40708141628327182</c:v>
                </c:pt>
                <c:pt idx="2036">
                  <c:v>0.40728145629127344</c:v>
                </c:pt>
                <c:pt idx="2037">
                  <c:v>0.40748149629927505</c:v>
                </c:pt>
                <c:pt idx="2038">
                  <c:v>0.40768153630727666</c:v>
                </c:pt>
                <c:pt idx="2039">
                  <c:v>0.40788157631527827</c:v>
                </c:pt>
                <c:pt idx="2040">
                  <c:v>0.40808161632327988</c:v>
                </c:pt>
                <c:pt idx="2041">
                  <c:v>0.4082816563312815</c:v>
                </c:pt>
                <c:pt idx="2042">
                  <c:v>0.40848169633928311</c:v>
                </c:pt>
                <c:pt idx="2043">
                  <c:v>0.40868173634728472</c:v>
                </c:pt>
                <c:pt idx="2044">
                  <c:v>0.40888177635528633</c:v>
                </c:pt>
                <c:pt idx="2045">
                  <c:v>0.40908181636328794</c:v>
                </c:pt>
                <c:pt idx="2046">
                  <c:v>0.40928185637128955</c:v>
                </c:pt>
                <c:pt idx="2047">
                  <c:v>0.40948189637929117</c:v>
                </c:pt>
                <c:pt idx="2048">
                  <c:v>0.40968193638729278</c:v>
                </c:pt>
                <c:pt idx="2049">
                  <c:v>0.40988197639529439</c:v>
                </c:pt>
                <c:pt idx="2050">
                  <c:v>0.410082016403296</c:v>
                </c:pt>
                <c:pt idx="2051">
                  <c:v>0.41028205641129761</c:v>
                </c:pt>
                <c:pt idx="2052">
                  <c:v>0.41048209641929922</c:v>
                </c:pt>
                <c:pt idx="2053">
                  <c:v>0.41068213642730084</c:v>
                </c:pt>
                <c:pt idx="2054">
                  <c:v>0.41088217643530245</c:v>
                </c:pt>
                <c:pt idx="2055">
                  <c:v>0.41108221644330406</c:v>
                </c:pt>
                <c:pt idx="2056">
                  <c:v>0.41128225645130567</c:v>
                </c:pt>
                <c:pt idx="2057">
                  <c:v>0.41148229645930728</c:v>
                </c:pt>
                <c:pt idx="2058">
                  <c:v>0.4116823364673089</c:v>
                </c:pt>
                <c:pt idx="2059">
                  <c:v>0.41188237647531051</c:v>
                </c:pt>
                <c:pt idx="2060">
                  <c:v>0.41208241648331212</c:v>
                </c:pt>
                <c:pt idx="2061">
                  <c:v>0.41228245649131373</c:v>
                </c:pt>
                <c:pt idx="2062">
                  <c:v>0.41248249649931534</c:v>
                </c:pt>
                <c:pt idx="2063">
                  <c:v>0.41268253650731695</c:v>
                </c:pt>
                <c:pt idx="2064">
                  <c:v>0.41288257651531857</c:v>
                </c:pt>
                <c:pt idx="2065">
                  <c:v>0.41308261652332018</c:v>
                </c:pt>
                <c:pt idx="2066">
                  <c:v>0.41328265653132179</c:v>
                </c:pt>
                <c:pt idx="2067">
                  <c:v>0.4134826965393234</c:v>
                </c:pt>
                <c:pt idx="2068">
                  <c:v>0.41368273654732501</c:v>
                </c:pt>
                <c:pt idx="2069">
                  <c:v>0.41388277655532663</c:v>
                </c:pt>
                <c:pt idx="2070">
                  <c:v>0.41408281656332824</c:v>
                </c:pt>
                <c:pt idx="2071">
                  <c:v>0.41428285657132985</c:v>
                </c:pt>
                <c:pt idx="2072">
                  <c:v>0.41448289657933146</c:v>
                </c:pt>
                <c:pt idx="2073">
                  <c:v>0.41468293658733307</c:v>
                </c:pt>
                <c:pt idx="2074">
                  <c:v>0.41488297659533468</c:v>
                </c:pt>
                <c:pt idx="2075">
                  <c:v>0.4150830166033363</c:v>
                </c:pt>
                <c:pt idx="2076">
                  <c:v>0.41528305661133791</c:v>
                </c:pt>
                <c:pt idx="2077">
                  <c:v>0.41548309661933952</c:v>
                </c:pt>
                <c:pt idx="2078">
                  <c:v>0.41568313662734113</c:v>
                </c:pt>
                <c:pt idx="2079">
                  <c:v>0.41588317663534274</c:v>
                </c:pt>
                <c:pt idx="2080">
                  <c:v>0.41608321664334436</c:v>
                </c:pt>
                <c:pt idx="2081">
                  <c:v>0.41628325665134597</c:v>
                </c:pt>
                <c:pt idx="2082">
                  <c:v>0.41648329665934758</c:v>
                </c:pt>
                <c:pt idx="2083">
                  <c:v>0.41668333666734919</c:v>
                </c:pt>
                <c:pt idx="2084">
                  <c:v>0.4168833766753508</c:v>
                </c:pt>
                <c:pt idx="2085">
                  <c:v>0.41708341668335241</c:v>
                </c:pt>
                <c:pt idx="2086">
                  <c:v>0.41728345669135403</c:v>
                </c:pt>
                <c:pt idx="2087">
                  <c:v>0.41748349669935564</c:v>
                </c:pt>
                <c:pt idx="2088">
                  <c:v>0.41768353670735725</c:v>
                </c:pt>
                <c:pt idx="2089">
                  <c:v>0.41788357671535886</c:v>
                </c:pt>
                <c:pt idx="2090">
                  <c:v>0.41808361672336047</c:v>
                </c:pt>
                <c:pt idx="2091">
                  <c:v>0.41828365673136209</c:v>
                </c:pt>
                <c:pt idx="2092">
                  <c:v>0.4184836967393637</c:v>
                </c:pt>
                <c:pt idx="2093">
                  <c:v>0.41868373674736531</c:v>
                </c:pt>
                <c:pt idx="2094">
                  <c:v>0.41888377675536692</c:v>
                </c:pt>
                <c:pt idx="2095">
                  <c:v>0.41908381676336853</c:v>
                </c:pt>
                <c:pt idx="2096">
                  <c:v>0.41928385677137014</c:v>
                </c:pt>
                <c:pt idx="2097">
                  <c:v>0.41948389677937176</c:v>
                </c:pt>
                <c:pt idx="2098">
                  <c:v>0.41968393678737337</c:v>
                </c:pt>
                <c:pt idx="2099">
                  <c:v>0.41988397679537498</c:v>
                </c:pt>
                <c:pt idx="2100">
                  <c:v>0.42008401680337659</c:v>
                </c:pt>
                <c:pt idx="2101">
                  <c:v>0.4202840568113782</c:v>
                </c:pt>
                <c:pt idx="2102">
                  <c:v>0.42048409681937982</c:v>
                </c:pt>
                <c:pt idx="2103">
                  <c:v>0.42068413682738143</c:v>
                </c:pt>
                <c:pt idx="2104">
                  <c:v>0.42088417683538304</c:v>
                </c:pt>
                <c:pt idx="2105">
                  <c:v>0.42108421684338465</c:v>
                </c:pt>
                <c:pt idx="2106">
                  <c:v>0.42128425685138626</c:v>
                </c:pt>
                <c:pt idx="2107">
                  <c:v>0.42148429685938787</c:v>
                </c:pt>
                <c:pt idx="2108">
                  <c:v>0.42168433686738949</c:v>
                </c:pt>
                <c:pt idx="2109">
                  <c:v>0.4218843768753911</c:v>
                </c:pt>
                <c:pt idx="2110">
                  <c:v>0.42208441688339271</c:v>
                </c:pt>
                <c:pt idx="2111">
                  <c:v>0.42228445689139432</c:v>
                </c:pt>
                <c:pt idx="2112">
                  <c:v>0.42248449689939593</c:v>
                </c:pt>
                <c:pt idx="2113">
                  <c:v>0.42268453690739755</c:v>
                </c:pt>
                <c:pt idx="2114">
                  <c:v>0.42288457691539916</c:v>
                </c:pt>
                <c:pt idx="2115">
                  <c:v>0.42308461692340077</c:v>
                </c:pt>
                <c:pt idx="2116">
                  <c:v>0.42328465693140238</c:v>
                </c:pt>
                <c:pt idx="2117">
                  <c:v>0.42348469693940399</c:v>
                </c:pt>
                <c:pt idx="2118">
                  <c:v>0.4236847369474056</c:v>
                </c:pt>
                <c:pt idx="2119">
                  <c:v>0.42388477695540722</c:v>
                </c:pt>
                <c:pt idx="2120">
                  <c:v>0.42408481696340883</c:v>
                </c:pt>
                <c:pt idx="2121">
                  <c:v>0.42428485697141044</c:v>
                </c:pt>
                <c:pt idx="2122">
                  <c:v>0.42448489697941205</c:v>
                </c:pt>
                <c:pt idx="2123">
                  <c:v>0.42468493698741366</c:v>
                </c:pt>
                <c:pt idx="2124">
                  <c:v>0.42488497699541528</c:v>
                </c:pt>
                <c:pt idx="2125">
                  <c:v>0.42508501700341689</c:v>
                </c:pt>
                <c:pt idx="2126">
                  <c:v>0.4252850570114185</c:v>
                </c:pt>
                <c:pt idx="2127">
                  <c:v>0.42548509701942011</c:v>
                </c:pt>
                <c:pt idx="2128">
                  <c:v>0.42568513702742172</c:v>
                </c:pt>
                <c:pt idx="2129">
                  <c:v>0.42588517703542333</c:v>
                </c:pt>
                <c:pt idx="2130">
                  <c:v>0.42608521704342495</c:v>
                </c:pt>
                <c:pt idx="2131">
                  <c:v>0.42628525705142656</c:v>
                </c:pt>
                <c:pt idx="2132">
                  <c:v>0.42648529705942817</c:v>
                </c:pt>
                <c:pt idx="2133">
                  <c:v>0.42668533706742978</c:v>
                </c:pt>
                <c:pt idx="2134">
                  <c:v>0.42688537707543139</c:v>
                </c:pt>
                <c:pt idx="2135">
                  <c:v>0.42708541708343301</c:v>
                </c:pt>
                <c:pt idx="2136">
                  <c:v>0.42728545709143462</c:v>
                </c:pt>
                <c:pt idx="2137">
                  <c:v>0.42748549709943623</c:v>
                </c:pt>
                <c:pt idx="2138">
                  <c:v>0.42768553710743784</c:v>
                </c:pt>
                <c:pt idx="2139">
                  <c:v>0.42788557711543945</c:v>
                </c:pt>
                <c:pt idx="2140">
                  <c:v>0.42808561712344106</c:v>
                </c:pt>
                <c:pt idx="2141">
                  <c:v>0.42828565713144268</c:v>
                </c:pt>
                <c:pt idx="2142">
                  <c:v>0.42848569713944429</c:v>
                </c:pt>
                <c:pt idx="2143">
                  <c:v>0.4286857371474459</c:v>
                </c:pt>
                <c:pt idx="2144">
                  <c:v>0.42888577715544751</c:v>
                </c:pt>
                <c:pt idx="2145">
                  <c:v>0.42908581716344912</c:v>
                </c:pt>
                <c:pt idx="2146">
                  <c:v>0.42928585717145074</c:v>
                </c:pt>
                <c:pt idx="2147">
                  <c:v>0.42948589717945235</c:v>
                </c:pt>
                <c:pt idx="2148">
                  <c:v>0.42968593718745396</c:v>
                </c:pt>
                <c:pt idx="2149">
                  <c:v>0.42988597719545557</c:v>
                </c:pt>
                <c:pt idx="2150">
                  <c:v>0.43008601720345718</c:v>
                </c:pt>
                <c:pt idx="2151">
                  <c:v>0.43028605721145879</c:v>
                </c:pt>
                <c:pt idx="2152">
                  <c:v>0.43048609721946041</c:v>
                </c:pt>
                <c:pt idx="2153">
                  <c:v>0.43068613722746202</c:v>
                </c:pt>
                <c:pt idx="2154">
                  <c:v>0.43088617723546363</c:v>
                </c:pt>
                <c:pt idx="2155">
                  <c:v>0.43108621724346524</c:v>
                </c:pt>
                <c:pt idx="2156">
                  <c:v>0.43128625725146685</c:v>
                </c:pt>
                <c:pt idx="2157">
                  <c:v>0.43148629725946847</c:v>
                </c:pt>
                <c:pt idx="2158">
                  <c:v>0.43168633726747008</c:v>
                </c:pt>
                <c:pt idx="2159">
                  <c:v>0.43188637727547169</c:v>
                </c:pt>
                <c:pt idx="2160">
                  <c:v>0.4320864172834733</c:v>
                </c:pt>
                <c:pt idx="2161">
                  <c:v>0.43228645729147491</c:v>
                </c:pt>
                <c:pt idx="2162">
                  <c:v>0.43248649729947652</c:v>
                </c:pt>
                <c:pt idx="2163">
                  <c:v>0.43268653730747814</c:v>
                </c:pt>
                <c:pt idx="2164">
                  <c:v>0.43288657731547975</c:v>
                </c:pt>
                <c:pt idx="2165">
                  <c:v>0.43308661732348136</c:v>
                </c:pt>
                <c:pt idx="2166">
                  <c:v>0.43328665733148297</c:v>
                </c:pt>
                <c:pt idx="2167">
                  <c:v>0.43348669733948458</c:v>
                </c:pt>
                <c:pt idx="2168">
                  <c:v>0.4336867373474862</c:v>
                </c:pt>
                <c:pt idx="2169">
                  <c:v>0.43388677735548781</c:v>
                </c:pt>
                <c:pt idx="2170">
                  <c:v>0.43408681736348942</c:v>
                </c:pt>
                <c:pt idx="2171">
                  <c:v>0.43428685737149103</c:v>
                </c:pt>
                <c:pt idx="2172">
                  <c:v>0.43448689737949264</c:v>
                </c:pt>
                <c:pt idx="2173">
                  <c:v>0.43468693738749425</c:v>
                </c:pt>
                <c:pt idx="2174">
                  <c:v>0.43488697739549587</c:v>
                </c:pt>
                <c:pt idx="2175">
                  <c:v>0.43508701740349748</c:v>
                </c:pt>
                <c:pt idx="2176">
                  <c:v>0.43528705741149909</c:v>
                </c:pt>
                <c:pt idx="2177">
                  <c:v>0.4354870974195007</c:v>
                </c:pt>
                <c:pt idx="2178">
                  <c:v>0.43568713742750231</c:v>
                </c:pt>
                <c:pt idx="2179">
                  <c:v>0.43588717743550393</c:v>
                </c:pt>
                <c:pt idx="2180">
                  <c:v>0.43608721744350554</c:v>
                </c:pt>
                <c:pt idx="2181">
                  <c:v>0.43628725745150715</c:v>
                </c:pt>
                <c:pt idx="2182">
                  <c:v>0.43648729745950876</c:v>
                </c:pt>
                <c:pt idx="2183">
                  <c:v>0.43668733746751037</c:v>
                </c:pt>
                <c:pt idx="2184">
                  <c:v>0.43688737747551198</c:v>
                </c:pt>
                <c:pt idx="2185">
                  <c:v>0.4370874174835136</c:v>
                </c:pt>
                <c:pt idx="2186">
                  <c:v>0.43728745749151521</c:v>
                </c:pt>
                <c:pt idx="2187">
                  <c:v>0.43748749749951682</c:v>
                </c:pt>
                <c:pt idx="2188">
                  <c:v>0.43768753750751843</c:v>
                </c:pt>
                <c:pt idx="2189">
                  <c:v>0.43788757751552004</c:v>
                </c:pt>
                <c:pt idx="2190">
                  <c:v>0.43808761752352166</c:v>
                </c:pt>
                <c:pt idx="2191">
                  <c:v>0.43828765753152327</c:v>
                </c:pt>
                <c:pt idx="2192">
                  <c:v>0.43848769753952488</c:v>
                </c:pt>
                <c:pt idx="2193">
                  <c:v>0.43868773754752649</c:v>
                </c:pt>
                <c:pt idx="2194">
                  <c:v>0.4388877775555281</c:v>
                </c:pt>
                <c:pt idx="2195">
                  <c:v>0.43908781756352971</c:v>
                </c:pt>
                <c:pt idx="2196">
                  <c:v>0.43928785757153133</c:v>
                </c:pt>
                <c:pt idx="2197">
                  <c:v>0.43948789757953294</c:v>
                </c:pt>
                <c:pt idx="2198">
                  <c:v>0.43968793758753455</c:v>
                </c:pt>
                <c:pt idx="2199">
                  <c:v>0.43988797759553616</c:v>
                </c:pt>
                <c:pt idx="2200">
                  <c:v>0.44008801760353777</c:v>
                </c:pt>
                <c:pt idx="2201">
                  <c:v>0.44028805761153939</c:v>
                </c:pt>
                <c:pt idx="2202">
                  <c:v>0.440488097619541</c:v>
                </c:pt>
                <c:pt idx="2203">
                  <c:v>0.44068813762754261</c:v>
                </c:pt>
                <c:pt idx="2204">
                  <c:v>0.44088817763554422</c:v>
                </c:pt>
                <c:pt idx="2205">
                  <c:v>0.44108821764354583</c:v>
                </c:pt>
                <c:pt idx="2206">
                  <c:v>0.44128825765154744</c:v>
                </c:pt>
                <c:pt idx="2207">
                  <c:v>0.44148829765954906</c:v>
                </c:pt>
                <c:pt idx="2208">
                  <c:v>0.44168833766755067</c:v>
                </c:pt>
                <c:pt idx="2209">
                  <c:v>0.44188837767555228</c:v>
                </c:pt>
                <c:pt idx="2210">
                  <c:v>0.44208841768355389</c:v>
                </c:pt>
                <c:pt idx="2211">
                  <c:v>0.4422884576915555</c:v>
                </c:pt>
                <c:pt idx="2212">
                  <c:v>0.44248849769955712</c:v>
                </c:pt>
                <c:pt idx="2213">
                  <c:v>0.44268853770755873</c:v>
                </c:pt>
                <c:pt idx="2214">
                  <c:v>0.44288857771556034</c:v>
                </c:pt>
                <c:pt idx="2215">
                  <c:v>0.44308861772356195</c:v>
                </c:pt>
                <c:pt idx="2216">
                  <c:v>0.44328865773156356</c:v>
                </c:pt>
                <c:pt idx="2217">
                  <c:v>0.44348869773956517</c:v>
                </c:pt>
                <c:pt idx="2218">
                  <c:v>0.44368873774756679</c:v>
                </c:pt>
                <c:pt idx="2219">
                  <c:v>0.4438887777555684</c:v>
                </c:pt>
                <c:pt idx="2220">
                  <c:v>0.44408881776357001</c:v>
                </c:pt>
                <c:pt idx="2221">
                  <c:v>0.44428885777157162</c:v>
                </c:pt>
                <c:pt idx="2222">
                  <c:v>0.44448889777957323</c:v>
                </c:pt>
                <c:pt idx="2223">
                  <c:v>0.44468893778757485</c:v>
                </c:pt>
                <c:pt idx="2224">
                  <c:v>0.44488897779557646</c:v>
                </c:pt>
                <c:pt idx="2225">
                  <c:v>0.44508901780357807</c:v>
                </c:pt>
                <c:pt idx="2226">
                  <c:v>0.44528905781157968</c:v>
                </c:pt>
                <c:pt idx="2227">
                  <c:v>0.44548909781958129</c:v>
                </c:pt>
                <c:pt idx="2228">
                  <c:v>0.4456891378275829</c:v>
                </c:pt>
                <c:pt idx="2229">
                  <c:v>0.44588917783558452</c:v>
                </c:pt>
                <c:pt idx="2230">
                  <c:v>0.44608921784358613</c:v>
                </c:pt>
                <c:pt idx="2231">
                  <c:v>0.44628925785158774</c:v>
                </c:pt>
                <c:pt idx="2232">
                  <c:v>0.44648929785958935</c:v>
                </c:pt>
                <c:pt idx="2233">
                  <c:v>0.44668933786759096</c:v>
                </c:pt>
                <c:pt idx="2234">
                  <c:v>0.44688937787559257</c:v>
                </c:pt>
                <c:pt idx="2235">
                  <c:v>0.44708941788359419</c:v>
                </c:pt>
                <c:pt idx="2236">
                  <c:v>0.4472894578915958</c:v>
                </c:pt>
                <c:pt idx="2237">
                  <c:v>0.44748949789959741</c:v>
                </c:pt>
                <c:pt idx="2238">
                  <c:v>0.44768953790759902</c:v>
                </c:pt>
                <c:pt idx="2239">
                  <c:v>0.44788957791560063</c:v>
                </c:pt>
                <c:pt idx="2240">
                  <c:v>0.44808961792360225</c:v>
                </c:pt>
                <c:pt idx="2241">
                  <c:v>0.44828965793160386</c:v>
                </c:pt>
                <c:pt idx="2242">
                  <c:v>0.44848969793960547</c:v>
                </c:pt>
                <c:pt idx="2243">
                  <c:v>0.44868973794760708</c:v>
                </c:pt>
                <c:pt idx="2244">
                  <c:v>0.44888977795560869</c:v>
                </c:pt>
                <c:pt idx="2245">
                  <c:v>0.4490898179636103</c:v>
                </c:pt>
                <c:pt idx="2246">
                  <c:v>0.44928985797161192</c:v>
                </c:pt>
                <c:pt idx="2247">
                  <c:v>0.44948989797961353</c:v>
                </c:pt>
                <c:pt idx="2248">
                  <c:v>0.44968993798761514</c:v>
                </c:pt>
                <c:pt idx="2249">
                  <c:v>0.44988997799561675</c:v>
                </c:pt>
                <c:pt idx="2250">
                  <c:v>0.45009001800361836</c:v>
                </c:pt>
                <c:pt idx="2251">
                  <c:v>0.45029005801161998</c:v>
                </c:pt>
                <c:pt idx="2252">
                  <c:v>0.45049009801962159</c:v>
                </c:pt>
                <c:pt idx="2253">
                  <c:v>0.4506901380276232</c:v>
                </c:pt>
                <c:pt idx="2254">
                  <c:v>0.45089017803562481</c:v>
                </c:pt>
                <c:pt idx="2255">
                  <c:v>0.45109021804362642</c:v>
                </c:pt>
                <c:pt idx="2256">
                  <c:v>0.45129025805162803</c:v>
                </c:pt>
                <c:pt idx="2257">
                  <c:v>0.45149029805962965</c:v>
                </c:pt>
                <c:pt idx="2258">
                  <c:v>0.45169033806763126</c:v>
                </c:pt>
                <c:pt idx="2259">
                  <c:v>0.45189037807563287</c:v>
                </c:pt>
                <c:pt idx="2260">
                  <c:v>0.45209041808363448</c:v>
                </c:pt>
                <c:pt idx="2261">
                  <c:v>0.45229045809163609</c:v>
                </c:pt>
                <c:pt idx="2262">
                  <c:v>0.45249049809963771</c:v>
                </c:pt>
                <c:pt idx="2263">
                  <c:v>0.45269053810763932</c:v>
                </c:pt>
                <c:pt idx="2264">
                  <c:v>0.45289057811564093</c:v>
                </c:pt>
                <c:pt idx="2265">
                  <c:v>0.45309061812364254</c:v>
                </c:pt>
                <c:pt idx="2266">
                  <c:v>0.45329065813164415</c:v>
                </c:pt>
                <c:pt idx="2267">
                  <c:v>0.45349069813964576</c:v>
                </c:pt>
                <c:pt idx="2268">
                  <c:v>0.45369073814764738</c:v>
                </c:pt>
                <c:pt idx="2269">
                  <c:v>0.45389077815564899</c:v>
                </c:pt>
                <c:pt idx="2270">
                  <c:v>0.4540908181636506</c:v>
                </c:pt>
                <c:pt idx="2271">
                  <c:v>0.45429085817165221</c:v>
                </c:pt>
                <c:pt idx="2272">
                  <c:v>0.45449089817965382</c:v>
                </c:pt>
                <c:pt idx="2273">
                  <c:v>0.45469093818765544</c:v>
                </c:pt>
                <c:pt idx="2274">
                  <c:v>0.45489097819565705</c:v>
                </c:pt>
                <c:pt idx="2275">
                  <c:v>0.45509101820365866</c:v>
                </c:pt>
                <c:pt idx="2276">
                  <c:v>0.45529105821166027</c:v>
                </c:pt>
                <c:pt idx="2277">
                  <c:v>0.45549109821966188</c:v>
                </c:pt>
                <c:pt idx="2278">
                  <c:v>0.45569113822766349</c:v>
                </c:pt>
                <c:pt idx="2279">
                  <c:v>0.45589117823566511</c:v>
                </c:pt>
                <c:pt idx="2280">
                  <c:v>0.45609121824366672</c:v>
                </c:pt>
                <c:pt idx="2281">
                  <c:v>0.45629125825166833</c:v>
                </c:pt>
                <c:pt idx="2282">
                  <c:v>0.45649129825966994</c:v>
                </c:pt>
                <c:pt idx="2283">
                  <c:v>0.45669133826767155</c:v>
                </c:pt>
                <c:pt idx="2284">
                  <c:v>0.45689137827567317</c:v>
                </c:pt>
                <c:pt idx="2285">
                  <c:v>0.45709141828367478</c:v>
                </c:pt>
                <c:pt idx="2286">
                  <c:v>0.45729145829167639</c:v>
                </c:pt>
                <c:pt idx="2287">
                  <c:v>0.457491498299678</c:v>
                </c:pt>
                <c:pt idx="2288">
                  <c:v>0.45769153830767961</c:v>
                </c:pt>
                <c:pt idx="2289">
                  <c:v>0.45789157831568122</c:v>
                </c:pt>
                <c:pt idx="2290">
                  <c:v>0.45809161832368284</c:v>
                </c:pt>
                <c:pt idx="2291">
                  <c:v>0.45829165833168445</c:v>
                </c:pt>
                <c:pt idx="2292">
                  <c:v>0.45849169833968606</c:v>
                </c:pt>
                <c:pt idx="2293">
                  <c:v>0.45869173834768767</c:v>
                </c:pt>
                <c:pt idx="2294">
                  <c:v>0.45889177835568928</c:v>
                </c:pt>
                <c:pt idx="2295">
                  <c:v>0.4590918183636909</c:v>
                </c:pt>
                <c:pt idx="2296">
                  <c:v>0.45929185837169251</c:v>
                </c:pt>
                <c:pt idx="2297">
                  <c:v>0.45949189837969412</c:v>
                </c:pt>
                <c:pt idx="2298">
                  <c:v>0.45969193838769573</c:v>
                </c:pt>
                <c:pt idx="2299">
                  <c:v>0.45989197839569734</c:v>
                </c:pt>
                <c:pt idx="2300">
                  <c:v>0.46009201840369895</c:v>
                </c:pt>
                <c:pt idx="2301">
                  <c:v>0.46029205841170057</c:v>
                </c:pt>
                <c:pt idx="2302">
                  <c:v>0.46049209841970218</c:v>
                </c:pt>
                <c:pt idx="2303">
                  <c:v>0.46069213842770379</c:v>
                </c:pt>
                <c:pt idx="2304">
                  <c:v>0.4608921784357054</c:v>
                </c:pt>
                <c:pt idx="2305">
                  <c:v>0.46109221844370701</c:v>
                </c:pt>
                <c:pt idx="2306">
                  <c:v>0.46129225845170863</c:v>
                </c:pt>
                <c:pt idx="2307">
                  <c:v>0.46149229845971024</c:v>
                </c:pt>
                <c:pt idx="2308">
                  <c:v>0.46169233846771185</c:v>
                </c:pt>
                <c:pt idx="2309">
                  <c:v>0.46189237847571346</c:v>
                </c:pt>
                <c:pt idx="2310">
                  <c:v>0.46209241848371507</c:v>
                </c:pt>
                <c:pt idx="2311">
                  <c:v>0.46229245849171668</c:v>
                </c:pt>
                <c:pt idx="2312">
                  <c:v>0.4624924984997183</c:v>
                </c:pt>
                <c:pt idx="2313">
                  <c:v>0.46269253850771991</c:v>
                </c:pt>
                <c:pt idx="2314">
                  <c:v>0.46289257851572152</c:v>
                </c:pt>
                <c:pt idx="2315">
                  <c:v>0.46309261852372313</c:v>
                </c:pt>
                <c:pt idx="2316">
                  <c:v>0.46329265853172474</c:v>
                </c:pt>
                <c:pt idx="2317">
                  <c:v>0.46349269853972636</c:v>
                </c:pt>
                <c:pt idx="2318">
                  <c:v>0.46369273854772797</c:v>
                </c:pt>
                <c:pt idx="2319">
                  <c:v>0.46389277855572958</c:v>
                </c:pt>
                <c:pt idx="2320">
                  <c:v>0.46409281856373119</c:v>
                </c:pt>
                <c:pt idx="2321">
                  <c:v>0.4642928585717328</c:v>
                </c:pt>
                <c:pt idx="2322">
                  <c:v>0.46449289857973441</c:v>
                </c:pt>
                <c:pt idx="2323">
                  <c:v>0.46469293858773603</c:v>
                </c:pt>
                <c:pt idx="2324">
                  <c:v>0.46489297859573764</c:v>
                </c:pt>
                <c:pt idx="2325">
                  <c:v>0.46509301860373925</c:v>
                </c:pt>
                <c:pt idx="2326">
                  <c:v>0.46529305861174086</c:v>
                </c:pt>
                <c:pt idx="2327">
                  <c:v>0.46549309861974247</c:v>
                </c:pt>
                <c:pt idx="2328">
                  <c:v>0.46569313862774409</c:v>
                </c:pt>
                <c:pt idx="2329">
                  <c:v>0.4658931786357457</c:v>
                </c:pt>
                <c:pt idx="2330">
                  <c:v>0.46609321864374731</c:v>
                </c:pt>
                <c:pt idx="2331">
                  <c:v>0.46629325865174892</c:v>
                </c:pt>
                <c:pt idx="2332">
                  <c:v>0.46649329865975053</c:v>
                </c:pt>
                <c:pt idx="2333">
                  <c:v>0.46669333866775214</c:v>
                </c:pt>
                <c:pt idx="2334">
                  <c:v>0.46689337867575376</c:v>
                </c:pt>
                <c:pt idx="2335">
                  <c:v>0.46709341868375537</c:v>
                </c:pt>
                <c:pt idx="2336">
                  <c:v>0.46729345869175698</c:v>
                </c:pt>
                <c:pt idx="2337">
                  <c:v>0.46749349869975859</c:v>
                </c:pt>
                <c:pt idx="2338">
                  <c:v>0.4676935387077602</c:v>
                </c:pt>
                <c:pt idx="2339">
                  <c:v>0.46789357871576182</c:v>
                </c:pt>
                <c:pt idx="2340">
                  <c:v>0.46809361872376343</c:v>
                </c:pt>
                <c:pt idx="2341">
                  <c:v>0.46829365873176504</c:v>
                </c:pt>
                <c:pt idx="2342">
                  <c:v>0.46849369873976665</c:v>
                </c:pt>
                <c:pt idx="2343">
                  <c:v>0.46869373874776826</c:v>
                </c:pt>
                <c:pt idx="2344">
                  <c:v>0.46889377875576987</c:v>
                </c:pt>
                <c:pt idx="2345">
                  <c:v>0.46909381876377149</c:v>
                </c:pt>
                <c:pt idx="2346">
                  <c:v>0.4692938587717731</c:v>
                </c:pt>
                <c:pt idx="2347">
                  <c:v>0.46949389877977471</c:v>
                </c:pt>
                <c:pt idx="2348">
                  <c:v>0.46969393878777632</c:v>
                </c:pt>
                <c:pt idx="2349">
                  <c:v>0.46989397879577793</c:v>
                </c:pt>
                <c:pt idx="2350">
                  <c:v>0.47009401880377955</c:v>
                </c:pt>
                <c:pt idx="2351">
                  <c:v>0.47029405881178116</c:v>
                </c:pt>
                <c:pt idx="2352">
                  <c:v>0.47049409881978277</c:v>
                </c:pt>
                <c:pt idx="2353">
                  <c:v>0.47069413882778438</c:v>
                </c:pt>
                <c:pt idx="2354">
                  <c:v>0.47089417883578599</c:v>
                </c:pt>
                <c:pt idx="2355">
                  <c:v>0.4710942188437876</c:v>
                </c:pt>
                <c:pt idx="2356">
                  <c:v>0.47129425885178922</c:v>
                </c:pt>
                <c:pt idx="2357">
                  <c:v>0.47149429885979083</c:v>
                </c:pt>
                <c:pt idx="2358">
                  <c:v>0.47169433886779244</c:v>
                </c:pt>
                <c:pt idx="2359">
                  <c:v>0.47189437887579405</c:v>
                </c:pt>
                <c:pt idx="2360">
                  <c:v>0.47209441888379566</c:v>
                </c:pt>
                <c:pt idx="2361">
                  <c:v>0.47229445889179728</c:v>
                </c:pt>
                <c:pt idx="2362">
                  <c:v>0.47249449889979889</c:v>
                </c:pt>
                <c:pt idx="2363">
                  <c:v>0.4726945389078005</c:v>
                </c:pt>
                <c:pt idx="2364">
                  <c:v>0.47289457891580211</c:v>
                </c:pt>
                <c:pt idx="2365">
                  <c:v>0.47309461892380372</c:v>
                </c:pt>
                <c:pt idx="2366">
                  <c:v>0.47329465893180533</c:v>
                </c:pt>
                <c:pt idx="2367">
                  <c:v>0.47349469893980695</c:v>
                </c:pt>
                <c:pt idx="2368">
                  <c:v>0.47369473894780856</c:v>
                </c:pt>
                <c:pt idx="2369">
                  <c:v>0.47389477895581017</c:v>
                </c:pt>
                <c:pt idx="2370">
                  <c:v>0.47409481896381178</c:v>
                </c:pt>
                <c:pt idx="2371">
                  <c:v>0.47429485897181339</c:v>
                </c:pt>
                <c:pt idx="2372">
                  <c:v>0.47449489897981501</c:v>
                </c:pt>
                <c:pt idx="2373">
                  <c:v>0.47469493898781662</c:v>
                </c:pt>
                <c:pt idx="2374">
                  <c:v>0.47489497899581823</c:v>
                </c:pt>
                <c:pt idx="2375">
                  <c:v>0.47509501900381984</c:v>
                </c:pt>
                <c:pt idx="2376">
                  <c:v>0.47529505901182145</c:v>
                </c:pt>
                <c:pt idx="2377">
                  <c:v>0.47549509901982306</c:v>
                </c:pt>
                <c:pt idx="2378">
                  <c:v>0.47569513902782468</c:v>
                </c:pt>
                <c:pt idx="2379">
                  <c:v>0.47589517903582629</c:v>
                </c:pt>
                <c:pt idx="2380">
                  <c:v>0.4760952190438279</c:v>
                </c:pt>
                <c:pt idx="2381">
                  <c:v>0.47629525905182951</c:v>
                </c:pt>
                <c:pt idx="2382">
                  <c:v>0.47649529905983112</c:v>
                </c:pt>
                <c:pt idx="2383">
                  <c:v>0.47669533906783274</c:v>
                </c:pt>
                <c:pt idx="2384">
                  <c:v>0.47689537907583435</c:v>
                </c:pt>
                <c:pt idx="2385">
                  <c:v>0.47709541908383596</c:v>
                </c:pt>
                <c:pt idx="2386">
                  <c:v>0.47729545909183757</c:v>
                </c:pt>
                <c:pt idx="2387">
                  <c:v>0.47749549909983918</c:v>
                </c:pt>
                <c:pt idx="2388">
                  <c:v>0.47769553910784079</c:v>
                </c:pt>
                <c:pt idx="2389">
                  <c:v>0.47789557911584241</c:v>
                </c:pt>
                <c:pt idx="2390">
                  <c:v>0.47809561912384402</c:v>
                </c:pt>
                <c:pt idx="2391">
                  <c:v>0.47829565913184563</c:v>
                </c:pt>
                <c:pt idx="2392">
                  <c:v>0.47849569913984724</c:v>
                </c:pt>
                <c:pt idx="2393">
                  <c:v>0.47869573914784885</c:v>
                </c:pt>
                <c:pt idx="2394">
                  <c:v>0.47889577915585047</c:v>
                </c:pt>
                <c:pt idx="2395">
                  <c:v>0.47909581916385208</c:v>
                </c:pt>
                <c:pt idx="2396">
                  <c:v>0.47929585917185369</c:v>
                </c:pt>
                <c:pt idx="2397">
                  <c:v>0.4794958991798553</c:v>
                </c:pt>
                <c:pt idx="2398">
                  <c:v>0.47969593918785691</c:v>
                </c:pt>
                <c:pt idx="2399">
                  <c:v>0.47989597919585852</c:v>
                </c:pt>
                <c:pt idx="2400">
                  <c:v>0.48009601920386014</c:v>
                </c:pt>
                <c:pt idx="2401">
                  <c:v>0.48029605921186175</c:v>
                </c:pt>
                <c:pt idx="2402">
                  <c:v>0.48049609921986336</c:v>
                </c:pt>
                <c:pt idx="2403">
                  <c:v>0.48069613922786497</c:v>
                </c:pt>
                <c:pt idx="2404">
                  <c:v>0.48089617923586658</c:v>
                </c:pt>
                <c:pt idx="2405">
                  <c:v>0.4810962192438682</c:v>
                </c:pt>
                <c:pt idx="2406">
                  <c:v>0.48129625925186981</c:v>
                </c:pt>
                <c:pt idx="2407">
                  <c:v>0.48149629925987142</c:v>
                </c:pt>
                <c:pt idx="2408">
                  <c:v>0.48169633926787303</c:v>
                </c:pt>
                <c:pt idx="2409">
                  <c:v>0.48189637927587464</c:v>
                </c:pt>
                <c:pt idx="2410">
                  <c:v>0.48209641928387625</c:v>
                </c:pt>
                <c:pt idx="2411">
                  <c:v>0.48229645929187787</c:v>
                </c:pt>
                <c:pt idx="2412">
                  <c:v>0.48249649929987948</c:v>
                </c:pt>
                <c:pt idx="2413">
                  <c:v>0.48269653930788109</c:v>
                </c:pt>
                <c:pt idx="2414">
                  <c:v>0.4828965793158827</c:v>
                </c:pt>
                <c:pt idx="2415">
                  <c:v>0.48309661932388431</c:v>
                </c:pt>
                <c:pt idx="2416">
                  <c:v>0.48329665933188592</c:v>
                </c:pt>
                <c:pt idx="2417">
                  <c:v>0.48349669933988754</c:v>
                </c:pt>
                <c:pt idx="2418">
                  <c:v>0.48369673934788915</c:v>
                </c:pt>
                <c:pt idx="2419">
                  <c:v>0.48389677935589076</c:v>
                </c:pt>
                <c:pt idx="2420">
                  <c:v>0.48409681936389237</c:v>
                </c:pt>
                <c:pt idx="2421">
                  <c:v>0.48429685937189398</c:v>
                </c:pt>
                <c:pt idx="2422">
                  <c:v>0.4844968993798956</c:v>
                </c:pt>
                <c:pt idx="2423">
                  <c:v>0.48469693938789721</c:v>
                </c:pt>
                <c:pt idx="2424">
                  <c:v>0.48489697939589882</c:v>
                </c:pt>
                <c:pt idx="2425">
                  <c:v>0.48509701940390043</c:v>
                </c:pt>
                <c:pt idx="2426">
                  <c:v>0.48529705941190204</c:v>
                </c:pt>
                <c:pt idx="2427">
                  <c:v>0.48549709941990365</c:v>
                </c:pt>
                <c:pt idx="2428">
                  <c:v>0.48569713942790527</c:v>
                </c:pt>
                <c:pt idx="2429">
                  <c:v>0.48589717943590688</c:v>
                </c:pt>
                <c:pt idx="2430">
                  <c:v>0.48609721944390849</c:v>
                </c:pt>
                <c:pt idx="2431">
                  <c:v>0.4862972594519101</c:v>
                </c:pt>
                <c:pt idx="2432">
                  <c:v>0.48649729945991171</c:v>
                </c:pt>
                <c:pt idx="2433">
                  <c:v>0.48669733946791333</c:v>
                </c:pt>
                <c:pt idx="2434">
                  <c:v>0.48689737947591494</c:v>
                </c:pt>
                <c:pt idx="2435">
                  <c:v>0.48709741948391655</c:v>
                </c:pt>
                <c:pt idx="2436">
                  <c:v>0.48729745949191816</c:v>
                </c:pt>
                <c:pt idx="2437">
                  <c:v>0.48749749949991977</c:v>
                </c:pt>
                <c:pt idx="2438">
                  <c:v>0.48769753950792138</c:v>
                </c:pt>
                <c:pt idx="2439">
                  <c:v>0.487897579515923</c:v>
                </c:pt>
                <c:pt idx="2440">
                  <c:v>0.48809761952392461</c:v>
                </c:pt>
                <c:pt idx="2441">
                  <c:v>0.48829765953192622</c:v>
                </c:pt>
                <c:pt idx="2442">
                  <c:v>0.48849769953992783</c:v>
                </c:pt>
                <c:pt idx="2443">
                  <c:v>0.48869773954792944</c:v>
                </c:pt>
                <c:pt idx="2444">
                  <c:v>0.48889777955593106</c:v>
                </c:pt>
                <c:pt idx="2445">
                  <c:v>0.48909781956393267</c:v>
                </c:pt>
                <c:pt idx="2446">
                  <c:v>0.48929785957193428</c:v>
                </c:pt>
                <c:pt idx="2447">
                  <c:v>0.48949789957993589</c:v>
                </c:pt>
                <c:pt idx="2448">
                  <c:v>0.4896979395879375</c:v>
                </c:pt>
                <c:pt idx="2449">
                  <c:v>0.48989797959593911</c:v>
                </c:pt>
                <c:pt idx="2450">
                  <c:v>0.49009801960394073</c:v>
                </c:pt>
                <c:pt idx="2451">
                  <c:v>0.49029805961194234</c:v>
                </c:pt>
                <c:pt idx="2452">
                  <c:v>0.49049809961994395</c:v>
                </c:pt>
                <c:pt idx="2453">
                  <c:v>0.49069813962794556</c:v>
                </c:pt>
                <c:pt idx="2454">
                  <c:v>0.49089817963594717</c:v>
                </c:pt>
                <c:pt idx="2455">
                  <c:v>0.49109821964394879</c:v>
                </c:pt>
                <c:pt idx="2456">
                  <c:v>0.4912982596519504</c:v>
                </c:pt>
                <c:pt idx="2457">
                  <c:v>0.49149829965995201</c:v>
                </c:pt>
                <c:pt idx="2458">
                  <c:v>0.49169833966795362</c:v>
                </c:pt>
                <c:pt idx="2459">
                  <c:v>0.49189837967595523</c:v>
                </c:pt>
                <c:pt idx="2460">
                  <c:v>0.49209841968395684</c:v>
                </c:pt>
                <c:pt idx="2461">
                  <c:v>0.49229845969195846</c:v>
                </c:pt>
                <c:pt idx="2462">
                  <c:v>0.49249849969996007</c:v>
                </c:pt>
                <c:pt idx="2463">
                  <c:v>0.49269853970796168</c:v>
                </c:pt>
                <c:pt idx="2464">
                  <c:v>0.49289857971596329</c:v>
                </c:pt>
                <c:pt idx="2465">
                  <c:v>0.4930986197239649</c:v>
                </c:pt>
                <c:pt idx="2466">
                  <c:v>0.49329865973196652</c:v>
                </c:pt>
                <c:pt idx="2467">
                  <c:v>0.49349869973996813</c:v>
                </c:pt>
                <c:pt idx="2468">
                  <c:v>0.49369873974796974</c:v>
                </c:pt>
                <c:pt idx="2469">
                  <c:v>0.49389877975597135</c:v>
                </c:pt>
                <c:pt idx="2470">
                  <c:v>0.49409881976397296</c:v>
                </c:pt>
                <c:pt idx="2471">
                  <c:v>0.49429885977197457</c:v>
                </c:pt>
                <c:pt idx="2472">
                  <c:v>0.49449889977997619</c:v>
                </c:pt>
                <c:pt idx="2473">
                  <c:v>0.4946989397879778</c:v>
                </c:pt>
                <c:pt idx="2474">
                  <c:v>0.49489897979597941</c:v>
                </c:pt>
                <c:pt idx="2475">
                  <c:v>0.49509901980398102</c:v>
                </c:pt>
                <c:pt idx="2476">
                  <c:v>0.49529905981198263</c:v>
                </c:pt>
                <c:pt idx="2477">
                  <c:v>0.49549909981998425</c:v>
                </c:pt>
                <c:pt idx="2478">
                  <c:v>0.49569913982798586</c:v>
                </c:pt>
                <c:pt idx="2479">
                  <c:v>0.49589917983598747</c:v>
                </c:pt>
                <c:pt idx="2480">
                  <c:v>0.49609921984398908</c:v>
                </c:pt>
                <c:pt idx="2481">
                  <c:v>0.49629925985199069</c:v>
                </c:pt>
                <c:pt idx="2482">
                  <c:v>0.4964992998599923</c:v>
                </c:pt>
                <c:pt idx="2483">
                  <c:v>0.49669933986799392</c:v>
                </c:pt>
                <c:pt idx="2484">
                  <c:v>0.49689937987599553</c:v>
                </c:pt>
                <c:pt idx="2485">
                  <c:v>0.49709941988399714</c:v>
                </c:pt>
                <c:pt idx="2486">
                  <c:v>0.49729945989199875</c:v>
                </c:pt>
                <c:pt idx="2487">
                  <c:v>0.49749949990000036</c:v>
                </c:pt>
                <c:pt idx="2488">
                  <c:v>0.49769953990800198</c:v>
                </c:pt>
                <c:pt idx="2489">
                  <c:v>0.49789957991600359</c:v>
                </c:pt>
                <c:pt idx="2490">
                  <c:v>0.4980996199240052</c:v>
                </c:pt>
                <c:pt idx="2491">
                  <c:v>0.49829965993200681</c:v>
                </c:pt>
                <c:pt idx="2492">
                  <c:v>0.49849969994000842</c:v>
                </c:pt>
                <c:pt idx="2493">
                  <c:v>0.49869973994801003</c:v>
                </c:pt>
                <c:pt idx="2494">
                  <c:v>0.49889977995601165</c:v>
                </c:pt>
                <c:pt idx="2495">
                  <c:v>0.49909981996401326</c:v>
                </c:pt>
                <c:pt idx="2496">
                  <c:v>0.49929985997201487</c:v>
                </c:pt>
                <c:pt idx="2497">
                  <c:v>0.49949989998001648</c:v>
                </c:pt>
                <c:pt idx="2498">
                  <c:v>0.49969993998801809</c:v>
                </c:pt>
                <c:pt idx="2499">
                  <c:v>0.49989997999601971</c:v>
                </c:pt>
                <c:pt idx="2500">
                  <c:v>0.50010002000402132</c:v>
                </c:pt>
                <c:pt idx="2501">
                  <c:v>0.50030006001202287</c:v>
                </c:pt>
                <c:pt idx="2502">
                  <c:v>0.50050010002002443</c:v>
                </c:pt>
                <c:pt idx="2503">
                  <c:v>0.50070014002802599</c:v>
                </c:pt>
                <c:pt idx="2504">
                  <c:v>0.50090018003602754</c:v>
                </c:pt>
                <c:pt idx="2505">
                  <c:v>0.5011002200440291</c:v>
                </c:pt>
                <c:pt idx="2506">
                  <c:v>0.50130026005203066</c:v>
                </c:pt>
                <c:pt idx="2507">
                  <c:v>0.50150030006003221</c:v>
                </c:pt>
                <c:pt idx="2508">
                  <c:v>0.50170034006803377</c:v>
                </c:pt>
                <c:pt idx="2509">
                  <c:v>0.50190038007603532</c:v>
                </c:pt>
                <c:pt idx="2510">
                  <c:v>0.50210042008403688</c:v>
                </c:pt>
                <c:pt idx="2511">
                  <c:v>0.50230046009203844</c:v>
                </c:pt>
                <c:pt idx="2512">
                  <c:v>0.50250050010003999</c:v>
                </c:pt>
                <c:pt idx="2513">
                  <c:v>0.50270054010804155</c:v>
                </c:pt>
                <c:pt idx="2514">
                  <c:v>0.50290058011604311</c:v>
                </c:pt>
                <c:pt idx="2515">
                  <c:v>0.50310062012404466</c:v>
                </c:pt>
                <c:pt idx="2516">
                  <c:v>0.50330066013204622</c:v>
                </c:pt>
                <c:pt idx="2517">
                  <c:v>0.50350070014004777</c:v>
                </c:pt>
                <c:pt idx="2518">
                  <c:v>0.50370074014804933</c:v>
                </c:pt>
                <c:pt idx="2519">
                  <c:v>0.50390078015605089</c:v>
                </c:pt>
                <c:pt idx="2520">
                  <c:v>0.50410082016405244</c:v>
                </c:pt>
                <c:pt idx="2521">
                  <c:v>0.504300860172054</c:v>
                </c:pt>
                <c:pt idx="2522">
                  <c:v>0.50450090018005556</c:v>
                </c:pt>
                <c:pt idx="2523">
                  <c:v>0.50470094018805711</c:v>
                </c:pt>
                <c:pt idx="2524">
                  <c:v>0.50490098019605867</c:v>
                </c:pt>
                <c:pt idx="2525">
                  <c:v>0.50510102020406022</c:v>
                </c:pt>
                <c:pt idx="2526">
                  <c:v>0.50530106021206178</c:v>
                </c:pt>
                <c:pt idx="2527">
                  <c:v>0.50550110022006334</c:v>
                </c:pt>
                <c:pt idx="2528">
                  <c:v>0.50570114022806489</c:v>
                </c:pt>
                <c:pt idx="2529">
                  <c:v>0.50590118023606645</c:v>
                </c:pt>
                <c:pt idx="2530">
                  <c:v>0.50610122024406801</c:v>
                </c:pt>
                <c:pt idx="2531">
                  <c:v>0.50630126025206956</c:v>
                </c:pt>
                <c:pt idx="2532">
                  <c:v>0.50650130026007112</c:v>
                </c:pt>
                <c:pt idx="2533">
                  <c:v>0.50670134026807268</c:v>
                </c:pt>
                <c:pt idx="2534">
                  <c:v>0.50690138027607423</c:v>
                </c:pt>
                <c:pt idx="2535">
                  <c:v>0.50710142028407579</c:v>
                </c:pt>
                <c:pt idx="2536">
                  <c:v>0.50730146029207734</c:v>
                </c:pt>
                <c:pt idx="2537">
                  <c:v>0.5075015003000789</c:v>
                </c:pt>
                <c:pt idx="2538">
                  <c:v>0.50770154030808046</c:v>
                </c:pt>
                <c:pt idx="2539">
                  <c:v>0.50790158031608201</c:v>
                </c:pt>
                <c:pt idx="2540">
                  <c:v>0.50810162032408357</c:v>
                </c:pt>
                <c:pt idx="2541">
                  <c:v>0.50830166033208513</c:v>
                </c:pt>
                <c:pt idx="2542">
                  <c:v>0.50850170034008668</c:v>
                </c:pt>
                <c:pt idx="2543">
                  <c:v>0.50870174034808824</c:v>
                </c:pt>
                <c:pt idx="2544">
                  <c:v>0.50890178035608979</c:v>
                </c:pt>
                <c:pt idx="2545">
                  <c:v>0.50910182036409135</c:v>
                </c:pt>
                <c:pt idx="2546">
                  <c:v>0.50930186037209291</c:v>
                </c:pt>
                <c:pt idx="2547">
                  <c:v>0.50950190038009446</c:v>
                </c:pt>
                <c:pt idx="2548">
                  <c:v>0.50970194038809602</c:v>
                </c:pt>
                <c:pt idx="2549">
                  <c:v>0.50990198039609758</c:v>
                </c:pt>
                <c:pt idx="2550">
                  <c:v>0.51010202040409913</c:v>
                </c:pt>
                <c:pt idx="2551">
                  <c:v>0.51030206041210069</c:v>
                </c:pt>
                <c:pt idx="2552">
                  <c:v>0.51050210042010224</c:v>
                </c:pt>
                <c:pt idx="2553">
                  <c:v>0.5107021404281038</c:v>
                </c:pt>
                <c:pt idx="2554">
                  <c:v>0.51090218043610536</c:v>
                </c:pt>
                <c:pt idx="2555">
                  <c:v>0.51110222044410691</c:v>
                </c:pt>
                <c:pt idx="2556">
                  <c:v>0.51130226045210847</c:v>
                </c:pt>
                <c:pt idx="2557">
                  <c:v>0.51150230046011003</c:v>
                </c:pt>
                <c:pt idx="2558">
                  <c:v>0.51170234046811158</c:v>
                </c:pt>
                <c:pt idx="2559">
                  <c:v>0.51190238047611314</c:v>
                </c:pt>
                <c:pt idx="2560">
                  <c:v>0.5121024204841147</c:v>
                </c:pt>
                <c:pt idx="2561">
                  <c:v>0.51230246049211625</c:v>
                </c:pt>
                <c:pt idx="2562">
                  <c:v>0.51250250050011781</c:v>
                </c:pt>
                <c:pt idx="2563">
                  <c:v>0.51270254050811936</c:v>
                </c:pt>
                <c:pt idx="2564">
                  <c:v>0.51290258051612092</c:v>
                </c:pt>
                <c:pt idx="2565">
                  <c:v>0.51310262052412248</c:v>
                </c:pt>
                <c:pt idx="2566">
                  <c:v>0.51330266053212403</c:v>
                </c:pt>
                <c:pt idx="2567">
                  <c:v>0.51350270054012559</c:v>
                </c:pt>
                <c:pt idx="2568">
                  <c:v>0.51370274054812715</c:v>
                </c:pt>
                <c:pt idx="2569">
                  <c:v>0.5139027805561287</c:v>
                </c:pt>
                <c:pt idx="2570">
                  <c:v>0.51410282056413026</c:v>
                </c:pt>
                <c:pt idx="2571">
                  <c:v>0.51430286057213181</c:v>
                </c:pt>
                <c:pt idx="2572">
                  <c:v>0.51450290058013337</c:v>
                </c:pt>
                <c:pt idx="2573">
                  <c:v>0.51470294058813493</c:v>
                </c:pt>
                <c:pt idx="2574">
                  <c:v>0.51490298059613648</c:v>
                </c:pt>
                <c:pt idx="2575">
                  <c:v>0.51510302060413804</c:v>
                </c:pt>
                <c:pt idx="2576">
                  <c:v>0.5153030606121396</c:v>
                </c:pt>
                <c:pt idx="2577">
                  <c:v>0.51550310062014115</c:v>
                </c:pt>
                <c:pt idx="2578">
                  <c:v>0.51570314062814271</c:v>
                </c:pt>
                <c:pt idx="2579">
                  <c:v>0.51590318063614427</c:v>
                </c:pt>
                <c:pt idx="2580">
                  <c:v>0.51610322064414582</c:v>
                </c:pt>
                <c:pt idx="2581">
                  <c:v>0.51630326065214738</c:v>
                </c:pt>
                <c:pt idx="2582">
                  <c:v>0.51650330066014893</c:v>
                </c:pt>
                <c:pt idx="2583">
                  <c:v>0.51670334066815049</c:v>
                </c:pt>
                <c:pt idx="2584">
                  <c:v>0.51690338067615205</c:v>
                </c:pt>
                <c:pt idx="2585">
                  <c:v>0.5171034206841536</c:v>
                </c:pt>
                <c:pt idx="2586">
                  <c:v>0.51730346069215516</c:v>
                </c:pt>
                <c:pt idx="2587">
                  <c:v>0.51750350070015672</c:v>
                </c:pt>
                <c:pt idx="2588">
                  <c:v>0.51770354070815827</c:v>
                </c:pt>
                <c:pt idx="2589">
                  <c:v>0.51790358071615983</c:v>
                </c:pt>
                <c:pt idx="2590">
                  <c:v>0.51810362072416138</c:v>
                </c:pt>
                <c:pt idx="2591">
                  <c:v>0.51830366073216294</c:v>
                </c:pt>
                <c:pt idx="2592">
                  <c:v>0.5185037007401645</c:v>
                </c:pt>
                <c:pt idx="2593">
                  <c:v>0.51870374074816605</c:v>
                </c:pt>
                <c:pt idx="2594">
                  <c:v>0.51890378075616761</c:v>
                </c:pt>
                <c:pt idx="2595">
                  <c:v>0.51910382076416917</c:v>
                </c:pt>
                <c:pt idx="2596">
                  <c:v>0.51930386077217072</c:v>
                </c:pt>
                <c:pt idx="2597">
                  <c:v>0.51950390078017228</c:v>
                </c:pt>
                <c:pt idx="2598">
                  <c:v>0.51970394078817383</c:v>
                </c:pt>
                <c:pt idx="2599">
                  <c:v>0.51990398079617539</c:v>
                </c:pt>
                <c:pt idx="2600">
                  <c:v>0.52010402080417695</c:v>
                </c:pt>
                <c:pt idx="2601">
                  <c:v>0.5203040608121785</c:v>
                </c:pt>
                <c:pt idx="2602">
                  <c:v>0.52050410082018006</c:v>
                </c:pt>
                <c:pt idx="2603">
                  <c:v>0.52070414082818162</c:v>
                </c:pt>
                <c:pt idx="2604">
                  <c:v>0.52090418083618317</c:v>
                </c:pt>
                <c:pt idx="2605">
                  <c:v>0.52110422084418473</c:v>
                </c:pt>
                <c:pt idx="2606">
                  <c:v>0.52130426085218629</c:v>
                </c:pt>
                <c:pt idx="2607">
                  <c:v>0.52150430086018784</c:v>
                </c:pt>
                <c:pt idx="2608">
                  <c:v>0.5217043408681894</c:v>
                </c:pt>
                <c:pt idx="2609">
                  <c:v>0.52190438087619095</c:v>
                </c:pt>
                <c:pt idx="2610">
                  <c:v>0.52210442088419251</c:v>
                </c:pt>
                <c:pt idx="2611">
                  <c:v>0.52230446089219407</c:v>
                </c:pt>
                <c:pt idx="2612">
                  <c:v>0.52250450090019562</c:v>
                </c:pt>
                <c:pt idx="2613">
                  <c:v>0.52270454090819718</c:v>
                </c:pt>
                <c:pt idx="2614">
                  <c:v>0.52290458091619874</c:v>
                </c:pt>
                <c:pt idx="2615">
                  <c:v>0.52310462092420029</c:v>
                </c:pt>
                <c:pt idx="2616">
                  <c:v>0.52330466093220185</c:v>
                </c:pt>
                <c:pt idx="2617">
                  <c:v>0.5235047009402034</c:v>
                </c:pt>
                <c:pt idx="2618">
                  <c:v>0.52370474094820496</c:v>
                </c:pt>
                <c:pt idx="2619">
                  <c:v>0.52390478095620652</c:v>
                </c:pt>
                <c:pt idx="2620">
                  <c:v>0.52410482096420807</c:v>
                </c:pt>
                <c:pt idx="2621">
                  <c:v>0.52430486097220963</c:v>
                </c:pt>
                <c:pt idx="2622">
                  <c:v>0.52450490098021119</c:v>
                </c:pt>
                <c:pt idx="2623">
                  <c:v>0.52470494098821274</c:v>
                </c:pt>
                <c:pt idx="2624">
                  <c:v>0.5249049809962143</c:v>
                </c:pt>
                <c:pt idx="2625">
                  <c:v>0.52510502100421586</c:v>
                </c:pt>
                <c:pt idx="2626">
                  <c:v>0.52530506101221741</c:v>
                </c:pt>
                <c:pt idx="2627">
                  <c:v>0.52550510102021897</c:v>
                </c:pt>
                <c:pt idx="2628">
                  <c:v>0.52570514102822052</c:v>
                </c:pt>
                <c:pt idx="2629">
                  <c:v>0.52590518103622208</c:v>
                </c:pt>
                <c:pt idx="2630">
                  <c:v>0.52610522104422364</c:v>
                </c:pt>
                <c:pt idx="2631">
                  <c:v>0.52630526105222519</c:v>
                </c:pt>
                <c:pt idx="2632">
                  <c:v>0.52650530106022675</c:v>
                </c:pt>
                <c:pt idx="2633">
                  <c:v>0.52670534106822831</c:v>
                </c:pt>
                <c:pt idx="2634">
                  <c:v>0.52690538107622986</c:v>
                </c:pt>
                <c:pt idx="2635">
                  <c:v>0.52710542108423142</c:v>
                </c:pt>
                <c:pt idx="2636">
                  <c:v>0.52730546109223297</c:v>
                </c:pt>
                <c:pt idx="2637">
                  <c:v>0.52750550110023453</c:v>
                </c:pt>
                <c:pt idx="2638">
                  <c:v>0.52770554110823609</c:v>
                </c:pt>
                <c:pt idx="2639">
                  <c:v>0.52790558111623764</c:v>
                </c:pt>
                <c:pt idx="2640">
                  <c:v>0.5281056211242392</c:v>
                </c:pt>
                <c:pt idx="2641">
                  <c:v>0.52830566113224076</c:v>
                </c:pt>
                <c:pt idx="2642">
                  <c:v>0.52850570114024231</c:v>
                </c:pt>
                <c:pt idx="2643">
                  <c:v>0.52870574114824387</c:v>
                </c:pt>
                <c:pt idx="2644">
                  <c:v>0.52890578115624542</c:v>
                </c:pt>
                <c:pt idx="2645">
                  <c:v>0.52910582116424698</c:v>
                </c:pt>
                <c:pt idx="2646">
                  <c:v>0.52930586117224854</c:v>
                </c:pt>
                <c:pt idx="2647">
                  <c:v>0.52950590118025009</c:v>
                </c:pt>
                <c:pt idx="2648">
                  <c:v>0.52970594118825165</c:v>
                </c:pt>
                <c:pt idx="2649">
                  <c:v>0.52990598119625321</c:v>
                </c:pt>
                <c:pt idx="2650">
                  <c:v>0.53010602120425476</c:v>
                </c:pt>
                <c:pt idx="2651">
                  <c:v>0.53030606121225632</c:v>
                </c:pt>
                <c:pt idx="2652">
                  <c:v>0.53050610122025788</c:v>
                </c:pt>
                <c:pt idx="2653">
                  <c:v>0.53070614122825943</c:v>
                </c:pt>
                <c:pt idx="2654">
                  <c:v>0.53090618123626099</c:v>
                </c:pt>
                <c:pt idx="2655">
                  <c:v>0.53110622124426254</c:v>
                </c:pt>
                <c:pt idx="2656">
                  <c:v>0.5313062612522641</c:v>
                </c:pt>
                <c:pt idx="2657">
                  <c:v>0.53150630126026566</c:v>
                </c:pt>
                <c:pt idx="2658">
                  <c:v>0.53170634126826721</c:v>
                </c:pt>
                <c:pt idx="2659">
                  <c:v>0.53190638127626877</c:v>
                </c:pt>
                <c:pt idx="2660">
                  <c:v>0.53210642128427033</c:v>
                </c:pt>
                <c:pt idx="2661">
                  <c:v>0.53230646129227188</c:v>
                </c:pt>
                <c:pt idx="2662">
                  <c:v>0.53250650130027344</c:v>
                </c:pt>
                <c:pt idx="2663">
                  <c:v>0.53270654130827499</c:v>
                </c:pt>
                <c:pt idx="2664">
                  <c:v>0.53290658131627655</c:v>
                </c:pt>
                <c:pt idx="2665">
                  <c:v>0.53310662132427811</c:v>
                </c:pt>
                <c:pt idx="2666">
                  <c:v>0.53330666133227966</c:v>
                </c:pt>
                <c:pt idx="2667">
                  <c:v>0.53350670134028122</c:v>
                </c:pt>
                <c:pt idx="2668">
                  <c:v>0.53370674134828278</c:v>
                </c:pt>
                <c:pt idx="2669">
                  <c:v>0.53390678135628433</c:v>
                </c:pt>
                <c:pt idx="2670">
                  <c:v>0.53410682136428589</c:v>
                </c:pt>
                <c:pt idx="2671">
                  <c:v>0.53430686137228744</c:v>
                </c:pt>
                <c:pt idx="2672">
                  <c:v>0.534506901380289</c:v>
                </c:pt>
                <c:pt idx="2673">
                  <c:v>0.53470694138829056</c:v>
                </c:pt>
                <c:pt idx="2674">
                  <c:v>0.53490698139629211</c:v>
                </c:pt>
                <c:pt idx="2675">
                  <c:v>0.53510702140429367</c:v>
                </c:pt>
                <c:pt idx="2676">
                  <c:v>0.53530706141229523</c:v>
                </c:pt>
                <c:pt idx="2677">
                  <c:v>0.53550710142029678</c:v>
                </c:pt>
                <c:pt idx="2678">
                  <c:v>0.53570714142829834</c:v>
                </c:pt>
                <c:pt idx="2679">
                  <c:v>0.5359071814362999</c:v>
                </c:pt>
                <c:pt idx="2680">
                  <c:v>0.53610722144430145</c:v>
                </c:pt>
                <c:pt idx="2681">
                  <c:v>0.53630726145230301</c:v>
                </c:pt>
                <c:pt idx="2682">
                  <c:v>0.53650730146030456</c:v>
                </c:pt>
                <c:pt idx="2683">
                  <c:v>0.53670734146830612</c:v>
                </c:pt>
                <c:pt idx="2684">
                  <c:v>0.53690738147630768</c:v>
                </c:pt>
                <c:pt idx="2685">
                  <c:v>0.53710742148430923</c:v>
                </c:pt>
                <c:pt idx="2686">
                  <c:v>0.53730746149231079</c:v>
                </c:pt>
                <c:pt idx="2687">
                  <c:v>0.53750750150031235</c:v>
                </c:pt>
                <c:pt idx="2688">
                  <c:v>0.5377075415083139</c:v>
                </c:pt>
                <c:pt idx="2689">
                  <c:v>0.53790758151631546</c:v>
                </c:pt>
                <c:pt idx="2690">
                  <c:v>0.53810762152431701</c:v>
                </c:pt>
                <c:pt idx="2691">
                  <c:v>0.53830766153231857</c:v>
                </c:pt>
                <c:pt idx="2692">
                  <c:v>0.53850770154032013</c:v>
                </c:pt>
                <c:pt idx="2693">
                  <c:v>0.53870774154832168</c:v>
                </c:pt>
                <c:pt idx="2694">
                  <c:v>0.53890778155632324</c:v>
                </c:pt>
                <c:pt idx="2695">
                  <c:v>0.5391078215643248</c:v>
                </c:pt>
                <c:pt idx="2696">
                  <c:v>0.53930786157232635</c:v>
                </c:pt>
                <c:pt idx="2697">
                  <c:v>0.53950790158032791</c:v>
                </c:pt>
                <c:pt idx="2698">
                  <c:v>0.53970794158832947</c:v>
                </c:pt>
                <c:pt idx="2699">
                  <c:v>0.53990798159633102</c:v>
                </c:pt>
                <c:pt idx="2700">
                  <c:v>0.54010802160433258</c:v>
                </c:pt>
                <c:pt idx="2701">
                  <c:v>0.54030806161233413</c:v>
                </c:pt>
                <c:pt idx="2702">
                  <c:v>0.54050810162033569</c:v>
                </c:pt>
                <c:pt idx="2703">
                  <c:v>0.54070814162833725</c:v>
                </c:pt>
                <c:pt idx="2704">
                  <c:v>0.5409081816363388</c:v>
                </c:pt>
                <c:pt idx="2705">
                  <c:v>0.54110822164434036</c:v>
                </c:pt>
                <c:pt idx="2706">
                  <c:v>0.54130826165234192</c:v>
                </c:pt>
                <c:pt idx="2707">
                  <c:v>0.54150830166034347</c:v>
                </c:pt>
                <c:pt idx="2708">
                  <c:v>0.54170834166834503</c:v>
                </c:pt>
                <c:pt idx="2709">
                  <c:v>0.54190838167634658</c:v>
                </c:pt>
                <c:pt idx="2710">
                  <c:v>0.54210842168434814</c:v>
                </c:pt>
                <c:pt idx="2711">
                  <c:v>0.5423084616923497</c:v>
                </c:pt>
                <c:pt idx="2712">
                  <c:v>0.54250850170035125</c:v>
                </c:pt>
                <c:pt idx="2713">
                  <c:v>0.54270854170835281</c:v>
                </c:pt>
                <c:pt idx="2714">
                  <c:v>0.54290858171635437</c:v>
                </c:pt>
                <c:pt idx="2715">
                  <c:v>0.54310862172435592</c:v>
                </c:pt>
                <c:pt idx="2716">
                  <c:v>0.54330866173235748</c:v>
                </c:pt>
                <c:pt idx="2717">
                  <c:v>0.54350870174035903</c:v>
                </c:pt>
                <c:pt idx="2718">
                  <c:v>0.54370874174836059</c:v>
                </c:pt>
                <c:pt idx="2719">
                  <c:v>0.54390878175636215</c:v>
                </c:pt>
                <c:pt idx="2720">
                  <c:v>0.5441088217643637</c:v>
                </c:pt>
                <c:pt idx="2721">
                  <c:v>0.54430886177236526</c:v>
                </c:pt>
                <c:pt idx="2722">
                  <c:v>0.54450890178036682</c:v>
                </c:pt>
                <c:pt idx="2723">
                  <c:v>0.54470894178836837</c:v>
                </c:pt>
                <c:pt idx="2724">
                  <c:v>0.54490898179636993</c:v>
                </c:pt>
                <c:pt idx="2725">
                  <c:v>0.54510902180437149</c:v>
                </c:pt>
                <c:pt idx="2726">
                  <c:v>0.54530906181237304</c:v>
                </c:pt>
                <c:pt idx="2727">
                  <c:v>0.5455091018203746</c:v>
                </c:pt>
                <c:pt idx="2728">
                  <c:v>0.54570914182837615</c:v>
                </c:pt>
                <c:pt idx="2729">
                  <c:v>0.54590918183637771</c:v>
                </c:pt>
                <c:pt idx="2730">
                  <c:v>0.54610922184437927</c:v>
                </c:pt>
                <c:pt idx="2731">
                  <c:v>0.54630926185238082</c:v>
                </c:pt>
                <c:pt idx="2732">
                  <c:v>0.54650930186038238</c:v>
                </c:pt>
                <c:pt idx="2733">
                  <c:v>0.54670934186838394</c:v>
                </c:pt>
                <c:pt idx="2734">
                  <c:v>0.54690938187638549</c:v>
                </c:pt>
                <c:pt idx="2735">
                  <c:v>0.54710942188438705</c:v>
                </c:pt>
                <c:pt idx="2736">
                  <c:v>0.5473094618923886</c:v>
                </c:pt>
                <c:pt idx="2737">
                  <c:v>0.54750950190039016</c:v>
                </c:pt>
                <c:pt idx="2738">
                  <c:v>0.54770954190839172</c:v>
                </c:pt>
                <c:pt idx="2739">
                  <c:v>0.54790958191639327</c:v>
                </c:pt>
                <c:pt idx="2740">
                  <c:v>0.54810962192439483</c:v>
                </c:pt>
                <c:pt idx="2741">
                  <c:v>0.54830966193239639</c:v>
                </c:pt>
                <c:pt idx="2742">
                  <c:v>0.54850970194039794</c:v>
                </c:pt>
                <c:pt idx="2743">
                  <c:v>0.5487097419483995</c:v>
                </c:pt>
                <c:pt idx="2744">
                  <c:v>0.54890978195640105</c:v>
                </c:pt>
                <c:pt idx="2745">
                  <c:v>0.54910982196440261</c:v>
                </c:pt>
                <c:pt idx="2746">
                  <c:v>0.54930986197240417</c:v>
                </c:pt>
                <c:pt idx="2747">
                  <c:v>0.54950990198040572</c:v>
                </c:pt>
                <c:pt idx="2748">
                  <c:v>0.54970994198840728</c:v>
                </c:pt>
                <c:pt idx="2749">
                  <c:v>0.54990998199640884</c:v>
                </c:pt>
                <c:pt idx="2750">
                  <c:v>0.55011002200441039</c:v>
                </c:pt>
                <c:pt idx="2751">
                  <c:v>0.55031006201241195</c:v>
                </c:pt>
                <c:pt idx="2752">
                  <c:v>0.55051010202041351</c:v>
                </c:pt>
                <c:pt idx="2753">
                  <c:v>0.55071014202841506</c:v>
                </c:pt>
                <c:pt idx="2754">
                  <c:v>0.55091018203641662</c:v>
                </c:pt>
                <c:pt idx="2755">
                  <c:v>0.55111022204441817</c:v>
                </c:pt>
                <c:pt idx="2756">
                  <c:v>0.55131026205241973</c:v>
                </c:pt>
                <c:pt idx="2757">
                  <c:v>0.55151030206042129</c:v>
                </c:pt>
                <c:pt idx="2758">
                  <c:v>0.55171034206842284</c:v>
                </c:pt>
                <c:pt idx="2759">
                  <c:v>0.5519103820764244</c:v>
                </c:pt>
                <c:pt idx="2760">
                  <c:v>0.55211042208442596</c:v>
                </c:pt>
                <c:pt idx="2761">
                  <c:v>0.55231046209242751</c:v>
                </c:pt>
                <c:pt idx="2762">
                  <c:v>0.55251050210042907</c:v>
                </c:pt>
                <c:pt idx="2763">
                  <c:v>0.55271054210843062</c:v>
                </c:pt>
                <c:pt idx="2764">
                  <c:v>0.55291058211643218</c:v>
                </c:pt>
                <c:pt idx="2765">
                  <c:v>0.55311062212443374</c:v>
                </c:pt>
                <c:pt idx="2766">
                  <c:v>0.55331066213243529</c:v>
                </c:pt>
                <c:pt idx="2767">
                  <c:v>0.55351070214043685</c:v>
                </c:pt>
                <c:pt idx="2768">
                  <c:v>0.55371074214843841</c:v>
                </c:pt>
                <c:pt idx="2769">
                  <c:v>0.55391078215643996</c:v>
                </c:pt>
                <c:pt idx="2770">
                  <c:v>0.55411082216444152</c:v>
                </c:pt>
                <c:pt idx="2771">
                  <c:v>0.55431086217244308</c:v>
                </c:pt>
                <c:pt idx="2772">
                  <c:v>0.55451090218044463</c:v>
                </c:pt>
                <c:pt idx="2773">
                  <c:v>0.55471094218844619</c:v>
                </c:pt>
                <c:pt idx="2774">
                  <c:v>0.55491098219644774</c:v>
                </c:pt>
                <c:pt idx="2775">
                  <c:v>0.5551110222044493</c:v>
                </c:pt>
                <c:pt idx="2776">
                  <c:v>0.55531106221245086</c:v>
                </c:pt>
                <c:pt idx="2777">
                  <c:v>0.55551110222045241</c:v>
                </c:pt>
                <c:pt idx="2778">
                  <c:v>0.55571114222845397</c:v>
                </c:pt>
                <c:pt idx="2779">
                  <c:v>0.55591118223645553</c:v>
                </c:pt>
                <c:pt idx="2780">
                  <c:v>0.55611122224445708</c:v>
                </c:pt>
                <c:pt idx="2781">
                  <c:v>0.55631126225245864</c:v>
                </c:pt>
                <c:pt idx="2782">
                  <c:v>0.55651130226046019</c:v>
                </c:pt>
                <c:pt idx="2783">
                  <c:v>0.55671134226846175</c:v>
                </c:pt>
                <c:pt idx="2784">
                  <c:v>0.55691138227646331</c:v>
                </c:pt>
                <c:pt idx="2785">
                  <c:v>0.55711142228446486</c:v>
                </c:pt>
                <c:pt idx="2786">
                  <c:v>0.55731146229246642</c:v>
                </c:pt>
                <c:pt idx="2787">
                  <c:v>0.55751150230046798</c:v>
                </c:pt>
                <c:pt idx="2788">
                  <c:v>0.55771154230846953</c:v>
                </c:pt>
                <c:pt idx="2789">
                  <c:v>0.55791158231647109</c:v>
                </c:pt>
                <c:pt idx="2790">
                  <c:v>0.55811162232447264</c:v>
                </c:pt>
                <c:pt idx="2791">
                  <c:v>0.5583116623324742</c:v>
                </c:pt>
                <c:pt idx="2792">
                  <c:v>0.55851170234047576</c:v>
                </c:pt>
                <c:pt idx="2793">
                  <c:v>0.55871174234847731</c:v>
                </c:pt>
                <c:pt idx="2794">
                  <c:v>0.55891178235647887</c:v>
                </c:pt>
                <c:pt idx="2795">
                  <c:v>0.55911182236448043</c:v>
                </c:pt>
                <c:pt idx="2796">
                  <c:v>0.55931186237248198</c:v>
                </c:pt>
                <c:pt idx="2797">
                  <c:v>0.55951190238048354</c:v>
                </c:pt>
                <c:pt idx="2798">
                  <c:v>0.5597119423884851</c:v>
                </c:pt>
                <c:pt idx="2799">
                  <c:v>0.55991198239648665</c:v>
                </c:pt>
                <c:pt idx="2800">
                  <c:v>0.56011202240448821</c:v>
                </c:pt>
                <c:pt idx="2801">
                  <c:v>0.56031206241248976</c:v>
                </c:pt>
                <c:pt idx="2802">
                  <c:v>0.56051210242049132</c:v>
                </c:pt>
                <c:pt idx="2803">
                  <c:v>0.56071214242849288</c:v>
                </c:pt>
                <c:pt idx="2804">
                  <c:v>0.56091218243649443</c:v>
                </c:pt>
                <c:pt idx="2805">
                  <c:v>0.56111222244449599</c:v>
                </c:pt>
                <c:pt idx="2806">
                  <c:v>0.56131226245249755</c:v>
                </c:pt>
                <c:pt idx="2807">
                  <c:v>0.5615123024604991</c:v>
                </c:pt>
                <c:pt idx="2808">
                  <c:v>0.56171234246850066</c:v>
                </c:pt>
                <c:pt idx="2809">
                  <c:v>0.56191238247650221</c:v>
                </c:pt>
                <c:pt idx="2810">
                  <c:v>0.56211242248450377</c:v>
                </c:pt>
                <c:pt idx="2811">
                  <c:v>0.56231246249250533</c:v>
                </c:pt>
                <c:pt idx="2812">
                  <c:v>0.56251250250050688</c:v>
                </c:pt>
                <c:pt idx="2813">
                  <c:v>0.56271254250850844</c:v>
                </c:pt>
                <c:pt idx="2814">
                  <c:v>0.56291258251651</c:v>
                </c:pt>
                <c:pt idx="2815">
                  <c:v>0.56311262252451155</c:v>
                </c:pt>
                <c:pt idx="2816">
                  <c:v>0.56331266253251311</c:v>
                </c:pt>
                <c:pt idx="2817">
                  <c:v>0.56351270254051467</c:v>
                </c:pt>
                <c:pt idx="2818">
                  <c:v>0.56371274254851622</c:v>
                </c:pt>
                <c:pt idx="2819">
                  <c:v>0.56391278255651778</c:v>
                </c:pt>
                <c:pt idx="2820">
                  <c:v>0.56411282256451933</c:v>
                </c:pt>
                <c:pt idx="2821">
                  <c:v>0.56431286257252089</c:v>
                </c:pt>
                <c:pt idx="2822">
                  <c:v>0.56451290258052245</c:v>
                </c:pt>
                <c:pt idx="2823">
                  <c:v>0.564712942588524</c:v>
                </c:pt>
                <c:pt idx="2824">
                  <c:v>0.56491298259652556</c:v>
                </c:pt>
                <c:pt idx="2825">
                  <c:v>0.56511302260452712</c:v>
                </c:pt>
                <c:pt idx="2826">
                  <c:v>0.56531306261252867</c:v>
                </c:pt>
                <c:pt idx="2827">
                  <c:v>0.56551310262053023</c:v>
                </c:pt>
                <c:pt idx="2828">
                  <c:v>0.56571314262853178</c:v>
                </c:pt>
                <c:pt idx="2829">
                  <c:v>0.56591318263653334</c:v>
                </c:pt>
                <c:pt idx="2830">
                  <c:v>0.5661132226445349</c:v>
                </c:pt>
                <c:pt idx="2831">
                  <c:v>0.56631326265253645</c:v>
                </c:pt>
                <c:pt idx="2832">
                  <c:v>0.56651330266053801</c:v>
                </c:pt>
                <c:pt idx="2833">
                  <c:v>0.56671334266853957</c:v>
                </c:pt>
                <c:pt idx="2834">
                  <c:v>0.56691338267654112</c:v>
                </c:pt>
                <c:pt idx="2835">
                  <c:v>0.56711342268454268</c:v>
                </c:pt>
                <c:pt idx="2836">
                  <c:v>0.56731346269254423</c:v>
                </c:pt>
                <c:pt idx="2837">
                  <c:v>0.56751350270054579</c:v>
                </c:pt>
                <c:pt idx="2838">
                  <c:v>0.56771354270854735</c:v>
                </c:pt>
                <c:pt idx="2839">
                  <c:v>0.5679135827165489</c:v>
                </c:pt>
                <c:pt idx="2840">
                  <c:v>0.56811362272455046</c:v>
                </c:pt>
                <c:pt idx="2841">
                  <c:v>0.56831366273255202</c:v>
                </c:pt>
                <c:pt idx="2842">
                  <c:v>0.56851370274055357</c:v>
                </c:pt>
                <c:pt idx="2843">
                  <c:v>0.56871374274855513</c:v>
                </c:pt>
                <c:pt idx="2844">
                  <c:v>0.56891378275655669</c:v>
                </c:pt>
                <c:pt idx="2845">
                  <c:v>0.56911382276455824</c:v>
                </c:pt>
                <c:pt idx="2846">
                  <c:v>0.5693138627725598</c:v>
                </c:pt>
                <c:pt idx="2847">
                  <c:v>0.56951390278056135</c:v>
                </c:pt>
                <c:pt idx="2848">
                  <c:v>0.56971394278856291</c:v>
                </c:pt>
                <c:pt idx="2849">
                  <c:v>0.56991398279656447</c:v>
                </c:pt>
                <c:pt idx="2850">
                  <c:v>0.57011402280456602</c:v>
                </c:pt>
                <c:pt idx="2851">
                  <c:v>0.57031406281256758</c:v>
                </c:pt>
                <c:pt idx="2852">
                  <c:v>0.57051410282056914</c:v>
                </c:pt>
                <c:pt idx="2853">
                  <c:v>0.57071414282857069</c:v>
                </c:pt>
                <c:pt idx="2854">
                  <c:v>0.57091418283657225</c:v>
                </c:pt>
                <c:pt idx="2855">
                  <c:v>0.5711142228445738</c:v>
                </c:pt>
                <c:pt idx="2856">
                  <c:v>0.57131426285257536</c:v>
                </c:pt>
                <c:pt idx="2857">
                  <c:v>0.57151430286057692</c:v>
                </c:pt>
                <c:pt idx="2858">
                  <c:v>0.57171434286857847</c:v>
                </c:pt>
                <c:pt idx="2859">
                  <c:v>0.57191438287658003</c:v>
                </c:pt>
                <c:pt idx="2860">
                  <c:v>0.57211442288458159</c:v>
                </c:pt>
                <c:pt idx="2861">
                  <c:v>0.57231446289258314</c:v>
                </c:pt>
                <c:pt idx="2862">
                  <c:v>0.5725145029005847</c:v>
                </c:pt>
                <c:pt idx="2863">
                  <c:v>0.57271454290858625</c:v>
                </c:pt>
                <c:pt idx="2864">
                  <c:v>0.57291458291658781</c:v>
                </c:pt>
                <c:pt idx="2865">
                  <c:v>0.57311462292458937</c:v>
                </c:pt>
                <c:pt idx="2866">
                  <c:v>0.57331466293259092</c:v>
                </c:pt>
                <c:pt idx="2867">
                  <c:v>0.57351470294059248</c:v>
                </c:pt>
                <c:pt idx="2868">
                  <c:v>0.57371474294859404</c:v>
                </c:pt>
                <c:pt idx="2869">
                  <c:v>0.57391478295659559</c:v>
                </c:pt>
                <c:pt idx="2870">
                  <c:v>0.57411482296459715</c:v>
                </c:pt>
                <c:pt idx="2871">
                  <c:v>0.57431486297259871</c:v>
                </c:pt>
                <c:pt idx="2872">
                  <c:v>0.57451490298060026</c:v>
                </c:pt>
                <c:pt idx="2873">
                  <c:v>0.57471494298860182</c:v>
                </c:pt>
                <c:pt idx="2874">
                  <c:v>0.57491498299660337</c:v>
                </c:pt>
                <c:pt idx="2875">
                  <c:v>0.57511502300460493</c:v>
                </c:pt>
                <c:pt idx="2876">
                  <c:v>0.57531506301260649</c:v>
                </c:pt>
                <c:pt idx="2877">
                  <c:v>0.57551510302060804</c:v>
                </c:pt>
                <c:pt idx="2878">
                  <c:v>0.5757151430286096</c:v>
                </c:pt>
                <c:pt idx="2879">
                  <c:v>0.57591518303661116</c:v>
                </c:pt>
                <c:pt idx="2880">
                  <c:v>0.57611522304461271</c:v>
                </c:pt>
                <c:pt idx="2881">
                  <c:v>0.57631526305261427</c:v>
                </c:pt>
                <c:pt idx="2882">
                  <c:v>0.57651530306061582</c:v>
                </c:pt>
                <c:pt idx="2883">
                  <c:v>0.57671534306861738</c:v>
                </c:pt>
                <c:pt idx="2884">
                  <c:v>0.57691538307661894</c:v>
                </c:pt>
                <c:pt idx="2885">
                  <c:v>0.57711542308462049</c:v>
                </c:pt>
                <c:pt idx="2886">
                  <c:v>0.57731546309262205</c:v>
                </c:pt>
                <c:pt idx="2887">
                  <c:v>0.57751550310062361</c:v>
                </c:pt>
                <c:pt idx="2888">
                  <c:v>0.57771554310862516</c:v>
                </c:pt>
                <c:pt idx="2889">
                  <c:v>0.57791558311662672</c:v>
                </c:pt>
                <c:pt idx="2890">
                  <c:v>0.57811562312462828</c:v>
                </c:pt>
                <c:pt idx="2891">
                  <c:v>0.57831566313262983</c:v>
                </c:pt>
                <c:pt idx="2892">
                  <c:v>0.57851570314063139</c:v>
                </c:pt>
                <c:pt idx="2893">
                  <c:v>0.57871574314863294</c:v>
                </c:pt>
                <c:pt idx="2894">
                  <c:v>0.5789157831566345</c:v>
                </c:pt>
                <c:pt idx="2895">
                  <c:v>0.57911582316463606</c:v>
                </c:pt>
                <c:pt idx="2896">
                  <c:v>0.57931586317263761</c:v>
                </c:pt>
                <c:pt idx="2897">
                  <c:v>0.57951590318063917</c:v>
                </c:pt>
                <c:pt idx="2898">
                  <c:v>0.57971594318864073</c:v>
                </c:pt>
                <c:pt idx="2899">
                  <c:v>0.57991598319664228</c:v>
                </c:pt>
                <c:pt idx="2900">
                  <c:v>0.58011602320464384</c:v>
                </c:pt>
                <c:pt idx="2901">
                  <c:v>0.58031606321264539</c:v>
                </c:pt>
                <c:pt idx="2902">
                  <c:v>0.58051610322064695</c:v>
                </c:pt>
                <c:pt idx="2903">
                  <c:v>0.58071614322864851</c:v>
                </c:pt>
                <c:pt idx="2904">
                  <c:v>0.58091618323665006</c:v>
                </c:pt>
                <c:pt idx="2905">
                  <c:v>0.58111622324465162</c:v>
                </c:pt>
                <c:pt idx="2906">
                  <c:v>0.58131626325265318</c:v>
                </c:pt>
                <c:pt idx="2907">
                  <c:v>0.58151630326065473</c:v>
                </c:pt>
                <c:pt idx="2908">
                  <c:v>0.58171634326865629</c:v>
                </c:pt>
                <c:pt idx="2909">
                  <c:v>0.58191638327665784</c:v>
                </c:pt>
                <c:pt idx="2910">
                  <c:v>0.5821164232846594</c:v>
                </c:pt>
                <c:pt idx="2911">
                  <c:v>0.58231646329266096</c:v>
                </c:pt>
                <c:pt idx="2912">
                  <c:v>0.58251650330066251</c:v>
                </c:pt>
                <c:pt idx="2913">
                  <c:v>0.58271654330866407</c:v>
                </c:pt>
                <c:pt idx="2914">
                  <c:v>0.58291658331666563</c:v>
                </c:pt>
                <c:pt idx="2915">
                  <c:v>0.58311662332466718</c:v>
                </c:pt>
                <c:pt idx="2916">
                  <c:v>0.58331666333266874</c:v>
                </c:pt>
                <c:pt idx="2917">
                  <c:v>0.5835167033406703</c:v>
                </c:pt>
                <c:pt idx="2918">
                  <c:v>0.58371674334867185</c:v>
                </c:pt>
                <c:pt idx="2919">
                  <c:v>0.58391678335667341</c:v>
                </c:pt>
                <c:pt idx="2920">
                  <c:v>0.58411682336467496</c:v>
                </c:pt>
                <c:pt idx="2921">
                  <c:v>0.58431686337267652</c:v>
                </c:pt>
                <c:pt idx="2922">
                  <c:v>0.58451690338067808</c:v>
                </c:pt>
                <c:pt idx="2923">
                  <c:v>0.58471694338867963</c:v>
                </c:pt>
                <c:pt idx="2924">
                  <c:v>0.58491698339668119</c:v>
                </c:pt>
                <c:pt idx="2925">
                  <c:v>0.58511702340468275</c:v>
                </c:pt>
                <c:pt idx="2926">
                  <c:v>0.5853170634126843</c:v>
                </c:pt>
                <c:pt idx="2927">
                  <c:v>0.58551710342068586</c:v>
                </c:pt>
                <c:pt idx="2928">
                  <c:v>0.58571714342868741</c:v>
                </c:pt>
                <c:pt idx="2929">
                  <c:v>0.58591718343668897</c:v>
                </c:pt>
                <c:pt idx="2930">
                  <c:v>0.58611722344469053</c:v>
                </c:pt>
                <c:pt idx="2931">
                  <c:v>0.58631726345269208</c:v>
                </c:pt>
                <c:pt idx="2932">
                  <c:v>0.58651730346069364</c:v>
                </c:pt>
                <c:pt idx="2933">
                  <c:v>0.5867173434686952</c:v>
                </c:pt>
                <c:pt idx="2934">
                  <c:v>0.58691738347669675</c:v>
                </c:pt>
                <c:pt idx="2935">
                  <c:v>0.58711742348469831</c:v>
                </c:pt>
                <c:pt idx="2936">
                  <c:v>0.58731746349269986</c:v>
                </c:pt>
                <c:pt idx="2937">
                  <c:v>0.58751750350070142</c:v>
                </c:pt>
                <c:pt idx="2938">
                  <c:v>0.58771754350870298</c:v>
                </c:pt>
                <c:pt idx="2939">
                  <c:v>0.58791758351670453</c:v>
                </c:pt>
                <c:pt idx="2940">
                  <c:v>0.58811762352470609</c:v>
                </c:pt>
                <c:pt idx="2941">
                  <c:v>0.58831766353270765</c:v>
                </c:pt>
                <c:pt idx="2942">
                  <c:v>0.5885177035407092</c:v>
                </c:pt>
                <c:pt idx="2943">
                  <c:v>0.58871774354871076</c:v>
                </c:pt>
                <c:pt idx="2944">
                  <c:v>0.58891778355671232</c:v>
                </c:pt>
                <c:pt idx="2945">
                  <c:v>0.58911782356471387</c:v>
                </c:pt>
                <c:pt idx="2946">
                  <c:v>0.58931786357271543</c:v>
                </c:pt>
                <c:pt idx="2947">
                  <c:v>0.58951790358071698</c:v>
                </c:pt>
                <c:pt idx="2948">
                  <c:v>0.58971794358871854</c:v>
                </c:pt>
                <c:pt idx="2949">
                  <c:v>0.5899179835967201</c:v>
                </c:pt>
                <c:pt idx="2950">
                  <c:v>0.59011802360472165</c:v>
                </c:pt>
                <c:pt idx="2951">
                  <c:v>0.59031806361272321</c:v>
                </c:pt>
                <c:pt idx="2952">
                  <c:v>0.59051810362072477</c:v>
                </c:pt>
                <c:pt idx="2953">
                  <c:v>0.59071814362872632</c:v>
                </c:pt>
                <c:pt idx="2954">
                  <c:v>0.59091818363672788</c:v>
                </c:pt>
                <c:pt idx="2955">
                  <c:v>0.59111822364472943</c:v>
                </c:pt>
                <c:pt idx="2956">
                  <c:v>0.59131826365273099</c:v>
                </c:pt>
                <c:pt idx="2957">
                  <c:v>0.59151830366073255</c:v>
                </c:pt>
                <c:pt idx="2958">
                  <c:v>0.5917183436687341</c:v>
                </c:pt>
                <c:pt idx="2959">
                  <c:v>0.59191838367673566</c:v>
                </c:pt>
                <c:pt idx="2960">
                  <c:v>0.59211842368473722</c:v>
                </c:pt>
                <c:pt idx="2961">
                  <c:v>0.59231846369273877</c:v>
                </c:pt>
                <c:pt idx="2962">
                  <c:v>0.59251850370074033</c:v>
                </c:pt>
                <c:pt idx="2963">
                  <c:v>0.59271854370874189</c:v>
                </c:pt>
                <c:pt idx="2964">
                  <c:v>0.59291858371674344</c:v>
                </c:pt>
                <c:pt idx="2965">
                  <c:v>0.593118623724745</c:v>
                </c:pt>
                <c:pt idx="2966">
                  <c:v>0.59331866373274655</c:v>
                </c:pt>
                <c:pt idx="2967">
                  <c:v>0.59351870374074811</c:v>
                </c:pt>
                <c:pt idx="2968">
                  <c:v>0.59371874374874967</c:v>
                </c:pt>
                <c:pt idx="2969">
                  <c:v>0.59391878375675122</c:v>
                </c:pt>
                <c:pt idx="2970">
                  <c:v>0.59411882376475278</c:v>
                </c:pt>
                <c:pt idx="2971">
                  <c:v>0.59431886377275434</c:v>
                </c:pt>
                <c:pt idx="2972">
                  <c:v>0.59451890378075589</c:v>
                </c:pt>
                <c:pt idx="2973">
                  <c:v>0.59471894378875745</c:v>
                </c:pt>
                <c:pt idx="2974">
                  <c:v>0.594918983796759</c:v>
                </c:pt>
                <c:pt idx="2975">
                  <c:v>0.59511902380476056</c:v>
                </c:pt>
                <c:pt idx="2976">
                  <c:v>0.59531906381276212</c:v>
                </c:pt>
                <c:pt idx="2977">
                  <c:v>0.59551910382076367</c:v>
                </c:pt>
                <c:pt idx="2978">
                  <c:v>0.59571914382876523</c:v>
                </c:pt>
                <c:pt idx="2979">
                  <c:v>0.59591918383676679</c:v>
                </c:pt>
                <c:pt idx="2980">
                  <c:v>0.59611922384476834</c:v>
                </c:pt>
                <c:pt idx="2981">
                  <c:v>0.5963192638527699</c:v>
                </c:pt>
                <c:pt idx="2982">
                  <c:v>0.59651930386077145</c:v>
                </c:pt>
                <c:pt idx="2983">
                  <c:v>0.59671934386877301</c:v>
                </c:pt>
                <c:pt idx="2984">
                  <c:v>0.59691938387677457</c:v>
                </c:pt>
                <c:pt idx="2985">
                  <c:v>0.59711942388477612</c:v>
                </c:pt>
                <c:pt idx="2986">
                  <c:v>0.59731946389277768</c:v>
                </c:pt>
                <c:pt idx="2987">
                  <c:v>0.59751950390077924</c:v>
                </c:pt>
                <c:pt idx="2988">
                  <c:v>0.59771954390878079</c:v>
                </c:pt>
                <c:pt idx="2989">
                  <c:v>0.59791958391678235</c:v>
                </c:pt>
                <c:pt idx="2990">
                  <c:v>0.59811962392478391</c:v>
                </c:pt>
                <c:pt idx="2991">
                  <c:v>0.59831966393278546</c:v>
                </c:pt>
                <c:pt idx="2992">
                  <c:v>0.59851970394078702</c:v>
                </c:pt>
                <c:pt idx="2993">
                  <c:v>0.59871974394878857</c:v>
                </c:pt>
                <c:pt idx="2994">
                  <c:v>0.59891978395679013</c:v>
                </c:pt>
                <c:pt idx="2995">
                  <c:v>0.59911982396479169</c:v>
                </c:pt>
                <c:pt idx="2996">
                  <c:v>0.59931986397279324</c:v>
                </c:pt>
                <c:pt idx="2997">
                  <c:v>0.5995199039807948</c:v>
                </c:pt>
                <c:pt idx="2998">
                  <c:v>0.59971994398879636</c:v>
                </c:pt>
                <c:pt idx="2999">
                  <c:v>0.59991998399679791</c:v>
                </c:pt>
                <c:pt idx="3000">
                  <c:v>0.60012002400479947</c:v>
                </c:pt>
                <c:pt idx="3001">
                  <c:v>0.60032006401280102</c:v>
                </c:pt>
                <c:pt idx="3002">
                  <c:v>0.60052010402080258</c:v>
                </c:pt>
                <c:pt idx="3003">
                  <c:v>0.60072014402880414</c:v>
                </c:pt>
                <c:pt idx="3004">
                  <c:v>0.60092018403680569</c:v>
                </c:pt>
                <c:pt idx="3005">
                  <c:v>0.60112022404480725</c:v>
                </c:pt>
                <c:pt idx="3006">
                  <c:v>0.60132026405280881</c:v>
                </c:pt>
                <c:pt idx="3007">
                  <c:v>0.60152030406081036</c:v>
                </c:pt>
                <c:pt idx="3008">
                  <c:v>0.60172034406881192</c:v>
                </c:pt>
                <c:pt idx="3009">
                  <c:v>0.60192038407681348</c:v>
                </c:pt>
                <c:pt idx="3010">
                  <c:v>0.60212042408481503</c:v>
                </c:pt>
                <c:pt idx="3011">
                  <c:v>0.60232046409281659</c:v>
                </c:pt>
                <c:pt idx="3012">
                  <c:v>0.60252050410081814</c:v>
                </c:pt>
                <c:pt idx="3013">
                  <c:v>0.6027205441088197</c:v>
                </c:pt>
                <c:pt idx="3014">
                  <c:v>0.60292058411682126</c:v>
                </c:pt>
                <c:pt idx="3015">
                  <c:v>0.60312062412482281</c:v>
                </c:pt>
                <c:pt idx="3016">
                  <c:v>0.60332066413282437</c:v>
                </c:pt>
                <c:pt idx="3017">
                  <c:v>0.60352070414082593</c:v>
                </c:pt>
                <c:pt idx="3018">
                  <c:v>0.60372074414882748</c:v>
                </c:pt>
                <c:pt idx="3019">
                  <c:v>0.60392078415682904</c:v>
                </c:pt>
                <c:pt idx="3020">
                  <c:v>0.60412082416483059</c:v>
                </c:pt>
                <c:pt idx="3021">
                  <c:v>0.60432086417283215</c:v>
                </c:pt>
                <c:pt idx="3022">
                  <c:v>0.60452090418083371</c:v>
                </c:pt>
                <c:pt idx="3023">
                  <c:v>0.60472094418883526</c:v>
                </c:pt>
                <c:pt idx="3024">
                  <c:v>0.60492098419683682</c:v>
                </c:pt>
                <c:pt idx="3025">
                  <c:v>0.60512102420483838</c:v>
                </c:pt>
                <c:pt idx="3026">
                  <c:v>0.60532106421283993</c:v>
                </c:pt>
                <c:pt idx="3027">
                  <c:v>0.60552110422084149</c:v>
                </c:pt>
                <c:pt idx="3028">
                  <c:v>0.60572114422884304</c:v>
                </c:pt>
                <c:pt idx="3029">
                  <c:v>0.6059211842368446</c:v>
                </c:pt>
                <c:pt idx="3030">
                  <c:v>0.60612122424484616</c:v>
                </c:pt>
                <c:pt idx="3031">
                  <c:v>0.60632126425284771</c:v>
                </c:pt>
                <c:pt idx="3032">
                  <c:v>0.60652130426084927</c:v>
                </c:pt>
                <c:pt idx="3033">
                  <c:v>0.60672134426885083</c:v>
                </c:pt>
                <c:pt idx="3034">
                  <c:v>0.60692138427685238</c:v>
                </c:pt>
                <c:pt idx="3035">
                  <c:v>0.60712142428485394</c:v>
                </c:pt>
                <c:pt idx="3036">
                  <c:v>0.6073214642928555</c:v>
                </c:pt>
                <c:pt idx="3037">
                  <c:v>0.60752150430085705</c:v>
                </c:pt>
                <c:pt idx="3038">
                  <c:v>0.60772154430885861</c:v>
                </c:pt>
                <c:pt idx="3039">
                  <c:v>0.60792158431686016</c:v>
                </c:pt>
                <c:pt idx="3040">
                  <c:v>0.60812162432486172</c:v>
                </c:pt>
                <c:pt idx="3041">
                  <c:v>0.60832166433286328</c:v>
                </c:pt>
                <c:pt idx="3042">
                  <c:v>0.60852170434086483</c:v>
                </c:pt>
                <c:pt idx="3043">
                  <c:v>0.60872174434886639</c:v>
                </c:pt>
                <c:pt idx="3044">
                  <c:v>0.60892178435686795</c:v>
                </c:pt>
                <c:pt idx="3045">
                  <c:v>0.6091218243648695</c:v>
                </c:pt>
                <c:pt idx="3046">
                  <c:v>0.60932186437287106</c:v>
                </c:pt>
                <c:pt idx="3047">
                  <c:v>0.60952190438087261</c:v>
                </c:pt>
                <c:pt idx="3048">
                  <c:v>0.60972194438887417</c:v>
                </c:pt>
                <c:pt idx="3049">
                  <c:v>0.60992198439687573</c:v>
                </c:pt>
                <c:pt idx="3050">
                  <c:v>0.61012202440487728</c:v>
                </c:pt>
                <c:pt idx="3051">
                  <c:v>0.61032206441287884</c:v>
                </c:pt>
                <c:pt idx="3052">
                  <c:v>0.6105221044208804</c:v>
                </c:pt>
                <c:pt idx="3053">
                  <c:v>0.61072214442888195</c:v>
                </c:pt>
                <c:pt idx="3054">
                  <c:v>0.61092218443688351</c:v>
                </c:pt>
                <c:pt idx="3055">
                  <c:v>0.61112222444488506</c:v>
                </c:pt>
                <c:pt idx="3056">
                  <c:v>0.61132226445288662</c:v>
                </c:pt>
                <c:pt idx="3057">
                  <c:v>0.61152230446088818</c:v>
                </c:pt>
                <c:pt idx="3058">
                  <c:v>0.61172234446888973</c:v>
                </c:pt>
                <c:pt idx="3059">
                  <c:v>0.61192238447689129</c:v>
                </c:pt>
                <c:pt idx="3060">
                  <c:v>0.61212242448489285</c:v>
                </c:pt>
                <c:pt idx="3061">
                  <c:v>0.6123224644928944</c:v>
                </c:pt>
                <c:pt idx="3062">
                  <c:v>0.61252250450089596</c:v>
                </c:pt>
                <c:pt idx="3063">
                  <c:v>0.61272254450889752</c:v>
                </c:pt>
                <c:pt idx="3064">
                  <c:v>0.61292258451689907</c:v>
                </c:pt>
                <c:pt idx="3065">
                  <c:v>0.61312262452490063</c:v>
                </c:pt>
                <c:pt idx="3066">
                  <c:v>0.61332266453290218</c:v>
                </c:pt>
                <c:pt idx="3067">
                  <c:v>0.61352270454090374</c:v>
                </c:pt>
                <c:pt idx="3068">
                  <c:v>0.6137227445489053</c:v>
                </c:pt>
                <c:pt idx="3069">
                  <c:v>0.61392278455690685</c:v>
                </c:pt>
                <c:pt idx="3070">
                  <c:v>0.61412282456490841</c:v>
                </c:pt>
                <c:pt idx="3071">
                  <c:v>0.61432286457290997</c:v>
                </c:pt>
                <c:pt idx="3072">
                  <c:v>0.61452290458091152</c:v>
                </c:pt>
                <c:pt idx="3073">
                  <c:v>0.61472294458891308</c:v>
                </c:pt>
                <c:pt idx="3074">
                  <c:v>0.61492298459691463</c:v>
                </c:pt>
                <c:pt idx="3075">
                  <c:v>0.61512302460491619</c:v>
                </c:pt>
                <c:pt idx="3076">
                  <c:v>0.61532306461291775</c:v>
                </c:pt>
                <c:pt idx="3077">
                  <c:v>0.6155231046209193</c:v>
                </c:pt>
                <c:pt idx="3078">
                  <c:v>0.61572314462892086</c:v>
                </c:pt>
                <c:pt idx="3079">
                  <c:v>0.61592318463692242</c:v>
                </c:pt>
                <c:pt idx="3080">
                  <c:v>0.61612322464492397</c:v>
                </c:pt>
                <c:pt idx="3081">
                  <c:v>0.61632326465292553</c:v>
                </c:pt>
                <c:pt idx="3082">
                  <c:v>0.61652330466092709</c:v>
                </c:pt>
                <c:pt idx="3083">
                  <c:v>0.61672334466892864</c:v>
                </c:pt>
                <c:pt idx="3084">
                  <c:v>0.6169233846769302</c:v>
                </c:pt>
                <c:pt idx="3085">
                  <c:v>0.61712342468493175</c:v>
                </c:pt>
                <c:pt idx="3086">
                  <c:v>0.61732346469293331</c:v>
                </c:pt>
                <c:pt idx="3087">
                  <c:v>0.61752350470093487</c:v>
                </c:pt>
                <c:pt idx="3088">
                  <c:v>0.61772354470893642</c:v>
                </c:pt>
                <c:pt idx="3089">
                  <c:v>0.61792358471693798</c:v>
                </c:pt>
                <c:pt idx="3090">
                  <c:v>0.61812362472493954</c:v>
                </c:pt>
                <c:pt idx="3091">
                  <c:v>0.61832366473294109</c:v>
                </c:pt>
                <c:pt idx="3092">
                  <c:v>0.61852370474094265</c:v>
                </c:pt>
                <c:pt idx="3093">
                  <c:v>0.6187237447489442</c:v>
                </c:pt>
                <c:pt idx="3094">
                  <c:v>0.61892378475694576</c:v>
                </c:pt>
                <c:pt idx="3095">
                  <c:v>0.61912382476494732</c:v>
                </c:pt>
                <c:pt idx="3096">
                  <c:v>0.61932386477294887</c:v>
                </c:pt>
                <c:pt idx="3097">
                  <c:v>0.61952390478095043</c:v>
                </c:pt>
                <c:pt idx="3098">
                  <c:v>0.61972394478895199</c:v>
                </c:pt>
                <c:pt idx="3099">
                  <c:v>0.61992398479695354</c:v>
                </c:pt>
                <c:pt idx="3100">
                  <c:v>0.6201240248049551</c:v>
                </c:pt>
                <c:pt idx="3101">
                  <c:v>0.62032406481295665</c:v>
                </c:pt>
                <c:pt idx="3102">
                  <c:v>0.62052410482095821</c:v>
                </c:pt>
                <c:pt idx="3103">
                  <c:v>0.62072414482895977</c:v>
                </c:pt>
                <c:pt idx="3104">
                  <c:v>0.62092418483696132</c:v>
                </c:pt>
                <c:pt idx="3105">
                  <c:v>0.62112422484496288</c:v>
                </c:pt>
                <c:pt idx="3106">
                  <c:v>0.62132426485296444</c:v>
                </c:pt>
                <c:pt idx="3107">
                  <c:v>0.62152430486096599</c:v>
                </c:pt>
                <c:pt idx="3108">
                  <c:v>0.62172434486896755</c:v>
                </c:pt>
                <c:pt idx="3109">
                  <c:v>0.62192438487696911</c:v>
                </c:pt>
                <c:pt idx="3110">
                  <c:v>0.62212442488497066</c:v>
                </c:pt>
                <c:pt idx="3111">
                  <c:v>0.62232446489297222</c:v>
                </c:pt>
                <c:pt idx="3112">
                  <c:v>0.62252450490097377</c:v>
                </c:pt>
                <c:pt idx="3113">
                  <c:v>0.62272454490897533</c:v>
                </c:pt>
                <c:pt idx="3114">
                  <c:v>0.62292458491697689</c:v>
                </c:pt>
                <c:pt idx="3115">
                  <c:v>0.62312462492497844</c:v>
                </c:pt>
                <c:pt idx="3116">
                  <c:v>0.62332466493298</c:v>
                </c:pt>
                <c:pt idx="3117">
                  <c:v>0.62352470494098156</c:v>
                </c:pt>
                <c:pt idx="3118">
                  <c:v>0.62372474494898311</c:v>
                </c:pt>
                <c:pt idx="3119">
                  <c:v>0.62392478495698467</c:v>
                </c:pt>
                <c:pt idx="3120">
                  <c:v>0.62412482496498622</c:v>
                </c:pt>
                <c:pt idx="3121">
                  <c:v>0.62432486497298778</c:v>
                </c:pt>
                <c:pt idx="3122">
                  <c:v>0.62452490498098934</c:v>
                </c:pt>
                <c:pt idx="3123">
                  <c:v>0.62472494498899089</c:v>
                </c:pt>
                <c:pt idx="3124">
                  <c:v>0.62492498499699245</c:v>
                </c:pt>
                <c:pt idx="3125">
                  <c:v>0.62512502500499401</c:v>
                </c:pt>
                <c:pt idx="3126">
                  <c:v>0.62532506501299556</c:v>
                </c:pt>
                <c:pt idx="3127">
                  <c:v>0.62552510502099712</c:v>
                </c:pt>
                <c:pt idx="3128">
                  <c:v>0.62572514502899867</c:v>
                </c:pt>
                <c:pt idx="3129">
                  <c:v>0.62592518503700023</c:v>
                </c:pt>
                <c:pt idx="3130">
                  <c:v>0.62612522504500179</c:v>
                </c:pt>
                <c:pt idx="3131">
                  <c:v>0.62632526505300334</c:v>
                </c:pt>
                <c:pt idx="3132">
                  <c:v>0.6265253050610049</c:v>
                </c:pt>
                <c:pt idx="3133">
                  <c:v>0.62672534506900646</c:v>
                </c:pt>
                <c:pt idx="3134">
                  <c:v>0.62692538507700801</c:v>
                </c:pt>
                <c:pt idx="3135">
                  <c:v>0.62712542508500957</c:v>
                </c:pt>
                <c:pt idx="3136">
                  <c:v>0.62732546509301113</c:v>
                </c:pt>
                <c:pt idx="3137">
                  <c:v>0.62752550510101268</c:v>
                </c:pt>
                <c:pt idx="3138">
                  <c:v>0.62772554510901424</c:v>
                </c:pt>
                <c:pt idx="3139">
                  <c:v>0.62792558511701579</c:v>
                </c:pt>
                <c:pt idx="3140">
                  <c:v>0.62812562512501735</c:v>
                </c:pt>
                <c:pt idx="3141">
                  <c:v>0.62832566513301891</c:v>
                </c:pt>
                <c:pt idx="3142">
                  <c:v>0.62852570514102046</c:v>
                </c:pt>
                <c:pt idx="3143">
                  <c:v>0.62872574514902202</c:v>
                </c:pt>
                <c:pt idx="3144">
                  <c:v>0.62892578515702358</c:v>
                </c:pt>
                <c:pt idx="3145">
                  <c:v>0.62912582516502513</c:v>
                </c:pt>
                <c:pt idx="3146">
                  <c:v>0.62932586517302669</c:v>
                </c:pt>
                <c:pt idx="3147">
                  <c:v>0.62952590518102824</c:v>
                </c:pt>
                <c:pt idx="3148">
                  <c:v>0.6297259451890298</c:v>
                </c:pt>
                <c:pt idx="3149">
                  <c:v>0.62992598519703136</c:v>
                </c:pt>
                <c:pt idx="3150">
                  <c:v>0.63012602520503291</c:v>
                </c:pt>
                <c:pt idx="3151">
                  <c:v>0.63032606521303447</c:v>
                </c:pt>
                <c:pt idx="3152">
                  <c:v>0.63052610522103603</c:v>
                </c:pt>
                <c:pt idx="3153">
                  <c:v>0.63072614522903758</c:v>
                </c:pt>
                <c:pt idx="3154">
                  <c:v>0.63092618523703914</c:v>
                </c:pt>
                <c:pt idx="3155">
                  <c:v>0.6311262252450407</c:v>
                </c:pt>
                <c:pt idx="3156">
                  <c:v>0.63132626525304225</c:v>
                </c:pt>
                <c:pt idx="3157">
                  <c:v>0.63152630526104381</c:v>
                </c:pt>
                <c:pt idx="3158">
                  <c:v>0.63172634526904536</c:v>
                </c:pt>
                <c:pt idx="3159">
                  <c:v>0.63192638527704692</c:v>
                </c:pt>
                <c:pt idx="3160">
                  <c:v>0.63212642528504848</c:v>
                </c:pt>
                <c:pt idx="3161">
                  <c:v>0.63232646529305003</c:v>
                </c:pt>
                <c:pt idx="3162">
                  <c:v>0.63252650530105159</c:v>
                </c:pt>
                <c:pt idx="3163">
                  <c:v>0.63272654530905315</c:v>
                </c:pt>
                <c:pt idx="3164">
                  <c:v>0.6329265853170547</c:v>
                </c:pt>
                <c:pt idx="3165">
                  <c:v>0.63312662532505626</c:v>
                </c:pt>
                <c:pt idx="3166">
                  <c:v>0.63332666533305781</c:v>
                </c:pt>
                <c:pt idx="3167">
                  <c:v>0.63352670534105937</c:v>
                </c:pt>
                <c:pt idx="3168">
                  <c:v>0.63372674534906093</c:v>
                </c:pt>
                <c:pt idx="3169">
                  <c:v>0.63392678535706248</c:v>
                </c:pt>
                <c:pt idx="3170">
                  <c:v>0.63412682536506404</c:v>
                </c:pt>
                <c:pt idx="3171">
                  <c:v>0.6343268653730656</c:v>
                </c:pt>
                <c:pt idx="3172">
                  <c:v>0.63452690538106715</c:v>
                </c:pt>
                <c:pt idx="3173">
                  <c:v>0.63472694538906871</c:v>
                </c:pt>
                <c:pt idx="3174">
                  <c:v>0.63492698539707026</c:v>
                </c:pt>
                <c:pt idx="3175">
                  <c:v>0.63512702540507182</c:v>
                </c:pt>
                <c:pt idx="3176">
                  <c:v>0.63532706541307338</c:v>
                </c:pt>
                <c:pt idx="3177">
                  <c:v>0.63552710542107493</c:v>
                </c:pt>
                <c:pt idx="3178">
                  <c:v>0.63572714542907649</c:v>
                </c:pt>
                <c:pt idx="3179">
                  <c:v>0.63592718543707805</c:v>
                </c:pt>
                <c:pt idx="3180">
                  <c:v>0.6361272254450796</c:v>
                </c:pt>
                <c:pt idx="3181">
                  <c:v>0.63632726545308116</c:v>
                </c:pt>
                <c:pt idx="3182">
                  <c:v>0.63652730546108272</c:v>
                </c:pt>
                <c:pt idx="3183">
                  <c:v>0.63672734546908427</c:v>
                </c:pt>
                <c:pt idx="3184">
                  <c:v>0.63692738547708583</c:v>
                </c:pt>
                <c:pt idx="3185">
                  <c:v>0.63712742548508738</c:v>
                </c:pt>
                <c:pt idx="3186">
                  <c:v>0.63732746549308894</c:v>
                </c:pt>
                <c:pt idx="3187">
                  <c:v>0.6375275055010905</c:v>
                </c:pt>
                <c:pt idx="3188">
                  <c:v>0.63772754550909205</c:v>
                </c:pt>
                <c:pt idx="3189">
                  <c:v>0.63792758551709361</c:v>
                </c:pt>
                <c:pt idx="3190">
                  <c:v>0.63812762552509517</c:v>
                </c:pt>
                <c:pt idx="3191">
                  <c:v>0.63832766553309672</c:v>
                </c:pt>
                <c:pt idx="3192">
                  <c:v>0.63852770554109828</c:v>
                </c:pt>
                <c:pt idx="3193">
                  <c:v>0.63872774554909983</c:v>
                </c:pt>
                <c:pt idx="3194">
                  <c:v>0.63892778555710139</c:v>
                </c:pt>
                <c:pt idx="3195">
                  <c:v>0.63912782556510295</c:v>
                </c:pt>
                <c:pt idx="3196">
                  <c:v>0.6393278655731045</c:v>
                </c:pt>
                <c:pt idx="3197">
                  <c:v>0.63952790558110606</c:v>
                </c:pt>
                <c:pt idx="3198">
                  <c:v>0.63972794558910762</c:v>
                </c:pt>
                <c:pt idx="3199">
                  <c:v>0.63992798559710917</c:v>
                </c:pt>
                <c:pt idx="3200">
                  <c:v>0.64012802560511073</c:v>
                </c:pt>
                <c:pt idx="3201">
                  <c:v>0.64032806561311228</c:v>
                </c:pt>
                <c:pt idx="3202">
                  <c:v>0.64052810562111384</c:v>
                </c:pt>
                <c:pt idx="3203">
                  <c:v>0.6407281456291154</c:v>
                </c:pt>
                <c:pt idx="3204">
                  <c:v>0.64092818563711695</c:v>
                </c:pt>
                <c:pt idx="3205">
                  <c:v>0.64112822564511851</c:v>
                </c:pt>
                <c:pt idx="3206">
                  <c:v>0.64132826565312007</c:v>
                </c:pt>
                <c:pt idx="3207">
                  <c:v>0.64152830566112162</c:v>
                </c:pt>
                <c:pt idx="3208">
                  <c:v>0.64172834566912318</c:v>
                </c:pt>
                <c:pt idx="3209">
                  <c:v>0.64192838567712474</c:v>
                </c:pt>
                <c:pt idx="3210">
                  <c:v>0.64212842568512629</c:v>
                </c:pt>
                <c:pt idx="3211">
                  <c:v>0.64232846569312785</c:v>
                </c:pt>
                <c:pt idx="3212">
                  <c:v>0.6425285057011294</c:v>
                </c:pt>
                <c:pt idx="3213">
                  <c:v>0.64272854570913096</c:v>
                </c:pt>
                <c:pt idx="3214">
                  <c:v>0.64292858571713252</c:v>
                </c:pt>
                <c:pt idx="3215">
                  <c:v>0.64312862572513407</c:v>
                </c:pt>
                <c:pt idx="3216">
                  <c:v>0.64332866573313563</c:v>
                </c:pt>
                <c:pt idx="3217">
                  <c:v>0.64352870574113719</c:v>
                </c:pt>
                <c:pt idx="3218">
                  <c:v>0.64372874574913874</c:v>
                </c:pt>
                <c:pt idx="3219">
                  <c:v>0.6439287857571403</c:v>
                </c:pt>
                <c:pt idx="3220">
                  <c:v>0.64412882576514185</c:v>
                </c:pt>
                <c:pt idx="3221">
                  <c:v>0.64432886577314341</c:v>
                </c:pt>
                <c:pt idx="3222">
                  <c:v>0.64452890578114497</c:v>
                </c:pt>
                <c:pt idx="3223">
                  <c:v>0.64472894578914652</c:v>
                </c:pt>
                <c:pt idx="3224">
                  <c:v>0.64492898579714808</c:v>
                </c:pt>
                <c:pt idx="3225">
                  <c:v>0.64512902580514964</c:v>
                </c:pt>
                <c:pt idx="3226">
                  <c:v>0.64532906581315119</c:v>
                </c:pt>
                <c:pt idx="3227">
                  <c:v>0.64552910582115275</c:v>
                </c:pt>
                <c:pt idx="3228">
                  <c:v>0.64572914582915431</c:v>
                </c:pt>
                <c:pt idx="3229">
                  <c:v>0.64592918583715586</c:v>
                </c:pt>
                <c:pt idx="3230">
                  <c:v>0.64612922584515742</c:v>
                </c:pt>
                <c:pt idx="3231">
                  <c:v>0.64632926585315897</c:v>
                </c:pt>
                <c:pt idx="3232">
                  <c:v>0.64652930586116053</c:v>
                </c:pt>
                <c:pt idx="3233">
                  <c:v>0.64672934586916209</c:v>
                </c:pt>
                <c:pt idx="3234">
                  <c:v>0.64692938587716364</c:v>
                </c:pt>
                <c:pt idx="3235">
                  <c:v>0.6471294258851652</c:v>
                </c:pt>
                <c:pt idx="3236">
                  <c:v>0.64732946589316676</c:v>
                </c:pt>
                <c:pt idx="3237">
                  <c:v>0.64752950590116831</c:v>
                </c:pt>
                <c:pt idx="3238">
                  <c:v>0.64772954590916987</c:v>
                </c:pt>
                <c:pt idx="3239">
                  <c:v>0.64792958591717142</c:v>
                </c:pt>
                <c:pt idx="3240">
                  <c:v>0.64812962592517298</c:v>
                </c:pt>
                <c:pt idx="3241">
                  <c:v>0.64832966593317454</c:v>
                </c:pt>
                <c:pt idx="3242">
                  <c:v>0.64852970594117609</c:v>
                </c:pt>
                <c:pt idx="3243">
                  <c:v>0.64872974594917765</c:v>
                </c:pt>
                <c:pt idx="3244">
                  <c:v>0.64892978595717921</c:v>
                </c:pt>
                <c:pt idx="3245">
                  <c:v>0.64912982596518076</c:v>
                </c:pt>
                <c:pt idx="3246">
                  <c:v>0.64932986597318232</c:v>
                </c:pt>
                <c:pt idx="3247">
                  <c:v>0.64952990598118387</c:v>
                </c:pt>
                <c:pt idx="3248">
                  <c:v>0.64972994598918543</c:v>
                </c:pt>
                <c:pt idx="3249">
                  <c:v>0.64992998599718699</c:v>
                </c:pt>
                <c:pt idx="3250">
                  <c:v>0.65013002600518854</c:v>
                </c:pt>
                <c:pt idx="3251">
                  <c:v>0.6503300660131901</c:v>
                </c:pt>
                <c:pt idx="3252">
                  <c:v>0.65053010602119166</c:v>
                </c:pt>
                <c:pt idx="3253">
                  <c:v>0.65073014602919321</c:v>
                </c:pt>
                <c:pt idx="3254">
                  <c:v>0.65093018603719477</c:v>
                </c:pt>
                <c:pt idx="3255">
                  <c:v>0.65113022604519633</c:v>
                </c:pt>
                <c:pt idx="3256">
                  <c:v>0.65133026605319788</c:v>
                </c:pt>
                <c:pt idx="3257">
                  <c:v>0.65153030606119944</c:v>
                </c:pt>
                <c:pt idx="3258">
                  <c:v>0.65173034606920099</c:v>
                </c:pt>
                <c:pt idx="3259">
                  <c:v>0.65193038607720255</c:v>
                </c:pt>
                <c:pt idx="3260">
                  <c:v>0.65213042608520411</c:v>
                </c:pt>
                <c:pt idx="3261">
                  <c:v>0.65233046609320566</c:v>
                </c:pt>
                <c:pt idx="3262">
                  <c:v>0.65253050610120722</c:v>
                </c:pt>
                <c:pt idx="3263">
                  <c:v>0.65273054610920878</c:v>
                </c:pt>
                <c:pt idx="3264">
                  <c:v>0.65293058611721033</c:v>
                </c:pt>
                <c:pt idx="3265">
                  <c:v>0.65313062612521189</c:v>
                </c:pt>
                <c:pt idx="3266">
                  <c:v>0.65333066613321344</c:v>
                </c:pt>
                <c:pt idx="3267">
                  <c:v>0.653530706141215</c:v>
                </c:pt>
                <c:pt idx="3268">
                  <c:v>0.65373074614921656</c:v>
                </c:pt>
                <c:pt idx="3269">
                  <c:v>0.65393078615721811</c:v>
                </c:pt>
                <c:pt idx="3270">
                  <c:v>0.65413082616521967</c:v>
                </c:pt>
                <c:pt idx="3271">
                  <c:v>0.65433086617322123</c:v>
                </c:pt>
                <c:pt idx="3272">
                  <c:v>0.65453090618122278</c:v>
                </c:pt>
                <c:pt idx="3273">
                  <c:v>0.65473094618922434</c:v>
                </c:pt>
                <c:pt idx="3274">
                  <c:v>0.6549309861972259</c:v>
                </c:pt>
                <c:pt idx="3275">
                  <c:v>0.65513102620522745</c:v>
                </c:pt>
                <c:pt idx="3276">
                  <c:v>0.65533106621322901</c:v>
                </c:pt>
                <c:pt idx="3277">
                  <c:v>0.65553110622123056</c:v>
                </c:pt>
                <c:pt idx="3278">
                  <c:v>0.65573114622923212</c:v>
                </c:pt>
                <c:pt idx="3279">
                  <c:v>0.65593118623723368</c:v>
                </c:pt>
                <c:pt idx="3280">
                  <c:v>0.65613122624523523</c:v>
                </c:pt>
                <c:pt idx="3281">
                  <c:v>0.65633126625323679</c:v>
                </c:pt>
                <c:pt idx="3282">
                  <c:v>0.65653130626123835</c:v>
                </c:pt>
                <c:pt idx="3283">
                  <c:v>0.6567313462692399</c:v>
                </c:pt>
                <c:pt idx="3284">
                  <c:v>0.65693138627724146</c:v>
                </c:pt>
                <c:pt idx="3285">
                  <c:v>0.65713142628524301</c:v>
                </c:pt>
                <c:pt idx="3286">
                  <c:v>0.65733146629324457</c:v>
                </c:pt>
                <c:pt idx="3287">
                  <c:v>0.65753150630124613</c:v>
                </c:pt>
                <c:pt idx="3288">
                  <c:v>0.65773154630924768</c:v>
                </c:pt>
                <c:pt idx="3289">
                  <c:v>0.65793158631724924</c:v>
                </c:pt>
                <c:pt idx="3290">
                  <c:v>0.6581316263252508</c:v>
                </c:pt>
                <c:pt idx="3291">
                  <c:v>0.65833166633325235</c:v>
                </c:pt>
                <c:pt idx="3292">
                  <c:v>0.65853170634125391</c:v>
                </c:pt>
                <c:pt idx="3293">
                  <c:v>0.65873174634925546</c:v>
                </c:pt>
                <c:pt idx="3294">
                  <c:v>0.65893178635725702</c:v>
                </c:pt>
                <c:pt idx="3295">
                  <c:v>0.65913182636525858</c:v>
                </c:pt>
                <c:pt idx="3296">
                  <c:v>0.65933186637326013</c:v>
                </c:pt>
                <c:pt idx="3297">
                  <c:v>0.65953190638126169</c:v>
                </c:pt>
                <c:pt idx="3298">
                  <c:v>0.65973194638926325</c:v>
                </c:pt>
                <c:pt idx="3299">
                  <c:v>0.6599319863972648</c:v>
                </c:pt>
                <c:pt idx="3300">
                  <c:v>0.66013202640526636</c:v>
                </c:pt>
                <c:pt idx="3301">
                  <c:v>0.66033206641326792</c:v>
                </c:pt>
                <c:pt idx="3302">
                  <c:v>0.66053210642126947</c:v>
                </c:pt>
                <c:pt idx="3303">
                  <c:v>0.66073214642927103</c:v>
                </c:pt>
                <c:pt idx="3304">
                  <c:v>0.66093218643727258</c:v>
                </c:pt>
                <c:pt idx="3305">
                  <c:v>0.66113222644527414</c:v>
                </c:pt>
                <c:pt idx="3306">
                  <c:v>0.6613322664532757</c:v>
                </c:pt>
                <c:pt idx="3307">
                  <c:v>0.66153230646127725</c:v>
                </c:pt>
                <c:pt idx="3308">
                  <c:v>0.66173234646927881</c:v>
                </c:pt>
                <c:pt idx="3309">
                  <c:v>0.66193238647728037</c:v>
                </c:pt>
                <c:pt idx="3310">
                  <c:v>0.66213242648528192</c:v>
                </c:pt>
                <c:pt idx="3311">
                  <c:v>0.66233246649328348</c:v>
                </c:pt>
                <c:pt idx="3312">
                  <c:v>0.66253250650128503</c:v>
                </c:pt>
                <c:pt idx="3313">
                  <c:v>0.66273254650928659</c:v>
                </c:pt>
                <c:pt idx="3314">
                  <c:v>0.66293258651728815</c:v>
                </c:pt>
                <c:pt idx="3315">
                  <c:v>0.6631326265252897</c:v>
                </c:pt>
                <c:pt idx="3316">
                  <c:v>0.66333266653329126</c:v>
                </c:pt>
                <c:pt idx="3317">
                  <c:v>0.66353270654129282</c:v>
                </c:pt>
                <c:pt idx="3318">
                  <c:v>0.66373274654929437</c:v>
                </c:pt>
                <c:pt idx="3319">
                  <c:v>0.66393278655729593</c:v>
                </c:pt>
                <c:pt idx="3320">
                  <c:v>0.66413282656529748</c:v>
                </c:pt>
                <c:pt idx="3321">
                  <c:v>0.66433286657329904</c:v>
                </c:pt>
                <c:pt idx="3322">
                  <c:v>0.6645329065813006</c:v>
                </c:pt>
                <c:pt idx="3323">
                  <c:v>0.66473294658930215</c:v>
                </c:pt>
                <c:pt idx="3324">
                  <c:v>0.66493298659730371</c:v>
                </c:pt>
                <c:pt idx="3325">
                  <c:v>0.66513302660530527</c:v>
                </c:pt>
                <c:pt idx="3326">
                  <c:v>0.66533306661330682</c:v>
                </c:pt>
                <c:pt idx="3327">
                  <c:v>0.66553310662130838</c:v>
                </c:pt>
                <c:pt idx="3328">
                  <c:v>0.66573314662930994</c:v>
                </c:pt>
                <c:pt idx="3329">
                  <c:v>0.66593318663731149</c:v>
                </c:pt>
                <c:pt idx="3330">
                  <c:v>0.66613322664531305</c:v>
                </c:pt>
                <c:pt idx="3331">
                  <c:v>0.6663332666533146</c:v>
                </c:pt>
                <c:pt idx="3332">
                  <c:v>0.66653330666131616</c:v>
                </c:pt>
                <c:pt idx="3333">
                  <c:v>0.66673334666931772</c:v>
                </c:pt>
                <c:pt idx="3334">
                  <c:v>0.66693338667731927</c:v>
                </c:pt>
                <c:pt idx="3335">
                  <c:v>0.66713342668532083</c:v>
                </c:pt>
                <c:pt idx="3336">
                  <c:v>0.66733346669332239</c:v>
                </c:pt>
                <c:pt idx="3337">
                  <c:v>0.66753350670132394</c:v>
                </c:pt>
                <c:pt idx="3338">
                  <c:v>0.6677335467093255</c:v>
                </c:pt>
                <c:pt idx="3339">
                  <c:v>0.66793358671732705</c:v>
                </c:pt>
                <c:pt idx="3340">
                  <c:v>0.66813362672532861</c:v>
                </c:pt>
                <c:pt idx="3341">
                  <c:v>0.66833366673333017</c:v>
                </c:pt>
                <c:pt idx="3342">
                  <c:v>0.66853370674133172</c:v>
                </c:pt>
                <c:pt idx="3343">
                  <c:v>0.66873374674933328</c:v>
                </c:pt>
                <c:pt idx="3344">
                  <c:v>0.66893378675733484</c:v>
                </c:pt>
                <c:pt idx="3345">
                  <c:v>0.66913382676533639</c:v>
                </c:pt>
                <c:pt idx="3346">
                  <c:v>0.66933386677333795</c:v>
                </c:pt>
                <c:pt idx="3347">
                  <c:v>0.66953390678133951</c:v>
                </c:pt>
                <c:pt idx="3348">
                  <c:v>0.66973394678934106</c:v>
                </c:pt>
                <c:pt idx="3349">
                  <c:v>0.66993398679734262</c:v>
                </c:pt>
                <c:pt idx="3350">
                  <c:v>0.67013402680534417</c:v>
                </c:pt>
                <c:pt idx="3351">
                  <c:v>0.67033406681334573</c:v>
                </c:pt>
                <c:pt idx="3352">
                  <c:v>0.67053410682134729</c:v>
                </c:pt>
                <c:pt idx="3353">
                  <c:v>0.67073414682934884</c:v>
                </c:pt>
                <c:pt idx="3354">
                  <c:v>0.6709341868373504</c:v>
                </c:pt>
                <c:pt idx="3355">
                  <c:v>0.67113422684535196</c:v>
                </c:pt>
                <c:pt idx="3356">
                  <c:v>0.67133426685335351</c:v>
                </c:pt>
                <c:pt idx="3357">
                  <c:v>0.67153430686135507</c:v>
                </c:pt>
                <c:pt idx="3358">
                  <c:v>0.67173434686935662</c:v>
                </c:pt>
                <c:pt idx="3359">
                  <c:v>0.67193438687735818</c:v>
                </c:pt>
                <c:pt idx="3360">
                  <c:v>0.67213442688535974</c:v>
                </c:pt>
                <c:pt idx="3361">
                  <c:v>0.67233446689336129</c:v>
                </c:pt>
                <c:pt idx="3362">
                  <c:v>0.67253450690136285</c:v>
                </c:pt>
                <c:pt idx="3363">
                  <c:v>0.67273454690936441</c:v>
                </c:pt>
                <c:pt idx="3364">
                  <c:v>0.67293458691736596</c:v>
                </c:pt>
                <c:pt idx="3365">
                  <c:v>0.67313462692536752</c:v>
                </c:pt>
                <c:pt idx="3366">
                  <c:v>0.67333466693336907</c:v>
                </c:pt>
                <c:pt idx="3367">
                  <c:v>0.67353470694137063</c:v>
                </c:pt>
                <c:pt idx="3368">
                  <c:v>0.67373474694937219</c:v>
                </c:pt>
                <c:pt idx="3369">
                  <c:v>0.67393478695737374</c:v>
                </c:pt>
                <c:pt idx="3370">
                  <c:v>0.6741348269653753</c:v>
                </c:pt>
                <c:pt idx="3371">
                  <c:v>0.67433486697337686</c:v>
                </c:pt>
                <c:pt idx="3372">
                  <c:v>0.67453490698137841</c:v>
                </c:pt>
                <c:pt idx="3373">
                  <c:v>0.67473494698937997</c:v>
                </c:pt>
                <c:pt idx="3374">
                  <c:v>0.67493498699738153</c:v>
                </c:pt>
                <c:pt idx="3375">
                  <c:v>0.67513502700538308</c:v>
                </c:pt>
                <c:pt idx="3376">
                  <c:v>0.67533506701338464</c:v>
                </c:pt>
                <c:pt idx="3377">
                  <c:v>0.67553510702138619</c:v>
                </c:pt>
                <c:pt idx="3378">
                  <c:v>0.67573514702938775</c:v>
                </c:pt>
                <c:pt idx="3379">
                  <c:v>0.67593518703738931</c:v>
                </c:pt>
                <c:pt idx="3380">
                  <c:v>0.67613522704539086</c:v>
                </c:pt>
                <c:pt idx="3381">
                  <c:v>0.67633526705339242</c:v>
                </c:pt>
                <c:pt idx="3382">
                  <c:v>0.67653530706139398</c:v>
                </c:pt>
                <c:pt idx="3383">
                  <c:v>0.67673534706939553</c:v>
                </c:pt>
                <c:pt idx="3384">
                  <c:v>0.67693538707739709</c:v>
                </c:pt>
                <c:pt idx="3385">
                  <c:v>0.67713542708539864</c:v>
                </c:pt>
                <c:pt idx="3386">
                  <c:v>0.6773354670934002</c:v>
                </c:pt>
                <c:pt idx="3387">
                  <c:v>0.67753550710140176</c:v>
                </c:pt>
                <c:pt idx="3388">
                  <c:v>0.67773554710940331</c:v>
                </c:pt>
                <c:pt idx="3389">
                  <c:v>0.67793558711740487</c:v>
                </c:pt>
                <c:pt idx="3390">
                  <c:v>0.67813562712540643</c:v>
                </c:pt>
                <c:pt idx="3391">
                  <c:v>0.67833566713340798</c:v>
                </c:pt>
                <c:pt idx="3392">
                  <c:v>0.67853570714140954</c:v>
                </c:pt>
                <c:pt idx="3393">
                  <c:v>0.67873574714941109</c:v>
                </c:pt>
                <c:pt idx="3394">
                  <c:v>0.67893578715741265</c:v>
                </c:pt>
                <c:pt idx="3395">
                  <c:v>0.67913582716541421</c:v>
                </c:pt>
                <c:pt idx="3396">
                  <c:v>0.67933586717341576</c:v>
                </c:pt>
                <c:pt idx="3397">
                  <c:v>0.67953590718141732</c:v>
                </c:pt>
                <c:pt idx="3398">
                  <c:v>0.67973594718941888</c:v>
                </c:pt>
                <c:pt idx="3399">
                  <c:v>0.67993598719742043</c:v>
                </c:pt>
                <c:pt idx="3400">
                  <c:v>0.68013602720542199</c:v>
                </c:pt>
                <c:pt idx="3401">
                  <c:v>0.68033606721342355</c:v>
                </c:pt>
                <c:pt idx="3402">
                  <c:v>0.6805361072214251</c:v>
                </c:pt>
                <c:pt idx="3403">
                  <c:v>0.68073614722942666</c:v>
                </c:pt>
                <c:pt idx="3404">
                  <c:v>0.68093618723742821</c:v>
                </c:pt>
                <c:pt idx="3405">
                  <c:v>0.68113622724542977</c:v>
                </c:pt>
                <c:pt idx="3406">
                  <c:v>0.68133626725343133</c:v>
                </c:pt>
                <c:pt idx="3407">
                  <c:v>0.68153630726143288</c:v>
                </c:pt>
                <c:pt idx="3408">
                  <c:v>0.68173634726943444</c:v>
                </c:pt>
                <c:pt idx="3409">
                  <c:v>0.681936387277436</c:v>
                </c:pt>
                <c:pt idx="3410">
                  <c:v>0.68213642728543755</c:v>
                </c:pt>
                <c:pt idx="3411">
                  <c:v>0.68233646729343911</c:v>
                </c:pt>
                <c:pt idx="3412">
                  <c:v>0.68253650730144066</c:v>
                </c:pt>
                <c:pt idx="3413">
                  <c:v>0.68273654730944222</c:v>
                </c:pt>
                <c:pt idx="3414">
                  <c:v>0.68293658731744378</c:v>
                </c:pt>
                <c:pt idx="3415">
                  <c:v>0.68313662732544533</c:v>
                </c:pt>
                <c:pt idx="3416">
                  <c:v>0.68333666733344689</c:v>
                </c:pt>
                <c:pt idx="3417">
                  <c:v>0.68353670734144845</c:v>
                </c:pt>
                <c:pt idx="3418">
                  <c:v>0.68373674734945</c:v>
                </c:pt>
                <c:pt idx="3419">
                  <c:v>0.68393678735745156</c:v>
                </c:pt>
                <c:pt idx="3420">
                  <c:v>0.68413682736545312</c:v>
                </c:pt>
                <c:pt idx="3421">
                  <c:v>0.68433686737345467</c:v>
                </c:pt>
                <c:pt idx="3422">
                  <c:v>0.68453690738145623</c:v>
                </c:pt>
                <c:pt idx="3423">
                  <c:v>0.68473694738945778</c:v>
                </c:pt>
                <c:pt idx="3424">
                  <c:v>0.68493698739745934</c:v>
                </c:pt>
                <c:pt idx="3425">
                  <c:v>0.6851370274054609</c:v>
                </c:pt>
                <c:pt idx="3426">
                  <c:v>0.68533706741346245</c:v>
                </c:pt>
                <c:pt idx="3427">
                  <c:v>0.68553710742146401</c:v>
                </c:pt>
                <c:pt idx="3428">
                  <c:v>0.68573714742946557</c:v>
                </c:pt>
                <c:pt idx="3429">
                  <c:v>0.68593718743746712</c:v>
                </c:pt>
                <c:pt idx="3430">
                  <c:v>0.68613722744546868</c:v>
                </c:pt>
                <c:pt idx="3431">
                  <c:v>0.68633726745347023</c:v>
                </c:pt>
                <c:pt idx="3432">
                  <c:v>0.68653730746147179</c:v>
                </c:pt>
                <c:pt idx="3433">
                  <c:v>0.68673734746947335</c:v>
                </c:pt>
                <c:pt idx="3434">
                  <c:v>0.6869373874774749</c:v>
                </c:pt>
                <c:pt idx="3435">
                  <c:v>0.68713742748547646</c:v>
                </c:pt>
                <c:pt idx="3436">
                  <c:v>0.68733746749347802</c:v>
                </c:pt>
                <c:pt idx="3437">
                  <c:v>0.68753750750147957</c:v>
                </c:pt>
                <c:pt idx="3438">
                  <c:v>0.68773754750948113</c:v>
                </c:pt>
                <c:pt idx="3439">
                  <c:v>0.68793758751748268</c:v>
                </c:pt>
                <c:pt idx="3440">
                  <c:v>0.68813762752548424</c:v>
                </c:pt>
                <c:pt idx="3441">
                  <c:v>0.6883376675334858</c:v>
                </c:pt>
                <c:pt idx="3442">
                  <c:v>0.68853770754148735</c:v>
                </c:pt>
                <c:pt idx="3443">
                  <c:v>0.68873774754948891</c:v>
                </c:pt>
                <c:pt idx="3444">
                  <c:v>0.68893778755749047</c:v>
                </c:pt>
                <c:pt idx="3445">
                  <c:v>0.68913782756549202</c:v>
                </c:pt>
                <c:pt idx="3446">
                  <c:v>0.68933786757349358</c:v>
                </c:pt>
                <c:pt idx="3447">
                  <c:v>0.68953790758149514</c:v>
                </c:pt>
                <c:pt idx="3448">
                  <c:v>0.68973794758949669</c:v>
                </c:pt>
                <c:pt idx="3449">
                  <c:v>0.68993798759749825</c:v>
                </c:pt>
                <c:pt idx="3450">
                  <c:v>0.6901380276054998</c:v>
                </c:pt>
                <c:pt idx="3451">
                  <c:v>0.69033806761350136</c:v>
                </c:pt>
                <c:pt idx="3452">
                  <c:v>0.69053810762150292</c:v>
                </c:pt>
                <c:pt idx="3453">
                  <c:v>0.69073814762950447</c:v>
                </c:pt>
                <c:pt idx="3454">
                  <c:v>0.69093818763750603</c:v>
                </c:pt>
                <c:pt idx="3455">
                  <c:v>0.69113822764550759</c:v>
                </c:pt>
                <c:pt idx="3456">
                  <c:v>0.69133826765350914</c:v>
                </c:pt>
                <c:pt idx="3457">
                  <c:v>0.6915383076615107</c:v>
                </c:pt>
                <c:pt idx="3458">
                  <c:v>0.69173834766951225</c:v>
                </c:pt>
                <c:pt idx="3459">
                  <c:v>0.69193838767751381</c:v>
                </c:pt>
                <c:pt idx="3460">
                  <c:v>0.69213842768551537</c:v>
                </c:pt>
                <c:pt idx="3461">
                  <c:v>0.69233846769351692</c:v>
                </c:pt>
                <c:pt idx="3462">
                  <c:v>0.69253850770151848</c:v>
                </c:pt>
                <c:pt idx="3463">
                  <c:v>0.69273854770952004</c:v>
                </c:pt>
                <c:pt idx="3464">
                  <c:v>0.69293858771752159</c:v>
                </c:pt>
                <c:pt idx="3465">
                  <c:v>0.69313862772552315</c:v>
                </c:pt>
                <c:pt idx="3466">
                  <c:v>0.69333866773352471</c:v>
                </c:pt>
                <c:pt idx="3467">
                  <c:v>0.69353870774152626</c:v>
                </c:pt>
                <c:pt idx="3468">
                  <c:v>0.69373874774952782</c:v>
                </c:pt>
                <c:pt idx="3469">
                  <c:v>0.69393878775752937</c:v>
                </c:pt>
                <c:pt idx="3470">
                  <c:v>0.69413882776553093</c:v>
                </c:pt>
                <c:pt idx="3471">
                  <c:v>0.69433886777353249</c:v>
                </c:pt>
                <c:pt idx="3472">
                  <c:v>0.69453890778153404</c:v>
                </c:pt>
                <c:pt idx="3473">
                  <c:v>0.6947389477895356</c:v>
                </c:pt>
                <c:pt idx="3474">
                  <c:v>0.69493898779753716</c:v>
                </c:pt>
                <c:pt idx="3475">
                  <c:v>0.69513902780553871</c:v>
                </c:pt>
                <c:pt idx="3476">
                  <c:v>0.69533906781354027</c:v>
                </c:pt>
                <c:pt idx="3477">
                  <c:v>0.69553910782154182</c:v>
                </c:pt>
                <c:pt idx="3478">
                  <c:v>0.69573914782954338</c:v>
                </c:pt>
                <c:pt idx="3479">
                  <c:v>0.69593918783754494</c:v>
                </c:pt>
                <c:pt idx="3480">
                  <c:v>0.69613922784554649</c:v>
                </c:pt>
                <c:pt idx="3481">
                  <c:v>0.69633926785354805</c:v>
                </c:pt>
                <c:pt idx="3482">
                  <c:v>0.69653930786154961</c:v>
                </c:pt>
                <c:pt idx="3483">
                  <c:v>0.69673934786955116</c:v>
                </c:pt>
                <c:pt idx="3484">
                  <c:v>0.69693938787755272</c:v>
                </c:pt>
                <c:pt idx="3485">
                  <c:v>0.69713942788555427</c:v>
                </c:pt>
                <c:pt idx="3486">
                  <c:v>0.69733946789355583</c:v>
                </c:pt>
                <c:pt idx="3487">
                  <c:v>0.69753950790155739</c:v>
                </c:pt>
                <c:pt idx="3488">
                  <c:v>0.69773954790955894</c:v>
                </c:pt>
                <c:pt idx="3489">
                  <c:v>0.6979395879175605</c:v>
                </c:pt>
                <c:pt idx="3490">
                  <c:v>0.69813962792556206</c:v>
                </c:pt>
                <c:pt idx="3491">
                  <c:v>0.69833966793356361</c:v>
                </c:pt>
                <c:pt idx="3492">
                  <c:v>0.69853970794156517</c:v>
                </c:pt>
                <c:pt idx="3493">
                  <c:v>0.69873974794956673</c:v>
                </c:pt>
                <c:pt idx="3494">
                  <c:v>0.69893978795756828</c:v>
                </c:pt>
                <c:pt idx="3495">
                  <c:v>0.69913982796556984</c:v>
                </c:pt>
                <c:pt idx="3496">
                  <c:v>0.69933986797357139</c:v>
                </c:pt>
                <c:pt idx="3497">
                  <c:v>0.69953990798157295</c:v>
                </c:pt>
                <c:pt idx="3498">
                  <c:v>0.69973994798957451</c:v>
                </c:pt>
                <c:pt idx="3499">
                  <c:v>0.69993998799757606</c:v>
                </c:pt>
                <c:pt idx="3500">
                  <c:v>0.70014002800557762</c:v>
                </c:pt>
                <c:pt idx="3501">
                  <c:v>0.70034006801357918</c:v>
                </c:pt>
                <c:pt idx="3502">
                  <c:v>0.70054010802158073</c:v>
                </c:pt>
                <c:pt idx="3503">
                  <c:v>0.70074014802958229</c:v>
                </c:pt>
                <c:pt idx="3504">
                  <c:v>0.70094018803758384</c:v>
                </c:pt>
                <c:pt idx="3505">
                  <c:v>0.7011402280455854</c:v>
                </c:pt>
                <c:pt idx="3506">
                  <c:v>0.70134026805358696</c:v>
                </c:pt>
                <c:pt idx="3507">
                  <c:v>0.70154030806158851</c:v>
                </c:pt>
                <c:pt idx="3508">
                  <c:v>0.70174034806959007</c:v>
                </c:pt>
                <c:pt idx="3509">
                  <c:v>0.70194038807759163</c:v>
                </c:pt>
                <c:pt idx="3510">
                  <c:v>0.70214042808559318</c:v>
                </c:pt>
                <c:pt idx="3511">
                  <c:v>0.70234046809359474</c:v>
                </c:pt>
                <c:pt idx="3512">
                  <c:v>0.70254050810159629</c:v>
                </c:pt>
                <c:pt idx="3513">
                  <c:v>0.70274054810959785</c:v>
                </c:pt>
                <c:pt idx="3514">
                  <c:v>0.70294058811759941</c:v>
                </c:pt>
                <c:pt idx="3515">
                  <c:v>0.70314062812560096</c:v>
                </c:pt>
                <c:pt idx="3516">
                  <c:v>0.70334066813360252</c:v>
                </c:pt>
                <c:pt idx="3517">
                  <c:v>0.70354070814160408</c:v>
                </c:pt>
                <c:pt idx="3518">
                  <c:v>0.70374074814960563</c:v>
                </c:pt>
                <c:pt idx="3519">
                  <c:v>0.70394078815760719</c:v>
                </c:pt>
                <c:pt idx="3520">
                  <c:v>0.70414082816560875</c:v>
                </c:pt>
                <c:pt idx="3521">
                  <c:v>0.7043408681736103</c:v>
                </c:pt>
                <c:pt idx="3522">
                  <c:v>0.70454090818161186</c:v>
                </c:pt>
                <c:pt idx="3523">
                  <c:v>0.70474094818961341</c:v>
                </c:pt>
                <c:pt idx="3524">
                  <c:v>0.70494098819761497</c:v>
                </c:pt>
                <c:pt idx="3525">
                  <c:v>0.70514102820561653</c:v>
                </c:pt>
                <c:pt idx="3526">
                  <c:v>0.70534106821361808</c:v>
                </c:pt>
                <c:pt idx="3527">
                  <c:v>0.70554110822161964</c:v>
                </c:pt>
                <c:pt idx="3528">
                  <c:v>0.7057411482296212</c:v>
                </c:pt>
                <c:pt idx="3529">
                  <c:v>0.70594118823762275</c:v>
                </c:pt>
                <c:pt idx="3530">
                  <c:v>0.70614122824562431</c:v>
                </c:pt>
                <c:pt idx="3531">
                  <c:v>0.70634126825362586</c:v>
                </c:pt>
                <c:pt idx="3532">
                  <c:v>0.70654130826162742</c:v>
                </c:pt>
                <c:pt idx="3533">
                  <c:v>0.70674134826962898</c:v>
                </c:pt>
                <c:pt idx="3534">
                  <c:v>0.70694138827763053</c:v>
                </c:pt>
                <c:pt idx="3535">
                  <c:v>0.70714142828563209</c:v>
                </c:pt>
                <c:pt idx="3536">
                  <c:v>0.70734146829363365</c:v>
                </c:pt>
                <c:pt idx="3537">
                  <c:v>0.7075415083016352</c:v>
                </c:pt>
                <c:pt idx="3538">
                  <c:v>0.70774154830963676</c:v>
                </c:pt>
                <c:pt idx="3539">
                  <c:v>0.70794158831763832</c:v>
                </c:pt>
                <c:pt idx="3540">
                  <c:v>0.70814162832563987</c:v>
                </c:pt>
                <c:pt idx="3541">
                  <c:v>0.70834166833364143</c:v>
                </c:pt>
                <c:pt idx="3542">
                  <c:v>0.70854170834164298</c:v>
                </c:pt>
                <c:pt idx="3543">
                  <c:v>0.70874174834964454</c:v>
                </c:pt>
                <c:pt idx="3544">
                  <c:v>0.7089417883576461</c:v>
                </c:pt>
                <c:pt idx="3545">
                  <c:v>0.70914182836564765</c:v>
                </c:pt>
                <c:pt idx="3546">
                  <c:v>0.70934186837364921</c:v>
                </c:pt>
                <c:pt idx="3547">
                  <c:v>0.70954190838165077</c:v>
                </c:pt>
                <c:pt idx="3548">
                  <c:v>0.70974194838965232</c:v>
                </c:pt>
                <c:pt idx="3549">
                  <c:v>0.70994198839765388</c:v>
                </c:pt>
                <c:pt idx="3550">
                  <c:v>0.71014202840565543</c:v>
                </c:pt>
                <c:pt idx="3551">
                  <c:v>0.71034206841365699</c:v>
                </c:pt>
                <c:pt idx="3552">
                  <c:v>0.71054210842165855</c:v>
                </c:pt>
                <c:pt idx="3553">
                  <c:v>0.7107421484296601</c:v>
                </c:pt>
                <c:pt idx="3554">
                  <c:v>0.71094218843766166</c:v>
                </c:pt>
                <c:pt idx="3555">
                  <c:v>0.71114222844566322</c:v>
                </c:pt>
                <c:pt idx="3556">
                  <c:v>0.71134226845366477</c:v>
                </c:pt>
                <c:pt idx="3557">
                  <c:v>0.71154230846166633</c:v>
                </c:pt>
                <c:pt idx="3558">
                  <c:v>0.71174234846966788</c:v>
                </c:pt>
                <c:pt idx="3559">
                  <c:v>0.71194238847766944</c:v>
                </c:pt>
                <c:pt idx="3560">
                  <c:v>0.712142428485671</c:v>
                </c:pt>
                <c:pt idx="3561">
                  <c:v>0.71234246849367255</c:v>
                </c:pt>
                <c:pt idx="3562">
                  <c:v>0.71254250850167411</c:v>
                </c:pt>
                <c:pt idx="3563">
                  <c:v>0.71274254850967567</c:v>
                </c:pt>
                <c:pt idx="3564">
                  <c:v>0.71294258851767722</c:v>
                </c:pt>
                <c:pt idx="3565">
                  <c:v>0.71314262852567878</c:v>
                </c:pt>
                <c:pt idx="3566">
                  <c:v>0.71334266853368034</c:v>
                </c:pt>
                <c:pt idx="3567">
                  <c:v>0.71354270854168189</c:v>
                </c:pt>
                <c:pt idx="3568">
                  <c:v>0.71374274854968345</c:v>
                </c:pt>
                <c:pt idx="3569">
                  <c:v>0.713942788557685</c:v>
                </c:pt>
                <c:pt idx="3570">
                  <c:v>0.71414282856568656</c:v>
                </c:pt>
                <c:pt idx="3571">
                  <c:v>0.71434286857368812</c:v>
                </c:pt>
                <c:pt idx="3572">
                  <c:v>0.71454290858168967</c:v>
                </c:pt>
                <c:pt idx="3573">
                  <c:v>0.71474294858969123</c:v>
                </c:pt>
                <c:pt idx="3574">
                  <c:v>0.71494298859769279</c:v>
                </c:pt>
                <c:pt idx="3575">
                  <c:v>0.71514302860569434</c:v>
                </c:pt>
                <c:pt idx="3576">
                  <c:v>0.7153430686136959</c:v>
                </c:pt>
                <c:pt idx="3577">
                  <c:v>0.71554310862169745</c:v>
                </c:pt>
                <c:pt idx="3578">
                  <c:v>0.71574314862969901</c:v>
                </c:pt>
                <c:pt idx="3579">
                  <c:v>0.71594318863770057</c:v>
                </c:pt>
                <c:pt idx="3580">
                  <c:v>0.71614322864570212</c:v>
                </c:pt>
                <c:pt idx="3581">
                  <c:v>0.71634326865370368</c:v>
                </c:pt>
                <c:pt idx="3582">
                  <c:v>0.71654330866170524</c:v>
                </c:pt>
                <c:pt idx="3583">
                  <c:v>0.71674334866970679</c:v>
                </c:pt>
                <c:pt idx="3584">
                  <c:v>0.71694338867770835</c:v>
                </c:pt>
                <c:pt idx="3585">
                  <c:v>0.7171434286857099</c:v>
                </c:pt>
                <c:pt idx="3586">
                  <c:v>0.71734346869371146</c:v>
                </c:pt>
                <c:pt idx="3587">
                  <c:v>0.71754350870171302</c:v>
                </c:pt>
                <c:pt idx="3588">
                  <c:v>0.71774354870971457</c:v>
                </c:pt>
                <c:pt idx="3589">
                  <c:v>0.71794358871771613</c:v>
                </c:pt>
                <c:pt idx="3590">
                  <c:v>0.71814362872571769</c:v>
                </c:pt>
                <c:pt idx="3591">
                  <c:v>0.71834366873371924</c:v>
                </c:pt>
                <c:pt idx="3592">
                  <c:v>0.7185437087417208</c:v>
                </c:pt>
                <c:pt idx="3593">
                  <c:v>0.71874374874972236</c:v>
                </c:pt>
                <c:pt idx="3594">
                  <c:v>0.71894378875772391</c:v>
                </c:pt>
                <c:pt idx="3595">
                  <c:v>0.71914382876572547</c:v>
                </c:pt>
                <c:pt idx="3596">
                  <c:v>0.71934386877372702</c:v>
                </c:pt>
                <c:pt idx="3597">
                  <c:v>0.71954390878172858</c:v>
                </c:pt>
                <c:pt idx="3598">
                  <c:v>0.71974394878973014</c:v>
                </c:pt>
                <c:pt idx="3599">
                  <c:v>0.71994398879773169</c:v>
                </c:pt>
                <c:pt idx="3600">
                  <c:v>0.72014402880573325</c:v>
                </c:pt>
                <c:pt idx="3601">
                  <c:v>0.72034406881373481</c:v>
                </c:pt>
                <c:pt idx="3602">
                  <c:v>0.72054410882173636</c:v>
                </c:pt>
                <c:pt idx="3603">
                  <c:v>0.72074414882973792</c:v>
                </c:pt>
                <c:pt idx="3604">
                  <c:v>0.72094418883773947</c:v>
                </c:pt>
                <c:pt idx="3605">
                  <c:v>0.72114422884574103</c:v>
                </c:pt>
                <c:pt idx="3606">
                  <c:v>0.72134426885374259</c:v>
                </c:pt>
                <c:pt idx="3607">
                  <c:v>0.72154430886174414</c:v>
                </c:pt>
                <c:pt idx="3608">
                  <c:v>0.7217443488697457</c:v>
                </c:pt>
                <c:pt idx="3609">
                  <c:v>0.72194438887774726</c:v>
                </c:pt>
                <c:pt idx="3610">
                  <c:v>0.72214442888574881</c:v>
                </c:pt>
                <c:pt idx="3611">
                  <c:v>0.72234446889375037</c:v>
                </c:pt>
                <c:pt idx="3612">
                  <c:v>0.72254450890175193</c:v>
                </c:pt>
                <c:pt idx="3613">
                  <c:v>0.72274454890975348</c:v>
                </c:pt>
                <c:pt idx="3614">
                  <c:v>0.72294458891775504</c:v>
                </c:pt>
                <c:pt idx="3615">
                  <c:v>0.72314462892575659</c:v>
                </c:pt>
                <c:pt idx="3616">
                  <c:v>0.72334466893375815</c:v>
                </c:pt>
                <c:pt idx="3617">
                  <c:v>0.72354470894175971</c:v>
                </c:pt>
                <c:pt idx="3618">
                  <c:v>0.72374474894976126</c:v>
                </c:pt>
                <c:pt idx="3619">
                  <c:v>0.72394478895776282</c:v>
                </c:pt>
                <c:pt idx="3620">
                  <c:v>0.72414482896576438</c:v>
                </c:pt>
                <c:pt idx="3621">
                  <c:v>0.72434486897376593</c:v>
                </c:pt>
                <c:pt idx="3622">
                  <c:v>0.72454490898176749</c:v>
                </c:pt>
                <c:pt idx="3623">
                  <c:v>0.72474494898976904</c:v>
                </c:pt>
                <c:pt idx="3624">
                  <c:v>0.7249449889977706</c:v>
                </c:pt>
                <c:pt idx="3625">
                  <c:v>0.72514502900577216</c:v>
                </c:pt>
                <c:pt idx="3626">
                  <c:v>0.72534506901377371</c:v>
                </c:pt>
                <c:pt idx="3627">
                  <c:v>0.72554510902177527</c:v>
                </c:pt>
                <c:pt idx="3628">
                  <c:v>0.72574514902977683</c:v>
                </c:pt>
                <c:pt idx="3629">
                  <c:v>0.72594518903777838</c:v>
                </c:pt>
                <c:pt idx="3630">
                  <c:v>0.72614522904577994</c:v>
                </c:pt>
                <c:pt idx="3631">
                  <c:v>0.72634526905378149</c:v>
                </c:pt>
                <c:pt idx="3632">
                  <c:v>0.72654530906178305</c:v>
                </c:pt>
                <c:pt idx="3633">
                  <c:v>0.72674534906978461</c:v>
                </c:pt>
                <c:pt idx="3634">
                  <c:v>0.72694538907778616</c:v>
                </c:pt>
                <c:pt idx="3635">
                  <c:v>0.72714542908578772</c:v>
                </c:pt>
                <c:pt idx="3636">
                  <c:v>0.72734546909378928</c:v>
                </c:pt>
                <c:pt idx="3637">
                  <c:v>0.72754550910179083</c:v>
                </c:pt>
                <c:pt idx="3638">
                  <c:v>0.72774554910979239</c:v>
                </c:pt>
                <c:pt idx="3639">
                  <c:v>0.72794558911779395</c:v>
                </c:pt>
                <c:pt idx="3640">
                  <c:v>0.7281456291257955</c:v>
                </c:pt>
                <c:pt idx="3641">
                  <c:v>0.72834566913379706</c:v>
                </c:pt>
                <c:pt idx="3642">
                  <c:v>0.72854570914179861</c:v>
                </c:pt>
                <c:pt idx="3643">
                  <c:v>0.72874574914980017</c:v>
                </c:pt>
                <c:pt idx="3644">
                  <c:v>0.72894578915780173</c:v>
                </c:pt>
                <c:pt idx="3645">
                  <c:v>0.72914582916580328</c:v>
                </c:pt>
                <c:pt idx="3646">
                  <c:v>0.72934586917380484</c:v>
                </c:pt>
                <c:pt idx="3647">
                  <c:v>0.7295459091818064</c:v>
                </c:pt>
                <c:pt idx="3648">
                  <c:v>0.72974594918980795</c:v>
                </c:pt>
                <c:pt idx="3649">
                  <c:v>0.72994598919780951</c:v>
                </c:pt>
                <c:pt idx="3650">
                  <c:v>0.73014602920581106</c:v>
                </c:pt>
                <c:pt idx="3651">
                  <c:v>0.73034606921381262</c:v>
                </c:pt>
                <c:pt idx="3652">
                  <c:v>0.73054610922181418</c:v>
                </c:pt>
                <c:pt idx="3653">
                  <c:v>0.73074614922981573</c:v>
                </c:pt>
                <c:pt idx="3654">
                  <c:v>0.73094618923781729</c:v>
                </c:pt>
                <c:pt idx="3655">
                  <c:v>0.73114622924581885</c:v>
                </c:pt>
                <c:pt idx="3656">
                  <c:v>0.7313462692538204</c:v>
                </c:pt>
                <c:pt idx="3657">
                  <c:v>0.73154630926182196</c:v>
                </c:pt>
                <c:pt idx="3658">
                  <c:v>0.73174634926982352</c:v>
                </c:pt>
                <c:pt idx="3659">
                  <c:v>0.73194638927782507</c:v>
                </c:pt>
                <c:pt idx="3660">
                  <c:v>0.73214642928582663</c:v>
                </c:pt>
                <c:pt idx="3661">
                  <c:v>0.73234646929382818</c:v>
                </c:pt>
                <c:pt idx="3662">
                  <c:v>0.73254650930182974</c:v>
                </c:pt>
                <c:pt idx="3663">
                  <c:v>0.7327465493098313</c:v>
                </c:pt>
                <c:pt idx="3664">
                  <c:v>0.73294658931783285</c:v>
                </c:pt>
                <c:pt idx="3665">
                  <c:v>0.73314662932583441</c:v>
                </c:pt>
                <c:pt idx="3666">
                  <c:v>0.73334666933383597</c:v>
                </c:pt>
                <c:pt idx="3667">
                  <c:v>0.73354670934183752</c:v>
                </c:pt>
                <c:pt idx="3668">
                  <c:v>0.73374674934983908</c:v>
                </c:pt>
                <c:pt idx="3669">
                  <c:v>0.73394678935784063</c:v>
                </c:pt>
                <c:pt idx="3670">
                  <c:v>0.73414682936584219</c:v>
                </c:pt>
                <c:pt idx="3671">
                  <c:v>0.73434686937384375</c:v>
                </c:pt>
                <c:pt idx="3672">
                  <c:v>0.7345469093818453</c:v>
                </c:pt>
                <c:pt idx="3673">
                  <c:v>0.73474694938984686</c:v>
                </c:pt>
                <c:pt idx="3674">
                  <c:v>0.73494698939784842</c:v>
                </c:pt>
                <c:pt idx="3675">
                  <c:v>0.73514702940584997</c:v>
                </c:pt>
                <c:pt idx="3676">
                  <c:v>0.73534706941385153</c:v>
                </c:pt>
                <c:pt idx="3677">
                  <c:v>0.73554710942185308</c:v>
                </c:pt>
                <c:pt idx="3678">
                  <c:v>0.73574714942985464</c:v>
                </c:pt>
                <c:pt idx="3679">
                  <c:v>0.7359471894378562</c:v>
                </c:pt>
                <c:pt idx="3680">
                  <c:v>0.73614722944585775</c:v>
                </c:pt>
                <c:pt idx="3681">
                  <c:v>0.73634726945385931</c:v>
                </c:pt>
                <c:pt idx="3682">
                  <c:v>0.73654730946186087</c:v>
                </c:pt>
                <c:pt idx="3683">
                  <c:v>0.73674734946986242</c:v>
                </c:pt>
                <c:pt idx="3684">
                  <c:v>0.73694738947786398</c:v>
                </c:pt>
                <c:pt idx="3685">
                  <c:v>0.73714742948586554</c:v>
                </c:pt>
                <c:pt idx="3686">
                  <c:v>0.73734746949386709</c:v>
                </c:pt>
                <c:pt idx="3687">
                  <c:v>0.73754750950186865</c:v>
                </c:pt>
                <c:pt idx="3688">
                  <c:v>0.7377475495098702</c:v>
                </c:pt>
                <c:pt idx="3689">
                  <c:v>0.73794758951787176</c:v>
                </c:pt>
                <c:pt idx="3690">
                  <c:v>0.73814762952587332</c:v>
                </c:pt>
                <c:pt idx="3691">
                  <c:v>0.73834766953387487</c:v>
                </c:pt>
                <c:pt idx="3692">
                  <c:v>0.73854770954187643</c:v>
                </c:pt>
                <c:pt idx="3693">
                  <c:v>0.73874774954987799</c:v>
                </c:pt>
                <c:pt idx="3694">
                  <c:v>0.73894778955787954</c:v>
                </c:pt>
                <c:pt idx="3695">
                  <c:v>0.7391478295658811</c:v>
                </c:pt>
                <c:pt idx="3696">
                  <c:v>0.73934786957388265</c:v>
                </c:pt>
                <c:pt idx="3697">
                  <c:v>0.73954790958188421</c:v>
                </c:pt>
                <c:pt idx="3698">
                  <c:v>0.73974794958988577</c:v>
                </c:pt>
                <c:pt idx="3699">
                  <c:v>0.73994798959788732</c:v>
                </c:pt>
                <c:pt idx="3700">
                  <c:v>0.74014802960588888</c:v>
                </c:pt>
                <c:pt idx="3701">
                  <c:v>0.74034806961389044</c:v>
                </c:pt>
                <c:pt idx="3702">
                  <c:v>0.74054810962189199</c:v>
                </c:pt>
                <c:pt idx="3703">
                  <c:v>0.74074814962989355</c:v>
                </c:pt>
                <c:pt idx="3704">
                  <c:v>0.7409481896378951</c:v>
                </c:pt>
                <c:pt idx="3705">
                  <c:v>0.74114822964589666</c:v>
                </c:pt>
                <c:pt idx="3706">
                  <c:v>0.74134826965389822</c:v>
                </c:pt>
                <c:pt idx="3707">
                  <c:v>0.74154830966189977</c:v>
                </c:pt>
                <c:pt idx="3708">
                  <c:v>0.74174834966990133</c:v>
                </c:pt>
                <c:pt idx="3709">
                  <c:v>0.74194838967790289</c:v>
                </c:pt>
                <c:pt idx="3710">
                  <c:v>0.74214842968590444</c:v>
                </c:pt>
                <c:pt idx="3711">
                  <c:v>0.742348469693906</c:v>
                </c:pt>
                <c:pt idx="3712">
                  <c:v>0.74254850970190756</c:v>
                </c:pt>
                <c:pt idx="3713">
                  <c:v>0.74274854970990911</c:v>
                </c:pt>
                <c:pt idx="3714">
                  <c:v>0.74294858971791067</c:v>
                </c:pt>
                <c:pt idx="3715">
                  <c:v>0.74314862972591222</c:v>
                </c:pt>
                <c:pt idx="3716">
                  <c:v>0.74334866973391378</c:v>
                </c:pt>
                <c:pt idx="3717">
                  <c:v>0.74354870974191534</c:v>
                </c:pt>
                <c:pt idx="3718">
                  <c:v>0.74374874974991689</c:v>
                </c:pt>
                <c:pt idx="3719">
                  <c:v>0.74394878975791845</c:v>
                </c:pt>
                <c:pt idx="3720">
                  <c:v>0.74414882976592001</c:v>
                </c:pt>
                <c:pt idx="3721">
                  <c:v>0.74434886977392156</c:v>
                </c:pt>
                <c:pt idx="3722">
                  <c:v>0.74454890978192312</c:v>
                </c:pt>
                <c:pt idx="3723">
                  <c:v>0.74474894978992467</c:v>
                </c:pt>
                <c:pt idx="3724">
                  <c:v>0.74494898979792623</c:v>
                </c:pt>
                <c:pt idx="3725">
                  <c:v>0.74514902980592779</c:v>
                </c:pt>
                <c:pt idx="3726">
                  <c:v>0.74534906981392934</c:v>
                </c:pt>
                <c:pt idx="3727">
                  <c:v>0.7455491098219309</c:v>
                </c:pt>
                <c:pt idx="3728">
                  <c:v>0.74574914982993246</c:v>
                </c:pt>
                <c:pt idx="3729">
                  <c:v>0.74594918983793401</c:v>
                </c:pt>
                <c:pt idx="3730">
                  <c:v>0.74614922984593557</c:v>
                </c:pt>
                <c:pt idx="3731">
                  <c:v>0.74634926985393713</c:v>
                </c:pt>
                <c:pt idx="3732">
                  <c:v>0.74654930986193868</c:v>
                </c:pt>
                <c:pt idx="3733">
                  <c:v>0.74674934986994024</c:v>
                </c:pt>
                <c:pt idx="3734">
                  <c:v>0.74694938987794179</c:v>
                </c:pt>
                <c:pt idx="3735">
                  <c:v>0.74714942988594335</c:v>
                </c:pt>
                <c:pt idx="3736">
                  <c:v>0.74734946989394491</c:v>
                </c:pt>
                <c:pt idx="3737">
                  <c:v>0.74754950990194646</c:v>
                </c:pt>
                <c:pt idx="3738">
                  <c:v>0.74774954990994802</c:v>
                </c:pt>
                <c:pt idx="3739">
                  <c:v>0.74794958991794958</c:v>
                </c:pt>
                <c:pt idx="3740">
                  <c:v>0.74814962992595113</c:v>
                </c:pt>
                <c:pt idx="3741">
                  <c:v>0.74834966993395269</c:v>
                </c:pt>
                <c:pt idx="3742">
                  <c:v>0.74854970994195424</c:v>
                </c:pt>
                <c:pt idx="3743">
                  <c:v>0.7487497499499558</c:v>
                </c:pt>
                <c:pt idx="3744">
                  <c:v>0.74894978995795736</c:v>
                </c:pt>
                <c:pt idx="3745">
                  <c:v>0.74914982996595891</c:v>
                </c:pt>
                <c:pt idx="3746">
                  <c:v>0.74934986997396047</c:v>
                </c:pt>
                <c:pt idx="3747">
                  <c:v>0.74954990998196203</c:v>
                </c:pt>
                <c:pt idx="3748">
                  <c:v>0.74974994998996358</c:v>
                </c:pt>
                <c:pt idx="3749">
                  <c:v>0.74994998999796514</c:v>
                </c:pt>
                <c:pt idx="3750">
                  <c:v>0.75015003000596669</c:v>
                </c:pt>
                <c:pt idx="3751">
                  <c:v>0.75035007001396825</c:v>
                </c:pt>
                <c:pt idx="3752">
                  <c:v>0.75055011002196981</c:v>
                </c:pt>
                <c:pt idx="3753">
                  <c:v>0.75075015002997136</c:v>
                </c:pt>
                <c:pt idx="3754">
                  <c:v>0.75095019003797292</c:v>
                </c:pt>
                <c:pt idx="3755">
                  <c:v>0.75115023004597448</c:v>
                </c:pt>
                <c:pt idx="3756">
                  <c:v>0.75135027005397603</c:v>
                </c:pt>
                <c:pt idx="3757">
                  <c:v>0.75155031006197759</c:v>
                </c:pt>
                <c:pt idx="3758">
                  <c:v>0.75175035006997915</c:v>
                </c:pt>
                <c:pt idx="3759">
                  <c:v>0.7519503900779807</c:v>
                </c:pt>
                <c:pt idx="3760">
                  <c:v>0.75215043008598226</c:v>
                </c:pt>
                <c:pt idx="3761">
                  <c:v>0.75235047009398381</c:v>
                </c:pt>
                <c:pt idx="3762">
                  <c:v>0.75255051010198537</c:v>
                </c:pt>
                <c:pt idx="3763">
                  <c:v>0.75275055010998693</c:v>
                </c:pt>
                <c:pt idx="3764">
                  <c:v>0.75295059011798848</c:v>
                </c:pt>
                <c:pt idx="3765">
                  <c:v>0.75315063012599004</c:v>
                </c:pt>
                <c:pt idx="3766">
                  <c:v>0.7533506701339916</c:v>
                </c:pt>
                <c:pt idx="3767">
                  <c:v>0.75355071014199315</c:v>
                </c:pt>
                <c:pt idx="3768">
                  <c:v>0.75375075014999471</c:v>
                </c:pt>
                <c:pt idx="3769">
                  <c:v>0.75395079015799626</c:v>
                </c:pt>
                <c:pt idx="3770">
                  <c:v>0.75415083016599782</c:v>
                </c:pt>
                <c:pt idx="3771">
                  <c:v>0.75435087017399938</c:v>
                </c:pt>
                <c:pt idx="3772">
                  <c:v>0.75455091018200093</c:v>
                </c:pt>
                <c:pt idx="3773">
                  <c:v>0.75475095019000249</c:v>
                </c:pt>
                <c:pt idx="3774">
                  <c:v>0.75495099019800405</c:v>
                </c:pt>
                <c:pt idx="3775">
                  <c:v>0.7551510302060056</c:v>
                </c:pt>
                <c:pt idx="3776">
                  <c:v>0.75535107021400716</c:v>
                </c:pt>
                <c:pt idx="3777">
                  <c:v>0.75555111022200871</c:v>
                </c:pt>
                <c:pt idx="3778">
                  <c:v>0.75575115023001027</c:v>
                </c:pt>
                <c:pt idx="3779">
                  <c:v>0.75595119023801183</c:v>
                </c:pt>
                <c:pt idx="3780">
                  <c:v>0.75615123024601338</c:v>
                </c:pt>
                <c:pt idx="3781">
                  <c:v>0.75635127025401494</c:v>
                </c:pt>
                <c:pt idx="3782">
                  <c:v>0.7565513102620165</c:v>
                </c:pt>
                <c:pt idx="3783">
                  <c:v>0.75675135027001805</c:v>
                </c:pt>
                <c:pt idx="3784">
                  <c:v>0.75695139027801961</c:v>
                </c:pt>
                <c:pt idx="3785">
                  <c:v>0.75715143028602117</c:v>
                </c:pt>
                <c:pt idx="3786">
                  <c:v>0.75735147029402272</c:v>
                </c:pt>
                <c:pt idx="3787">
                  <c:v>0.75755151030202428</c:v>
                </c:pt>
                <c:pt idx="3788">
                  <c:v>0.75775155031002583</c:v>
                </c:pt>
                <c:pt idx="3789">
                  <c:v>0.75795159031802739</c:v>
                </c:pt>
                <c:pt idx="3790">
                  <c:v>0.75815163032602895</c:v>
                </c:pt>
                <c:pt idx="3791">
                  <c:v>0.7583516703340305</c:v>
                </c:pt>
                <c:pt idx="3792">
                  <c:v>0.75855171034203206</c:v>
                </c:pt>
                <c:pt idx="3793">
                  <c:v>0.75875175035003362</c:v>
                </c:pt>
                <c:pt idx="3794">
                  <c:v>0.75895179035803517</c:v>
                </c:pt>
                <c:pt idx="3795">
                  <c:v>0.75915183036603673</c:v>
                </c:pt>
                <c:pt idx="3796">
                  <c:v>0.75935187037403828</c:v>
                </c:pt>
                <c:pt idx="3797">
                  <c:v>0.75955191038203984</c:v>
                </c:pt>
                <c:pt idx="3798">
                  <c:v>0.7597519503900414</c:v>
                </c:pt>
                <c:pt idx="3799">
                  <c:v>0.75995199039804295</c:v>
                </c:pt>
                <c:pt idx="3800">
                  <c:v>0.76015203040604451</c:v>
                </c:pt>
                <c:pt idx="3801">
                  <c:v>0.76035207041404607</c:v>
                </c:pt>
                <c:pt idx="3802">
                  <c:v>0.76055211042204762</c:v>
                </c:pt>
                <c:pt idx="3803">
                  <c:v>0.76075215043004918</c:v>
                </c:pt>
                <c:pt idx="3804">
                  <c:v>0.76095219043805074</c:v>
                </c:pt>
                <c:pt idx="3805">
                  <c:v>0.76115223044605229</c:v>
                </c:pt>
                <c:pt idx="3806">
                  <c:v>0.76135227045405385</c:v>
                </c:pt>
                <c:pt idx="3807">
                  <c:v>0.7615523104620554</c:v>
                </c:pt>
                <c:pt idx="3808">
                  <c:v>0.76175235047005696</c:v>
                </c:pt>
                <c:pt idx="3809">
                  <c:v>0.76195239047805852</c:v>
                </c:pt>
                <c:pt idx="3810">
                  <c:v>0.76215243048606007</c:v>
                </c:pt>
                <c:pt idx="3811">
                  <c:v>0.76235247049406163</c:v>
                </c:pt>
                <c:pt idx="3812">
                  <c:v>0.76255251050206319</c:v>
                </c:pt>
                <c:pt idx="3813">
                  <c:v>0.76275255051006474</c:v>
                </c:pt>
                <c:pt idx="3814">
                  <c:v>0.7629525905180663</c:v>
                </c:pt>
                <c:pt idx="3815">
                  <c:v>0.76315263052606785</c:v>
                </c:pt>
                <c:pt idx="3816">
                  <c:v>0.76335267053406941</c:v>
                </c:pt>
                <c:pt idx="3817">
                  <c:v>0.76355271054207097</c:v>
                </c:pt>
                <c:pt idx="3818">
                  <c:v>0.76375275055007252</c:v>
                </c:pt>
                <c:pt idx="3819">
                  <c:v>0.76395279055807408</c:v>
                </c:pt>
                <c:pt idx="3820">
                  <c:v>0.76415283056607564</c:v>
                </c:pt>
                <c:pt idx="3821">
                  <c:v>0.76435287057407719</c:v>
                </c:pt>
                <c:pt idx="3822">
                  <c:v>0.76455291058207875</c:v>
                </c:pt>
                <c:pt idx="3823">
                  <c:v>0.7647529505900803</c:v>
                </c:pt>
                <c:pt idx="3824">
                  <c:v>0.76495299059808186</c:v>
                </c:pt>
                <c:pt idx="3825">
                  <c:v>0.76515303060608342</c:v>
                </c:pt>
                <c:pt idx="3826">
                  <c:v>0.76535307061408497</c:v>
                </c:pt>
                <c:pt idx="3827">
                  <c:v>0.76555311062208653</c:v>
                </c:pt>
                <c:pt idx="3828">
                  <c:v>0.76575315063008809</c:v>
                </c:pt>
                <c:pt idx="3829">
                  <c:v>0.76595319063808964</c:v>
                </c:pt>
                <c:pt idx="3830">
                  <c:v>0.7661532306460912</c:v>
                </c:pt>
                <c:pt idx="3831">
                  <c:v>0.76635327065409276</c:v>
                </c:pt>
                <c:pt idx="3832">
                  <c:v>0.76655331066209431</c:v>
                </c:pt>
                <c:pt idx="3833">
                  <c:v>0.76675335067009587</c:v>
                </c:pt>
                <c:pt idx="3834">
                  <c:v>0.76695339067809742</c:v>
                </c:pt>
                <c:pt idx="3835">
                  <c:v>0.76715343068609898</c:v>
                </c:pt>
                <c:pt idx="3836">
                  <c:v>0.76735347069410054</c:v>
                </c:pt>
                <c:pt idx="3837">
                  <c:v>0.76755351070210209</c:v>
                </c:pt>
                <c:pt idx="3838">
                  <c:v>0.76775355071010365</c:v>
                </c:pt>
                <c:pt idx="3839">
                  <c:v>0.76795359071810521</c:v>
                </c:pt>
                <c:pt idx="3840">
                  <c:v>0.76815363072610676</c:v>
                </c:pt>
                <c:pt idx="3841">
                  <c:v>0.76835367073410832</c:v>
                </c:pt>
                <c:pt idx="3842">
                  <c:v>0.76855371074210987</c:v>
                </c:pt>
                <c:pt idx="3843">
                  <c:v>0.76875375075011143</c:v>
                </c:pt>
                <c:pt idx="3844">
                  <c:v>0.76895379075811299</c:v>
                </c:pt>
                <c:pt idx="3845">
                  <c:v>0.76915383076611454</c:v>
                </c:pt>
                <c:pt idx="3846">
                  <c:v>0.7693538707741161</c:v>
                </c:pt>
                <c:pt idx="3847">
                  <c:v>0.76955391078211766</c:v>
                </c:pt>
                <c:pt idx="3848">
                  <c:v>0.76975395079011921</c:v>
                </c:pt>
                <c:pt idx="3849">
                  <c:v>0.76995399079812077</c:v>
                </c:pt>
                <c:pt idx="3850">
                  <c:v>0.77015403080612233</c:v>
                </c:pt>
                <c:pt idx="3851">
                  <c:v>0.77035407081412388</c:v>
                </c:pt>
                <c:pt idx="3852">
                  <c:v>0.77055411082212544</c:v>
                </c:pt>
                <c:pt idx="3853">
                  <c:v>0.77075415083012699</c:v>
                </c:pt>
                <c:pt idx="3854">
                  <c:v>0.77095419083812855</c:v>
                </c:pt>
                <c:pt idx="3855">
                  <c:v>0.77115423084613011</c:v>
                </c:pt>
                <c:pt idx="3856">
                  <c:v>0.77135427085413166</c:v>
                </c:pt>
                <c:pt idx="3857">
                  <c:v>0.77155431086213322</c:v>
                </c:pt>
                <c:pt idx="3858">
                  <c:v>0.77175435087013478</c:v>
                </c:pt>
                <c:pt idx="3859">
                  <c:v>0.77195439087813633</c:v>
                </c:pt>
                <c:pt idx="3860">
                  <c:v>0.77215443088613789</c:v>
                </c:pt>
                <c:pt idx="3861">
                  <c:v>0.77235447089413944</c:v>
                </c:pt>
                <c:pt idx="3862">
                  <c:v>0.772554510902141</c:v>
                </c:pt>
                <c:pt idx="3863">
                  <c:v>0.77275455091014256</c:v>
                </c:pt>
                <c:pt idx="3864">
                  <c:v>0.77295459091814411</c:v>
                </c:pt>
                <c:pt idx="3865">
                  <c:v>0.77315463092614567</c:v>
                </c:pt>
                <c:pt idx="3866">
                  <c:v>0.77335467093414723</c:v>
                </c:pt>
                <c:pt idx="3867">
                  <c:v>0.77355471094214878</c:v>
                </c:pt>
                <c:pt idx="3868">
                  <c:v>0.77375475095015034</c:v>
                </c:pt>
                <c:pt idx="3869">
                  <c:v>0.77395479095815189</c:v>
                </c:pt>
                <c:pt idx="3870">
                  <c:v>0.77415483096615345</c:v>
                </c:pt>
                <c:pt idx="3871">
                  <c:v>0.77435487097415501</c:v>
                </c:pt>
                <c:pt idx="3872">
                  <c:v>0.77455491098215656</c:v>
                </c:pt>
                <c:pt idx="3873">
                  <c:v>0.77475495099015812</c:v>
                </c:pt>
                <c:pt idx="3874">
                  <c:v>0.77495499099815968</c:v>
                </c:pt>
                <c:pt idx="3875">
                  <c:v>0.77515503100616123</c:v>
                </c:pt>
                <c:pt idx="3876">
                  <c:v>0.77535507101416279</c:v>
                </c:pt>
                <c:pt idx="3877">
                  <c:v>0.77555511102216435</c:v>
                </c:pt>
                <c:pt idx="3878">
                  <c:v>0.7757551510301659</c:v>
                </c:pt>
                <c:pt idx="3879">
                  <c:v>0.77595519103816746</c:v>
                </c:pt>
                <c:pt idx="3880">
                  <c:v>0.77615523104616901</c:v>
                </c:pt>
                <c:pt idx="3881">
                  <c:v>0.77635527105417057</c:v>
                </c:pt>
                <c:pt idx="3882">
                  <c:v>0.77655531106217213</c:v>
                </c:pt>
                <c:pt idx="3883">
                  <c:v>0.77675535107017368</c:v>
                </c:pt>
                <c:pt idx="3884">
                  <c:v>0.77695539107817524</c:v>
                </c:pt>
                <c:pt idx="3885">
                  <c:v>0.7771554310861768</c:v>
                </c:pt>
                <c:pt idx="3886">
                  <c:v>0.77735547109417835</c:v>
                </c:pt>
                <c:pt idx="3887">
                  <c:v>0.77755551110217991</c:v>
                </c:pt>
                <c:pt idx="3888">
                  <c:v>0.77775555111018146</c:v>
                </c:pt>
                <c:pt idx="3889">
                  <c:v>0.77795559111818302</c:v>
                </c:pt>
                <c:pt idx="3890">
                  <c:v>0.77815563112618458</c:v>
                </c:pt>
                <c:pt idx="3891">
                  <c:v>0.77835567113418613</c:v>
                </c:pt>
                <c:pt idx="3892">
                  <c:v>0.77855571114218769</c:v>
                </c:pt>
                <c:pt idx="3893">
                  <c:v>0.77875575115018925</c:v>
                </c:pt>
                <c:pt idx="3894">
                  <c:v>0.7789557911581908</c:v>
                </c:pt>
                <c:pt idx="3895">
                  <c:v>0.77915583116619236</c:v>
                </c:pt>
                <c:pt idx="3896">
                  <c:v>0.77935587117419391</c:v>
                </c:pt>
                <c:pt idx="3897">
                  <c:v>0.77955591118219547</c:v>
                </c:pt>
                <c:pt idx="3898">
                  <c:v>0.77975595119019703</c:v>
                </c:pt>
                <c:pt idx="3899">
                  <c:v>0.77995599119819858</c:v>
                </c:pt>
                <c:pt idx="3900">
                  <c:v>0.78015603120620014</c:v>
                </c:pt>
                <c:pt idx="3901">
                  <c:v>0.7803560712142017</c:v>
                </c:pt>
                <c:pt idx="3902">
                  <c:v>0.78055611122220325</c:v>
                </c:pt>
                <c:pt idx="3903">
                  <c:v>0.78075615123020481</c:v>
                </c:pt>
                <c:pt idx="3904">
                  <c:v>0.78095619123820637</c:v>
                </c:pt>
                <c:pt idx="3905">
                  <c:v>0.78115623124620792</c:v>
                </c:pt>
                <c:pt idx="3906">
                  <c:v>0.78135627125420948</c:v>
                </c:pt>
                <c:pt idx="3907">
                  <c:v>0.78155631126221103</c:v>
                </c:pt>
                <c:pt idx="3908">
                  <c:v>0.78175635127021259</c:v>
                </c:pt>
                <c:pt idx="3909">
                  <c:v>0.78195639127821415</c:v>
                </c:pt>
                <c:pt idx="3910">
                  <c:v>0.7821564312862157</c:v>
                </c:pt>
                <c:pt idx="3911">
                  <c:v>0.78235647129421726</c:v>
                </c:pt>
                <c:pt idx="3912">
                  <c:v>0.78255651130221882</c:v>
                </c:pt>
                <c:pt idx="3913">
                  <c:v>0.78275655131022037</c:v>
                </c:pt>
                <c:pt idx="3914">
                  <c:v>0.78295659131822193</c:v>
                </c:pt>
                <c:pt idx="3915">
                  <c:v>0.78315663132622348</c:v>
                </c:pt>
                <c:pt idx="3916">
                  <c:v>0.78335667133422504</c:v>
                </c:pt>
                <c:pt idx="3917">
                  <c:v>0.7835567113422266</c:v>
                </c:pt>
                <c:pt idx="3918">
                  <c:v>0.78375675135022815</c:v>
                </c:pt>
                <c:pt idx="3919">
                  <c:v>0.78395679135822971</c:v>
                </c:pt>
                <c:pt idx="3920">
                  <c:v>0.78415683136623127</c:v>
                </c:pt>
                <c:pt idx="3921">
                  <c:v>0.78435687137423282</c:v>
                </c:pt>
                <c:pt idx="3922">
                  <c:v>0.78455691138223438</c:v>
                </c:pt>
                <c:pt idx="3923">
                  <c:v>0.78475695139023594</c:v>
                </c:pt>
                <c:pt idx="3924">
                  <c:v>0.78495699139823749</c:v>
                </c:pt>
                <c:pt idx="3925">
                  <c:v>0.78515703140623905</c:v>
                </c:pt>
                <c:pt idx="3926">
                  <c:v>0.7853570714142406</c:v>
                </c:pt>
                <c:pt idx="3927">
                  <c:v>0.78555711142224216</c:v>
                </c:pt>
                <c:pt idx="3928">
                  <c:v>0.78575715143024372</c:v>
                </c:pt>
                <c:pt idx="3929">
                  <c:v>0.78595719143824527</c:v>
                </c:pt>
                <c:pt idx="3930">
                  <c:v>0.78615723144624683</c:v>
                </c:pt>
                <c:pt idx="3931">
                  <c:v>0.78635727145424839</c:v>
                </c:pt>
                <c:pt idx="3932">
                  <c:v>0.78655731146224994</c:v>
                </c:pt>
                <c:pt idx="3933">
                  <c:v>0.7867573514702515</c:v>
                </c:pt>
                <c:pt idx="3934">
                  <c:v>0.78695739147825305</c:v>
                </c:pt>
                <c:pt idx="3935">
                  <c:v>0.78715743148625461</c:v>
                </c:pt>
                <c:pt idx="3936">
                  <c:v>0.78735747149425617</c:v>
                </c:pt>
                <c:pt idx="3937">
                  <c:v>0.78755751150225772</c:v>
                </c:pt>
                <c:pt idx="3938">
                  <c:v>0.78775755151025928</c:v>
                </c:pt>
                <c:pt idx="3939">
                  <c:v>0.78795759151826084</c:v>
                </c:pt>
                <c:pt idx="3940">
                  <c:v>0.78815763152626239</c:v>
                </c:pt>
                <c:pt idx="3941">
                  <c:v>0.78835767153426395</c:v>
                </c:pt>
                <c:pt idx="3942">
                  <c:v>0.7885577115422655</c:v>
                </c:pt>
                <c:pt idx="3943">
                  <c:v>0.78875775155026706</c:v>
                </c:pt>
                <c:pt idx="3944">
                  <c:v>0.78895779155826862</c:v>
                </c:pt>
                <c:pt idx="3945">
                  <c:v>0.78915783156627017</c:v>
                </c:pt>
                <c:pt idx="3946">
                  <c:v>0.78935787157427173</c:v>
                </c:pt>
                <c:pt idx="3947">
                  <c:v>0.78955791158227329</c:v>
                </c:pt>
                <c:pt idx="3948">
                  <c:v>0.78975795159027484</c:v>
                </c:pt>
                <c:pt idx="3949">
                  <c:v>0.7899579915982764</c:v>
                </c:pt>
                <c:pt idx="3950">
                  <c:v>0.79015803160627796</c:v>
                </c:pt>
                <c:pt idx="3951">
                  <c:v>0.79035807161427951</c:v>
                </c:pt>
                <c:pt idx="3952">
                  <c:v>0.79055811162228107</c:v>
                </c:pt>
                <c:pt idx="3953">
                  <c:v>0.79075815163028262</c:v>
                </c:pt>
                <c:pt idx="3954">
                  <c:v>0.79095819163828418</c:v>
                </c:pt>
                <c:pt idx="3955">
                  <c:v>0.79115823164628574</c:v>
                </c:pt>
                <c:pt idx="3956">
                  <c:v>0.79135827165428729</c:v>
                </c:pt>
                <c:pt idx="3957">
                  <c:v>0.79155831166228885</c:v>
                </c:pt>
                <c:pt idx="3958">
                  <c:v>0.79175835167029041</c:v>
                </c:pt>
                <c:pt idx="3959">
                  <c:v>0.79195839167829196</c:v>
                </c:pt>
                <c:pt idx="3960">
                  <c:v>0.79215843168629352</c:v>
                </c:pt>
                <c:pt idx="3961">
                  <c:v>0.79235847169429507</c:v>
                </c:pt>
                <c:pt idx="3962">
                  <c:v>0.79255851170229663</c:v>
                </c:pt>
                <c:pt idx="3963">
                  <c:v>0.79275855171029819</c:v>
                </c:pt>
                <c:pt idx="3964">
                  <c:v>0.79295859171829974</c:v>
                </c:pt>
                <c:pt idx="3965">
                  <c:v>0.7931586317263013</c:v>
                </c:pt>
                <c:pt idx="3966">
                  <c:v>0.79335867173430286</c:v>
                </c:pt>
                <c:pt idx="3967">
                  <c:v>0.79355871174230441</c:v>
                </c:pt>
                <c:pt idx="3968">
                  <c:v>0.79375875175030597</c:v>
                </c:pt>
                <c:pt idx="3969">
                  <c:v>0.79395879175830752</c:v>
                </c:pt>
                <c:pt idx="3970">
                  <c:v>0.79415883176630908</c:v>
                </c:pt>
                <c:pt idx="3971">
                  <c:v>0.79435887177431064</c:v>
                </c:pt>
                <c:pt idx="3972">
                  <c:v>0.79455891178231219</c:v>
                </c:pt>
                <c:pt idx="3973">
                  <c:v>0.79475895179031375</c:v>
                </c:pt>
                <c:pt idx="3974">
                  <c:v>0.79495899179831531</c:v>
                </c:pt>
                <c:pt idx="3975">
                  <c:v>0.79515903180631686</c:v>
                </c:pt>
                <c:pt idx="3976">
                  <c:v>0.79535907181431842</c:v>
                </c:pt>
                <c:pt idx="3977">
                  <c:v>0.79555911182231998</c:v>
                </c:pt>
                <c:pt idx="3978">
                  <c:v>0.79575915183032153</c:v>
                </c:pt>
                <c:pt idx="3979">
                  <c:v>0.79595919183832309</c:v>
                </c:pt>
                <c:pt idx="3980">
                  <c:v>0.79615923184632464</c:v>
                </c:pt>
                <c:pt idx="3981">
                  <c:v>0.7963592718543262</c:v>
                </c:pt>
                <c:pt idx="3982">
                  <c:v>0.79655931186232776</c:v>
                </c:pt>
                <c:pt idx="3983">
                  <c:v>0.79675935187032931</c:v>
                </c:pt>
                <c:pt idx="3984">
                  <c:v>0.79695939187833087</c:v>
                </c:pt>
                <c:pt idx="3985">
                  <c:v>0.79715943188633243</c:v>
                </c:pt>
                <c:pt idx="3986">
                  <c:v>0.79735947189433398</c:v>
                </c:pt>
                <c:pt idx="3987">
                  <c:v>0.79755951190233554</c:v>
                </c:pt>
                <c:pt idx="3988">
                  <c:v>0.79775955191033709</c:v>
                </c:pt>
                <c:pt idx="3989">
                  <c:v>0.79795959191833865</c:v>
                </c:pt>
                <c:pt idx="3990">
                  <c:v>0.79815963192634021</c:v>
                </c:pt>
                <c:pt idx="3991">
                  <c:v>0.79835967193434176</c:v>
                </c:pt>
                <c:pt idx="3992">
                  <c:v>0.79855971194234332</c:v>
                </c:pt>
                <c:pt idx="3993">
                  <c:v>0.79875975195034488</c:v>
                </c:pt>
                <c:pt idx="3994">
                  <c:v>0.79895979195834643</c:v>
                </c:pt>
                <c:pt idx="3995">
                  <c:v>0.79915983196634799</c:v>
                </c:pt>
                <c:pt idx="3996">
                  <c:v>0.79935987197434955</c:v>
                </c:pt>
                <c:pt idx="3997">
                  <c:v>0.7995599119823511</c:v>
                </c:pt>
                <c:pt idx="3998">
                  <c:v>0.79975995199035266</c:v>
                </c:pt>
                <c:pt idx="3999">
                  <c:v>0.79995999199835421</c:v>
                </c:pt>
                <c:pt idx="4000">
                  <c:v>0.80016003200635577</c:v>
                </c:pt>
                <c:pt idx="4001">
                  <c:v>0.80036007201435733</c:v>
                </c:pt>
                <c:pt idx="4002">
                  <c:v>0.80056011202235888</c:v>
                </c:pt>
                <c:pt idx="4003">
                  <c:v>0.80076015203036044</c:v>
                </c:pt>
                <c:pt idx="4004">
                  <c:v>0.800960192038362</c:v>
                </c:pt>
                <c:pt idx="4005">
                  <c:v>0.80116023204636355</c:v>
                </c:pt>
                <c:pt idx="4006">
                  <c:v>0.80136027205436511</c:v>
                </c:pt>
                <c:pt idx="4007">
                  <c:v>0.80156031206236666</c:v>
                </c:pt>
                <c:pt idx="4008">
                  <c:v>0.80176035207036822</c:v>
                </c:pt>
                <c:pt idx="4009">
                  <c:v>0.80196039207836978</c:v>
                </c:pt>
                <c:pt idx="4010">
                  <c:v>0.80216043208637133</c:v>
                </c:pt>
                <c:pt idx="4011">
                  <c:v>0.80236047209437289</c:v>
                </c:pt>
                <c:pt idx="4012">
                  <c:v>0.80256051210237445</c:v>
                </c:pt>
                <c:pt idx="4013">
                  <c:v>0.802760552110376</c:v>
                </c:pt>
                <c:pt idx="4014">
                  <c:v>0.80296059211837756</c:v>
                </c:pt>
                <c:pt idx="4015">
                  <c:v>0.80316063212637911</c:v>
                </c:pt>
                <c:pt idx="4016">
                  <c:v>0.80336067213438067</c:v>
                </c:pt>
                <c:pt idx="4017">
                  <c:v>0.80356071214238223</c:v>
                </c:pt>
                <c:pt idx="4018">
                  <c:v>0.80376075215038378</c:v>
                </c:pt>
                <c:pt idx="4019">
                  <c:v>0.80396079215838534</c:v>
                </c:pt>
                <c:pt idx="4020">
                  <c:v>0.8041608321663869</c:v>
                </c:pt>
                <c:pt idx="4021">
                  <c:v>0.80436087217438845</c:v>
                </c:pt>
                <c:pt idx="4022">
                  <c:v>0.80456091218239001</c:v>
                </c:pt>
                <c:pt idx="4023">
                  <c:v>0.80476095219039157</c:v>
                </c:pt>
                <c:pt idx="4024">
                  <c:v>0.80496099219839312</c:v>
                </c:pt>
                <c:pt idx="4025">
                  <c:v>0.80516103220639468</c:v>
                </c:pt>
                <c:pt idx="4026">
                  <c:v>0.80536107221439623</c:v>
                </c:pt>
                <c:pt idx="4027">
                  <c:v>0.80556111222239779</c:v>
                </c:pt>
                <c:pt idx="4028">
                  <c:v>0.80576115223039935</c:v>
                </c:pt>
                <c:pt idx="4029">
                  <c:v>0.8059611922384009</c:v>
                </c:pt>
                <c:pt idx="4030">
                  <c:v>0.80616123224640246</c:v>
                </c:pt>
                <c:pt idx="4031">
                  <c:v>0.80636127225440402</c:v>
                </c:pt>
                <c:pt idx="4032">
                  <c:v>0.80656131226240557</c:v>
                </c:pt>
                <c:pt idx="4033">
                  <c:v>0.80676135227040713</c:v>
                </c:pt>
                <c:pt idx="4034">
                  <c:v>0.80696139227840868</c:v>
                </c:pt>
                <c:pt idx="4035">
                  <c:v>0.80716143228641024</c:v>
                </c:pt>
                <c:pt idx="4036">
                  <c:v>0.8073614722944118</c:v>
                </c:pt>
                <c:pt idx="4037">
                  <c:v>0.80756151230241335</c:v>
                </c:pt>
                <c:pt idx="4038">
                  <c:v>0.80776155231041491</c:v>
                </c:pt>
                <c:pt idx="4039">
                  <c:v>0.80796159231841647</c:v>
                </c:pt>
                <c:pt idx="4040">
                  <c:v>0.80816163232641802</c:v>
                </c:pt>
                <c:pt idx="4041">
                  <c:v>0.80836167233441958</c:v>
                </c:pt>
                <c:pt idx="4042">
                  <c:v>0.80856171234242113</c:v>
                </c:pt>
                <c:pt idx="4043">
                  <c:v>0.80876175235042269</c:v>
                </c:pt>
                <c:pt idx="4044">
                  <c:v>0.80896179235842425</c:v>
                </c:pt>
                <c:pt idx="4045">
                  <c:v>0.8091618323664258</c:v>
                </c:pt>
                <c:pt idx="4046">
                  <c:v>0.80936187237442736</c:v>
                </c:pt>
                <c:pt idx="4047">
                  <c:v>0.80956191238242892</c:v>
                </c:pt>
                <c:pt idx="4048">
                  <c:v>0.80976195239043047</c:v>
                </c:pt>
                <c:pt idx="4049">
                  <c:v>0.80996199239843203</c:v>
                </c:pt>
                <c:pt idx="4050">
                  <c:v>0.81016203240643359</c:v>
                </c:pt>
                <c:pt idx="4051">
                  <c:v>0.81036207241443514</c:v>
                </c:pt>
                <c:pt idx="4052">
                  <c:v>0.8105621124224367</c:v>
                </c:pt>
                <c:pt idx="4053">
                  <c:v>0.81076215243043825</c:v>
                </c:pt>
                <c:pt idx="4054">
                  <c:v>0.81096219243843981</c:v>
                </c:pt>
                <c:pt idx="4055">
                  <c:v>0.81116223244644137</c:v>
                </c:pt>
                <c:pt idx="4056">
                  <c:v>0.81136227245444292</c:v>
                </c:pt>
                <c:pt idx="4057">
                  <c:v>0.81156231246244448</c:v>
                </c:pt>
                <c:pt idx="4058">
                  <c:v>0.81176235247044604</c:v>
                </c:pt>
                <c:pt idx="4059">
                  <c:v>0.81196239247844759</c:v>
                </c:pt>
                <c:pt idx="4060">
                  <c:v>0.81216243248644915</c:v>
                </c:pt>
                <c:pt idx="4061">
                  <c:v>0.8123624724944507</c:v>
                </c:pt>
                <c:pt idx="4062">
                  <c:v>0.81256251250245226</c:v>
                </c:pt>
                <c:pt idx="4063">
                  <c:v>0.81276255251045382</c:v>
                </c:pt>
                <c:pt idx="4064">
                  <c:v>0.81296259251845537</c:v>
                </c:pt>
                <c:pt idx="4065">
                  <c:v>0.81316263252645693</c:v>
                </c:pt>
                <c:pt idx="4066">
                  <c:v>0.81336267253445849</c:v>
                </c:pt>
                <c:pt idx="4067">
                  <c:v>0.81356271254246004</c:v>
                </c:pt>
                <c:pt idx="4068">
                  <c:v>0.8137627525504616</c:v>
                </c:pt>
                <c:pt idx="4069">
                  <c:v>0.81396279255846316</c:v>
                </c:pt>
                <c:pt idx="4070">
                  <c:v>0.81416283256646471</c:v>
                </c:pt>
                <c:pt idx="4071">
                  <c:v>0.81436287257446627</c:v>
                </c:pt>
                <c:pt idx="4072">
                  <c:v>0.81456291258246782</c:v>
                </c:pt>
                <c:pt idx="4073">
                  <c:v>0.81476295259046938</c:v>
                </c:pt>
                <c:pt idx="4074">
                  <c:v>0.81496299259847094</c:v>
                </c:pt>
                <c:pt idx="4075">
                  <c:v>0.81516303260647249</c:v>
                </c:pt>
                <c:pt idx="4076">
                  <c:v>0.81536307261447405</c:v>
                </c:pt>
                <c:pt idx="4077">
                  <c:v>0.81556311262247561</c:v>
                </c:pt>
                <c:pt idx="4078">
                  <c:v>0.81576315263047716</c:v>
                </c:pt>
                <c:pt idx="4079">
                  <c:v>0.81596319263847872</c:v>
                </c:pt>
                <c:pt idx="4080">
                  <c:v>0.81616323264648027</c:v>
                </c:pt>
                <c:pt idx="4081">
                  <c:v>0.81636327265448183</c:v>
                </c:pt>
                <c:pt idx="4082">
                  <c:v>0.81656331266248339</c:v>
                </c:pt>
                <c:pt idx="4083">
                  <c:v>0.81676335267048494</c:v>
                </c:pt>
                <c:pt idx="4084">
                  <c:v>0.8169633926784865</c:v>
                </c:pt>
                <c:pt idx="4085">
                  <c:v>0.81716343268648806</c:v>
                </c:pt>
                <c:pt idx="4086">
                  <c:v>0.81736347269448961</c:v>
                </c:pt>
                <c:pt idx="4087">
                  <c:v>0.81756351270249117</c:v>
                </c:pt>
                <c:pt idx="4088">
                  <c:v>0.81776355271049272</c:v>
                </c:pt>
                <c:pt idx="4089">
                  <c:v>0.81796359271849428</c:v>
                </c:pt>
                <c:pt idx="4090">
                  <c:v>0.81816363272649584</c:v>
                </c:pt>
                <c:pt idx="4091">
                  <c:v>0.81836367273449739</c:v>
                </c:pt>
                <c:pt idx="4092">
                  <c:v>0.81856371274249895</c:v>
                </c:pt>
                <c:pt idx="4093">
                  <c:v>0.81876375275050051</c:v>
                </c:pt>
                <c:pt idx="4094">
                  <c:v>0.81896379275850206</c:v>
                </c:pt>
                <c:pt idx="4095">
                  <c:v>0.81916383276650362</c:v>
                </c:pt>
                <c:pt idx="4096">
                  <c:v>0.81936387277450518</c:v>
                </c:pt>
                <c:pt idx="4097">
                  <c:v>0.81956391278250673</c:v>
                </c:pt>
                <c:pt idx="4098">
                  <c:v>0.81976395279050829</c:v>
                </c:pt>
                <c:pt idx="4099">
                  <c:v>0.81996399279850984</c:v>
                </c:pt>
                <c:pt idx="4100">
                  <c:v>0.8201640328065114</c:v>
                </c:pt>
                <c:pt idx="4101">
                  <c:v>0.82036407281451296</c:v>
                </c:pt>
                <c:pt idx="4102">
                  <c:v>0.82056411282251451</c:v>
                </c:pt>
                <c:pt idx="4103">
                  <c:v>0.82076415283051607</c:v>
                </c:pt>
                <c:pt idx="4104">
                  <c:v>0.82096419283851763</c:v>
                </c:pt>
                <c:pt idx="4105">
                  <c:v>0.82116423284651918</c:v>
                </c:pt>
                <c:pt idx="4106">
                  <c:v>0.82136427285452074</c:v>
                </c:pt>
                <c:pt idx="4107">
                  <c:v>0.82156431286252229</c:v>
                </c:pt>
                <c:pt idx="4108">
                  <c:v>0.82176435287052385</c:v>
                </c:pt>
                <c:pt idx="4109">
                  <c:v>0.82196439287852541</c:v>
                </c:pt>
                <c:pt idx="4110">
                  <c:v>0.82216443288652696</c:v>
                </c:pt>
                <c:pt idx="4111">
                  <c:v>0.82236447289452852</c:v>
                </c:pt>
                <c:pt idx="4112">
                  <c:v>0.82256451290253008</c:v>
                </c:pt>
                <c:pt idx="4113">
                  <c:v>0.82276455291053163</c:v>
                </c:pt>
                <c:pt idx="4114">
                  <c:v>0.82296459291853319</c:v>
                </c:pt>
                <c:pt idx="4115">
                  <c:v>0.82316463292653475</c:v>
                </c:pt>
                <c:pt idx="4116">
                  <c:v>0.8233646729345363</c:v>
                </c:pt>
                <c:pt idx="4117">
                  <c:v>0.82356471294253786</c:v>
                </c:pt>
                <c:pt idx="4118">
                  <c:v>0.82376475295053941</c:v>
                </c:pt>
                <c:pt idx="4119">
                  <c:v>0.82396479295854097</c:v>
                </c:pt>
                <c:pt idx="4120">
                  <c:v>0.82416483296654253</c:v>
                </c:pt>
                <c:pt idx="4121">
                  <c:v>0.82436487297454408</c:v>
                </c:pt>
                <c:pt idx="4122">
                  <c:v>0.82456491298254564</c:v>
                </c:pt>
                <c:pt idx="4123">
                  <c:v>0.8247649529905472</c:v>
                </c:pt>
                <c:pt idx="4124">
                  <c:v>0.82496499299854875</c:v>
                </c:pt>
                <c:pt idx="4125">
                  <c:v>0.82516503300655031</c:v>
                </c:pt>
                <c:pt idx="4126">
                  <c:v>0.82536507301455186</c:v>
                </c:pt>
                <c:pt idx="4127">
                  <c:v>0.82556511302255342</c:v>
                </c:pt>
                <c:pt idx="4128">
                  <c:v>0.82576515303055498</c:v>
                </c:pt>
                <c:pt idx="4129">
                  <c:v>0.82596519303855653</c:v>
                </c:pt>
                <c:pt idx="4130">
                  <c:v>0.82616523304655809</c:v>
                </c:pt>
                <c:pt idx="4131">
                  <c:v>0.82636527305455965</c:v>
                </c:pt>
                <c:pt idx="4132">
                  <c:v>0.8265653130625612</c:v>
                </c:pt>
                <c:pt idx="4133">
                  <c:v>0.82676535307056276</c:v>
                </c:pt>
                <c:pt idx="4134">
                  <c:v>0.82696539307856431</c:v>
                </c:pt>
                <c:pt idx="4135">
                  <c:v>0.82716543308656587</c:v>
                </c:pt>
                <c:pt idx="4136">
                  <c:v>0.82736547309456743</c:v>
                </c:pt>
                <c:pt idx="4137">
                  <c:v>0.82756551310256898</c:v>
                </c:pt>
                <c:pt idx="4138">
                  <c:v>0.82776555311057054</c:v>
                </c:pt>
                <c:pt idx="4139">
                  <c:v>0.8279655931185721</c:v>
                </c:pt>
                <c:pt idx="4140">
                  <c:v>0.82816563312657365</c:v>
                </c:pt>
                <c:pt idx="4141">
                  <c:v>0.82836567313457521</c:v>
                </c:pt>
                <c:pt idx="4142">
                  <c:v>0.82856571314257677</c:v>
                </c:pt>
                <c:pt idx="4143">
                  <c:v>0.82876575315057832</c:v>
                </c:pt>
                <c:pt idx="4144">
                  <c:v>0.82896579315857988</c:v>
                </c:pt>
                <c:pt idx="4145">
                  <c:v>0.82916583316658143</c:v>
                </c:pt>
                <c:pt idx="4146">
                  <c:v>0.82936587317458299</c:v>
                </c:pt>
                <c:pt idx="4147">
                  <c:v>0.82956591318258455</c:v>
                </c:pt>
                <c:pt idx="4148">
                  <c:v>0.8297659531905861</c:v>
                </c:pt>
                <c:pt idx="4149">
                  <c:v>0.82996599319858766</c:v>
                </c:pt>
                <c:pt idx="4150">
                  <c:v>0.83016603320658922</c:v>
                </c:pt>
                <c:pt idx="4151">
                  <c:v>0.83036607321459077</c:v>
                </c:pt>
                <c:pt idx="4152">
                  <c:v>0.83056611322259233</c:v>
                </c:pt>
                <c:pt idx="4153">
                  <c:v>0.83076615323059388</c:v>
                </c:pt>
                <c:pt idx="4154">
                  <c:v>0.83096619323859544</c:v>
                </c:pt>
                <c:pt idx="4155">
                  <c:v>0.831166233246597</c:v>
                </c:pt>
                <c:pt idx="4156">
                  <c:v>0.83136627325459855</c:v>
                </c:pt>
                <c:pt idx="4157">
                  <c:v>0.83156631326260011</c:v>
                </c:pt>
                <c:pt idx="4158">
                  <c:v>0.83176635327060167</c:v>
                </c:pt>
                <c:pt idx="4159">
                  <c:v>0.83196639327860322</c:v>
                </c:pt>
                <c:pt idx="4160">
                  <c:v>0.83216643328660478</c:v>
                </c:pt>
                <c:pt idx="4161">
                  <c:v>0.83236647329460633</c:v>
                </c:pt>
                <c:pt idx="4162">
                  <c:v>0.83256651330260789</c:v>
                </c:pt>
                <c:pt idx="4163">
                  <c:v>0.83276655331060945</c:v>
                </c:pt>
                <c:pt idx="4164">
                  <c:v>0.832966593318611</c:v>
                </c:pt>
                <c:pt idx="4165">
                  <c:v>0.83316663332661256</c:v>
                </c:pt>
                <c:pt idx="4166">
                  <c:v>0.83336667333461412</c:v>
                </c:pt>
                <c:pt idx="4167">
                  <c:v>0.83356671334261567</c:v>
                </c:pt>
                <c:pt idx="4168">
                  <c:v>0.83376675335061723</c:v>
                </c:pt>
                <c:pt idx="4169">
                  <c:v>0.83396679335861879</c:v>
                </c:pt>
                <c:pt idx="4170">
                  <c:v>0.83416683336662034</c:v>
                </c:pt>
                <c:pt idx="4171">
                  <c:v>0.8343668733746219</c:v>
                </c:pt>
                <c:pt idx="4172">
                  <c:v>0.83456691338262345</c:v>
                </c:pt>
                <c:pt idx="4173">
                  <c:v>0.83476695339062501</c:v>
                </c:pt>
                <c:pt idx="4174">
                  <c:v>0.83496699339862657</c:v>
                </c:pt>
                <c:pt idx="4175">
                  <c:v>0.83516703340662812</c:v>
                </c:pt>
                <c:pt idx="4176">
                  <c:v>0.83536707341462968</c:v>
                </c:pt>
                <c:pt idx="4177">
                  <c:v>0.83556711342263124</c:v>
                </c:pt>
                <c:pt idx="4178">
                  <c:v>0.83576715343063279</c:v>
                </c:pt>
                <c:pt idx="4179">
                  <c:v>0.83596719343863435</c:v>
                </c:pt>
                <c:pt idx="4180">
                  <c:v>0.8361672334466359</c:v>
                </c:pt>
                <c:pt idx="4181">
                  <c:v>0.83636727345463746</c:v>
                </c:pt>
                <c:pt idx="4182">
                  <c:v>0.83656731346263902</c:v>
                </c:pt>
                <c:pt idx="4183">
                  <c:v>0.83676735347064057</c:v>
                </c:pt>
                <c:pt idx="4184">
                  <c:v>0.83696739347864213</c:v>
                </c:pt>
                <c:pt idx="4185">
                  <c:v>0.83716743348664369</c:v>
                </c:pt>
                <c:pt idx="4186">
                  <c:v>0.83736747349464524</c:v>
                </c:pt>
                <c:pt idx="4187">
                  <c:v>0.8375675135026468</c:v>
                </c:pt>
                <c:pt idx="4188">
                  <c:v>0.83776755351064836</c:v>
                </c:pt>
                <c:pt idx="4189">
                  <c:v>0.83796759351864991</c:v>
                </c:pt>
                <c:pt idx="4190">
                  <c:v>0.83816763352665147</c:v>
                </c:pt>
                <c:pt idx="4191">
                  <c:v>0.83836767353465302</c:v>
                </c:pt>
                <c:pt idx="4192">
                  <c:v>0.83856771354265458</c:v>
                </c:pt>
                <c:pt idx="4193">
                  <c:v>0.83876775355065614</c:v>
                </c:pt>
                <c:pt idx="4194">
                  <c:v>0.83896779355865769</c:v>
                </c:pt>
                <c:pt idx="4195">
                  <c:v>0.83916783356665925</c:v>
                </c:pt>
                <c:pt idx="4196">
                  <c:v>0.83936787357466081</c:v>
                </c:pt>
                <c:pt idx="4197">
                  <c:v>0.83956791358266236</c:v>
                </c:pt>
                <c:pt idx="4198">
                  <c:v>0.83976795359066392</c:v>
                </c:pt>
                <c:pt idx="4199">
                  <c:v>0.83996799359866547</c:v>
                </c:pt>
                <c:pt idx="4200">
                  <c:v>0.84016803360666703</c:v>
                </c:pt>
                <c:pt idx="4201">
                  <c:v>0.84036807361466859</c:v>
                </c:pt>
                <c:pt idx="4202">
                  <c:v>0.84056811362267014</c:v>
                </c:pt>
                <c:pt idx="4203">
                  <c:v>0.8407681536306717</c:v>
                </c:pt>
                <c:pt idx="4204">
                  <c:v>0.84096819363867326</c:v>
                </c:pt>
                <c:pt idx="4205">
                  <c:v>0.84116823364667481</c:v>
                </c:pt>
                <c:pt idx="4206">
                  <c:v>0.84136827365467637</c:v>
                </c:pt>
                <c:pt idx="4207">
                  <c:v>0.84156831366267792</c:v>
                </c:pt>
                <c:pt idx="4208">
                  <c:v>0.84176835367067948</c:v>
                </c:pt>
                <c:pt idx="4209">
                  <c:v>0.84196839367868104</c:v>
                </c:pt>
                <c:pt idx="4210">
                  <c:v>0.84216843368668259</c:v>
                </c:pt>
                <c:pt idx="4211">
                  <c:v>0.84236847369468415</c:v>
                </c:pt>
                <c:pt idx="4212">
                  <c:v>0.84256851370268571</c:v>
                </c:pt>
                <c:pt idx="4213">
                  <c:v>0.84276855371068726</c:v>
                </c:pt>
                <c:pt idx="4214">
                  <c:v>0.84296859371868882</c:v>
                </c:pt>
                <c:pt idx="4215">
                  <c:v>0.84316863372669038</c:v>
                </c:pt>
                <c:pt idx="4216">
                  <c:v>0.84336867373469193</c:v>
                </c:pt>
                <c:pt idx="4217">
                  <c:v>0.84356871374269349</c:v>
                </c:pt>
                <c:pt idx="4218">
                  <c:v>0.84376875375069504</c:v>
                </c:pt>
                <c:pt idx="4219">
                  <c:v>0.8439687937586966</c:v>
                </c:pt>
                <c:pt idx="4220">
                  <c:v>0.84416883376669816</c:v>
                </c:pt>
                <c:pt idx="4221">
                  <c:v>0.84436887377469971</c:v>
                </c:pt>
                <c:pt idx="4222">
                  <c:v>0.84456891378270127</c:v>
                </c:pt>
                <c:pt idx="4223">
                  <c:v>0.84476895379070283</c:v>
                </c:pt>
                <c:pt idx="4224">
                  <c:v>0.84496899379870438</c:v>
                </c:pt>
                <c:pt idx="4225">
                  <c:v>0.84516903380670594</c:v>
                </c:pt>
                <c:pt idx="4226">
                  <c:v>0.84536907381470749</c:v>
                </c:pt>
                <c:pt idx="4227">
                  <c:v>0.84556911382270905</c:v>
                </c:pt>
                <c:pt idx="4228">
                  <c:v>0.84576915383071061</c:v>
                </c:pt>
                <c:pt idx="4229">
                  <c:v>0.84596919383871216</c:v>
                </c:pt>
                <c:pt idx="4230">
                  <c:v>0.84616923384671372</c:v>
                </c:pt>
                <c:pt idx="4231">
                  <c:v>0.84636927385471528</c:v>
                </c:pt>
                <c:pt idx="4232">
                  <c:v>0.84656931386271683</c:v>
                </c:pt>
                <c:pt idx="4233">
                  <c:v>0.84676935387071839</c:v>
                </c:pt>
                <c:pt idx="4234">
                  <c:v>0.84696939387871994</c:v>
                </c:pt>
                <c:pt idx="4235">
                  <c:v>0.8471694338867215</c:v>
                </c:pt>
                <c:pt idx="4236">
                  <c:v>0.84736947389472306</c:v>
                </c:pt>
                <c:pt idx="4237">
                  <c:v>0.84756951390272461</c:v>
                </c:pt>
                <c:pt idx="4238">
                  <c:v>0.84776955391072617</c:v>
                </c:pt>
                <c:pt idx="4239">
                  <c:v>0.84796959391872773</c:v>
                </c:pt>
                <c:pt idx="4240">
                  <c:v>0.84816963392672928</c:v>
                </c:pt>
                <c:pt idx="4241">
                  <c:v>0.84836967393473084</c:v>
                </c:pt>
                <c:pt idx="4242">
                  <c:v>0.8485697139427324</c:v>
                </c:pt>
                <c:pt idx="4243">
                  <c:v>0.84876975395073395</c:v>
                </c:pt>
                <c:pt idx="4244">
                  <c:v>0.84896979395873551</c:v>
                </c:pt>
                <c:pt idx="4245">
                  <c:v>0.84916983396673706</c:v>
                </c:pt>
                <c:pt idx="4246">
                  <c:v>0.84936987397473862</c:v>
                </c:pt>
                <c:pt idx="4247">
                  <c:v>0.84956991398274018</c:v>
                </c:pt>
                <c:pt idx="4248">
                  <c:v>0.84976995399074173</c:v>
                </c:pt>
                <c:pt idx="4249">
                  <c:v>0.84996999399874329</c:v>
                </c:pt>
                <c:pt idx="4250">
                  <c:v>0.85017003400674485</c:v>
                </c:pt>
                <c:pt idx="4251">
                  <c:v>0.8503700740147464</c:v>
                </c:pt>
                <c:pt idx="4252">
                  <c:v>0.85057011402274796</c:v>
                </c:pt>
                <c:pt idx="4253">
                  <c:v>0.85077015403074951</c:v>
                </c:pt>
                <c:pt idx="4254">
                  <c:v>0.85097019403875107</c:v>
                </c:pt>
                <c:pt idx="4255">
                  <c:v>0.85117023404675263</c:v>
                </c:pt>
                <c:pt idx="4256">
                  <c:v>0.85137027405475418</c:v>
                </c:pt>
                <c:pt idx="4257">
                  <c:v>0.85157031406275574</c:v>
                </c:pt>
                <c:pt idx="4258">
                  <c:v>0.8517703540707573</c:v>
                </c:pt>
                <c:pt idx="4259">
                  <c:v>0.85197039407875885</c:v>
                </c:pt>
                <c:pt idx="4260">
                  <c:v>0.85217043408676041</c:v>
                </c:pt>
                <c:pt idx="4261">
                  <c:v>0.85237047409476197</c:v>
                </c:pt>
                <c:pt idx="4262">
                  <c:v>0.85257051410276352</c:v>
                </c:pt>
                <c:pt idx="4263">
                  <c:v>0.85277055411076508</c:v>
                </c:pt>
                <c:pt idx="4264">
                  <c:v>0.85297059411876663</c:v>
                </c:pt>
                <c:pt idx="4265">
                  <c:v>0.85317063412676819</c:v>
                </c:pt>
                <c:pt idx="4266">
                  <c:v>0.85337067413476975</c:v>
                </c:pt>
                <c:pt idx="4267">
                  <c:v>0.8535707141427713</c:v>
                </c:pt>
                <c:pt idx="4268">
                  <c:v>0.85377075415077286</c:v>
                </c:pt>
                <c:pt idx="4269">
                  <c:v>0.85397079415877442</c:v>
                </c:pt>
                <c:pt idx="4270">
                  <c:v>0.85417083416677597</c:v>
                </c:pt>
                <c:pt idx="4271">
                  <c:v>0.85437087417477753</c:v>
                </c:pt>
                <c:pt idx="4272">
                  <c:v>0.85457091418277908</c:v>
                </c:pt>
                <c:pt idx="4273">
                  <c:v>0.85477095419078064</c:v>
                </c:pt>
                <c:pt idx="4274">
                  <c:v>0.8549709941987822</c:v>
                </c:pt>
                <c:pt idx="4275">
                  <c:v>0.85517103420678375</c:v>
                </c:pt>
                <c:pt idx="4276">
                  <c:v>0.85537107421478531</c:v>
                </c:pt>
                <c:pt idx="4277">
                  <c:v>0.85557111422278687</c:v>
                </c:pt>
                <c:pt idx="4278">
                  <c:v>0.85577115423078842</c:v>
                </c:pt>
                <c:pt idx="4279">
                  <c:v>0.85597119423878998</c:v>
                </c:pt>
                <c:pt idx="4280">
                  <c:v>0.85617123424679153</c:v>
                </c:pt>
                <c:pt idx="4281">
                  <c:v>0.85637127425479309</c:v>
                </c:pt>
                <c:pt idx="4282">
                  <c:v>0.85657131426279465</c:v>
                </c:pt>
                <c:pt idx="4283">
                  <c:v>0.8567713542707962</c:v>
                </c:pt>
                <c:pt idx="4284">
                  <c:v>0.85697139427879776</c:v>
                </c:pt>
                <c:pt idx="4285">
                  <c:v>0.85717143428679932</c:v>
                </c:pt>
                <c:pt idx="4286">
                  <c:v>0.85737147429480087</c:v>
                </c:pt>
                <c:pt idx="4287">
                  <c:v>0.85757151430280243</c:v>
                </c:pt>
                <c:pt idx="4288">
                  <c:v>0.85777155431080399</c:v>
                </c:pt>
                <c:pt idx="4289">
                  <c:v>0.85797159431880554</c:v>
                </c:pt>
                <c:pt idx="4290">
                  <c:v>0.8581716343268071</c:v>
                </c:pt>
                <c:pt idx="4291">
                  <c:v>0.85837167433480865</c:v>
                </c:pt>
                <c:pt idx="4292">
                  <c:v>0.85857171434281021</c:v>
                </c:pt>
                <c:pt idx="4293">
                  <c:v>0.85877175435081177</c:v>
                </c:pt>
                <c:pt idx="4294">
                  <c:v>0.85897179435881332</c:v>
                </c:pt>
                <c:pt idx="4295">
                  <c:v>0.85917183436681488</c:v>
                </c:pt>
                <c:pt idx="4296">
                  <c:v>0.85937187437481644</c:v>
                </c:pt>
                <c:pt idx="4297">
                  <c:v>0.85957191438281799</c:v>
                </c:pt>
                <c:pt idx="4298">
                  <c:v>0.85977195439081955</c:v>
                </c:pt>
                <c:pt idx="4299">
                  <c:v>0.8599719943988211</c:v>
                </c:pt>
                <c:pt idx="4300">
                  <c:v>0.86017203440682266</c:v>
                </c:pt>
                <c:pt idx="4301">
                  <c:v>0.86037207441482422</c:v>
                </c:pt>
                <c:pt idx="4302">
                  <c:v>0.86057211442282577</c:v>
                </c:pt>
                <c:pt idx="4303">
                  <c:v>0.86077215443082733</c:v>
                </c:pt>
                <c:pt idx="4304">
                  <c:v>0.86097219443882889</c:v>
                </c:pt>
                <c:pt idx="4305">
                  <c:v>0.86117223444683044</c:v>
                </c:pt>
                <c:pt idx="4306">
                  <c:v>0.861372274454832</c:v>
                </c:pt>
                <c:pt idx="4307">
                  <c:v>0.86157231446283356</c:v>
                </c:pt>
                <c:pt idx="4308">
                  <c:v>0.86177235447083511</c:v>
                </c:pt>
                <c:pt idx="4309">
                  <c:v>0.86197239447883667</c:v>
                </c:pt>
                <c:pt idx="4310">
                  <c:v>0.86217243448683822</c:v>
                </c:pt>
                <c:pt idx="4311">
                  <c:v>0.86237247449483978</c:v>
                </c:pt>
                <c:pt idx="4312">
                  <c:v>0.86257251450284134</c:v>
                </c:pt>
                <c:pt idx="4313">
                  <c:v>0.86277255451084289</c:v>
                </c:pt>
                <c:pt idx="4314">
                  <c:v>0.86297259451884445</c:v>
                </c:pt>
                <c:pt idx="4315">
                  <c:v>0.86317263452684601</c:v>
                </c:pt>
                <c:pt idx="4316">
                  <c:v>0.86337267453484756</c:v>
                </c:pt>
                <c:pt idx="4317">
                  <c:v>0.86357271454284912</c:v>
                </c:pt>
                <c:pt idx="4318">
                  <c:v>0.86377275455085067</c:v>
                </c:pt>
                <c:pt idx="4319">
                  <c:v>0.86397279455885223</c:v>
                </c:pt>
                <c:pt idx="4320">
                  <c:v>0.86417283456685379</c:v>
                </c:pt>
                <c:pt idx="4321">
                  <c:v>0.86437287457485534</c:v>
                </c:pt>
                <c:pt idx="4322">
                  <c:v>0.8645729145828569</c:v>
                </c:pt>
                <c:pt idx="4323">
                  <c:v>0.86477295459085846</c:v>
                </c:pt>
                <c:pt idx="4324">
                  <c:v>0.86497299459886001</c:v>
                </c:pt>
                <c:pt idx="4325">
                  <c:v>0.86517303460686157</c:v>
                </c:pt>
                <c:pt idx="4326">
                  <c:v>0.86537307461486312</c:v>
                </c:pt>
                <c:pt idx="4327">
                  <c:v>0.86557311462286468</c:v>
                </c:pt>
                <c:pt idx="4328">
                  <c:v>0.86577315463086624</c:v>
                </c:pt>
                <c:pt idx="4329">
                  <c:v>0.86597319463886779</c:v>
                </c:pt>
                <c:pt idx="4330">
                  <c:v>0.86617323464686935</c:v>
                </c:pt>
                <c:pt idx="4331">
                  <c:v>0.86637327465487091</c:v>
                </c:pt>
                <c:pt idx="4332">
                  <c:v>0.86657331466287246</c:v>
                </c:pt>
                <c:pt idx="4333">
                  <c:v>0.86677335467087402</c:v>
                </c:pt>
                <c:pt idx="4334">
                  <c:v>0.86697339467887558</c:v>
                </c:pt>
                <c:pt idx="4335">
                  <c:v>0.86717343468687713</c:v>
                </c:pt>
                <c:pt idx="4336">
                  <c:v>0.86737347469487869</c:v>
                </c:pt>
                <c:pt idx="4337">
                  <c:v>0.86757351470288024</c:v>
                </c:pt>
                <c:pt idx="4338">
                  <c:v>0.8677735547108818</c:v>
                </c:pt>
                <c:pt idx="4339">
                  <c:v>0.86797359471888336</c:v>
                </c:pt>
                <c:pt idx="4340">
                  <c:v>0.86817363472688491</c:v>
                </c:pt>
                <c:pt idx="4341">
                  <c:v>0.86837367473488647</c:v>
                </c:pt>
                <c:pt idx="4342">
                  <c:v>0.86857371474288803</c:v>
                </c:pt>
                <c:pt idx="4343">
                  <c:v>0.86877375475088958</c:v>
                </c:pt>
                <c:pt idx="4344">
                  <c:v>0.86897379475889114</c:v>
                </c:pt>
                <c:pt idx="4345">
                  <c:v>0.86917383476689269</c:v>
                </c:pt>
                <c:pt idx="4346">
                  <c:v>0.86937387477489425</c:v>
                </c:pt>
                <c:pt idx="4347">
                  <c:v>0.86957391478289581</c:v>
                </c:pt>
                <c:pt idx="4348">
                  <c:v>0.86977395479089736</c:v>
                </c:pt>
                <c:pt idx="4349">
                  <c:v>0.86997399479889892</c:v>
                </c:pt>
                <c:pt idx="4350">
                  <c:v>0.87017403480690048</c:v>
                </c:pt>
                <c:pt idx="4351">
                  <c:v>0.87037407481490203</c:v>
                </c:pt>
                <c:pt idx="4352">
                  <c:v>0.87057411482290359</c:v>
                </c:pt>
                <c:pt idx="4353">
                  <c:v>0.87077415483090514</c:v>
                </c:pt>
                <c:pt idx="4354">
                  <c:v>0.8709741948389067</c:v>
                </c:pt>
                <c:pt idx="4355">
                  <c:v>0.87117423484690826</c:v>
                </c:pt>
                <c:pt idx="4356">
                  <c:v>0.87137427485490981</c:v>
                </c:pt>
                <c:pt idx="4357">
                  <c:v>0.87157431486291137</c:v>
                </c:pt>
                <c:pt idx="4358">
                  <c:v>0.87177435487091293</c:v>
                </c:pt>
                <c:pt idx="4359">
                  <c:v>0.87197439487891448</c:v>
                </c:pt>
                <c:pt idx="4360">
                  <c:v>0.87217443488691604</c:v>
                </c:pt>
                <c:pt idx="4361">
                  <c:v>0.8723744748949176</c:v>
                </c:pt>
                <c:pt idx="4362">
                  <c:v>0.87257451490291915</c:v>
                </c:pt>
                <c:pt idx="4363">
                  <c:v>0.87277455491092071</c:v>
                </c:pt>
                <c:pt idx="4364">
                  <c:v>0.87297459491892226</c:v>
                </c:pt>
                <c:pt idx="4365">
                  <c:v>0.87317463492692382</c:v>
                </c:pt>
                <c:pt idx="4366">
                  <c:v>0.87337467493492538</c:v>
                </c:pt>
                <c:pt idx="4367">
                  <c:v>0.87357471494292693</c:v>
                </c:pt>
                <c:pt idx="4368">
                  <c:v>0.87377475495092849</c:v>
                </c:pt>
                <c:pt idx="4369">
                  <c:v>0.87397479495893005</c:v>
                </c:pt>
                <c:pt idx="4370">
                  <c:v>0.8741748349669316</c:v>
                </c:pt>
                <c:pt idx="4371">
                  <c:v>0.87437487497493316</c:v>
                </c:pt>
                <c:pt idx="4372">
                  <c:v>0.87457491498293471</c:v>
                </c:pt>
                <c:pt idx="4373">
                  <c:v>0.87477495499093627</c:v>
                </c:pt>
                <c:pt idx="4374">
                  <c:v>0.87497499499893783</c:v>
                </c:pt>
                <c:pt idx="4375">
                  <c:v>0.87517503500693938</c:v>
                </c:pt>
                <c:pt idx="4376">
                  <c:v>0.87537507501494094</c:v>
                </c:pt>
                <c:pt idx="4377">
                  <c:v>0.8755751150229425</c:v>
                </c:pt>
                <c:pt idx="4378">
                  <c:v>0.87577515503094405</c:v>
                </c:pt>
                <c:pt idx="4379">
                  <c:v>0.87597519503894561</c:v>
                </c:pt>
                <c:pt idx="4380">
                  <c:v>0.87617523504694717</c:v>
                </c:pt>
                <c:pt idx="4381">
                  <c:v>0.87637527505494872</c:v>
                </c:pt>
                <c:pt idx="4382">
                  <c:v>0.87657531506295028</c:v>
                </c:pt>
                <c:pt idx="4383">
                  <c:v>0.87677535507095183</c:v>
                </c:pt>
                <c:pt idx="4384">
                  <c:v>0.87697539507895339</c:v>
                </c:pt>
                <c:pt idx="4385">
                  <c:v>0.87717543508695495</c:v>
                </c:pt>
                <c:pt idx="4386">
                  <c:v>0.8773754750949565</c:v>
                </c:pt>
                <c:pt idx="4387">
                  <c:v>0.87757551510295806</c:v>
                </c:pt>
                <c:pt idx="4388">
                  <c:v>0.87777555511095962</c:v>
                </c:pt>
                <c:pt idx="4389">
                  <c:v>0.87797559511896117</c:v>
                </c:pt>
                <c:pt idx="4390">
                  <c:v>0.87817563512696273</c:v>
                </c:pt>
                <c:pt idx="4391">
                  <c:v>0.87837567513496428</c:v>
                </c:pt>
                <c:pt idx="4392">
                  <c:v>0.87857571514296584</c:v>
                </c:pt>
                <c:pt idx="4393">
                  <c:v>0.8787757551509674</c:v>
                </c:pt>
                <c:pt idx="4394">
                  <c:v>0.87897579515896895</c:v>
                </c:pt>
                <c:pt idx="4395">
                  <c:v>0.87917583516697051</c:v>
                </c:pt>
                <c:pt idx="4396">
                  <c:v>0.87937587517497207</c:v>
                </c:pt>
                <c:pt idx="4397">
                  <c:v>0.87957591518297362</c:v>
                </c:pt>
                <c:pt idx="4398">
                  <c:v>0.87977595519097518</c:v>
                </c:pt>
                <c:pt idx="4399">
                  <c:v>0.87997599519897673</c:v>
                </c:pt>
                <c:pt idx="4400">
                  <c:v>0.88017603520697829</c:v>
                </c:pt>
                <c:pt idx="4401">
                  <c:v>0.88037607521497985</c:v>
                </c:pt>
                <c:pt idx="4402">
                  <c:v>0.8805761152229814</c:v>
                </c:pt>
                <c:pt idx="4403">
                  <c:v>0.88077615523098296</c:v>
                </c:pt>
                <c:pt idx="4404">
                  <c:v>0.88097619523898452</c:v>
                </c:pt>
                <c:pt idx="4405">
                  <c:v>0.88117623524698607</c:v>
                </c:pt>
                <c:pt idx="4406">
                  <c:v>0.88137627525498763</c:v>
                </c:pt>
                <c:pt idx="4407">
                  <c:v>0.88157631526298919</c:v>
                </c:pt>
                <c:pt idx="4408">
                  <c:v>0.88177635527099074</c:v>
                </c:pt>
                <c:pt idx="4409">
                  <c:v>0.8819763952789923</c:v>
                </c:pt>
                <c:pt idx="4410">
                  <c:v>0.88217643528699385</c:v>
                </c:pt>
                <c:pt idx="4411">
                  <c:v>0.88237647529499541</c:v>
                </c:pt>
                <c:pt idx="4412">
                  <c:v>0.88257651530299697</c:v>
                </c:pt>
                <c:pt idx="4413">
                  <c:v>0.88277655531099852</c:v>
                </c:pt>
                <c:pt idx="4414">
                  <c:v>0.88297659531900008</c:v>
                </c:pt>
                <c:pt idx="4415">
                  <c:v>0.88317663532700164</c:v>
                </c:pt>
                <c:pt idx="4416">
                  <c:v>0.88337667533500319</c:v>
                </c:pt>
                <c:pt idx="4417">
                  <c:v>0.88357671534300475</c:v>
                </c:pt>
                <c:pt idx="4418">
                  <c:v>0.8837767553510063</c:v>
                </c:pt>
                <c:pt idx="4419">
                  <c:v>0.88397679535900786</c:v>
                </c:pt>
                <c:pt idx="4420">
                  <c:v>0.88417683536700942</c:v>
                </c:pt>
                <c:pt idx="4421">
                  <c:v>0.88437687537501097</c:v>
                </c:pt>
                <c:pt idx="4422">
                  <c:v>0.88457691538301253</c:v>
                </c:pt>
                <c:pt idx="4423">
                  <c:v>0.88477695539101409</c:v>
                </c:pt>
                <c:pt idx="4424">
                  <c:v>0.88497699539901564</c:v>
                </c:pt>
                <c:pt idx="4425">
                  <c:v>0.8851770354070172</c:v>
                </c:pt>
                <c:pt idx="4426">
                  <c:v>0.88537707541501875</c:v>
                </c:pt>
                <c:pt idx="4427">
                  <c:v>0.88557711542302031</c:v>
                </c:pt>
                <c:pt idx="4428">
                  <c:v>0.88577715543102187</c:v>
                </c:pt>
                <c:pt idx="4429">
                  <c:v>0.88597719543902342</c:v>
                </c:pt>
                <c:pt idx="4430">
                  <c:v>0.88617723544702498</c:v>
                </c:pt>
                <c:pt idx="4431">
                  <c:v>0.88637727545502654</c:v>
                </c:pt>
                <c:pt idx="4432">
                  <c:v>0.88657731546302809</c:v>
                </c:pt>
                <c:pt idx="4433">
                  <c:v>0.88677735547102965</c:v>
                </c:pt>
                <c:pt idx="4434">
                  <c:v>0.88697739547903121</c:v>
                </c:pt>
                <c:pt idx="4435">
                  <c:v>0.88717743548703276</c:v>
                </c:pt>
                <c:pt idx="4436">
                  <c:v>0.88737747549503432</c:v>
                </c:pt>
                <c:pt idx="4437">
                  <c:v>0.88757751550303587</c:v>
                </c:pt>
                <c:pt idx="4438">
                  <c:v>0.88777755551103743</c:v>
                </c:pt>
                <c:pt idx="4439">
                  <c:v>0.88797759551903899</c:v>
                </c:pt>
                <c:pt idx="4440">
                  <c:v>0.88817763552704054</c:v>
                </c:pt>
                <c:pt idx="4441">
                  <c:v>0.8883776755350421</c:v>
                </c:pt>
                <c:pt idx="4442">
                  <c:v>0.88857771554304366</c:v>
                </c:pt>
                <c:pt idx="4443">
                  <c:v>0.88877775555104521</c:v>
                </c:pt>
                <c:pt idx="4444">
                  <c:v>0.88897779555904677</c:v>
                </c:pt>
                <c:pt idx="4445">
                  <c:v>0.88917783556704832</c:v>
                </c:pt>
                <c:pt idx="4446">
                  <c:v>0.88937787557504988</c:v>
                </c:pt>
                <c:pt idx="4447">
                  <c:v>0.88957791558305144</c:v>
                </c:pt>
                <c:pt idx="4448">
                  <c:v>0.88977795559105299</c:v>
                </c:pt>
                <c:pt idx="4449">
                  <c:v>0.88997799559905455</c:v>
                </c:pt>
                <c:pt idx="4450">
                  <c:v>0.89017803560705611</c:v>
                </c:pt>
                <c:pt idx="4451">
                  <c:v>0.89037807561505766</c:v>
                </c:pt>
                <c:pt idx="4452">
                  <c:v>0.89057811562305922</c:v>
                </c:pt>
                <c:pt idx="4453">
                  <c:v>0.89077815563106078</c:v>
                </c:pt>
                <c:pt idx="4454">
                  <c:v>0.89097819563906233</c:v>
                </c:pt>
                <c:pt idx="4455">
                  <c:v>0.89117823564706389</c:v>
                </c:pt>
                <c:pt idx="4456">
                  <c:v>0.89137827565506544</c:v>
                </c:pt>
                <c:pt idx="4457">
                  <c:v>0.891578315663067</c:v>
                </c:pt>
                <c:pt idx="4458">
                  <c:v>0.89177835567106856</c:v>
                </c:pt>
                <c:pt idx="4459">
                  <c:v>0.89197839567907011</c:v>
                </c:pt>
                <c:pt idx="4460">
                  <c:v>0.89217843568707167</c:v>
                </c:pt>
                <c:pt idx="4461">
                  <c:v>0.89237847569507323</c:v>
                </c:pt>
                <c:pt idx="4462">
                  <c:v>0.89257851570307478</c:v>
                </c:pt>
                <c:pt idx="4463">
                  <c:v>0.89277855571107634</c:v>
                </c:pt>
                <c:pt idx="4464">
                  <c:v>0.89297859571907789</c:v>
                </c:pt>
                <c:pt idx="4465">
                  <c:v>0.89317863572707945</c:v>
                </c:pt>
                <c:pt idx="4466">
                  <c:v>0.89337867573508101</c:v>
                </c:pt>
                <c:pt idx="4467">
                  <c:v>0.89357871574308256</c:v>
                </c:pt>
                <c:pt idx="4468">
                  <c:v>0.89377875575108412</c:v>
                </c:pt>
                <c:pt idx="4469">
                  <c:v>0.89397879575908568</c:v>
                </c:pt>
                <c:pt idx="4470">
                  <c:v>0.89417883576708723</c:v>
                </c:pt>
                <c:pt idx="4471">
                  <c:v>0.89437887577508879</c:v>
                </c:pt>
                <c:pt idx="4472">
                  <c:v>0.89457891578309034</c:v>
                </c:pt>
                <c:pt idx="4473">
                  <c:v>0.8947789557910919</c:v>
                </c:pt>
                <c:pt idx="4474">
                  <c:v>0.89497899579909346</c:v>
                </c:pt>
                <c:pt idx="4475">
                  <c:v>0.89517903580709501</c:v>
                </c:pt>
                <c:pt idx="4476">
                  <c:v>0.89537907581509657</c:v>
                </c:pt>
                <c:pt idx="4477">
                  <c:v>0.89557911582309813</c:v>
                </c:pt>
                <c:pt idx="4478">
                  <c:v>0.89577915583109968</c:v>
                </c:pt>
                <c:pt idx="4479">
                  <c:v>0.89597919583910124</c:v>
                </c:pt>
                <c:pt idx="4480">
                  <c:v>0.8961792358471028</c:v>
                </c:pt>
                <c:pt idx="4481">
                  <c:v>0.89637927585510435</c:v>
                </c:pt>
                <c:pt idx="4482">
                  <c:v>0.89657931586310591</c:v>
                </c:pt>
                <c:pt idx="4483">
                  <c:v>0.89677935587110746</c:v>
                </c:pt>
                <c:pt idx="4484">
                  <c:v>0.89697939587910902</c:v>
                </c:pt>
                <c:pt idx="4485">
                  <c:v>0.89717943588711058</c:v>
                </c:pt>
                <c:pt idx="4486">
                  <c:v>0.89737947589511213</c:v>
                </c:pt>
                <c:pt idx="4487">
                  <c:v>0.89757951590311369</c:v>
                </c:pt>
                <c:pt idx="4488">
                  <c:v>0.89777955591111525</c:v>
                </c:pt>
                <c:pt idx="4489">
                  <c:v>0.8979795959191168</c:v>
                </c:pt>
                <c:pt idx="4490">
                  <c:v>0.89817963592711836</c:v>
                </c:pt>
                <c:pt idx="4491">
                  <c:v>0.89837967593511991</c:v>
                </c:pt>
                <c:pt idx="4492">
                  <c:v>0.89857971594312147</c:v>
                </c:pt>
                <c:pt idx="4493">
                  <c:v>0.89877975595112303</c:v>
                </c:pt>
                <c:pt idx="4494">
                  <c:v>0.89897979595912458</c:v>
                </c:pt>
                <c:pt idx="4495">
                  <c:v>0.89917983596712614</c:v>
                </c:pt>
                <c:pt idx="4496">
                  <c:v>0.8993798759751277</c:v>
                </c:pt>
                <c:pt idx="4497">
                  <c:v>0.89957991598312925</c:v>
                </c:pt>
                <c:pt idx="4498">
                  <c:v>0.89977995599113081</c:v>
                </c:pt>
                <c:pt idx="4499">
                  <c:v>0.89997999599913237</c:v>
                </c:pt>
                <c:pt idx="4500">
                  <c:v>0.90018003600713392</c:v>
                </c:pt>
                <c:pt idx="4501">
                  <c:v>0.90038007601513548</c:v>
                </c:pt>
                <c:pt idx="4502">
                  <c:v>0.90058011602313703</c:v>
                </c:pt>
                <c:pt idx="4503">
                  <c:v>0.90078015603113859</c:v>
                </c:pt>
                <c:pt idx="4504">
                  <c:v>0.90098019603914015</c:v>
                </c:pt>
                <c:pt idx="4505">
                  <c:v>0.9011802360471417</c:v>
                </c:pt>
                <c:pt idx="4506">
                  <c:v>0.90138027605514326</c:v>
                </c:pt>
                <c:pt idx="4507">
                  <c:v>0.90158031606314482</c:v>
                </c:pt>
                <c:pt idx="4508">
                  <c:v>0.90178035607114637</c:v>
                </c:pt>
                <c:pt idx="4509">
                  <c:v>0.90198039607914793</c:v>
                </c:pt>
                <c:pt idx="4510">
                  <c:v>0.90218043608714948</c:v>
                </c:pt>
                <c:pt idx="4511">
                  <c:v>0.90238047609515104</c:v>
                </c:pt>
                <c:pt idx="4512">
                  <c:v>0.9025805161031526</c:v>
                </c:pt>
                <c:pt idx="4513">
                  <c:v>0.90278055611115415</c:v>
                </c:pt>
                <c:pt idx="4514">
                  <c:v>0.90298059611915571</c:v>
                </c:pt>
                <c:pt idx="4515">
                  <c:v>0.90318063612715727</c:v>
                </c:pt>
                <c:pt idx="4516">
                  <c:v>0.90338067613515882</c:v>
                </c:pt>
                <c:pt idx="4517">
                  <c:v>0.90358071614316038</c:v>
                </c:pt>
                <c:pt idx="4518">
                  <c:v>0.90378075615116193</c:v>
                </c:pt>
                <c:pt idx="4519">
                  <c:v>0.90398079615916349</c:v>
                </c:pt>
                <c:pt idx="4520">
                  <c:v>0.90418083616716505</c:v>
                </c:pt>
                <c:pt idx="4521">
                  <c:v>0.9043808761751666</c:v>
                </c:pt>
                <c:pt idx="4522">
                  <c:v>0.90458091618316816</c:v>
                </c:pt>
                <c:pt idx="4523">
                  <c:v>0.90478095619116972</c:v>
                </c:pt>
                <c:pt idx="4524">
                  <c:v>0.90498099619917127</c:v>
                </c:pt>
                <c:pt idx="4525">
                  <c:v>0.90518103620717283</c:v>
                </c:pt>
                <c:pt idx="4526">
                  <c:v>0.90538107621517439</c:v>
                </c:pt>
                <c:pt idx="4527">
                  <c:v>0.90558111622317594</c:v>
                </c:pt>
                <c:pt idx="4528">
                  <c:v>0.9057811562311775</c:v>
                </c:pt>
                <c:pt idx="4529">
                  <c:v>0.90598119623917905</c:v>
                </c:pt>
                <c:pt idx="4530">
                  <c:v>0.90618123624718061</c:v>
                </c:pt>
                <c:pt idx="4531">
                  <c:v>0.90638127625518217</c:v>
                </c:pt>
                <c:pt idx="4532">
                  <c:v>0.90658131626318372</c:v>
                </c:pt>
                <c:pt idx="4533">
                  <c:v>0.90678135627118528</c:v>
                </c:pt>
                <c:pt idx="4534">
                  <c:v>0.90698139627918684</c:v>
                </c:pt>
                <c:pt idx="4535">
                  <c:v>0.90718143628718839</c:v>
                </c:pt>
                <c:pt idx="4536">
                  <c:v>0.90738147629518995</c:v>
                </c:pt>
                <c:pt idx="4537">
                  <c:v>0.9075815163031915</c:v>
                </c:pt>
                <c:pt idx="4538">
                  <c:v>0.90778155631119306</c:v>
                </c:pt>
                <c:pt idx="4539">
                  <c:v>0.90798159631919462</c:v>
                </c:pt>
                <c:pt idx="4540">
                  <c:v>0.90818163632719617</c:v>
                </c:pt>
                <c:pt idx="4541">
                  <c:v>0.90838167633519773</c:v>
                </c:pt>
                <c:pt idx="4542">
                  <c:v>0.90858171634319929</c:v>
                </c:pt>
                <c:pt idx="4543">
                  <c:v>0.90878175635120084</c:v>
                </c:pt>
                <c:pt idx="4544">
                  <c:v>0.9089817963592024</c:v>
                </c:pt>
                <c:pt idx="4545">
                  <c:v>0.90918183636720395</c:v>
                </c:pt>
                <c:pt idx="4546">
                  <c:v>0.90938187637520551</c:v>
                </c:pt>
                <c:pt idx="4547">
                  <c:v>0.90958191638320707</c:v>
                </c:pt>
                <c:pt idx="4548">
                  <c:v>0.90978195639120862</c:v>
                </c:pt>
                <c:pt idx="4549">
                  <c:v>0.90998199639921018</c:v>
                </c:pt>
                <c:pt idx="4550">
                  <c:v>0.91018203640721174</c:v>
                </c:pt>
                <c:pt idx="4551">
                  <c:v>0.91038207641521329</c:v>
                </c:pt>
                <c:pt idx="4552">
                  <c:v>0.91058211642321485</c:v>
                </c:pt>
                <c:pt idx="4553">
                  <c:v>0.91078215643121641</c:v>
                </c:pt>
                <c:pt idx="4554">
                  <c:v>0.91098219643921796</c:v>
                </c:pt>
                <c:pt idx="4555">
                  <c:v>0.91118223644721952</c:v>
                </c:pt>
                <c:pt idx="4556">
                  <c:v>0.91138227645522107</c:v>
                </c:pt>
                <c:pt idx="4557">
                  <c:v>0.91158231646322263</c:v>
                </c:pt>
                <c:pt idx="4558">
                  <c:v>0.91178235647122419</c:v>
                </c:pt>
                <c:pt idx="4559">
                  <c:v>0.91198239647922574</c:v>
                </c:pt>
                <c:pt idx="4560">
                  <c:v>0.9121824364872273</c:v>
                </c:pt>
                <c:pt idx="4561">
                  <c:v>0.91238247649522886</c:v>
                </c:pt>
                <c:pt idx="4562">
                  <c:v>0.91258251650323041</c:v>
                </c:pt>
                <c:pt idx="4563">
                  <c:v>0.91278255651123197</c:v>
                </c:pt>
                <c:pt idx="4564">
                  <c:v>0.91298259651923352</c:v>
                </c:pt>
                <c:pt idx="4565">
                  <c:v>0.91318263652723508</c:v>
                </c:pt>
                <c:pt idx="4566">
                  <c:v>0.91338267653523664</c:v>
                </c:pt>
                <c:pt idx="4567">
                  <c:v>0.91358271654323819</c:v>
                </c:pt>
                <c:pt idx="4568">
                  <c:v>0.91378275655123975</c:v>
                </c:pt>
                <c:pt idx="4569">
                  <c:v>0.91398279655924131</c:v>
                </c:pt>
                <c:pt idx="4570">
                  <c:v>0.91418283656724286</c:v>
                </c:pt>
                <c:pt idx="4571">
                  <c:v>0.91438287657524442</c:v>
                </c:pt>
                <c:pt idx="4572">
                  <c:v>0.91458291658324598</c:v>
                </c:pt>
                <c:pt idx="4573">
                  <c:v>0.91478295659124753</c:v>
                </c:pt>
                <c:pt idx="4574">
                  <c:v>0.91498299659924909</c:v>
                </c:pt>
                <c:pt idx="4575">
                  <c:v>0.91518303660725064</c:v>
                </c:pt>
                <c:pt idx="4576">
                  <c:v>0.9153830766152522</c:v>
                </c:pt>
                <c:pt idx="4577">
                  <c:v>0.91558311662325376</c:v>
                </c:pt>
                <c:pt idx="4578">
                  <c:v>0.91578315663125531</c:v>
                </c:pt>
                <c:pt idx="4579">
                  <c:v>0.91598319663925687</c:v>
                </c:pt>
                <c:pt idx="4580">
                  <c:v>0.91618323664725843</c:v>
                </c:pt>
                <c:pt idx="4581">
                  <c:v>0.91638327665525998</c:v>
                </c:pt>
                <c:pt idx="4582">
                  <c:v>0.91658331666326154</c:v>
                </c:pt>
                <c:pt idx="4583">
                  <c:v>0.91678335667126309</c:v>
                </c:pt>
                <c:pt idx="4584">
                  <c:v>0.91698339667926465</c:v>
                </c:pt>
                <c:pt idx="4585">
                  <c:v>0.91718343668726621</c:v>
                </c:pt>
                <c:pt idx="4586">
                  <c:v>0.91738347669526776</c:v>
                </c:pt>
                <c:pt idx="4587">
                  <c:v>0.91758351670326932</c:v>
                </c:pt>
                <c:pt idx="4588">
                  <c:v>0.91778355671127088</c:v>
                </c:pt>
                <c:pt idx="4589">
                  <c:v>0.91798359671927243</c:v>
                </c:pt>
                <c:pt idx="4590">
                  <c:v>0.91818363672727399</c:v>
                </c:pt>
                <c:pt idx="4591">
                  <c:v>0.91838367673527554</c:v>
                </c:pt>
                <c:pt idx="4592">
                  <c:v>0.9185837167432771</c:v>
                </c:pt>
                <c:pt idx="4593">
                  <c:v>0.91878375675127866</c:v>
                </c:pt>
                <c:pt idx="4594">
                  <c:v>0.91898379675928021</c:v>
                </c:pt>
                <c:pt idx="4595">
                  <c:v>0.91918383676728177</c:v>
                </c:pt>
                <c:pt idx="4596">
                  <c:v>0.91938387677528333</c:v>
                </c:pt>
                <c:pt idx="4597">
                  <c:v>0.91958391678328488</c:v>
                </c:pt>
                <c:pt idx="4598">
                  <c:v>0.91978395679128644</c:v>
                </c:pt>
                <c:pt idx="4599">
                  <c:v>0.919983996799288</c:v>
                </c:pt>
                <c:pt idx="4600">
                  <c:v>0.92018403680728955</c:v>
                </c:pt>
                <c:pt idx="4601">
                  <c:v>0.92038407681529111</c:v>
                </c:pt>
                <c:pt idx="4602">
                  <c:v>0.92058411682329266</c:v>
                </c:pt>
                <c:pt idx="4603">
                  <c:v>0.92078415683129422</c:v>
                </c:pt>
                <c:pt idx="4604">
                  <c:v>0.92098419683929578</c:v>
                </c:pt>
                <c:pt idx="4605">
                  <c:v>0.92118423684729733</c:v>
                </c:pt>
                <c:pt idx="4606">
                  <c:v>0.92138427685529889</c:v>
                </c:pt>
                <c:pt idx="4607">
                  <c:v>0.92158431686330045</c:v>
                </c:pt>
                <c:pt idx="4608">
                  <c:v>0.921784356871302</c:v>
                </c:pt>
                <c:pt idx="4609">
                  <c:v>0.92198439687930356</c:v>
                </c:pt>
                <c:pt idx="4610">
                  <c:v>0.92218443688730511</c:v>
                </c:pt>
                <c:pt idx="4611">
                  <c:v>0.92238447689530667</c:v>
                </c:pt>
                <c:pt idx="4612">
                  <c:v>0.92258451690330823</c:v>
                </c:pt>
                <c:pt idx="4613">
                  <c:v>0.92278455691130978</c:v>
                </c:pt>
                <c:pt idx="4614">
                  <c:v>0.92298459691931134</c:v>
                </c:pt>
                <c:pt idx="4615">
                  <c:v>0.9231846369273129</c:v>
                </c:pt>
                <c:pt idx="4616">
                  <c:v>0.92338467693531445</c:v>
                </c:pt>
                <c:pt idx="4617">
                  <c:v>0.92358471694331601</c:v>
                </c:pt>
                <c:pt idx="4618">
                  <c:v>0.92378475695131756</c:v>
                </c:pt>
                <c:pt idx="4619">
                  <c:v>0.92398479695931912</c:v>
                </c:pt>
                <c:pt idx="4620">
                  <c:v>0.92418483696732068</c:v>
                </c:pt>
                <c:pt idx="4621">
                  <c:v>0.92438487697532223</c:v>
                </c:pt>
                <c:pt idx="4622">
                  <c:v>0.92458491698332379</c:v>
                </c:pt>
                <c:pt idx="4623">
                  <c:v>0.92478495699132535</c:v>
                </c:pt>
                <c:pt idx="4624">
                  <c:v>0.9249849969993269</c:v>
                </c:pt>
                <c:pt idx="4625">
                  <c:v>0.92518503700732846</c:v>
                </c:pt>
                <c:pt idx="4626">
                  <c:v>0.92538507701533002</c:v>
                </c:pt>
                <c:pt idx="4627">
                  <c:v>0.92558511702333157</c:v>
                </c:pt>
                <c:pt idx="4628">
                  <c:v>0.92578515703133313</c:v>
                </c:pt>
                <c:pt idx="4629">
                  <c:v>0.92598519703933468</c:v>
                </c:pt>
                <c:pt idx="4630">
                  <c:v>0.92618523704733624</c:v>
                </c:pt>
                <c:pt idx="4631">
                  <c:v>0.9263852770553378</c:v>
                </c:pt>
                <c:pt idx="4632">
                  <c:v>0.92658531706333935</c:v>
                </c:pt>
                <c:pt idx="4633">
                  <c:v>0.92678535707134091</c:v>
                </c:pt>
                <c:pt idx="4634">
                  <c:v>0.92698539707934247</c:v>
                </c:pt>
                <c:pt idx="4635">
                  <c:v>0.92718543708734402</c:v>
                </c:pt>
                <c:pt idx="4636">
                  <c:v>0.92738547709534558</c:v>
                </c:pt>
                <c:pt idx="4637">
                  <c:v>0.92758551710334713</c:v>
                </c:pt>
                <c:pt idx="4638">
                  <c:v>0.92778555711134869</c:v>
                </c:pt>
                <c:pt idx="4639">
                  <c:v>0.92798559711935025</c:v>
                </c:pt>
                <c:pt idx="4640">
                  <c:v>0.9281856371273518</c:v>
                </c:pt>
                <c:pt idx="4641">
                  <c:v>0.92838567713535336</c:v>
                </c:pt>
                <c:pt idx="4642">
                  <c:v>0.92858571714335492</c:v>
                </c:pt>
                <c:pt idx="4643">
                  <c:v>0.92878575715135647</c:v>
                </c:pt>
                <c:pt idx="4644">
                  <c:v>0.92898579715935803</c:v>
                </c:pt>
                <c:pt idx="4645">
                  <c:v>0.92918583716735959</c:v>
                </c:pt>
                <c:pt idx="4646">
                  <c:v>0.92938587717536114</c:v>
                </c:pt>
                <c:pt idx="4647">
                  <c:v>0.9295859171833627</c:v>
                </c:pt>
                <c:pt idx="4648">
                  <c:v>0.92978595719136425</c:v>
                </c:pt>
                <c:pt idx="4649">
                  <c:v>0.92998599719936581</c:v>
                </c:pt>
                <c:pt idx="4650">
                  <c:v>0.93018603720736737</c:v>
                </c:pt>
                <c:pt idx="4651">
                  <c:v>0.93038607721536892</c:v>
                </c:pt>
                <c:pt idx="4652">
                  <c:v>0.93058611722337048</c:v>
                </c:pt>
                <c:pt idx="4653">
                  <c:v>0.93078615723137204</c:v>
                </c:pt>
                <c:pt idx="4654">
                  <c:v>0.93098619723937359</c:v>
                </c:pt>
                <c:pt idx="4655">
                  <c:v>0.93118623724737515</c:v>
                </c:pt>
                <c:pt idx="4656">
                  <c:v>0.9313862772553767</c:v>
                </c:pt>
                <c:pt idx="4657">
                  <c:v>0.93158631726337826</c:v>
                </c:pt>
                <c:pt idx="4658">
                  <c:v>0.93178635727137982</c:v>
                </c:pt>
                <c:pt idx="4659">
                  <c:v>0.93198639727938137</c:v>
                </c:pt>
                <c:pt idx="4660">
                  <c:v>0.93218643728738293</c:v>
                </c:pt>
                <c:pt idx="4661">
                  <c:v>0.93238647729538449</c:v>
                </c:pt>
                <c:pt idx="4662">
                  <c:v>0.93258651730338604</c:v>
                </c:pt>
                <c:pt idx="4663">
                  <c:v>0.9327865573113876</c:v>
                </c:pt>
                <c:pt idx="4664">
                  <c:v>0.93298659731938915</c:v>
                </c:pt>
                <c:pt idx="4665">
                  <c:v>0.93318663732739071</c:v>
                </c:pt>
                <c:pt idx="4666">
                  <c:v>0.93338667733539227</c:v>
                </c:pt>
                <c:pt idx="4667">
                  <c:v>0.93358671734339382</c:v>
                </c:pt>
                <c:pt idx="4668">
                  <c:v>0.93378675735139538</c:v>
                </c:pt>
                <c:pt idx="4669">
                  <c:v>0.93398679735939694</c:v>
                </c:pt>
                <c:pt idx="4670">
                  <c:v>0.93418683736739849</c:v>
                </c:pt>
                <c:pt idx="4671">
                  <c:v>0.93438687737540005</c:v>
                </c:pt>
                <c:pt idx="4672">
                  <c:v>0.93458691738340161</c:v>
                </c:pt>
                <c:pt idx="4673">
                  <c:v>0.93478695739140316</c:v>
                </c:pt>
                <c:pt idx="4674">
                  <c:v>0.93498699739940472</c:v>
                </c:pt>
                <c:pt idx="4675">
                  <c:v>0.93518703740740627</c:v>
                </c:pt>
                <c:pt idx="4676">
                  <c:v>0.93538707741540783</c:v>
                </c:pt>
                <c:pt idx="4677">
                  <c:v>0.93558711742340939</c:v>
                </c:pt>
                <c:pt idx="4678">
                  <c:v>0.93578715743141094</c:v>
                </c:pt>
                <c:pt idx="4679">
                  <c:v>0.9359871974394125</c:v>
                </c:pt>
                <c:pt idx="4680">
                  <c:v>0.93618723744741406</c:v>
                </c:pt>
                <c:pt idx="4681">
                  <c:v>0.93638727745541561</c:v>
                </c:pt>
                <c:pt idx="4682">
                  <c:v>0.93658731746341717</c:v>
                </c:pt>
                <c:pt idx="4683">
                  <c:v>0.93678735747141872</c:v>
                </c:pt>
                <c:pt idx="4684">
                  <c:v>0.93698739747942028</c:v>
                </c:pt>
                <c:pt idx="4685">
                  <c:v>0.93718743748742184</c:v>
                </c:pt>
                <c:pt idx="4686">
                  <c:v>0.93738747749542339</c:v>
                </c:pt>
                <c:pt idx="4687">
                  <c:v>0.93758751750342495</c:v>
                </c:pt>
                <c:pt idx="4688">
                  <c:v>0.93778755751142651</c:v>
                </c:pt>
                <c:pt idx="4689">
                  <c:v>0.93798759751942806</c:v>
                </c:pt>
                <c:pt idx="4690">
                  <c:v>0.93818763752742962</c:v>
                </c:pt>
                <c:pt idx="4691">
                  <c:v>0.93838767753543118</c:v>
                </c:pt>
                <c:pt idx="4692">
                  <c:v>0.93858771754343273</c:v>
                </c:pt>
                <c:pt idx="4693">
                  <c:v>0.93878775755143429</c:v>
                </c:pt>
                <c:pt idx="4694">
                  <c:v>0.93898779755943584</c:v>
                </c:pt>
                <c:pt idx="4695">
                  <c:v>0.9391878375674374</c:v>
                </c:pt>
                <c:pt idx="4696">
                  <c:v>0.93938787757543896</c:v>
                </c:pt>
                <c:pt idx="4697">
                  <c:v>0.93958791758344051</c:v>
                </c:pt>
                <c:pt idx="4698">
                  <c:v>0.93978795759144207</c:v>
                </c:pt>
                <c:pt idx="4699">
                  <c:v>0.93998799759944363</c:v>
                </c:pt>
                <c:pt idx="4700">
                  <c:v>0.94018803760744518</c:v>
                </c:pt>
                <c:pt idx="4701">
                  <c:v>0.94038807761544674</c:v>
                </c:pt>
                <c:pt idx="4702">
                  <c:v>0.94058811762344829</c:v>
                </c:pt>
                <c:pt idx="4703">
                  <c:v>0.94078815763144985</c:v>
                </c:pt>
                <c:pt idx="4704">
                  <c:v>0.94098819763945141</c:v>
                </c:pt>
                <c:pt idx="4705">
                  <c:v>0.94118823764745296</c:v>
                </c:pt>
                <c:pt idx="4706">
                  <c:v>0.94138827765545452</c:v>
                </c:pt>
                <c:pt idx="4707">
                  <c:v>0.94158831766345608</c:v>
                </c:pt>
                <c:pt idx="4708">
                  <c:v>0.94178835767145763</c:v>
                </c:pt>
                <c:pt idx="4709">
                  <c:v>0.94198839767945919</c:v>
                </c:pt>
                <c:pt idx="4710">
                  <c:v>0.94218843768746074</c:v>
                </c:pt>
                <c:pt idx="4711">
                  <c:v>0.9423884776954623</c:v>
                </c:pt>
                <c:pt idx="4712">
                  <c:v>0.94258851770346386</c:v>
                </c:pt>
                <c:pt idx="4713">
                  <c:v>0.94278855771146541</c:v>
                </c:pt>
                <c:pt idx="4714">
                  <c:v>0.94298859771946697</c:v>
                </c:pt>
                <c:pt idx="4715">
                  <c:v>0.94318863772746853</c:v>
                </c:pt>
                <c:pt idx="4716">
                  <c:v>0.94338867773547008</c:v>
                </c:pt>
                <c:pt idx="4717">
                  <c:v>0.94358871774347164</c:v>
                </c:pt>
                <c:pt idx="4718">
                  <c:v>0.9437887577514732</c:v>
                </c:pt>
                <c:pt idx="4719">
                  <c:v>0.94398879775947475</c:v>
                </c:pt>
                <c:pt idx="4720">
                  <c:v>0.94418883776747631</c:v>
                </c:pt>
                <c:pt idx="4721">
                  <c:v>0.94438887777547786</c:v>
                </c:pt>
                <c:pt idx="4722">
                  <c:v>0.94458891778347942</c:v>
                </c:pt>
                <c:pt idx="4723">
                  <c:v>0.94478895779148098</c:v>
                </c:pt>
                <c:pt idx="4724">
                  <c:v>0.94498899779948253</c:v>
                </c:pt>
                <c:pt idx="4725">
                  <c:v>0.94518903780748409</c:v>
                </c:pt>
                <c:pt idx="4726">
                  <c:v>0.94538907781548565</c:v>
                </c:pt>
                <c:pt idx="4727">
                  <c:v>0.9455891178234872</c:v>
                </c:pt>
                <c:pt idx="4728">
                  <c:v>0.94578915783148876</c:v>
                </c:pt>
                <c:pt idx="4729">
                  <c:v>0.94598919783949031</c:v>
                </c:pt>
                <c:pt idx="4730">
                  <c:v>0.94618923784749187</c:v>
                </c:pt>
                <c:pt idx="4731">
                  <c:v>0.94638927785549343</c:v>
                </c:pt>
                <c:pt idx="4732">
                  <c:v>0.94658931786349498</c:v>
                </c:pt>
                <c:pt idx="4733">
                  <c:v>0.94678935787149654</c:v>
                </c:pt>
                <c:pt idx="4734">
                  <c:v>0.9469893978794981</c:v>
                </c:pt>
                <c:pt idx="4735">
                  <c:v>0.94718943788749965</c:v>
                </c:pt>
                <c:pt idx="4736">
                  <c:v>0.94738947789550121</c:v>
                </c:pt>
                <c:pt idx="4737">
                  <c:v>0.94758951790350276</c:v>
                </c:pt>
                <c:pt idx="4738">
                  <c:v>0.94778955791150432</c:v>
                </c:pt>
                <c:pt idx="4739">
                  <c:v>0.94798959791950588</c:v>
                </c:pt>
                <c:pt idx="4740">
                  <c:v>0.94818963792750743</c:v>
                </c:pt>
                <c:pt idx="4741">
                  <c:v>0.94838967793550899</c:v>
                </c:pt>
                <c:pt idx="4742">
                  <c:v>0.94858971794351055</c:v>
                </c:pt>
                <c:pt idx="4743">
                  <c:v>0.9487897579515121</c:v>
                </c:pt>
                <c:pt idx="4744">
                  <c:v>0.94898979795951366</c:v>
                </c:pt>
                <c:pt idx="4745">
                  <c:v>0.94918983796751522</c:v>
                </c:pt>
                <c:pt idx="4746">
                  <c:v>0.94938987797551677</c:v>
                </c:pt>
                <c:pt idx="4747">
                  <c:v>0.94958991798351833</c:v>
                </c:pt>
                <c:pt idx="4748">
                  <c:v>0.94978995799151988</c:v>
                </c:pt>
                <c:pt idx="4749">
                  <c:v>0.94998999799952144</c:v>
                </c:pt>
                <c:pt idx="4750">
                  <c:v>0.950190038007523</c:v>
                </c:pt>
                <c:pt idx="4751">
                  <c:v>0.95039007801552455</c:v>
                </c:pt>
                <c:pt idx="4752">
                  <c:v>0.95059011802352611</c:v>
                </c:pt>
                <c:pt idx="4753">
                  <c:v>0.95079015803152767</c:v>
                </c:pt>
                <c:pt idx="4754">
                  <c:v>0.95099019803952922</c:v>
                </c:pt>
                <c:pt idx="4755">
                  <c:v>0.95119023804753078</c:v>
                </c:pt>
                <c:pt idx="4756">
                  <c:v>0.95139027805553233</c:v>
                </c:pt>
                <c:pt idx="4757">
                  <c:v>0.95159031806353389</c:v>
                </c:pt>
                <c:pt idx="4758">
                  <c:v>0.95179035807153545</c:v>
                </c:pt>
                <c:pt idx="4759">
                  <c:v>0.951990398079537</c:v>
                </c:pt>
                <c:pt idx="4760">
                  <c:v>0.95219043808753856</c:v>
                </c:pt>
                <c:pt idx="4761">
                  <c:v>0.95239047809554012</c:v>
                </c:pt>
                <c:pt idx="4762">
                  <c:v>0.95259051810354167</c:v>
                </c:pt>
                <c:pt idx="4763">
                  <c:v>0.95279055811154323</c:v>
                </c:pt>
                <c:pt idx="4764">
                  <c:v>0.95299059811954479</c:v>
                </c:pt>
                <c:pt idx="4765">
                  <c:v>0.95319063812754634</c:v>
                </c:pt>
                <c:pt idx="4766">
                  <c:v>0.9533906781355479</c:v>
                </c:pt>
                <c:pt idx="4767">
                  <c:v>0.95359071814354945</c:v>
                </c:pt>
                <c:pt idx="4768">
                  <c:v>0.95379075815155101</c:v>
                </c:pt>
                <c:pt idx="4769">
                  <c:v>0.95399079815955257</c:v>
                </c:pt>
                <c:pt idx="4770">
                  <c:v>0.95419083816755412</c:v>
                </c:pt>
                <c:pt idx="4771">
                  <c:v>0.95439087817555568</c:v>
                </c:pt>
                <c:pt idx="4772">
                  <c:v>0.95459091818355724</c:v>
                </c:pt>
                <c:pt idx="4773">
                  <c:v>0.95479095819155879</c:v>
                </c:pt>
                <c:pt idx="4774">
                  <c:v>0.95499099819956035</c:v>
                </c:pt>
                <c:pt idx="4775">
                  <c:v>0.9551910382075619</c:v>
                </c:pt>
                <c:pt idx="4776">
                  <c:v>0.95539107821556346</c:v>
                </c:pt>
                <c:pt idx="4777">
                  <c:v>0.95559111822356502</c:v>
                </c:pt>
                <c:pt idx="4778">
                  <c:v>0.95579115823156657</c:v>
                </c:pt>
                <c:pt idx="4779">
                  <c:v>0.95599119823956813</c:v>
                </c:pt>
                <c:pt idx="4780">
                  <c:v>0.95619123824756969</c:v>
                </c:pt>
                <c:pt idx="4781">
                  <c:v>0.95639127825557124</c:v>
                </c:pt>
                <c:pt idx="4782">
                  <c:v>0.9565913182635728</c:v>
                </c:pt>
                <c:pt idx="4783">
                  <c:v>0.95679135827157435</c:v>
                </c:pt>
                <c:pt idx="4784">
                  <c:v>0.95699139827957591</c:v>
                </c:pt>
                <c:pt idx="4785">
                  <c:v>0.95719143828757747</c:v>
                </c:pt>
                <c:pt idx="4786">
                  <c:v>0.95739147829557902</c:v>
                </c:pt>
                <c:pt idx="4787">
                  <c:v>0.95759151830358058</c:v>
                </c:pt>
                <c:pt idx="4788">
                  <c:v>0.95779155831158214</c:v>
                </c:pt>
                <c:pt idx="4789">
                  <c:v>0.95799159831958369</c:v>
                </c:pt>
                <c:pt idx="4790">
                  <c:v>0.95819163832758525</c:v>
                </c:pt>
                <c:pt idx="4791">
                  <c:v>0.95839167833558681</c:v>
                </c:pt>
                <c:pt idx="4792">
                  <c:v>0.95859171834358836</c:v>
                </c:pt>
                <c:pt idx="4793">
                  <c:v>0.95879175835158992</c:v>
                </c:pt>
                <c:pt idx="4794">
                  <c:v>0.95899179835959147</c:v>
                </c:pt>
                <c:pt idx="4795">
                  <c:v>0.95919183836759303</c:v>
                </c:pt>
                <c:pt idx="4796">
                  <c:v>0.95939187837559459</c:v>
                </c:pt>
                <c:pt idx="4797">
                  <c:v>0.95959191838359614</c:v>
                </c:pt>
                <c:pt idx="4798">
                  <c:v>0.9597919583915977</c:v>
                </c:pt>
                <c:pt idx="4799">
                  <c:v>0.95999199839959926</c:v>
                </c:pt>
                <c:pt idx="4800">
                  <c:v>0.96019203840760081</c:v>
                </c:pt>
                <c:pt idx="4801">
                  <c:v>0.96039207841560237</c:v>
                </c:pt>
                <c:pt idx="4802">
                  <c:v>0.96059211842360392</c:v>
                </c:pt>
                <c:pt idx="4803">
                  <c:v>0.96079215843160548</c:v>
                </c:pt>
                <c:pt idx="4804">
                  <c:v>0.96099219843960704</c:v>
                </c:pt>
                <c:pt idx="4805">
                  <c:v>0.96119223844760859</c:v>
                </c:pt>
                <c:pt idx="4806">
                  <c:v>0.96139227845561015</c:v>
                </c:pt>
                <c:pt idx="4807">
                  <c:v>0.96159231846361171</c:v>
                </c:pt>
                <c:pt idx="4808">
                  <c:v>0.96179235847161326</c:v>
                </c:pt>
                <c:pt idx="4809">
                  <c:v>0.96199239847961482</c:v>
                </c:pt>
                <c:pt idx="4810">
                  <c:v>0.96219243848761637</c:v>
                </c:pt>
                <c:pt idx="4811">
                  <c:v>0.96239247849561793</c:v>
                </c:pt>
                <c:pt idx="4812">
                  <c:v>0.96259251850361949</c:v>
                </c:pt>
                <c:pt idx="4813">
                  <c:v>0.96279255851162104</c:v>
                </c:pt>
                <c:pt idx="4814">
                  <c:v>0.9629925985196226</c:v>
                </c:pt>
                <c:pt idx="4815">
                  <c:v>0.96319263852762416</c:v>
                </c:pt>
                <c:pt idx="4816">
                  <c:v>0.96339267853562571</c:v>
                </c:pt>
                <c:pt idx="4817">
                  <c:v>0.96359271854362727</c:v>
                </c:pt>
                <c:pt idx="4818">
                  <c:v>0.96379275855162883</c:v>
                </c:pt>
                <c:pt idx="4819">
                  <c:v>0.96399279855963038</c:v>
                </c:pt>
                <c:pt idx="4820">
                  <c:v>0.96419283856763194</c:v>
                </c:pt>
                <c:pt idx="4821">
                  <c:v>0.96439287857563349</c:v>
                </c:pt>
                <c:pt idx="4822">
                  <c:v>0.96459291858363505</c:v>
                </c:pt>
                <c:pt idx="4823">
                  <c:v>0.96479295859163661</c:v>
                </c:pt>
                <c:pt idx="4824">
                  <c:v>0.96499299859963816</c:v>
                </c:pt>
                <c:pt idx="4825">
                  <c:v>0.96519303860763972</c:v>
                </c:pt>
                <c:pt idx="4826">
                  <c:v>0.96539307861564128</c:v>
                </c:pt>
                <c:pt idx="4827">
                  <c:v>0.96559311862364283</c:v>
                </c:pt>
                <c:pt idx="4828">
                  <c:v>0.96579315863164439</c:v>
                </c:pt>
                <c:pt idx="4829">
                  <c:v>0.96599319863964594</c:v>
                </c:pt>
                <c:pt idx="4830">
                  <c:v>0.9661932386476475</c:v>
                </c:pt>
                <c:pt idx="4831">
                  <c:v>0.96639327865564906</c:v>
                </c:pt>
                <c:pt idx="4832">
                  <c:v>0.96659331866365061</c:v>
                </c:pt>
                <c:pt idx="4833">
                  <c:v>0.96679335867165217</c:v>
                </c:pt>
                <c:pt idx="4834">
                  <c:v>0.96699339867965373</c:v>
                </c:pt>
                <c:pt idx="4835">
                  <c:v>0.96719343868765528</c:v>
                </c:pt>
                <c:pt idx="4836">
                  <c:v>0.96739347869565684</c:v>
                </c:pt>
                <c:pt idx="4837">
                  <c:v>0.9675935187036584</c:v>
                </c:pt>
                <c:pt idx="4838">
                  <c:v>0.96779355871165995</c:v>
                </c:pt>
                <c:pt idx="4839">
                  <c:v>0.96799359871966151</c:v>
                </c:pt>
                <c:pt idx="4840">
                  <c:v>0.96819363872766306</c:v>
                </c:pt>
                <c:pt idx="4841">
                  <c:v>0.96839367873566462</c:v>
                </c:pt>
                <c:pt idx="4842">
                  <c:v>0.96859371874366618</c:v>
                </c:pt>
                <c:pt idx="4843">
                  <c:v>0.96879375875166773</c:v>
                </c:pt>
                <c:pt idx="4844">
                  <c:v>0.96899379875966929</c:v>
                </c:pt>
                <c:pt idx="4845">
                  <c:v>0.96919383876767085</c:v>
                </c:pt>
                <c:pt idx="4846">
                  <c:v>0.9693938787756724</c:v>
                </c:pt>
                <c:pt idx="4847">
                  <c:v>0.96959391878367396</c:v>
                </c:pt>
                <c:pt idx="4848">
                  <c:v>0.96979395879167551</c:v>
                </c:pt>
                <c:pt idx="4849">
                  <c:v>0.96999399879967707</c:v>
                </c:pt>
                <c:pt idx="4850">
                  <c:v>0.97019403880767863</c:v>
                </c:pt>
                <c:pt idx="4851">
                  <c:v>0.97039407881568018</c:v>
                </c:pt>
                <c:pt idx="4852">
                  <c:v>0.97059411882368174</c:v>
                </c:pt>
                <c:pt idx="4853">
                  <c:v>0.9707941588316833</c:v>
                </c:pt>
                <c:pt idx="4854">
                  <c:v>0.97099419883968485</c:v>
                </c:pt>
                <c:pt idx="4855">
                  <c:v>0.97119423884768641</c:v>
                </c:pt>
                <c:pt idx="4856">
                  <c:v>0.97139427885568796</c:v>
                </c:pt>
                <c:pt idx="4857">
                  <c:v>0.97159431886368952</c:v>
                </c:pt>
                <c:pt idx="4858">
                  <c:v>0.97179435887169108</c:v>
                </c:pt>
                <c:pt idx="4859">
                  <c:v>0.97199439887969263</c:v>
                </c:pt>
                <c:pt idx="4860">
                  <c:v>0.97219443888769419</c:v>
                </c:pt>
                <c:pt idx="4861">
                  <c:v>0.97239447889569575</c:v>
                </c:pt>
                <c:pt idx="4862">
                  <c:v>0.9725945189036973</c:v>
                </c:pt>
                <c:pt idx="4863">
                  <c:v>0.97279455891169886</c:v>
                </c:pt>
                <c:pt idx="4864">
                  <c:v>0.97299459891970042</c:v>
                </c:pt>
                <c:pt idx="4865">
                  <c:v>0.97319463892770197</c:v>
                </c:pt>
                <c:pt idx="4866">
                  <c:v>0.97339467893570353</c:v>
                </c:pt>
                <c:pt idx="4867">
                  <c:v>0.97359471894370508</c:v>
                </c:pt>
                <c:pt idx="4868">
                  <c:v>0.97379475895170664</c:v>
                </c:pt>
                <c:pt idx="4869">
                  <c:v>0.9739947989597082</c:v>
                </c:pt>
                <c:pt idx="4870">
                  <c:v>0.97419483896770975</c:v>
                </c:pt>
                <c:pt idx="4871">
                  <c:v>0.97439487897571131</c:v>
                </c:pt>
                <c:pt idx="4872">
                  <c:v>0.97459491898371287</c:v>
                </c:pt>
                <c:pt idx="4873">
                  <c:v>0.97479495899171442</c:v>
                </c:pt>
                <c:pt idx="4874">
                  <c:v>0.97499499899971598</c:v>
                </c:pt>
                <c:pt idx="4875">
                  <c:v>0.97519503900771753</c:v>
                </c:pt>
                <c:pt idx="4876">
                  <c:v>0.97539507901571909</c:v>
                </c:pt>
                <c:pt idx="4877">
                  <c:v>0.97559511902372065</c:v>
                </c:pt>
                <c:pt idx="4878">
                  <c:v>0.9757951590317222</c:v>
                </c:pt>
                <c:pt idx="4879">
                  <c:v>0.97599519903972376</c:v>
                </c:pt>
                <c:pt idx="4880">
                  <c:v>0.97619523904772532</c:v>
                </c:pt>
                <c:pt idx="4881">
                  <c:v>0.97639527905572687</c:v>
                </c:pt>
                <c:pt idx="4882">
                  <c:v>0.97659531906372843</c:v>
                </c:pt>
                <c:pt idx="4883">
                  <c:v>0.97679535907172998</c:v>
                </c:pt>
                <c:pt idx="4884">
                  <c:v>0.97699539907973154</c:v>
                </c:pt>
                <c:pt idx="4885">
                  <c:v>0.9771954390877331</c:v>
                </c:pt>
                <c:pt idx="4886">
                  <c:v>0.97739547909573465</c:v>
                </c:pt>
                <c:pt idx="4887">
                  <c:v>0.97759551910373621</c:v>
                </c:pt>
                <c:pt idx="4888">
                  <c:v>0.97779555911173777</c:v>
                </c:pt>
                <c:pt idx="4889">
                  <c:v>0.97799559911973932</c:v>
                </c:pt>
                <c:pt idx="4890">
                  <c:v>0.97819563912774088</c:v>
                </c:pt>
                <c:pt idx="4891">
                  <c:v>0.97839567913574244</c:v>
                </c:pt>
                <c:pt idx="4892">
                  <c:v>0.97859571914374399</c:v>
                </c:pt>
                <c:pt idx="4893">
                  <c:v>0.97879575915174555</c:v>
                </c:pt>
                <c:pt idx="4894">
                  <c:v>0.9789957991597471</c:v>
                </c:pt>
                <c:pt idx="4895">
                  <c:v>0.97919583916774866</c:v>
                </c:pt>
                <c:pt idx="4896">
                  <c:v>0.97939587917575022</c:v>
                </c:pt>
                <c:pt idx="4897">
                  <c:v>0.97959591918375177</c:v>
                </c:pt>
                <c:pt idx="4898">
                  <c:v>0.97979595919175333</c:v>
                </c:pt>
                <c:pt idx="4899">
                  <c:v>0.97999599919975489</c:v>
                </c:pt>
                <c:pt idx="4900">
                  <c:v>0.98019603920775644</c:v>
                </c:pt>
                <c:pt idx="4901">
                  <c:v>0.980396079215758</c:v>
                </c:pt>
                <c:pt idx="4902">
                  <c:v>0.98059611922375955</c:v>
                </c:pt>
                <c:pt idx="4903">
                  <c:v>0.98079615923176111</c:v>
                </c:pt>
                <c:pt idx="4904">
                  <c:v>0.98099619923976267</c:v>
                </c:pt>
                <c:pt idx="4905">
                  <c:v>0.98119623924776422</c:v>
                </c:pt>
                <c:pt idx="4906">
                  <c:v>0.98139627925576578</c:v>
                </c:pt>
                <c:pt idx="4907">
                  <c:v>0.98159631926376734</c:v>
                </c:pt>
                <c:pt idx="4908">
                  <c:v>0.98179635927176889</c:v>
                </c:pt>
                <c:pt idx="4909">
                  <c:v>0.98199639927977045</c:v>
                </c:pt>
                <c:pt idx="4910">
                  <c:v>0.98219643928777201</c:v>
                </c:pt>
                <c:pt idx="4911">
                  <c:v>0.98239647929577356</c:v>
                </c:pt>
                <c:pt idx="4912">
                  <c:v>0.98259651930377512</c:v>
                </c:pt>
                <c:pt idx="4913">
                  <c:v>0.98279655931177667</c:v>
                </c:pt>
                <c:pt idx="4914">
                  <c:v>0.98299659931977823</c:v>
                </c:pt>
                <c:pt idx="4915">
                  <c:v>0.98319663932777979</c:v>
                </c:pt>
                <c:pt idx="4916">
                  <c:v>0.98339667933578134</c:v>
                </c:pt>
                <c:pt idx="4917">
                  <c:v>0.9835967193437829</c:v>
                </c:pt>
                <c:pt idx="4918">
                  <c:v>0.98379675935178446</c:v>
                </c:pt>
                <c:pt idx="4919">
                  <c:v>0.98399679935978601</c:v>
                </c:pt>
                <c:pt idx="4920">
                  <c:v>0.98419683936778757</c:v>
                </c:pt>
                <c:pt idx="4921">
                  <c:v>0.98439687937578912</c:v>
                </c:pt>
                <c:pt idx="4922">
                  <c:v>0.98459691938379068</c:v>
                </c:pt>
                <c:pt idx="4923">
                  <c:v>0.98479695939179224</c:v>
                </c:pt>
                <c:pt idx="4924">
                  <c:v>0.98499699939979379</c:v>
                </c:pt>
                <c:pt idx="4925">
                  <c:v>0.98519703940779535</c:v>
                </c:pt>
                <c:pt idx="4926">
                  <c:v>0.98539707941579691</c:v>
                </c:pt>
                <c:pt idx="4927">
                  <c:v>0.98559711942379846</c:v>
                </c:pt>
                <c:pt idx="4928">
                  <c:v>0.98579715943180002</c:v>
                </c:pt>
                <c:pt idx="4929">
                  <c:v>0.98599719943980157</c:v>
                </c:pt>
                <c:pt idx="4930">
                  <c:v>0.98619723944780313</c:v>
                </c:pt>
                <c:pt idx="4931">
                  <c:v>0.98639727945580469</c:v>
                </c:pt>
                <c:pt idx="4932">
                  <c:v>0.98659731946380624</c:v>
                </c:pt>
                <c:pt idx="4933">
                  <c:v>0.9867973594718078</c:v>
                </c:pt>
                <c:pt idx="4934">
                  <c:v>0.98699739947980936</c:v>
                </c:pt>
                <c:pt idx="4935">
                  <c:v>0.98719743948781091</c:v>
                </c:pt>
                <c:pt idx="4936">
                  <c:v>0.98739747949581247</c:v>
                </c:pt>
                <c:pt idx="4937">
                  <c:v>0.98759751950381403</c:v>
                </c:pt>
                <c:pt idx="4938">
                  <c:v>0.98779755951181558</c:v>
                </c:pt>
                <c:pt idx="4939">
                  <c:v>0.98799759951981714</c:v>
                </c:pt>
                <c:pt idx="4940">
                  <c:v>0.98819763952781869</c:v>
                </c:pt>
                <c:pt idx="4941">
                  <c:v>0.98839767953582025</c:v>
                </c:pt>
                <c:pt idx="4942">
                  <c:v>0.98859771954382181</c:v>
                </c:pt>
                <c:pt idx="4943">
                  <c:v>0.98879775955182336</c:v>
                </c:pt>
                <c:pt idx="4944">
                  <c:v>0.98899779955982492</c:v>
                </c:pt>
                <c:pt idx="4945">
                  <c:v>0.98919783956782648</c:v>
                </c:pt>
                <c:pt idx="4946">
                  <c:v>0.98939787957582803</c:v>
                </c:pt>
                <c:pt idx="4947">
                  <c:v>0.98959791958382959</c:v>
                </c:pt>
                <c:pt idx="4948">
                  <c:v>0.98979795959183114</c:v>
                </c:pt>
                <c:pt idx="4949">
                  <c:v>0.9899979995998327</c:v>
                </c:pt>
                <c:pt idx="4950">
                  <c:v>0.99019803960783426</c:v>
                </c:pt>
                <c:pt idx="4951">
                  <c:v>0.99039807961583581</c:v>
                </c:pt>
                <c:pt idx="4952">
                  <c:v>0.99059811962383737</c:v>
                </c:pt>
                <c:pt idx="4953">
                  <c:v>0.99079815963183893</c:v>
                </c:pt>
                <c:pt idx="4954">
                  <c:v>0.99099819963984048</c:v>
                </c:pt>
                <c:pt idx="4955">
                  <c:v>0.99119823964784204</c:v>
                </c:pt>
                <c:pt idx="4956">
                  <c:v>0.9913982796558436</c:v>
                </c:pt>
                <c:pt idx="4957">
                  <c:v>0.99159831966384515</c:v>
                </c:pt>
                <c:pt idx="4958">
                  <c:v>0.99179835967184671</c:v>
                </c:pt>
                <c:pt idx="4959">
                  <c:v>0.99199839967984826</c:v>
                </c:pt>
                <c:pt idx="4960">
                  <c:v>0.99219843968784982</c:v>
                </c:pt>
                <c:pt idx="4961">
                  <c:v>0.99239847969585138</c:v>
                </c:pt>
                <c:pt idx="4962">
                  <c:v>0.99259851970385293</c:v>
                </c:pt>
                <c:pt idx="4963">
                  <c:v>0.99279855971185449</c:v>
                </c:pt>
                <c:pt idx="4964">
                  <c:v>0.99299859971985605</c:v>
                </c:pt>
                <c:pt idx="4965">
                  <c:v>0.9931986397278576</c:v>
                </c:pt>
                <c:pt idx="4966">
                  <c:v>0.99339867973585916</c:v>
                </c:pt>
                <c:pt idx="4967">
                  <c:v>0.99359871974386071</c:v>
                </c:pt>
                <c:pt idx="4968">
                  <c:v>0.99379875975186227</c:v>
                </c:pt>
                <c:pt idx="4969">
                  <c:v>0.99399879975986383</c:v>
                </c:pt>
                <c:pt idx="4970">
                  <c:v>0.99419883976786538</c:v>
                </c:pt>
                <c:pt idx="4971">
                  <c:v>0.99439887977586694</c:v>
                </c:pt>
                <c:pt idx="4972">
                  <c:v>0.9945989197838685</c:v>
                </c:pt>
                <c:pt idx="4973">
                  <c:v>0.99479895979187005</c:v>
                </c:pt>
                <c:pt idx="4974">
                  <c:v>0.99499899979987161</c:v>
                </c:pt>
                <c:pt idx="4975">
                  <c:v>0.99519903980787316</c:v>
                </c:pt>
                <c:pt idx="4976">
                  <c:v>0.99539907981587472</c:v>
                </c:pt>
                <c:pt idx="4977">
                  <c:v>0.99559911982387628</c:v>
                </c:pt>
                <c:pt idx="4978">
                  <c:v>0.99579915983187783</c:v>
                </c:pt>
                <c:pt idx="4979">
                  <c:v>0.99599919983987939</c:v>
                </c:pt>
                <c:pt idx="4980">
                  <c:v>0.99619923984788095</c:v>
                </c:pt>
                <c:pt idx="4981">
                  <c:v>0.9963992798558825</c:v>
                </c:pt>
                <c:pt idx="4982">
                  <c:v>0.99659931986388406</c:v>
                </c:pt>
                <c:pt idx="4983">
                  <c:v>0.99679935987188562</c:v>
                </c:pt>
                <c:pt idx="4984">
                  <c:v>0.99699939987988717</c:v>
                </c:pt>
                <c:pt idx="4985">
                  <c:v>0.99719943988788873</c:v>
                </c:pt>
                <c:pt idx="4986">
                  <c:v>0.99739947989589028</c:v>
                </c:pt>
                <c:pt idx="4987">
                  <c:v>0.99759951990389184</c:v>
                </c:pt>
                <c:pt idx="4988">
                  <c:v>0.9977995599118934</c:v>
                </c:pt>
                <c:pt idx="4989">
                  <c:v>0.99799959991989495</c:v>
                </c:pt>
                <c:pt idx="4990">
                  <c:v>0.99819963992789651</c:v>
                </c:pt>
                <c:pt idx="4991">
                  <c:v>0.99839967993589807</c:v>
                </c:pt>
                <c:pt idx="4992">
                  <c:v>0.99859971994389962</c:v>
                </c:pt>
                <c:pt idx="4993">
                  <c:v>0.99879975995190118</c:v>
                </c:pt>
                <c:pt idx="4994">
                  <c:v>0.99899979995990273</c:v>
                </c:pt>
                <c:pt idx="4995">
                  <c:v>0.99919983996790429</c:v>
                </c:pt>
                <c:pt idx="4996">
                  <c:v>0.99939987997590585</c:v>
                </c:pt>
                <c:pt idx="4997">
                  <c:v>0.9995999199839074</c:v>
                </c:pt>
                <c:pt idx="4998">
                  <c:v>0.99979995999190896</c:v>
                </c:pt>
                <c:pt idx="4999">
                  <c:v>0.99999999999991052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SimData5000!$J$5008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SimData5000!$J$5009:$J$10008</c:f>
              <c:numCache>
                <c:formatCode>General</c:formatCode>
                <c:ptCount val="5000"/>
                <c:pt idx="0">
                  <c:v>9.1727842118416447E-5</c:v>
                </c:pt>
                <c:pt idx="1">
                  <c:v>2.8333220689091831E-4</c:v>
                </c:pt>
                <c:pt idx="2">
                  <c:v>4.3205175006733043E-4</c:v>
                </c:pt>
                <c:pt idx="3">
                  <c:v>5.153652327862801E-4</c:v>
                </c:pt>
                <c:pt idx="4">
                  <c:v>7.471871676898445E-4</c:v>
                </c:pt>
                <c:pt idx="5">
                  <c:v>9.3215253855305491E-4</c:v>
                </c:pt>
                <c:pt idx="6">
                  <c:v>1.0271333321725251E-3</c:v>
                </c:pt>
                <c:pt idx="7">
                  <c:v>1.2644141852717894E-3</c:v>
                </c:pt>
                <c:pt idx="8">
                  <c:v>1.6232153229793767E-3</c:v>
                </c:pt>
                <c:pt idx="9">
                  <c:v>1.8419322323097731E-3</c:v>
                </c:pt>
                <c:pt idx="10">
                  <c:v>1.8903292502727709E-3</c:v>
                </c:pt>
                <c:pt idx="11">
                  <c:v>2.0163308035989758E-3</c:v>
                </c:pt>
                <c:pt idx="12">
                  <c:v>2.168048667954281E-3</c:v>
                </c:pt>
                <c:pt idx="13">
                  <c:v>2.2322748263832182E-3</c:v>
                </c:pt>
                <c:pt idx="14">
                  <c:v>2.6156873400395853E-3</c:v>
                </c:pt>
                <c:pt idx="15">
                  <c:v>3.0863902629789663E-3</c:v>
                </c:pt>
                <c:pt idx="16">
                  <c:v>3.2746183651397587E-3</c:v>
                </c:pt>
                <c:pt idx="17">
                  <c:v>3.648773352324497E-3</c:v>
                </c:pt>
                <c:pt idx="18">
                  <c:v>3.6926369220964261E-3</c:v>
                </c:pt>
                <c:pt idx="19">
                  <c:v>3.8029689603717998E-3</c:v>
                </c:pt>
                <c:pt idx="20">
                  <c:v>3.8463407126982929E-3</c:v>
                </c:pt>
                <c:pt idx="21">
                  <c:v>4.1242197939936887E-3</c:v>
                </c:pt>
                <c:pt idx="22">
                  <c:v>4.1567488851796952E-3</c:v>
                </c:pt>
                <c:pt idx="23">
                  <c:v>4.1587055993659305E-3</c:v>
                </c:pt>
                <c:pt idx="24">
                  <c:v>5.1606116330731311E-3</c:v>
                </c:pt>
                <c:pt idx="25">
                  <c:v>5.6663850491531775E-3</c:v>
                </c:pt>
                <c:pt idx="26">
                  <c:v>5.7819197463686578E-3</c:v>
                </c:pt>
                <c:pt idx="27">
                  <c:v>5.9353476699470775E-3</c:v>
                </c:pt>
                <c:pt idx="28">
                  <c:v>5.9414636489236727E-3</c:v>
                </c:pt>
                <c:pt idx="29">
                  <c:v>5.950964626208588E-3</c:v>
                </c:pt>
                <c:pt idx="30">
                  <c:v>6.1882270802016137E-3</c:v>
                </c:pt>
                <c:pt idx="31">
                  <c:v>6.2073429298834526E-3</c:v>
                </c:pt>
                <c:pt idx="32">
                  <c:v>6.3708604084240505E-3</c:v>
                </c:pt>
                <c:pt idx="33">
                  <c:v>6.5629412210910232E-3</c:v>
                </c:pt>
                <c:pt idx="34">
                  <c:v>6.7637172915055999E-3</c:v>
                </c:pt>
                <c:pt idx="35">
                  <c:v>7.0262383733279421E-3</c:v>
                </c:pt>
                <c:pt idx="36">
                  <c:v>7.273145361978095E-3</c:v>
                </c:pt>
                <c:pt idx="37">
                  <c:v>7.3581082815508125E-3</c:v>
                </c:pt>
                <c:pt idx="38">
                  <c:v>7.5820788979399367E-3</c:v>
                </c:pt>
                <c:pt idx="39">
                  <c:v>7.627955469644121E-3</c:v>
                </c:pt>
                <c:pt idx="40">
                  <c:v>8.0425475562151405E-3</c:v>
                </c:pt>
                <c:pt idx="41">
                  <c:v>8.0652307642594678E-3</c:v>
                </c:pt>
                <c:pt idx="42">
                  <c:v>8.2119646249338984E-3</c:v>
                </c:pt>
                <c:pt idx="43">
                  <c:v>8.3134663409509812E-3</c:v>
                </c:pt>
                <c:pt idx="44">
                  <c:v>8.6022940895418287E-3</c:v>
                </c:pt>
                <c:pt idx="45">
                  <c:v>8.6322374800147372E-3</c:v>
                </c:pt>
                <c:pt idx="46">
                  <c:v>8.6480986610695254E-3</c:v>
                </c:pt>
                <c:pt idx="47">
                  <c:v>8.6948504331303411E-3</c:v>
                </c:pt>
                <c:pt idx="48">
                  <c:v>9.2911625097258366E-3</c:v>
                </c:pt>
                <c:pt idx="49">
                  <c:v>1.0097569468598522E-2</c:v>
                </c:pt>
                <c:pt idx="50">
                  <c:v>1.0287612002684909E-2</c:v>
                </c:pt>
                <c:pt idx="51">
                  <c:v>1.0481258193976828E-2</c:v>
                </c:pt>
                <c:pt idx="52">
                  <c:v>1.091874330995779E-2</c:v>
                </c:pt>
                <c:pt idx="53">
                  <c:v>1.1015247405339323E-2</c:v>
                </c:pt>
                <c:pt idx="54">
                  <c:v>1.1035830137188896E-2</c:v>
                </c:pt>
                <c:pt idx="55">
                  <c:v>1.12179393408951E-2</c:v>
                </c:pt>
                <c:pt idx="56">
                  <c:v>1.128977817370469E-2</c:v>
                </c:pt>
                <c:pt idx="57">
                  <c:v>1.1375620073522441E-2</c:v>
                </c:pt>
                <c:pt idx="58">
                  <c:v>1.1797494290476607E-2</c:v>
                </c:pt>
                <c:pt idx="59">
                  <c:v>1.1921999709556985E-2</c:v>
                </c:pt>
                <c:pt idx="60">
                  <c:v>1.194568632854498E-2</c:v>
                </c:pt>
                <c:pt idx="61">
                  <c:v>1.1973781150118157E-2</c:v>
                </c:pt>
                <c:pt idx="62">
                  <c:v>1.2231115264512482E-2</c:v>
                </c:pt>
                <c:pt idx="63">
                  <c:v>1.2356357107819349E-2</c:v>
                </c:pt>
                <c:pt idx="64">
                  <c:v>1.2360042199361487E-2</c:v>
                </c:pt>
                <c:pt idx="65">
                  <c:v>1.2390825053444132E-2</c:v>
                </c:pt>
                <c:pt idx="66">
                  <c:v>1.2554811499285279E-2</c:v>
                </c:pt>
                <c:pt idx="67">
                  <c:v>1.2802545428712619E-2</c:v>
                </c:pt>
                <c:pt idx="68">
                  <c:v>1.2831189765165618E-2</c:v>
                </c:pt>
                <c:pt idx="69">
                  <c:v>1.3184487728722161E-2</c:v>
                </c:pt>
                <c:pt idx="70">
                  <c:v>1.3229039615907823E-2</c:v>
                </c:pt>
                <c:pt idx="71">
                  <c:v>1.3255339254101273E-2</c:v>
                </c:pt>
                <c:pt idx="72">
                  <c:v>1.3568766437401791E-2</c:v>
                </c:pt>
                <c:pt idx="73">
                  <c:v>1.3645377172920803E-2</c:v>
                </c:pt>
                <c:pt idx="74">
                  <c:v>1.3988583008540445E-2</c:v>
                </c:pt>
                <c:pt idx="75">
                  <c:v>1.4292722633399535E-2</c:v>
                </c:pt>
                <c:pt idx="76">
                  <c:v>1.439909454802546E-2</c:v>
                </c:pt>
                <c:pt idx="77">
                  <c:v>1.4572925180800667E-2</c:v>
                </c:pt>
                <c:pt idx="78">
                  <c:v>1.5743304876195907E-2</c:v>
                </c:pt>
                <c:pt idx="79">
                  <c:v>1.577988816643483E-2</c:v>
                </c:pt>
                <c:pt idx="80">
                  <c:v>1.5787313122018531E-2</c:v>
                </c:pt>
                <c:pt idx="81">
                  <c:v>1.5825004299585999E-2</c:v>
                </c:pt>
                <c:pt idx="82">
                  <c:v>1.5922470924124354E-2</c:v>
                </c:pt>
                <c:pt idx="83">
                  <c:v>1.5927534360343998E-2</c:v>
                </c:pt>
                <c:pt idx="84">
                  <c:v>1.6348713206753018E-2</c:v>
                </c:pt>
                <c:pt idx="85">
                  <c:v>1.6391836370530655E-2</c:v>
                </c:pt>
                <c:pt idx="86">
                  <c:v>1.6403022222220898E-2</c:v>
                </c:pt>
                <c:pt idx="87">
                  <c:v>1.6555170444007672E-2</c:v>
                </c:pt>
                <c:pt idx="88">
                  <c:v>1.6750566585869819E-2</c:v>
                </c:pt>
                <c:pt idx="89">
                  <c:v>1.6925931584410137E-2</c:v>
                </c:pt>
                <c:pt idx="90">
                  <c:v>1.7018139355997164E-2</c:v>
                </c:pt>
                <c:pt idx="91">
                  <c:v>1.7392431357620808E-2</c:v>
                </c:pt>
                <c:pt idx="92">
                  <c:v>1.7446736077545211E-2</c:v>
                </c:pt>
                <c:pt idx="93">
                  <c:v>1.7684954889773508E-2</c:v>
                </c:pt>
                <c:pt idx="94">
                  <c:v>1.7852739386398753E-2</c:v>
                </c:pt>
                <c:pt idx="95">
                  <c:v>1.8012636838648177E-2</c:v>
                </c:pt>
                <c:pt idx="96">
                  <c:v>1.8137094102712581E-2</c:v>
                </c:pt>
                <c:pt idx="97">
                  <c:v>1.8198110235061904E-2</c:v>
                </c:pt>
                <c:pt idx="98">
                  <c:v>1.8737711074209074E-2</c:v>
                </c:pt>
                <c:pt idx="99">
                  <c:v>1.876882292344817E-2</c:v>
                </c:pt>
                <c:pt idx="100">
                  <c:v>1.9399032300526642E-2</c:v>
                </c:pt>
                <c:pt idx="101">
                  <c:v>1.951285026370897E-2</c:v>
                </c:pt>
                <c:pt idx="102">
                  <c:v>1.9555014790057612E-2</c:v>
                </c:pt>
                <c:pt idx="103">
                  <c:v>1.9680458470247686E-2</c:v>
                </c:pt>
                <c:pt idx="104">
                  <c:v>1.9780421984251007E-2</c:v>
                </c:pt>
                <c:pt idx="105">
                  <c:v>1.9895940322385286E-2</c:v>
                </c:pt>
                <c:pt idx="106">
                  <c:v>2.0012816839766856E-2</c:v>
                </c:pt>
                <c:pt idx="107">
                  <c:v>2.0438138739336864E-2</c:v>
                </c:pt>
                <c:pt idx="108">
                  <c:v>2.0594457285369572E-2</c:v>
                </c:pt>
                <c:pt idx="109">
                  <c:v>2.1245025417556462E-2</c:v>
                </c:pt>
                <c:pt idx="110">
                  <c:v>2.1371671388806135E-2</c:v>
                </c:pt>
                <c:pt idx="111">
                  <c:v>2.1700923117350612E-2</c:v>
                </c:pt>
                <c:pt idx="112">
                  <c:v>2.1701209469483729E-2</c:v>
                </c:pt>
                <c:pt idx="113">
                  <c:v>2.1704471836528683E-2</c:v>
                </c:pt>
                <c:pt idx="114">
                  <c:v>2.2042790465093276E-2</c:v>
                </c:pt>
                <c:pt idx="115">
                  <c:v>2.2092718789281207E-2</c:v>
                </c:pt>
                <c:pt idx="116">
                  <c:v>2.2215484726075374E-2</c:v>
                </c:pt>
                <c:pt idx="117">
                  <c:v>2.2262887432589196E-2</c:v>
                </c:pt>
                <c:pt idx="118">
                  <c:v>2.2270169296476183E-2</c:v>
                </c:pt>
                <c:pt idx="119">
                  <c:v>2.2648867120551586E-2</c:v>
                </c:pt>
                <c:pt idx="120">
                  <c:v>2.2815419442849816E-2</c:v>
                </c:pt>
                <c:pt idx="121">
                  <c:v>2.2891582781994657E-2</c:v>
                </c:pt>
                <c:pt idx="122">
                  <c:v>2.2957247507292777E-2</c:v>
                </c:pt>
                <c:pt idx="123">
                  <c:v>2.311018251839414E-2</c:v>
                </c:pt>
                <c:pt idx="124">
                  <c:v>2.332212393048394E-2</c:v>
                </c:pt>
                <c:pt idx="125">
                  <c:v>2.3684268002398312E-2</c:v>
                </c:pt>
                <c:pt idx="126">
                  <c:v>2.3830467504922126E-2</c:v>
                </c:pt>
                <c:pt idx="127">
                  <c:v>2.4259594545583241E-2</c:v>
                </c:pt>
                <c:pt idx="128">
                  <c:v>2.4528953204935533E-2</c:v>
                </c:pt>
                <c:pt idx="129">
                  <c:v>2.4786119398413575E-2</c:v>
                </c:pt>
                <c:pt idx="130">
                  <c:v>2.4931180576459155E-2</c:v>
                </c:pt>
                <c:pt idx="131">
                  <c:v>2.514340130801429E-2</c:v>
                </c:pt>
                <c:pt idx="132">
                  <c:v>2.5226823942830379E-2</c:v>
                </c:pt>
                <c:pt idx="133">
                  <c:v>2.5414971867576241E-2</c:v>
                </c:pt>
                <c:pt idx="134">
                  <c:v>2.5671854127736538E-2</c:v>
                </c:pt>
                <c:pt idx="135">
                  <c:v>2.5672971029962355E-2</c:v>
                </c:pt>
                <c:pt idx="136">
                  <c:v>2.5679687956653652E-2</c:v>
                </c:pt>
                <c:pt idx="137">
                  <c:v>2.5890074442941113E-2</c:v>
                </c:pt>
                <c:pt idx="138">
                  <c:v>2.6266059636327554E-2</c:v>
                </c:pt>
                <c:pt idx="139">
                  <c:v>2.6432833237777231E-2</c:v>
                </c:pt>
                <c:pt idx="140">
                  <c:v>2.6664787872505258E-2</c:v>
                </c:pt>
                <c:pt idx="141">
                  <c:v>2.7021098870136484E-2</c:v>
                </c:pt>
                <c:pt idx="142">
                  <c:v>2.7167300318069465E-2</c:v>
                </c:pt>
                <c:pt idx="143">
                  <c:v>2.7500210478137888E-2</c:v>
                </c:pt>
                <c:pt idx="144">
                  <c:v>2.7744066756895336E-2</c:v>
                </c:pt>
                <c:pt idx="145">
                  <c:v>2.7918199074520089E-2</c:v>
                </c:pt>
                <c:pt idx="146">
                  <c:v>2.7985301659100514E-2</c:v>
                </c:pt>
                <c:pt idx="147">
                  <c:v>2.8099689626287727E-2</c:v>
                </c:pt>
                <c:pt idx="148">
                  <c:v>2.8128042146818188E-2</c:v>
                </c:pt>
                <c:pt idx="149">
                  <c:v>2.8895009178995679E-2</c:v>
                </c:pt>
                <c:pt idx="150">
                  <c:v>2.8921851709128532E-2</c:v>
                </c:pt>
                <c:pt idx="151">
                  <c:v>2.9363424475377542E-2</c:v>
                </c:pt>
                <c:pt idx="152">
                  <c:v>2.9405522552224284E-2</c:v>
                </c:pt>
                <c:pt idx="153">
                  <c:v>2.9433180935484415E-2</c:v>
                </c:pt>
                <c:pt idx="154">
                  <c:v>2.9829029083884961E-2</c:v>
                </c:pt>
                <c:pt idx="155">
                  <c:v>2.9972410152367956E-2</c:v>
                </c:pt>
                <c:pt idx="156">
                  <c:v>3.0103581782896072E-2</c:v>
                </c:pt>
                <c:pt idx="157">
                  <c:v>3.0432865472903359E-2</c:v>
                </c:pt>
                <c:pt idx="158">
                  <c:v>3.0750826035728096E-2</c:v>
                </c:pt>
                <c:pt idx="159">
                  <c:v>3.1223037701238354E-2</c:v>
                </c:pt>
                <c:pt idx="160">
                  <c:v>3.1592285277852739E-2</c:v>
                </c:pt>
                <c:pt idx="161">
                  <c:v>3.163518800829479E-2</c:v>
                </c:pt>
                <c:pt idx="162">
                  <c:v>3.1642547077353811E-2</c:v>
                </c:pt>
                <c:pt idx="163">
                  <c:v>3.1880484559223987E-2</c:v>
                </c:pt>
                <c:pt idx="164">
                  <c:v>3.1972239210517728E-2</c:v>
                </c:pt>
                <c:pt idx="165">
                  <c:v>3.2329539206330082E-2</c:v>
                </c:pt>
                <c:pt idx="166">
                  <c:v>3.2509988302081183E-2</c:v>
                </c:pt>
                <c:pt idx="167">
                  <c:v>3.2675477043085266E-2</c:v>
                </c:pt>
                <c:pt idx="168">
                  <c:v>3.2784404806989187E-2</c:v>
                </c:pt>
                <c:pt idx="169">
                  <c:v>3.2805444860969146E-2</c:v>
                </c:pt>
                <c:pt idx="170">
                  <c:v>3.2892082399484934E-2</c:v>
                </c:pt>
                <c:pt idx="171">
                  <c:v>3.3139179071440594E-2</c:v>
                </c:pt>
                <c:pt idx="172">
                  <c:v>3.3249770791371702E-2</c:v>
                </c:pt>
                <c:pt idx="173">
                  <c:v>3.3323473460768582E-2</c:v>
                </c:pt>
                <c:pt idx="174">
                  <c:v>3.3606953576054366E-2</c:v>
                </c:pt>
                <c:pt idx="175">
                  <c:v>3.3610671725909924E-2</c:v>
                </c:pt>
                <c:pt idx="176">
                  <c:v>3.4009920901553414E-2</c:v>
                </c:pt>
                <c:pt idx="177">
                  <c:v>3.4108711483895604E-2</c:v>
                </c:pt>
                <c:pt idx="178">
                  <c:v>3.4258118063007714E-2</c:v>
                </c:pt>
                <c:pt idx="179">
                  <c:v>3.4344111994869309E-2</c:v>
                </c:pt>
                <c:pt idx="180">
                  <c:v>3.4408283160701103E-2</c:v>
                </c:pt>
                <c:pt idx="181">
                  <c:v>3.4640259765183146E-2</c:v>
                </c:pt>
                <c:pt idx="182">
                  <c:v>3.5004178470444458E-2</c:v>
                </c:pt>
                <c:pt idx="183">
                  <c:v>3.5163861816727149E-2</c:v>
                </c:pt>
                <c:pt idx="184">
                  <c:v>3.5534159634153184E-2</c:v>
                </c:pt>
                <c:pt idx="185">
                  <c:v>3.558613494351448E-2</c:v>
                </c:pt>
                <c:pt idx="186">
                  <c:v>3.5677299631061032E-2</c:v>
                </c:pt>
                <c:pt idx="187">
                  <c:v>3.5918909881729633E-2</c:v>
                </c:pt>
                <c:pt idx="188">
                  <c:v>3.5942731614341028E-2</c:v>
                </c:pt>
                <c:pt idx="189">
                  <c:v>3.6020925729644659E-2</c:v>
                </c:pt>
                <c:pt idx="190">
                  <c:v>3.6125357314631401E-2</c:v>
                </c:pt>
                <c:pt idx="191">
                  <c:v>3.6158167179564771E-2</c:v>
                </c:pt>
                <c:pt idx="192">
                  <c:v>3.6258587591873948E-2</c:v>
                </c:pt>
                <c:pt idx="193">
                  <c:v>3.6730909584548499E-2</c:v>
                </c:pt>
                <c:pt idx="194">
                  <c:v>3.6910603454998636E-2</c:v>
                </c:pt>
                <c:pt idx="195">
                  <c:v>3.7187934247413068E-2</c:v>
                </c:pt>
                <c:pt idx="196">
                  <c:v>3.7280091913999058E-2</c:v>
                </c:pt>
                <c:pt idx="197">
                  <c:v>3.7373812849182286E-2</c:v>
                </c:pt>
                <c:pt idx="198">
                  <c:v>3.7502665782994882E-2</c:v>
                </c:pt>
                <c:pt idx="199">
                  <c:v>3.7620920445095685E-2</c:v>
                </c:pt>
                <c:pt idx="200">
                  <c:v>3.7680942757106095E-2</c:v>
                </c:pt>
                <c:pt idx="201">
                  <c:v>3.7764377279955852E-2</c:v>
                </c:pt>
                <c:pt idx="202">
                  <c:v>3.780877079043421E-2</c:v>
                </c:pt>
                <c:pt idx="203">
                  <c:v>3.8016453570890008E-2</c:v>
                </c:pt>
                <c:pt idx="204">
                  <c:v>3.8024541601771489E-2</c:v>
                </c:pt>
                <c:pt idx="205">
                  <c:v>3.8283699629573675E-2</c:v>
                </c:pt>
                <c:pt idx="206">
                  <c:v>3.8385681878025935E-2</c:v>
                </c:pt>
                <c:pt idx="207">
                  <c:v>3.8603100407271995E-2</c:v>
                </c:pt>
                <c:pt idx="208">
                  <c:v>3.8658929639495909E-2</c:v>
                </c:pt>
                <c:pt idx="209">
                  <c:v>3.8873670466273325E-2</c:v>
                </c:pt>
                <c:pt idx="210">
                  <c:v>3.89663364212538E-2</c:v>
                </c:pt>
                <c:pt idx="211">
                  <c:v>3.9271062594707473E-2</c:v>
                </c:pt>
                <c:pt idx="212">
                  <c:v>3.9364180834127183E-2</c:v>
                </c:pt>
                <c:pt idx="213">
                  <c:v>3.9444558523427986E-2</c:v>
                </c:pt>
                <c:pt idx="214">
                  <c:v>3.9602600913895003E-2</c:v>
                </c:pt>
                <c:pt idx="215">
                  <c:v>4.007644516241271E-2</c:v>
                </c:pt>
                <c:pt idx="216">
                  <c:v>4.0095543744428142E-2</c:v>
                </c:pt>
                <c:pt idx="217">
                  <c:v>4.012690128365648E-2</c:v>
                </c:pt>
                <c:pt idx="218">
                  <c:v>4.0740583493061422E-2</c:v>
                </c:pt>
                <c:pt idx="219">
                  <c:v>4.090400954191864E-2</c:v>
                </c:pt>
                <c:pt idx="220">
                  <c:v>4.0954681480798172E-2</c:v>
                </c:pt>
                <c:pt idx="221">
                  <c:v>4.0991275036503794E-2</c:v>
                </c:pt>
                <c:pt idx="222">
                  <c:v>4.1160588662023656E-2</c:v>
                </c:pt>
                <c:pt idx="223">
                  <c:v>4.1441235035563295E-2</c:v>
                </c:pt>
                <c:pt idx="224">
                  <c:v>4.1466127951025555E-2</c:v>
                </c:pt>
                <c:pt idx="225">
                  <c:v>4.1954885563427524E-2</c:v>
                </c:pt>
                <c:pt idx="226">
                  <c:v>4.2019783122668741E-2</c:v>
                </c:pt>
                <c:pt idx="227">
                  <c:v>4.2092809429959743E-2</c:v>
                </c:pt>
                <c:pt idx="228">
                  <c:v>4.2132648277402041E-2</c:v>
                </c:pt>
                <c:pt idx="229">
                  <c:v>4.244556755929807E-2</c:v>
                </c:pt>
                <c:pt idx="230">
                  <c:v>4.271480472652911E-2</c:v>
                </c:pt>
                <c:pt idx="231">
                  <c:v>4.2901205923044472E-2</c:v>
                </c:pt>
                <c:pt idx="232">
                  <c:v>4.2975340851626243E-2</c:v>
                </c:pt>
                <c:pt idx="233">
                  <c:v>4.3129704564307758E-2</c:v>
                </c:pt>
                <c:pt idx="234">
                  <c:v>4.3234568486695935E-2</c:v>
                </c:pt>
                <c:pt idx="235">
                  <c:v>4.3237151341600111E-2</c:v>
                </c:pt>
                <c:pt idx="236">
                  <c:v>4.3269016763588297E-2</c:v>
                </c:pt>
                <c:pt idx="237">
                  <c:v>4.3537187636502495E-2</c:v>
                </c:pt>
                <c:pt idx="238">
                  <c:v>4.3580645819929487E-2</c:v>
                </c:pt>
                <c:pt idx="239">
                  <c:v>4.3849793641129509E-2</c:v>
                </c:pt>
                <c:pt idx="240">
                  <c:v>4.4074069257476367E-2</c:v>
                </c:pt>
                <c:pt idx="241">
                  <c:v>4.4195592314281384E-2</c:v>
                </c:pt>
                <c:pt idx="242">
                  <c:v>4.5037204131403996E-2</c:v>
                </c:pt>
                <c:pt idx="243">
                  <c:v>4.5166341436924995E-2</c:v>
                </c:pt>
                <c:pt idx="244">
                  <c:v>4.516993190645735E-2</c:v>
                </c:pt>
                <c:pt idx="245">
                  <c:v>4.5326036460210162E-2</c:v>
                </c:pt>
                <c:pt idx="246">
                  <c:v>4.5353019200319977E-2</c:v>
                </c:pt>
                <c:pt idx="247">
                  <c:v>4.5416543864121195E-2</c:v>
                </c:pt>
                <c:pt idx="248">
                  <c:v>4.562464148602885E-2</c:v>
                </c:pt>
                <c:pt idx="249">
                  <c:v>4.5726720244601893E-2</c:v>
                </c:pt>
                <c:pt idx="250">
                  <c:v>4.5904351142780797E-2</c:v>
                </c:pt>
                <c:pt idx="251">
                  <c:v>4.5924943608952162E-2</c:v>
                </c:pt>
                <c:pt idx="252">
                  <c:v>4.5966519590365351E-2</c:v>
                </c:pt>
                <c:pt idx="253">
                  <c:v>4.6082309302619251E-2</c:v>
                </c:pt>
                <c:pt idx="254">
                  <c:v>4.6488171021337621E-2</c:v>
                </c:pt>
                <c:pt idx="255">
                  <c:v>4.6816042040518369E-2</c:v>
                </c:pt>
                <c:pt idx="256">
                  <c:v>4.7844874398833781E-2</c:v>
                </c:pt>
                <c:pt idx="257">
                  <c:v>4.8051139259769116E-2</c:v>
                </c:pt>
                <c:pt idx="258">
                  <c:v>4.8053507980512222E-2</c:v>
                </c:pt>
                <c:pt idx="259">
                  <c:v>4.8277671986397763E-2</c:v>
                </c:pt>
                <c:pt idx="260">
                  <c:v>4.8514960752996217E-2</c:v>
                </c:pt>
                <c:pt idx="261">
                  <c:v>4.922930824704963E-2</c:v>
                </c:pt>
                <c:pt idx="262">
                  <c:v>4.9268128830590285E-2</c:v>
                </c:pt>
                <c:pt idx="263">
                  <c:v>4.9731319862075907E-2</c:v>
                </c:pt>
                <c:pt idx="264">
                  <c:v>4.9735800737863656E-2</c:v>
                </c:pt>
                <c:pt idx="265">
                  <c:v>4.9837106368613604E-2</c:v>
                </c:pt>
                <c:pt idx="266">
                  <c:v>5.0397277857882727E-2</c:v>
                </c:pt>
                <c:pt idx="267">
                  <c:v>5.0404383871864411E-2</c:v>
                </c:pt>
                <c:pt idx="268">
                  <c:v>5.0458537256417912E-2</c:v>
                </c:pt>
                <c:pt idx="269">
                  <c:v>5.0646656039134541E-2</c:v>
                </c:pt>
                <c:pt idx="270">
                  <c:v>5.0669146397922304E-2</c:v>
                </c:pt>
                <c:pt idx="271">
                  <c:v>5.0710205647192197E-2</c:v>
                </c:pt>
                <c:pt idx="272">
                  <c:v>5.0884233115539246E-2</c:v>
                </c:pt>
                <c:pt idx="273">
                  <c:v>5.0884609678178094E-2</c:v>
                </c:pt>
                <c:pt idx="274">
                  <c:v>5.1004168002691586E-2</c:v>
                </c:pt>
                <c:pt idx="275">
                  <c:v>5.1149204636232071E-2</c:v>
                </c:pt>
                <c:pt idx="276">
                  <c:v>5.1390701039053965E-2</c:v>
                </c:pt>
                <c:pt idx="277">
                  <c:v>5.1402899502136279E-2</c:v>
                </c:pt>
                <c:pt idx="278">
                  <c:v>5.1521697784664866E-2</c:v>
                </c:pt>
                <c:pt idx="279">
                  <c:v>5.1666788413967879E-2</c:v>
                </c:pt>
                <c:pt idx="280">
                  <c:v>5.1681657810149773E-2</c:v>
                </c:pt>
                <c:pt idx="281">
                  <c:v>5.1710556610487401E-2</c:v>
                </c:pt>
                <c:pt idx="282">
                  <c:v>5.199769710907276E-2</c:v>
                </c:pt>
                <c:pt idx="283">
                  <c:v>5.2197186980265542E-2</c:v>
                </c:pt>
                <c:pt idx="284">
                  <c:v>5.2272394295869162E-2</c:v>
                </c:pt>
                <c:pt idx="285">
                  <c:v>5.2576935398974456E-2</c:v>
                </c:pt>
                <c:pt idx="286">
                  <c:v>5.2583304299332667E-2</c:v>
                </c:pt>
                <c:pt idx="287">
                  <c:v>5.2716279190462956E-2</c:v>
                </c:pt>
                <c:pt idx="288">
                  <c:v>5.2854468519399234E-2</c:v>
                </c:pt>
                <c:pt idx="289">
                  <c:v>5.3044980592858337E-2</c:v>
                </c:pt>
                <c:pt idx="290">
                  <c:v>5.3056179287523264E-2</c:v>
                </c:pt>
                <c:pt idx="291">
                  <c:v>5.3654122914849722E-2</c:v>
                </c:pt>
                <c:pt idx="292">
                  <c:v>5.411567472765455E-2</c:v>
                </c:pt>
                <c:pt idx="293">
                  <c:v>5.4746998079281184E-2</c:v>
                </c:pt>
                <c:pt idx="294">
                  <c:v>5.4870545510311786E-2</c:v>
                </c:pt>
                <c:pt idx="295">
                  <c:v>5.494189612363698E-2</c:v>
                </c:pt>
                <c:pt idx="296">
                  <c:v>5.5387538244758616E-2</c:v>
                </c:pt>
                <c:pt idx="297">
                  <c:v>5.6430992683090153E-2</c:v>
                </c:pt>
                <c:pt idx="298">
                  <c:v>5.6561825441349356E-2</c:v>
                </c:pt>
                <c:pt idx="299">
                  <c:v>5.670931150780234E-2</c:v>
                </c:pt>
                <c:pt idx="300">
                  <c:v>5.6827453608093492E-2</c:v>
                </c:pt>
                <c:pt idx="301">
                  <c:v>5.6867554379095964E-2</c:v>
                </c:pt>
                <c:pt idx="302">
                  <c:v>5.689473161692149E-2</c:v>
                </c:pt>
                <c:pt idx="303">
                  <c:v>5.6967788886140625E-2</c:v>
                </c:pt>
                <c:pt idx="304">
                  <c:v>5.7044724059778673E-2</c:v>
                </c:pt>
                <c:pt idx="305">
                  <c:v>5.7085595118252286E-2</c:v>
                </c:pt>
                <c:pt idx="306">
                  <c:v>5.7684426125888422E-2</c:v>
                </c:pt>
                <c:pt idx="307">
                  <c:v>5.7714425900485367E-2</c:v>
                </c:pt>
                <c:pt idx="308">
                  <c:v>5.7785322033851116E-2</c:v>
                </c:pt>
                <c:pt idx="309">
                  <c:v>5.7848285722684523E-2</c:v>
                </c:pt>
                <c:pt idx="310">
                  <c:v>5.8125961162659223E-2</c:v>
                </c:pt>
                <c:pt idx="311">
                  <c:v>5.8487079763835936E-2</c:v>
                </c:pt>
                <c:pt idx="312">
                  <c:v>5.9485772116204316E-2</c:v>
                </c:pt>
                <c:pt idx="313">
                  <c:v>5.9600607465654321E-2</c:v>
                </c:pt>
                <c:pt idx="314">
                  <c:v>5.9654196544215665E-2</c:v>
                </c:pt>
                <c:pt idx="315">
                  <c:v>6.0087867575930431E-2</c:v>
                </c:pt>
                <c:pt idx="316">
                  <c:v>6.0723982592207904E-2</c:v>
                </c:pt>
                <c:pt idx="317">
                  <c:v>6.0987992791524448E-2</c:v>
                </c:pt>
                <c:pt idx="318">
                  <c:v>6.1070821703651745E-2</c:v>
                </c:pt>
                <c:pt idx="319">
                  <c:v>6.1140503436035942E-2</c:v>
                </c:pt>
                <c:pt idx="320">
                  <c:v>6.1342632927335217E-2</c:v>
                </c:pt>
                <c:pt idx="321">
                  <c:v>6.1749624008371029E-2</c:v>
                </c:pt>
                <c:pt idx="322">
                  <c:v>6.1969017514456937E-2</c:v>
                </c:pt>
                <c:pt idx="323">
                  <c:v>6.2080679856080678E-2</c:v>
                </c:pt>
                <c:pt idx="324">
                  <c:v>6.2289356334986223E-2</c:v>
                </c:pt>
                <c:pt idx="325">
                  <c:v>6.2607267408566258E-2</c:v>
                </c:pt>
                <c:pt idx="326">
                  <c:v>6.2836185640662734E-2</c:v>
                </c:pt>
                <c:pt idx="327">
                  <c:v>6.3291824280895526E-2</c:v>
                </c:pt>
                <c:pt idx="328">
                  <c:v>6.3500746716272261E-2</c:v>
                </c:pt>
                <c:pt idx="329">
                  <c:v>6.3603061852518294E-2</c:v>
                </c:pt>
                <c:pt idx="330">
                  <c:v>6.3728644456205075E-2</c:v>
                </c:pt>
                <c:pt idx="331">
                  <c:v>6.396808157205669E-2</c:v>
                </c:pt>
                <c:pt idx="332">
                  <c:v>6.3987150898356049E-2</c:v>
                </c:pt>
                <c:pt idx="333">
                  <c:v>6.4160283236560645E-2</c:v>
                </c:pt>
                <c:pt idx="334">
                  <c:v>6.4422553131407767E-2</c:v>
                </c:pt>
                <c:pt idx="335">
                  <c:v>6.4937694040054339E-2</c:v>
                </c:pt>
                <c:pt idx="336">
                  <c:v>6.5023653860407649E-2</c:v>
                </c:pt>
                <c:pt idx="337">
                  <c:v>6.5149689282407053E-2</c:v>
                </c:pt>
                <c:pt idx="338">
                  <c:v>6.5155273830896476E-2</c:v>
                </c:pt>
                <c:pt idx="339">
                  <c:v>6.5195645731364493E-2</c:v>
                </c:pt>
                <c:pt idx="340">
                  <c:v>6.5318597288751334E-2</c:v>
                </c:pt>
                <c:pt idx="341">
                  <c:v>6.5451630292955087E-2</c:v>
                </c:pt>
                <c:pt idx="342">
                  <c:v>6.5464314699056558E-2</c:v>
                </c:pt>
                <c:pt idx="343">
                  <c:v>6.5478901533424505E-2</c:v>
                </c:pt>
                <c:pt idx="344">
                  <c:v>6.5761918674979825E-2</c:v>
                </c:pt>
                <c:pt idx="345">
                  <c:v>6.6077661246708885E-2</c:v>
                </c:pt>
                <c:pt idx="346">
                  <c:v>6.6243933792065945E-2</c:v>
                </c:pt>
                <c:pt idx="347">
                  <c:v>6.7007729176111752E-2</c:v>
                </c:pt>
                <c:pt idx="348">
                  <c:v>6.7190702669904567E-2</c:v>
                </c:pt>
                <c:pt idx="349">
                  <c:v>6.7494835368961503E-2</c:v>
                </c:pt>
                <c:pt idx="350">
                  <c:v>6.8060673273976136E-2</c:v>
                </c:pt>
                <c:pt idx="351">
                  <c:v>6.8081092255852127E-2</c:v>
                </c:pt>
                <c:pt idx="352">
                  <c:v>6.8282703904515074E-2</c:v>
                </c:pt>
                <c:pt idx="353">
                  <c:v>6.8436697518336587E-2</c:v>
                </c:pt>
                <c:pt idx="354">
                  <c:v>6.8695646634296281E-2</c:v>
                </c:pt>
                <c:pt idx="355">
                  <c:v>6.9004132396003115E-2</c:v>
                </c:pt>
                <c:pt idx="356">
                  <c:v>6.9254972100679879E-2</c:v>
                </c:pt>
                <c:pt idx="357">
                  <c:v>6.9298058158892673E-2</c:v>
                </c:pt>
                <c:pt idx="358">
                  <c:v>6.9438620675100537E-2</c:v>
                </c:pt>
                <c:pt idx="359">
                  <c:v>6.9460565537156072E-2</c:v>
                </c:pt>
                <c:pt idx="360">
                  <c:v>6.9473328689127811E-2</c:v>
                </c:pt>
                <c:pt idx="361">
                  <c:v>6.9496519181484473E-2</c:v>
                </c:pt>
                <c:pt idx="362">
                  <c:v>6.9593382570928952E-2</c:v>
                </c:pt>
                <c:pt idx="363">
                  <c:v>6.9603076091880212E-2</c:v>
                </c:pt>
                <c:pt idx="364">
                  <c:v>6.9977179587112914E-2</c:v>
                </c:pt>
                <c:pt idx="365">
                  <c:v>7.0113493669850868E-2</c:v>
                </c:pt>
                <c:pt idx="366">
                  <c:v>7.0410886922218197E-2</c:v>
                </c:pt>
                <c:pt idx="367">
                  <c:v>7.0484268597283517E-2</c:v>
                </c:pt>
                <c:pt idx="368">
                  <c:v>7.0526347198210715E-2</c:v>
                </c:pt>
                <c:pt idx="369">
                  <c:v>7.1114053837845859E-2</c:v>
                </c:pt>
                <c:pt idx="370">
                  <c:v>7.1126986320450669E-2</c:v>
                </c:pt>
                <c:pt idx="371">
                  <c:v>7.1251099873734347E-2</c:v>
                </c:pt>
                <c:pt idx="372">
                  <c:v>7.1286323827735032E-2</c:v>
                </c:pt>
                <c:pt idx="373">
                  <c:v>7.1302200972240826E-2</c:v>
                </c:pt>
                <c:pt idx="374">
                  <c:v>7.1307886987597158E-2</c:v>
                </c:pt>
                <c:pt idx="375">
                  <c:v>7.1460578315964085E-2</c:v>
                </c:pt>
                <c:pt idx="376">
                  <c:v>7.1645256775809685E-2</c:v>
                </c:pt>
                <c:pt idx="377">
                  <c:v>7.1719464500347385E-2</c:v>
                </c:pt>
                <c:pt idx="378">
                  <c:v>7.1843252487269638E-2</c:v>
                </c:pt>
                <c:pt idx="379">
                  <c:v>7.1863238098558213E-2</c:v>
                </c:pt>
                <c:pt idx="380">
                  <c:v>7.2216669587760407E-2</c:v>
                </c:pt>
                <c:pt idx="381">
                  <c:v>7.234243514812988E-2</c:v>
                </c:pt>
                <c:pt idx="382">
                  <c:v>7.2555676196316199E-2</c:v>
                </c:pt>
                <c:pt idx="383">
                  <c:v>7.2628610095307522E-2</c:v>
                </c:pt>
                <c:pt idx="384">
                  <c:v>7.282365926039347E-2</c:v>
                </c:pt>
                <c:pt idx="385">
                  <c:v>7.3068403997240239E-2</c:v>
                </c:pt>
                <c:pt idx="386">
                  <c:v>7.3077867131360108E-2</c:v>
                </c:pt>
                <c:pt idx="387">
                  <c:v>7.3397412927079131E-2</c:v>
                </c:pt>
                <c:pt idx="388">
                  <c:v>7.3543379871807701E-2</c:v>
                </c:pt>
                <c:pt idx="389">
                  <c:v>7.3759355557740491E-2</c:v>
                </c:pt>
                <c:pt idx="390">
                  <c:v>7.408445555212495E-2</c:v>
                </c:pt>
                <c:pt idx="391">
                  <c:v>7.4243768089218065E-2</c:v>
                </c:pt>
                <c:pt idx="392">
                  <c:v>7.4529584500851342E-2</c:v>
                </c:pt>
                <c:pt idx="393">
                  <c:v>7.4620263822907873E-2</c:v>
                </c:pt>
                <c:pt idx="394">
                  <c:v>7.4764918842461725E-2</c:v>
                </c:pt>
                <c:pt idx="395">
                  <c:v>7.4874970900964399E-2</c:v>
                </c:pt>
                <c:pt idx="396">
                  <c:v>7.4990121802329668E-2</c:v>
                </c:pt>
                <c:pt idx="397">
                  <c:v>7.5029431636721711E-2</c:v>
                </c:pt>
                <c:pt idx="398">
                  <c:v>7.5066593853080121E-2</c:v>
                </c:pt>
                <c:pt idx="399">
                  <c:v>7.5126096789972507E-2</c:v>
                </c:pt>
                <c:pt idx="400">
                  <c:v>7.5172796327933611E-2</c:v>
                </c:pt>
                <c:pt idx="401">
                  <c:v>7.5374384849055787E-2</c:v>
                </c:pt>
                <c:pt idx="402">
                  <c:v>7.5482349841877294E-2</c:v>
                </c:pt>
                <c:pt idx="403">
                  <c:v>7.554709449505026E-2</c:v>
                </c:pt>
                <c:pt idx="404">
                  <c:v>7.5756467867904576E-2</c:v>
                </c:pt>
                <c:pt idx="405">
                  <c:v>7.5767578288832738E-2</c:v>
                </c:pt>
                <c:pt idx="406">
                  <c:v>7.5958749881465337E-2</c:v>
                </c:pt>
                <c:pt idx="407">
                  <c:v>7.602823292472749E-2</c:v>
                </c:pt>
                <c:pt idx="408">
                  <c:v>7.6815793684545497E-2</c:v>
                </c:pt>
                <c:pt idx="409">
                  <c:v>7.7135715487230527E-2</c:v>
                </c:pt>
                <c:pt idx="410">
                  <c:v>7.7206225882036961E-2</c:v>
                </c:pt>
                <c:pt idx="411">
                  <c:v>7.7381381788654835E-2</c:v>
                </c:pt>
                <c:pt idx="412">
                  <c:v>7.7679991627519485E-2</c:v>
                </c:pt>
                <c:pt idx="413">
                  <c:v>7.7692688375009311E-2</c:v>
                </c:pt>
                <c:pt idx="414">
                  <c:v>7.7715131769764412E-2</c:v>
                </c:pt>
                <c:pt idx="415">
                  <c:v>7.7986583274650911E-2</c:v>
                </c:pt>
                <c:pt idx="416">
                  <c:v>7.8000211220569327E-2</c:v>
                </c:pt>
                <c:pt idx="417">
                  <c:v>7.8524863171878678E-2</c:v>
                </c:pt>
                <c:pt idx="418">
                  <c:v>7.8825306977705623E-2</c:v>
                </c:pt>
                <c:pt idx="419">
                  <c:v>7.9172852307237918E-2</c:v>
                </c:pt>
                <c:pt idx="420">
                  <c:v>7.9256354880271829E-2</c:v>
                </c:pt>
                <c:pt idx="421">
                  <c:v>7.9259683914642665E-2</c:v>
                </c:pt>
                <c:pt idx="422">
                  <c:v>7.9583449757592462E-2</c:v>
                </c:pt>
                <c:pt idx="423">
                  <c:v>7.964255593924463E-2</c:v>
                </c:pt>
                <c:pt idx="424">
                  <c:v>7.9964890943301725E-2</c:v>
                </c:pt>
                <c:pt idx="425">
                  <c:v>8.0118905643757898E-2</c:v>
                </c:pt>
                <c:pt idx="426">
                  <c:v>8.0209746374748647E-2</c:v>
                </c:pt>
                <c:pt idx="427">
                  <c:v>8.0687008887252887E-2</c:v>
                </c:pt>
                <c:pt idx="428">
                  <c:v>8.0890938718766847E-2</c:v>
                </c:pt>
                <c:pt idx="429">
                  <c:v>8.0940448146066046E-2</c:v>
                </c:pt>
                <c:pt idx="430">
                  <c:v>8.1155847298759909E-2</c:v>
                </c:pt>
                <c:pt idx="431">
                  <c:v>8.1195811147154018E-2</c:v>
                </c:pt>
                <c:pt idx="432">
                  <c:v>8.1223067210885347E-2</c:v>
                </c:pt>
                <c:pt idx="433">
                  <c:v>8.1243048147371155E-2</c:v>
                </c:pt>
                <c:pt idx="434">
                  <c:v>8.1553069333494932E-2</c:v>
                </c:pt>
                <c:pt idx="435">
                  <c:v>8.1603655629805871E-2</c:v>
                </c:pt>
                <c:pt idx="436">
                  <c:v>8.1636157829962031E-2</c:v>
                </c:pt>
                <c:pt idx="437">
                  <c:v>8.1877017530132434E-2</c:v>
                </c:pt>
                <c:pt idx="438">
                  <c:v>8.1909929873290821E-2</c:v>
                </c:pt>
                <c:pt idx="439">
                  <c:v>8.2086455489843502E-2</c:v>
                </c:pt>
                <c:pt idx="440">
                  <c:v>8.2383442492755421E-2</c:v>
                </c:pt>
                <c:pt idx="441">
                  <c:v>8.2442720879043918E-2</c:v>
                </c:pt>
                <c:pt idx="442">
                  <c:v>8.2699735088681336E-2</c:v>
                </c:pt>
                <c:pt idx="443">
                  <c:v>8.2921813080247375E-2</c:v>
                </c:pt>
                <c:pt idx="444">
                  <c:v>8.31779853469925E-2</c:v>
                </c:pt>
                <c:pt idx="445">
                  <c:v>8.3218422512800316E-2</c:v>
                </c:pt>
                <c:pt idx="446">
                  <c:v>8.3377678351553186E-2</c:v>
                </c:pt>
                <c:pt idx="447">
                  <c:v>8.3668176634091651E-2</c:v>
                </c:pt>
                <c:pt idx="448">
                  <c:v>8.415394837356871E-2</c:v>
                </c:pt>
                <c:pt idx="449">
                  <c:v>8.4182721843717445E-2</c:v>
                </c:pt>
                <c:pt idx="450">
                  <c:v>8.4220399056903261E-2</c:v>
                </c:pt>
                <c:pt idx="451">
                  <c:v>8.4828660046696314E-2</c:v>
                </c:pt>
                <c:pt idx="452">
                  <c:v>8.4854197603817738E-2</c:v>
                </c:pt>
                <c:pt idx="453">
                  <c:v>8.5450771759497002E-2</c:v>
                </c:pt>
                <c:pt idx="454">
                  <c:v>8.6006379435275448E-2</c:v>
                </c:pt>
                <c:pt idx="455">
                  <c:v>8.6072960229103046E-2</c:v>
                </c:pt>
                <c:pt idx="456">
                  <c:v>8.6315156861928699E-2</c:v>
                </c:pt>
                <c:pt idx="457">
                  <c:v>8.6368487237450609E-2</c:v>
                </c:pt>
                <c:pt idx="458">
                  <c:v>8.6522680490816128E-2</c:v>
                </c:pt>
                <c:pt idx="459">
                  <c:v>8.6917506548161327E-2</c:v>
                </c:pt>
                <c:pt idx="460">
                  <c:v>8.7028119375645474E-2</c:v>
                </c:pt>
                <c:pt idx="461">
                  <c:v>8.8109307321246888E-2</c:v>
                </c:pt>
                <c:pt idx="462">
                  <c:v>8.814932483528537E-2</c:v>
                </c:pt>
                <c:pt idx="463">
                  <c:v>8.8190235243928328E-2</c:v>
                </c:pt>
                <c:pt idx="464">
                  <c:v>8.8249843925950699E-2</c:v>
                </c:pt>
                <c:pt idx="465">
                  <c:v>8.8283478600715171E-2</c:v>
                </c:pt>
                <c:pt idx="466">
                  <c:v>8.8378358606860274E-2</c:v>
                </c:pt>
                <c:pt idx="467">
                  <c:v>8.8466190984036075E-2</c:v>
                </c:pt>
                <c:pt idx="468">
                  <c:v>8.8520785304353922E-2</c:v>
                </c:pt>
                <c:pt idx="469">
                  <c:v>8.8910971101540781E-2</c:v>
                </c:pt>
                <c:pt idx="470">
                  <c:v>9.0584246528123913E-2</c:v>
                </c:pt>
                <c:pt idx="471">
                  <c:v>9.0731486887307256E-2</c:v>
                </c:pt>
                <c:pt idx="472">
                  <c:v>9.114493515517097E-2</c:v>
                </c:pt>
                <c:pt idx="473">
                  <c:v>9.1658698225742796E-2</c:v>
                </c:pt>
                <c:pt idx="474">
                  <c:v>9.1719145301794924E-2</c:v>
                </c:pt>
                <c:pt idx="475">
                  <c:v>9.1961011658895586E-2</c:v>
                </c:pt>
                <c:pt idx="476">
                  <c:v>9.236103144576191E-2</c:v>
                </c:pt>
                <c:pt idx="477">
                  <c:v>9.2517982906429097E-2</c:v>
                </c:pt>
                <c:pt idx="478">
                  <c:v>9.2799048631604819E-2</c:v>
                </c:pt>
                <c:pt idx="479">
                  <c:v>9.2865702416020213E-2</c:v>
                </c:pt>
                <c:pt idx="480">
                  <c:v>9.2892697886782116E-2</c:v>
                </c:pt>
                <c:pt idx="481">
                  <c:v>9.2936827756602725E-2</c:v>
                </c:pt>
                <c:pt idx="482">
                  <c:v>9.3213904579897644E-2</c:v>
                </c:pt>
                <c:pt idx="483">
                  <c:v>9.3339301246487594E-2</c:v>
                </c:pt>
                <c:pt idx="484">
                  <c:v>9.3375598038619501E-2</c:v>
                </c:pt>
                <c:pt idx="485">
                  <c:v>9.3564709098245658E-2</c:v>
                </c:pt>
                <c:pt idx="486">
                  <c:v>9.376147175225924E-2</c:v>
                </c:pt>
                <c:pt idx="487">
                  <c:v>9.4057708378386451E-2</c:v>
                </c:pt>
                <c:pt idx="488">
                  <c:v>9.4130073915948742E-2</c:v>
                </c:pt>
                <c:pt idx="489">
                  <c:v>9.4284862330823671E-2</c:v>
                </c:pt>
                <c:pt idx="490">
                  <c:v>9.4421746178340982E-2</c:v>
                </c:pt>
                <c:pt idx="491">
                  <c:v>9.462644246104901E-2</c:v>
                </c:pt>
                <c:pt idx="492">
                  <c:v>9.4695286137721268E-2</c:v>
                </c:pt>
                <c:pt idx="493">
                  <c:v>9.4843892791686812E-2</c:v>
                </c:pt>
                <c:pt idx="494">
                  <c:v>9.491979609538248E-2</c:v>
                </c:pt>
                <c:pt idx="495">
                  <c:v>9.4956995861139148E-2</c:v>
                </c:pt>
                <c:pt idx="496">
                  <c:v>9.5081738004409999E-2</c:v>
                </c:pt>
                <c:pt idx="497">
                  <c:v>9.5094243502899189E-2</c:v>
                </c:pt>
                <c:pt idx="498">
                  <c:v>9.5121133317661588E-2</c:v>
                </c:pt>
                <c:pt idx="499">
                  <c:v>9.5468891156087921E-2</c:v>
                </c:pt>
                <c:pt idx="500">
                  <c:v>9.5684374043230491E-2</c:v>
                </c:pt>
                <c:pt idx="501">
                  <c:v>9.595933084256103E-2</c:v>
                </c:pt>
                <c:pt idx="502">
                  <c:v>9.6153916198090883E-2</c:v>
                </c:pt>
                <c:pt idx="503">
                  <c:v>9.6471941735217115E-2</c:v>
                </c:pt>
                <c:pt idx="504">
                  <c:v>9.6651620370721503E-2</c:v>
                </c:pt>
                <c:pt idx="505">
                  <c:v>9.6707295641863311E-2</c:v>
                </c:pt>
                <c:pt idx="506">
                  <c:v>9.6730420342282741E-2</c:v>
                </c:pt>
                <c:pt idx="507">
                  <c:v>9.7134054652997293E-2</c:v>
                </c:pt>
                <c:pt idx="508">
                  <c:v>9.7134246494533727E-2</c:v>
                </c:pt>
                <c:pt idx="509">
                  <c:v>9.7258184975544282E-2</c:v>
                </c:pt>
                <c:pt idx="510">
                  <c:v>9.7505495254154084E-2</c:v>
                </c:pt>
                <c:pt idx="511">
                  <c:v>9.8104149668870377E-2</c:v>
                </c:pt>
                <c:pt idx="512">
                  <c:v>9.833383252225758E-2</c:v>
                </c:pt>
                <c:pt idx="513">
                  <c:v>9.856775763182668E-2</c:v>
                </c:pt>
                <c:pt idx="514">
                  <c:v>9.9055461975694925E-2</c:v>
                </c:pt>
                <c:pt idx="515">
                  <c:v>9.9099888546334114E-2</c:v>
                </c:pt>
                <c:pt idx="516">
                  <c:v>0.10004381100679893</c:v>
                </c:pt>
                <c:pt idx="517">
                  <c:v>0.10064056030205393</c:v>
                </c:pt>
                <c:pt idx="518">
                  <c:v>0.10064853807216423</c:v>
                </c:pt>
                <c:pt idx="519">
                  <c:v>0.10105952343656099</c:v>
                </c:pt>
                <c:pt idx="520">
                  <c:v>0.10121631764013728</c:v>
                </c:pt>
                <c:pt idx="521">
                  <c:v>0.10150015382987476</c:v>
                </c:pt>
                <c:pt idx="522">
                  <c:v>0.10174448599627794</c:v>
                </c:pt>
                <c:pt idx="523">
                  <c:v>0.10224305557494517</c:v>
                </c:pt>
                <c:pt idx="524">
                  <c:v>0.10262762339061737</c:v>
                </c:pt>
                <c:pt idx="525">
                  <c:v>0.10283931564208615</c:v>
                </c:pt>
                <c:pt idx="526">
                  <c:v>0.10321414315603761</c:v>
                </c:pt>
                <c:pt idx="527">
                  <c:v>0.10336571640073089</c:v>
                </c:pt>
                <c:pt idx="528">
                  <c:v>0.10340208795332728</c:v>
                </c:pt>
                <c:pt idx="529">
                  <c:v>0.1036823430831646</c:v>
                </c:pt>
                <c:pt idx="530">
                  <c:v>0.10389040053905774</c:v>
                </c:pt>
                <c:pt idx="531">
                  <c:v>0.10393883229608036</c:v>
                </c:pt>
                <c:pt idx="532">
                  <c:v>0.10461947489602608</c:v>
                </c:pt>
                <c:pt idx="533">
                  <c:v>0.10466632984571334</c:v>
                </c:pt>
                <c:pt idx="534">
                  <c:v>0.10468751653615982</c:v>
                </c:pt>
                <c:pt idx="535">
                  <c:v>0.10471027263156429</c:v>
                </c:pt>
                <c:pt idx="536">
                  <c:v>0.10477154159525526</c:v>
                </c:pt>
                <c:pt idx="537">
                  <c:v>0.10482357859928015</c:v>
                </c:pt>
                <c:pt idx="538">
                  <c:v>0.10482730409330543</c:v>
                </c:pt>
                <c:pt idx="539">
                  <c:v>0.10487062724314455</c:v>
                </c:pt>
                <c:pt idx="540">
                  <c:v>0.10495508617259475</c:v>
                </c:pt>
                <c:pt idx="541">
                  <c:v>0.10513071221430437</c:v>
                </c:pt>
                <c:pt idx="542">
                  <c:v>0.1064640471167877</c:v>
                </c:pt>
                <c:pt idx="543">
                  <c:v>0.10658503595641378</c:v>
                </c:pt>
                <c:pt idx="544">
                  <c:v>0.10675781335612555</c:v>
                </c:pt>
                <c:pt idx="545">
                  <c:v>0.10686412035556714</c:v>
                </c:pt>
                <c:pt idx="546">
                  <c:v>0.10707068262399844</c:v>
                </c:pt>
                <c:pt idx="547">
                  <c:v>0.10710544454832416</c:v>
                </c:pt>
                <c:pt idx="548">
                  <c:v>0.10711445749620907</c:v>
                </c:pt>
                <c:pt idx="549">
                  <c:v>0.10717851177923876</c:v>
                </c:pt>
                <c:pt idx="550">
                  <c:v>0.10742008852957952</c:v>
                </c:pt>
                <c:pt idx="551">
                  <c:v>0.1074262451766117</c:v>
                </c:pt>
                <c:pt idx="552">
                  <c:v>0.10753355295400979</c:v>
                </c:pt>
                <c:pt idx="553">
                  <c:v>0.10806914195563877</c:v>
                </c:pt>
                <c:pt idx="554">
                  <c:v>0.10811799544080714</c:v>
                </c:pt>
                <c:pt idx="555">
                  <c:v>0.10840910531896952</c:v>
                </c:pt>
                <c:pt idx="556">
                  <c:v>0.10864433146070951</c:v>
                </c:pt>
                <c:pt idx="557">
                  <c:v>0.10873379453187226</c:v>
                </c:pt>
                <c:pt idx="558">
                  <c:v>0.10876177288719191</c:v>
                </c:pt>
                <c:pt idx="559">
                  <c:v>0.10905943060697609</c:v>
                </c:pt>
                <c:pt idx="560">
                  <c:v>0.10938823397282249</c:v>
                </c:pt>
                <c:pt idx="561">
                  <c:v>0.10943610276626714</c:v>
                </c:pt>
                <c:pt idx="562">
                  <c:v>0.10944158552047156</c:v>
                </c:pt>
                <c:pt idx="563">
                  <c:v>0.10958872394806463</c:v>
                </c:pt>
                <c:pt idx="564">
                  <c:v>0.11001420866159606</c:v>
                </c:pt>
                <c:pt idx="565">
                  <c:v>0.11031256420301361</c:v>
                </c:pt>
                <c:pt idx="566">
                  <c:v>0.11050647862521146</c:v>
                </c:pt>
                <c:pt idx="567">
                  <c:v>0.11050651072036999</c:v>
                </c:pt>
                <c:pt idx="568">
                  <c:v>0.11063598755390558</c:v>
                </c:pt>
                <c:pt idx="569">
                  <c:v>0.11114503208318638</c:v>
                </c:pt>
                <c:pt idx="570">
                  <c:v>0.11118313466704421</c:v>
                </c:pt>
                <c:pt idx="571">
                  <c:v>0.11125560574419069</c:v>
                </c:pt>
                <c:pt idx="572">
                  <c:v>0.11131147733703983</c:v>
                </c:pt>
                <c:pt idx="573">
                  <c:v>0.11145340380153357</c:v>
                </c:pt>
                <c:pt idx="574">
                  <c:v>0.1118241138101439</c:v>
                </c:pt>
                <c:pt idx="575">
                  <c:v>0.11189707178527897</c:v>
                </c:pt>
                <c:pt idx="576">
                  <c:v>0.1120888517361891</c:v>
                </c:pt>
                <c:pt idx="577">
                  <c:v>0.11260873546325456</c:v>
                </c:pt>
                <c:pt idx="578">
                  <c:v>0.1126593927920112</c:v>
                </c:pt>
                <c:pt idx="579">
                  <c:v>0.11307205253615393</c:v>
                </c:pt>
                <c:pt idx="580">
                  <c:v>0.11358883275443077</c:v>
                </c:pt>
                <c:pt idx="581">
                  <c:v>0.11360378841345664</c:v>
                </c:pt>
                <c:pt idx="582">
                  <c:v>0.11374317999980121</c:v>
                </c:pt>
                <c:pt idx="583">
                  <c:v>0.11391130320771481</c:v>
                </c:pt>
                <c:pt idx="584">
                  <c:v>0.11413271236142464</c:v>
                </c:pt>
                <c:pt idx="585">
                  <c:v>0.11462781320369686</c:v>
                </c:pt>
                <c:pt idx="586">
                  <c:v>0.11481786678905337</c:v>
                </c:pt>
                <c:pt idx="587">
                  <c:v>0.11519578575462219</c:v>
                </c:pt>
                <c:pt idx="588">
                  <c:v>0.11527704278068995</c:v>
                </c:pt>
                <c:pt idx="589">
                  <c:v>0.11565175823488971</c:v>
                </c:pt>
                <c:pt idx="590">
                  <c:v>0.11567744199965091</c:v>
                </c:pt>
                <c:pt idx="591">
                  <c:v>0.11568401719341637</c:v>
                </c:pt>
                <c:pt idx="592">
                  <c:v>0.11589123932117218</c:v>
                </c:pt>
                <c:pt idx="593">
                  <c:v>0.11602362116900622</c:v>
                </c:pt>
                <c:pt idx="594">
                  <c:v>0.11605109635274857</c:v>
                </c:pt>
                <c:pt idx="595">
                  <c:v>0.11609393128037482</c:v>
                </c:pt>
                <c:pt idx="596">
                  <c:v>0.11655014779626072</c:v>
                </c:pt>
                <c:pt idx="597">
                  <c:v>0.11690804831778223</c:v>
                </c:pt>
                <c:pt idx="598">
                  <c:v>0.11691144017913757</c:v>
                </c:pt>
                <c:pt idx="599">
                  <c:v>0.11753323081666167</c:v>
                </c:pt>
                <c:pt idx="600">
                  <c:v>0.11753880522519466</c:v>
                </c:pt>
                <c:pt idx="601">
                  <c:v>0.11786562043016602</c:v>
                </c:pt>
                <c:pt idx="602">
                  <c:v>0.11811961291641637</c:v>
                </c:pt>
                <c:pt idx="603">
                  <c:v>0.11816869073481939</c:v>
                </c:pt>
                <c:pt idx="604">
                  <c:v>0.11859984632064879</c:v>
                </c:pt>
                <c:pt idx="605">
                  <c:v>0.11864122613405925</c:v>
                </c:pt>
                <c:pt idx="606">
                  <c:v>0.11904094002966303</c:v>
                </c:pt>
                <c:pt idx="607">
                  <c:v>0.11935942864056415</c:v>
                </c:pt>
                <c:pt idx="608">
                  <c:v>0.11940883424722415</c:v>
                </c:pt>
                <c:pt idx="609">
                  <c:v>0.11950806761251442</c:v>
                </c:pt>
                <c:pt idx="610">
                  <c:v>0.11986657980742166</c:v>
                </c:pt>
                <c:pt idx="611">
                  <c:v>0.11990558786237671</c:v>
                </c:pt>
                <c:pt idx="612">
                  <c:v>0.12006457102143031</c:v>
                </c:pt>
                <c:pt idx="613">
                  <c:v>0.12010865338197618</c:v>
                </c:pt>
                <c:pt idx="614">
                  <c:v>0.12011874241215992</c:v>
                </c:pt>
                <c:pt idx="615">
                  <c:v>0.120178755919369</c:v>
                </c:pt>
                <c:pt idx="616">
                  <c:v>0.12019148286708514</c:v>
                </c:pt>
                <c:pt idx="617">
                  <c:v>0.12106817001222225</c:v>
                </c:pt>
                <c:pt idx="618">
                  <c:v>0.12119538111801376</c:v>
                </c:pt>
                <c:pt idx="619">
                  <c:v>0.12144389099648834</c:v>
                </c:pt>
                <c:pt idx="620">
                  <c:v>0.12160115864844556</c:v>
                </c:pt>
                <c:pt idx="621">
                  <c:v>0.12175146193476394</c:v>
                </c:pt>
                <c:pt idx="622">
                  <c:v>0.12183292185363825</c:v>
                </c:pt>
                <c:pt idx="623">
                  <c:v>0.12212284678480501</c:v>
                </c:pt>
                <c:pt idx="624">
                  <c:v>0.1226151280097838</c:v>
                </c:pt>
                <c:pt idx="625">
                  <c:v>0.12282660840173776</c:v>
                </c:pt>
                <c:pt idx="626">
                  <c:v>0.12289773289830919</c:v>
                </c:pt>
                <c:pt idx="627">
                  <c:v>0.12323125814418745</c:v>
                </c:pt>
                <c:pt idx="628">
                  <c:v>0.12363719273707829</c:v>
                </c:pt>
                <c:pt idx="629">
                  <c:v>0.12367015215204447</c:v>
                </c:pt>
                <c:pt idx="630">
                  <c:v>0.1237799284308494</c:v>
                </c:pt>
                <c:pt idx="631">
                  <c:v>0.12378238352630433</c:v>
                </c:pt>
                <c:pt idx="632">
                  <c:v>0.12423613443570503</c:v>
                </c:pt>
                <c:pt idx="633">
                  <c:v>0.12446957633801503</c:v>
                </c:pt>
                <c:pt idx="634">
                  <c:v>0.12465454046105151</c:v>
                </c:pt>
                <c:pt idx="635">
                  <c:v>0.12468164551137306</c:v>
                </c:pt>
                <c:pt idx="636">
                  <c:v>0.1248961906239856</c:v>
                </c:pt>
                <c:pt idx="637">
                  <c:v>0.1250796528711362</c:v>
                </c:pt>
                <c:pt idx="638">
                  <c:v>0.1252213877351096</c:v>
                </c:pt>
                <c:pt idx="639">
                  <c:v>0.12534319658152526</c:v>
                </c:pt>
                <c:pt idx="640">
                  <c:v>0.12537314980727388</c:v>
                </c:pt>
                <c:pt idx="641">
                  <c:v>0.12546680788636877</c:v>
                </c:pt>
                <c:pt idx="642">
                  <c:v>0.12587795401213953</c:v>
                </c:pt>
                <c:pt idx="643">
                  <c:v>0.12608166851441638</c:v>
                </c:pt>
                <c:pt idx="644">
                  <c:v>0.12615413270214049</c:v>
                </c:pt>
                <c:pt idx="645">
                  <c:v>0.12631988142857153</c:v>
                </c:pt>
                <c:pt idx="646">
                  <c:v>0.1263409842567853</c:v>
                </c:pt>
                <c:pt idx="647">
                  <c:v>0.12683290365202993</c:v>
                </c:pt>
                <c:pt idx="648">
                  <c:v>0.12691266275851376</c:v>
                </c:pt>
                <c:pt idx="649">
                  <c:v>0.12700023487832368</c:v>
                </c:pt>
                <c:pt idx="650">
                  <c:v>0.12727077561341105</c:v>
                </c:pt>
                <c:pt idx="651">
                  <c:v>0.12729804879927542</c:v>
                </c:pt>
                <c:pt idx="652">
                  <c:v>0.12730560592899565</c:v>
                </c:pt>
                <c:pt idx="653">
                  <c:v>0.12735205355329526</c:v>
                </c:pt>
                <c:pt idx="654">
                  <c:v>0.12745402818654838</c:v>
                </c:pt>
                <c:pt idx="655">
                  <c:v>0.12752622937841807</c:v>
                </c:pt>
                <c:pt idx="656">
                  <c:v>0.1277626048276943</c:v>
                </c:pt>
                <c:pt idx="657">
                  <c:v>0.12788923027983401</c:v>
                </c:pt>
                <c:pt idx="658">
                  <c:v>0.127894070068578</c:v>
                </c:pt>
                <c:pt idx="659">
                  <c:v>0.12827140074932686</c:v>
                </c:pt>
                <c:pt idx="660">
                  <c:v>0.12831625555736537</c:v>
                </c:pt>
                <c:pt idx="661">
                  <c:v>0.12841126215516852</c:v>
                </c:pt>
                <c:pt idx="662">
                  <c:v>0.12868525092926575</c:v>
                </c:pt>
                <c:pt idx="663">
                  <c:v>0.12925635007468372</c:v>
                </c:pt>
                <c:pt idx="664">
                  <c:v>0.12931817910885002</c:v>
                </c:pt>
                <c:pt idx="665">
                  <c:v>0.1294186827062731</c:v>
                </c:pt>
                <c:pt idx="666">
                  <c:v>0.12951872106987139</c:v>
                </c:pt>
                <c:pt idx="667">
                  <c:v>0.1297527292263112</c:v>
                </c:pt>
                <c:pt idx="668">
                  <c:v>0.12975375193673244</c:v>
                </c:pt>
                <c:pt idx="669">
                  <c:v>0.12983918878853729</c:v>
                </c:pt>
                <c:pt idx="670">
                  <c:v>0.12984913111178287</c:v>
                </c:pt>
                <c:pt idx="671">
                  <c:v>0.12996465617652575</c:v>
                </c:pt>
                <c:pt idx="672">
                  <c:v>0.12996689951069129</c:v>
                </c:pt>
                <c:pt idx="673">
                  <c:v>0.1302691608434543</c:v>
                </c:pt>
                <c:pt idx="674">
                  <c:v>0.13053675600713177</c:v>
                </c:pt>
                <c:pt idx="675">
                  <c:v>0.13077652633455727</c:v>
                </c:pt>
                <c:pt idx="676">
                  <c:v>0.13104834661498899</c:v>
                </c:pt>
                <c:pt idx="677">
                  <c:v>0.1312319751295945</c:v>
                </c:pt>
                <c:pt idx="678">
                  <c:v>0.1312768538182354</c:v>
                </c:pt>
                <c:pt idx="679">
                  <c:v>0.13150729879816936</c:v>
                </c:pt>
                <c:pt idx="680">
                  <c:v>0.13169879566703457</c:v>
                </c:pt>
                <c:pt idx="681">
                  <c:v>0.13203333519959415</c:v>
                </c:pt>
                <c:pt idx="682">
                  <c:v>0.1320866627174837</c:v>
                </c:pt>
                <c:pt idx="683">
                  <c:v>0.132144672569666</c:v>
                </c:pt>
                <c:pt idx="684">
                  <c:v>0.13214705374957703</c:v>
                </c:pt>
                <c:pt idx="685">
                  <c:v>0.13276699722337071</c:v>
                </c:pt>
                <c:pt idx="686">
                  <c:v>0.13295314179413253</c:v>
                </c:pt>
                <c:pt idx="687">
                  <c:v>0.13317778573946271</c:v>
                </c:pt>
                <c:pt idx="688">
                  <c:v>0.1334181868342057</c:v>
                </c:pt>
                <c:pt idx="689">
                  <c:v>0.13359485055298137</c:v>
                </c:pt>
                <c:pt idx="690">
                  <c:v>0.13364917586659431</c:v>
                </c:pt>
                <c:pt idx="691">
                  <c:v>0.13395533263883408</c:v>
                </c:pt>
                <c:pt idx="692">
                  <c:v>0.13398247509030625</c:v>
                </c:pt>
                <c:pt idx="693">
                  <c:v>0.13428374129762233</c:v>
                </c:pt>
                <c:pt idx="694">
                  <c:v>0.13458828467173589</c:v>
                </c:pt>
                <c:pt idx="695">
                  <c:v>0.13507905348978966</c:v>
                </c:pt>
                <c:pt idx="696">
                  <c:v>0.13518024883160251</c:v>
                </c:pt>
                <c:pt idx="697">
                  <c:v>0.13522432297759224</c:v>
                </c:pt>
                <c:pt idx="698">
                  <c:v>0.13545442274607922</c:v>
                </c:pt>
                <c:pt idx="699">
                  <c:v>0.13578865060389944</c:v>
                </c:pt>
                <c:pt idx="700">
                  <c:v>0.13617148128378176</c:v>
                </c:pt>
                <c:pt idx="701">
                  <c:v>0.1368464583720197</c:v>
                </c:pt>
                <c:pt idx="702">
                  <c:v>0.13686211532876769</c:v>
                </c:pt>
                <c:pt idx="703">
                  <c:v>0.13698138092422596</c:v>
                </c:pt>
                <c:pt idx="704">
                  <c:v>0.13712018187379726</c:v>
                </c:pt>
                <c:pt idx="705">
                  <c:v>0.13799605526219239</c:v>
                </c:pt>
                <c:pt idx="706">
                  <c:v>0.13837472482418889</c:v>
                </c:pt>
                <c:pt idx="707">
                  <c:v>0.1388427346937533</c:v>
                </c:pt>
                <c:pt idx="708">
                  <c:v>0.13907071235735202</c:v>
                </c:pt>
                <c:pt idx="709">
                  <c:v>0.13926799412092805</c:v>
                </c:pt>
                <c:pt idx="710">
                  <c:v>0.13955073006673047</c:v>
                </c:pt>
                <c:pt idx="711">
                  <c:v>0.14000014992052456</c:v>
                </c:pt>
                <c:pt idx="712">
                  <c:v>0.14023900884239993</c:v>
                </c:pt>
                <c:pt idx="713">
                  <c:v>0.14120201952573552</c:v>
                </c:pt>
                <c:pt idx="714">
                  <c:v>0.14178311004070565</c:v>
                </c:pt>
                <c:pt idx="715">
                  <c:v>0.14203342144537601</c:v>
                </c:pt>
                <c:pt idx="716">
                  <c:v>0.14212412655342632</c:v>
                </c:pt>
                <c:pt idx="717">
                  <c:v>0.14216232939998008</c:v>
                </c:pt>
                <c:pt idx="718">
                  <c:v>0.14219354980014032</c:v>
                </c:pt>
                <c:pt idx="719">
                  <c:v>0.14238890886190347</c:v>
                </c:pt>
                <c:pt idx="720">
                  <c:v>0.1424153160842252</c:v>
                </c:pt>
                <c:pt idx="721">
                  <c:v>0.1424315920448862</c:v>
                </c:pt>
                <c:pt idx="722">
                  <c:v>0.14268097574313288</c:v>
                </c:pt>
                <c:pt idx="723">
                  <c:v>0.14271847825057193</c:v>
                </c:pt>
                <c:pt idx="724">
                  <c:v>0.1427625510677899</c:v>
                </c:pt>
                <c:pt idx="725">
                  <c:v>0.14332839907729067</c:v>
                </c:pt>
                <c:pt idx="726">
                  <c:v>0.14375610204842815</c:v>
                </c:pt>
                <c:pt idx="727">
                  <c:v>0.1438128062427495</c:v>
                </c:pt>
                <c:pt idx="728">
                  <c:v>0.14430248514690902</c:v>
                </c:pt>
                <c:pt idx="729">
                  <c:v>0.14435964095264353</c:v>
                </c:pt>
                <c:pt idx="730">
                  <c:v>0.14456307357158948</c:v>
                </c:pt>
                <c:pt idx="731">
                  <c:v>0.14469262562488439</c:v>
                </c:pt>
                <c:pt idx="732">
                  <c:v>0.14473277446631982</c:v>
                </c:pt>
                <c:pt idx="733">
                  <c:v>0.14473415026259318</c:v>
                </c:pt>
                <c:pt idx="734">
                  <c:v>0.14497197540367779</c:v>
                </c:pt>
                <c:pt idx="735">
                  <c:v>0.14509438483673875</c:v>
                </c:pt>
                <c:pt idx="736">
                  <c:v>0.14592372283550503</c:v>
                </c:pt>
                <c:pt idx="737">
                  <c:v>0.146081953202156</c:v>
                </c:pt>
                <c:pt idx="738">
                  <c:v>0.14620213475882338</c:v>
                </c:pt>
                <c:pt idx="739">
                  <c:v>0.14704865237673914</c:v>
                </c:pt>
                <c:pt idx="740">
                  <c:v>0.14705636881080864</c:v>
                </c:pt>
                <c:pt idx="741">
                  <c:v>0.14707632550289418</c:v>
                </c:pt>
                <c:pt idx="742">
                  <c:v>0.14745809518990427</c:v>
                </c:pt>
                <c:pt idx="743">
                  <c:v>0.14746935246057546</c:v>
                </c:pt>
                <c:pt idx="744">
                  <c:v>0.14755689922094462</c:v>
                </c:pt>
                <c:pt idx="745">
                  <c:v>0.1475629162905534</c:v>
                </c:pt>
                <c:pt idx="746">
                  <c:v>0.14763493099508196</c:v>
                </c:pt>
                <c:pt idx="747">
                  <c:v>0.14809227111891232</c:v>
                </c:pt>
                <c:pt idx="748">
                  <c:v>0.14815627910502371</c:v>
                </c:pt>
                <c:pt idx="749">
                  <c:v>0.14819115633144975</c:v>
                </c:pt>
                <c:pt idx="750">
                  <c:v>0.14823759690989391</c:v>
                </c:pt>
                <c:pt idx="751">
                  <c:v>0.14858207528322964</c:v>
                </c:pt>
                <c:pt idx="752">
                  <c:v>0.14869614704002743</c:v>
                </c:pt>
                <c:pt idx="753">
                  <c:v>0.14869931164048467</c:v>
                </c:pt>
                <c:pt idx="754">
                  <c:v>0.1488469106161574</c:v>
                </c:pt>
                <c:pt idx="755">
                  <c:v>0.14899429803972453</c:v>
                </c:pt>
                <c:pt idx="756">
                  <c:v>0.14920891495876276</c:v>
                </c:pt>
                <c:pt idx="757">
                  <c:v>0.14920981166596903</c:v>
                </c:pt>
                <c:pt idx="758">
                  <c:v>0.14921458579919999</c:v>
                </c:pt>
                <c:pt idx="759">
                  <c:v>0.14929554394529987</c:v>
                </c:pt>
                <c:pt idx="760">
                  <c:v>0.14933202145221003</c:v>
                </c:pt>
                <c:pt idx="761">
                  <c:v>0.14962749428468669</c:v>
                </c:pt>
                <c:pt idx="762">
                  <c:v>0.14965665084127977</c:v>
                </c:pt>
                <c:pt idx="763">
                  <c:v>0.14971353786677355</c:v>
                </c:pt>
                <c:pt idx="764">
                  <c:v>0.14982650463025493</c:v>
                </c:pt>
                <c:pt idx="765">
                  <c:v>0.15000319924729411</c:v>
                </c:pt>
                <c:pt idx="766">
                  <c:v>0.15013595593063656</c:v>
                </c:pt>
                <c:pt idx="767">
                  <c:v>0.15023359908082057</c:v>
                </c:pt>
                <c:pt idx="768">
                  <c:v>0.15035944781629951</c:v>
                </c:pt>
                <c:pt idx="769">
                  <c:v>0.1505982907174257</c:v>
                </c:pt>
                <c:pt idx="770">
                  <c:v>0.15099657412974921</c:v>
                </c:pt>
                <c:pt idx="771">
                  <c:v>0.15124463090705831</c:v>
                </c:pt>
                <c:pt idx="772">
                  <c:v>0.15165910981613706</c:v>
                </c:pt>
                <c:pt idx="773">
                  <c:v>0.15169681345741992</c:v>
                </c:pt>
                <c:pt idx="774">
                  <c:v>0.15196657259366475</c:v>
                </c:pt>
                <c:pt idx="775">
                  <c:v>0.15219692138998653</c:v>
                </c:pt>
                <c:pt idx="776">
                  <c:v>0.152308518031532</c:v>
                </c:pt>
                <c:pt idx="777">
                  <c:v>0.15295072587014147</c:v>
                </c:pt>
                <c:pt idx="778">
                  <c:v>0.15300425146415364</c:v>
                </c:pt>
                <c:pt idx="779">
                  <c:v>0.15314151737857173</c:v>
                </c:pt>
                <c:pt idx="780">
                  <c:v>0.15323217031709646</c:v>
                </c:pt>
                <c:pt idx="781">
                  <c:v>0.15347216411009867</c:v>
                </c:pt>
                <c:pt idx="782">
                  <c:v>0.15352586567314574</c:v>
                </c:pt>
                <c:pt idx="783">
                  <c:v>0.15457516442438646</c:v>
                </c:pt>
                <c:pt idx="784">
                  <c:v>0.15461446217796038</c:v>
                </c:pt>
                <c:pt idx="785">
                  <c:v>0.15461969749594573</c:v>
                </c:pt>
                <c:pt idx="786">
                  <c:v>0.15498798602857278</c:v>
                </c:pt>
                <c:pt idx="787">
                  <c:v>0.15519576151291403</c:v>
                </c:pt>
                <c:pt idx="788">
                  <c:v>0.15539536125834275</c:v>
                </c:pt>
                <c:pt idx="789">
                  <c:v>0.15541080069669988</c:v>
                </c:pt>
                <c:pt idx="790">
                  <c:v>0.15550943501875736</c:v>
                </c:pt>
                <c:pt idx="791">
                  <c:v>0.15552332764491439</c:v>
                </c:pt>
                <c:pt idx="792">
                  <c:v>0.15554906843101435</c:v>
                </c:pt>
                <c:pt idx="793">
                  <c:v>0.15589928062672698</c:v>
                </c:pt>
                <c:pt idx="794">
                  <c:v>0.1560563597113287</c:v>
                </c:pt>
                <c:pt idx="795">
                  <c:v>0.15657656423445587</c:v>
                </c:pt>
                <c:pt idx="796">
                  <c:v>0.15699215351833118</c:v>
                </c:pt>
                <c:pt idx="797">
                  <c:v>0.15701085697583039</c:v>
                </c:pt>
                <c:pt idx="798">
                  <c:v>0.15711010571430961</c:v>
                </c:pt>
                <c:pt idx="799">
                  <c:v>0.15739414948984631</c:v>
                </c:pt>
                <c:pt idx="800">
                  <c:v>0.15762779609212885</c:v>
                </c:pt>
                <c:pt idx="801">
                  <c:v>0.15807261162444775</c:v>
                </c:pt>
                <c:pt idx="802">
                  <c:v>0.15815276976991299</c:v>
                </c:pt>
                <c:pt idx="803">
                  <c:v>0.15845550103313144</c:v>
                </c:pt>
                <c:pt idx="804">
                  <c:v>0.1584970465492006</c:v>
                </c:pt>
                <c:pt idx="805">
                  <c:v>0.15866081468448101</c:v>
                </c:pt>
                <c:pt idx="806">
                  <c:v>0.15911192362545989</c:v>
                </c:pt>
                <c:pt idx="807">
                  <c:v>0.15915330403731787</c:v>
                </c:pt>
                <c:pt idx="808">
                  <c:v>0.15918310208326147</c:v>
                </c:pt>
                <c:pt idx="809">
                  <c:v>0.15922894221330353</c:v>
                </c:pt>
                <c:pt idx="810">
                  <c:v>0.15938245974029996</c:v>
                </c:pt>
                <c:pt idx="811">
                  <c:v>0.15953099456601194</c:v>
                </c:pt>
                <c:pt idx="812">
                  <c:v>0.15963331909279077</c:v>
                </c:pt>
                <c:pt idx="813">
                  <c:v>0.15988705951349402</c:v>
                </c:pt>
                <c:pt idx="814">
                  <c:v>0.15997618425353721</c:v>
                </c:pt>
                <c:pt idx="815">
                  <c:v>0.16018632176655956</c:v>
                </c:pt>
                <c:pt idx="816">
                  <c:v>0.16051093991609378</c:v>
                </c:pt>
                <c:pt idx="817">
                  <c:v>0.16078788735285343</c:v>
                </c:pt>
                <c:pt idx="818">
                  <c:v>0.16095253504136053</c:v>
                </c:pt>
                <c:pt idx="819">
                  <c:v>0.1609636884450083</c:v>
                </c:pt>
                <c:pt idx="820">
                  <c:v>0.16096586031017068</c:v>
                </c:pt>
                <c:pt idx="821">
                  <c:v>0.16131719921759213</c:v>
                </c:pt>
                <c:pt idx="822">
                  <c:v>0.1613821718010513</c:v>
                </c:pt>
                <c:pt idx="823">
                  <c:v>0.16140968698346114</c:v>
                </c:pt>
                <c:pt idx="824">
                  <c:v>0.16145033686098031</c:v>
                </c:pt>
                <c:pt idx="825">
                  <c:v>0.16146040370767878</c:v>
                </c:pt>
                <c:pt idx="826">
                  <c:v>0.16154360892323893</c:v>
                </c:pt>
                <c:pt idx="827">
                  <c:v>0.161593033401914</c:v>
                </c:pt>
                <c:pt idx="828">
                  <c:v>0.1616207146562374</c:v>
                </c:pt>
                <c:pt idx="829">
                  <c:v>0.16179209875190281</c:v>
                </c:pt>
                <c:pt idx="830">
                  <c:v>0.1618003438343294</c:v>
                </c:pt>
                <c:pt idx="831">
                  <c:v>0.16190815899699373</c:v>
                </c:pt>
                <c:pt idx="832">
                  <c:v>0.16211244336227537</c:v>
                </c:pt>
                <c:pt idx="833">
                  <c:v>0.16249094627710292</c:v>
                </c:pt>
                <c:pt idx="834">
                  <c:v>0.16265949363059917</c:v>
                </c:pt>
                <c:pt idx="835">
                  <c:v>0.16267210680689459</c:v>
                </c:pt>
                <c:pt idx="836">
                  <c:v>0.16285232779591752</c:v>
                </c:pt>
                <c:pt idx="837">
                  <c:v>0.16343500558195956</c:v>
                </c:pt>
                <c:pt idx="838">
                  <c:v>0.16388068598462269</c:v>
                </c:pt>
                <c:pt idx="839">
                  <c:v>0.16398783462136635</c:v>
                </c:pt>
                <c:pt idx="840">
                  <c:v>0.16402681421004672</c:v>
                </c:pt>
                <c:pt idx="841">
                  <c:v>0.16410555727088649</c:v>
                </c:pt>
                <c:pt idx="842">
                  <c:v>0.16428983975220035</c:v>
                </c:pt>
                <c:pt idx="843">
                  <c:v>0.16444394854261191</c:v>
                </c:pt>
                <c:pt idx="844">
                  <c:v>0.164576954021868</c:v>
                </c:pt>
                <c:pt idx="845">
                  <c:v>0.16481276784816146</c:v>
                </c:pt>
                <c:pt idx="846">
                  <c:v>0.16511363567678927</c:v>
                </c:pt>
                <c:pt idx="847">
                  <c:v>0.16512023313680402</c:v>
                </c:pt>
                <c:pt idx="848">
                  <c:v>0.16529261793948535</c:v>
                </c:pt>
                <c:pt idx="849">
                  <c:v>0.16549358136308001</c:v>
                </c:pt>
                <c:pt idx="850">
                  <c:v>0.16553366725656815</c:v>
                </c:pt>
                <c:pt idx="851">
                  <c:v>0.16555068891193514</c:v>
                </c:pt>
                <c:pt idx="852">
                  <c:v>0.16578131065307389</c:v>
                </c:pt>
                <c:pt idx="853">
                  <c:v>0.16590781010836508</c:v>
                </c:pt>
                <c:pt idx="854">
                  <c:v>0.16591897087255347</c:v>
                </c:pt>
                <c:pt idx="855">
                  <c:v>0.16610549837241706</c:v>
                </c:pt>
                <c:pt idx="856">
                  <c:v>0.1662654954016034</c:v>
                </c:pt>
                <c:pt idx="857">
                  <c:v>0.16653090461113607</c:v>
                </c:pt>
                <c:pt idx="858">
                  <c:v>0.16660947568743723</c:v>
                </c:pt>
                <c:pt idx="859">
                  <c:v>0.16679563581237744</c:v>
                </c:pt>
                <c:pt idx="860">
                  <c:v>0.16782546292597544</c:v>
                </c:pt>
                <c:pt idx="861">
                  <c:v>0.1678298477527278</c:v>
                </c:pt>
                <c:pt idx="862">
                  <c:v>0.16789551672354719</c:v>
                </c:pt>
                <c:pt idx="863">
                  <c:v>0.16795692401228735</c:v>
                </c:pt>
                <c:pt idx="864">
                  <c:v>0.16810548188550456</c:v>
                </c:pt>
                <c:pt idx="865">
                  <c:v>0.16814572626117297</c:v>
                </c:pt>
                <c:pt idx="866">
                  <c:v>0.16824258571341488</c:v>
                </c:pt>
                <c:pt idx="867">
                  <c:v>0.16836327985220123</c:v>
                </c:pt>
                <c:pt idx="868">
                  <c:v>0.1684598515248581</c:v>
                </c:pt>
                <c:pt idx="869">
                  <c:v>0.16858316290836228</c:v>
                </c:pt>
                <c:pt idx="870">
                  <c:v>0.16872139896258886</c:v>
                </c:pt>
                <c:pt idx="871">
                  <c:v>0.16901402517669339</c:v>
                </c:pt>
                <c:pt idx="872">
                  <c:v>0.16902763329653681</c:v>
                </c:pt>
                <c:pt idx="873">
                  <c:v>0.16903480320479503</c:v>
                </c:pt>
                <c:pt idx="874">
                  <c:v>0.1691124351682447</c:v>
                </c:pt>
                <c:pt idx="875">
                  <c:v>0.16926002218315261</c:v>
                </c:pt>
                <c:pt idx="876">
                  <c:v>0.16993655457463319</c:v>
                </c:pt>
                <c:pt idx="877">
                  <c:v>0.17007496923088183</c:v>
                </c:pt>
                <c:pt idx="878">
                  <c:v>0.17027384118409827</c:v>
                </c:pt>
                <c:pt idx="879">
                  <c:v>0.17038016967035219</c:v>
                </c:pt>
                <c:pt idx="880">
                  <c:v>0.17070042012255726</c:v>
                </c:pt>
                <c:pt idx="881">
                  <c:v>0.17075911322990578</c:v>
                </c:pt>
                <c:pt idx="882">
                  <c:v>0.17076077104047727</c:v>
                </c:pt>
                <c:pt idx="883">
                  <c:v>0.17089530971952627</c:v>
                </c:pt>
                <c:pt idx="884">
                  <c:v>0.17111812829080009</c:v>
                </c:pt>
                <c:pt idx="885">
                  <c:v>0.17131262101702305</c:v>
                </c:pt>
                <c:pt idx="886">
                  <c:v>0.17174085743499745</c:v>
                </c:pt>
                <c:pt idx="887">
                  <c:v>0.1719382226392554</c:v>
                </c:pt>
                <c:pt idx="888">
                  <c:v>0.17220580665434682</c:v>
                </c:pt>
                <c:pt idx="889">
                  <c:v>0.17235164483281551</c:v>
                </c:pt>
                <c:pt idx="890">
                  <c:v>0.17250143665023643</c:v>
                </c:pt>
                <c:pt idx="891">
                  <c:v>0.17255547005424887</c:v>
                </c:pt>
                <c:pt idx="892">
                  <c:v>0.17257318838164792</c:v>
                </c:pt>
                <c:pt idx="893">
                  <c:v>0.17281741936858452</c:v>
                </c:pt>
                <c:pt idx="894">
                  <c:v>0.1730714171389991</c:v>
                </c:pt>
                <c:pt idx="895">
                  <c:v>0.17307622458156402</c:v>
                </c:pt>
                <c:pt idx="896">
                  <c:v>0.17331530695707897</c:v>
                </c:pt>
                <c:pt idx="897">
                  <c:v>0.17341207030312944</c:v>
                </c:pt>
                <c:pt idx="898">
                  <c:v>0.17358118414813362</c:v>
                </c:pt>
                <c:pt idx="899">
                  <c:v>0.17364863905731909</c:v>
                </c:pt>
                <c:pt idx="900">
                  <c:v>0.17375672123580443</c:v>
                </c:pt>
                <c:pt idx="901">
                  <c:v>0.17387532120937976</c:v>
                </c:pt>
                <c:pt idx="902">
                  <c:v>0.17398255623811565</c:v>
                </c:pt>
                <c:pt idx="903">
                  <c:v>0.17459279233025882</c:v>
                </c:pt>
                <c:pt idx="904">
                  <c:v>0.17482714736979688</c:v>
                </c:pt>
                <c:pt idx="905">
                  <c:v>0.17505057910329924</c:v>
                </c:pt>
                <c:pt idx="906">
                  <c:v>0.17540658871257619</c:v>
                </c:pt>
                <c:pt idx="907">
                  <c:v>0.17555592580356461</c:v>
                </c:pt>
                <c:pt idx="908">
                  <c:v>0.17563754241200513</c:v>
                </c:pt>
                <c:pt idx="909">
                  <c:v>0.17586338677938329</c:v>
                </c:pt>
                <c:pt idx="910">
                  <c:v>0.1758940600338974</c:v>
                </c:pt>
                <c:pt idx="911">
                  <c:v>0.1761413235026339</c:v>
                </c:pt>
                <c:pt idx="912">
                  <c:v>0.17630798900063382</c:v>
                </c:pt>
                <c:pt idx="913">
                  <c:v>0.17634978460137063</c:v>
                </c:pt>
                <c:pt idx="914">
                  <c:v>0.17635237842841889</c:v>
                </c:pt>
                <c:pt idx="915">
                  <c:v>0.17652338723019056</c:v>
                </c:pt>
                <c:pt idx="916">
                  <c:v>0.17669555198426679</c:v>
                </c:pt>
                <c:pt idx="917">
                  <c:v>0.17671662229804497</c:v>
                </c:pt>
                <c:pt idx="918">
                  <c:v>0.17682834736388031</c:v>
                </c:pt>
                <c:pt idx="919">
                  <c:v>0.17688733262184542</c:v>
                </c:pt>
                <c:pt idx="920">
                  <c:v>0.1769303719220261</c:v>
                </c:pt>
                <c:pt idx="921">
                  <c:v>0.17756061111140298</c:v>
                </c:pt>
                <c:pt idx="922">
                  <c:v>0.1777980652595943</c:v>
                </c:pt>
                <c:pt idx="923">
                  <c:v>0.17798808605675731</c:v>
                </c:pt>
                <c:pt idx="924">
                  <c:v>0.17912767280176922</c:v>
                </c:pt>
                <c:pt idx="925">
                  <c:v>0.17944928030919982</c:v>
                </c:pt>
                <c:pt idx="926">
                  <c:v>0.17952039270767273</c:v>
                </c:pt>
                <c:pt idx="927">
                  <c:v>0.17962339573659847</c:v>
                </c:pt>
                <c:pt idx="928">
                  <c:v>0.17968529527752253</c:v>
                </c:pt>
                <c:pt idx="929">
                  <c:v>0.17970133410290146</c:v>
                </c:pt>
                <c:pt idx="930">
                  <c:v>0.1799064283604821</c:v>
                </c:pt>
                <c:pt idx="931">
                  <c:v>0.18004193624801701</c:v>
                </c:pt>
                <c:pt idx="932">
                  <c:v>0.1800589116064657</c:v>
                </c:pt>
                <c:pt idx="933">
                  <c:v>0.1800797729902115</c:v>
                </c:pt>
                <c:pt idx="934">
                  <c:v>0.18037519789504586</c:v>
                </c:pt>
                <c:pt idx="935">
                  <c:v>0.18066983080734644</c:v>
                </c:pt>
                <c:pt idx="936">
                  <c:v>0.18084986982830742</c:v>
                </c:pt>
                <c:pt idx="937">
                  <c:v>0.18093637796118855</c:v>
                </c:pt>
                <c:pt idx="938">
                  <c:v>0.18152681569972628</c:v>
                </c:pt>
                <c:pt idx="939">
                  <c:v>0.18175263291141164</c:v>
                </c:pt>
                <c:pt idx="940">
                  <c:v>0.18203129328867362</c:v>
                </c:pt>
                <c:pt idx="941">
                  <c:v>0.18210736398850713</c:v>
                </c:pt>
                <c:pt idx="942">
                  <c:v>0.18243458605229534</c:v>
                </c:pt>
                <c:pt idx="943">
                  <c:v>0.18244093937303774</c:v>
                </c:pt>
                <c:pt idx="944">
                  <c:v>0.18267578044560651</c:v>
                </c:pt>
                <c:pt idx="945">
                  <c:v>0.18292884251150099</c:v>
                </c:pt>
                <c:pt idx="946">
                  <c:v>0.18321797621774749</c:v>
                </c:pt>
                <c:pt idx="947">
                  <c:v>0.1832330073675621</c:v>
                </c:pt>
                <c:pt idx="948">
                  <c:v>0.18353147458856256</c:v>
                </c:pt>
                <c:pt idx="949">
                  <c:v>0.18357064639258169</c:v>
                </c:pt>
                <c:pt idx="950">
                  <c:v>0.18365611712579266</c:v>
                </c:pt>
                <c:pt idx="951">
                  <c:v>0.18390345604530012</c:v>
                </c:pt>
                <c:pt idx="952">
                  <c:v>0.18406597019293258</c:v>
                </c:pt>
                <c:pt idx="953">
                  <c:v>0.18408411850668926</c:v>
                </c:pt>
                <c:pt idx="954">
                  <c:v>0.18437077517774014</c:v>
                </c:pt>
                <c:pt idx="955">
                  <c:v>0.18489949154172791</c:v>
                </c:pt>
                <c:pt idx="956">
                  <c:v>0.18492618233995017</c:v>
                </c:pt>
                <c:pt idx="957">
                  <c:v>0.18496360105385179</c:v>
                </c:pt>
                <c:pt idx="958">
                  <c:v>0.1853769719864431</c:v>
                </c:pt>
                <c:pt idx="959">
                  <c:v>0.18554066150954895</c:v>
                </c:pt>
                <c:pt idx="960">
                  <c:v>0.18558764225690538</c:v>
                </c:pt>
                <c:pt idx="961">
                  <c:v>0.18558958758967492</c:v>
                </c:pt>
                <c:pt idx="962">
                  <c:v>0.18591214926436805</c:v>
                </c:pt>
                <c:pt idx="963">
                  <c:v>0.18601246496837121</c:v>
                </c:pt>
                <c:pt idx="964">
                  <c:v>0.18611435102502583</c:v>
                </c:pt>
                <c:pt idx="965">
                  <c:v>0.18634785700669454</c:v>
                </c:pt>
                <c:pt idx="966">
                  <c:v>0.18637522501376225</c:v>
                </c:pt>
                <c:pt idx="967">
                  <c:v>0.18664108165103244</c:v>
                </c:pt>
                <c:pt idx="968">
                  <c:v>0.18688212474264176</c:v>
                </c:pt>
                <c:pt idx="969">
                  <c:v>0.18708748968492728</c:v>
                </c:pt>
                <c:pt idx="970">
                  <c:v>0.18770711639717774</c:v>
                </c:pt>
                <c:pt idx="971">
                  <c:v>0.18806875955124269</c:v>
                </c:pt>
                <c:pt idx="972">
                  <c:v>0.18832593520710361</c:v>
                </c:pt>
                <c:pt idx="973">
                  <c:v>0.18834797293038719</c:v>
                </c:pt>
                <c:pt idx="974">
                  <c:v>0.18859006331695127</c:v>
                </c:pt>
                <c:pt idx="975">
                  <c:v>0.18868258838756446</c:v>
                </c:pt>
                <c:pt idx="976">
                  <c:v>0.18881376417539286</c:v>
                </c:pt>
                <c:pt idx="977">
                  <c:v>0.18883766255112278</c:v>
                </c:pt>
                <c:pt idx="978">
                  <c:v>0.18952303907735768</c:v>
                </c:pt>
                <c:pt idx="979">
                  <c:v>0.18980854835990613</c:v>
                </c:pt>
                <c:pt idx="980">
                  <c:v>0.18997661714638525</c:v>
                </c:pt>
                <c:pt idx="981">
                  <c:v>0.19008757545179833</c:v>
                </c:pt>
                <c:pt idx="982">
                  <c:v>0.19073337327426998</c:v>
                </c:pt>
                <c:pt idx="983">
                  <c:v>0.19101676878017315</c:v>
                </c:pt>
                <c:pt idx="984">
                  <c:v>0.1915253242405015</c:v>
                </c:pt>
                <c:pt idx="985">
                  <c:v>0.19152551959632547</c:v>
                </c:pt>
                <c:pt idx="986">
                  <c:v>0.192130409526726</c:v>
                </c:pt>
                <c:pt idx="987">
                  <c:v>0.19226635904760769</c:v>
                </c:pt>
                <c:pt idx="988">
                  <c:v>0.19232388276122947</c:v>
                </c:pt>
                <c:pt idx="989">
                  <c:v>0.19283326843833493</c:v>
                </c:pt>
                <c:pt idx="990">
                  <c:v>0.19346837349712587</c:v>
                </c:pt>
                <c:pt idx="991">
                  <c:v>0.1939145596270464</c:v>
                </c:pt>
                <c:pt idx="992">
                  <c:v>0.19405539013223461</c:v>
                </c:pt>
                <c:pt idx="993">
                  <c:v>0.19430845977240097</c:v>
                </c:pt>
                <c:pt idx="994">
                  <c:v>0.19441896637727041</c:v>
                </c:pt>
                <c:pt idx="995">
                  <c:v>0.19528024470037053</c:v>
                </c:pt>
                <c:pt idx="996">
                  <c:v>0.19528989791797358</c:v>
                </c:pt>
                <c:pt idx="997">
                  <c:v>0.19547336957384687</c:v>
                </c:pt>
                <c:pt idx="998">
                  <c:v>0.19560243395699217</c:v>
                </c:pt>
                <c:pt idx="999">
                  <c:v>0.19571425160302169</c:v>
                </c:pt>
                <c:pt idx="1000">
                  <c:v>0.19573599188333901</c:v>
                </c:pt>
                <c:pt idx="1001">
                  <c:v>0.19583143501404265</c:v>
                </c:pt>
                <c:pt idx="1002">
                  <c:v>0.19599721840768325</c:v>
                </c:pt>
                <c:pt idx="1003">
                  <c:v>0.19615022995185427</c:v>
                </c:pt>
                <c:pt idx="1004">
                  <c:v>0.19630078974751086</c:v>
                </c:pt>
                <c:pt idx="1005">
                  <c:v>0.1963176576045953</c:v>
                </c:pt>
                <c:pt idx="1006">
                  <c:v>0.19644865156260494</c:v>
                </c:pt>
                <c:pt idx="1007">
                  <c:v>0.19654650469510671</c:v>
                </c:pt>
                <c:pt idx="1008">
                  <c:v>0.19672609654662665</c:v>
                </c:pt>
                <c:pt idx="1009">
                  <c:v>0.19692985594610946</c:v>
                </c:pt>
                <c:pt idx="1010">
                  <c:v>0.19711758332778118</c:v>
                </c:pt>
                <c:pt idx="1011">
                  <c:v>0.19718213635763959</c:v>
                </c:pt>
                <c:pt idx="1012">
                  <c:v>0.19762084024659998</c:v>
                </c:pt>
                <c:pt idx="1013">
                  <c:v>0.19817717405931035</c:v>
                </c:pt>
                <c:pt idx="1014">
                  <c:v>0.19824285554750531</c:v>
                </c:pt>
                <c:pt idx="1015">
                  <c:v>0.19867142420480377</c:v>
                </c:pt>
                <c:pt idx="1016">
                  <c:v>0.19915886213675549</c:v>
                </c:pt>
                <c:pt idx="1017">
                  <c:v>0.19949151840683044</c:v>
                </c:pt>
                <c:pt idx="1018">
                  <c:v>0.19952029549949657</c:v>
                </c:pt>
                <c:pt idx="1019">
                  <c:v>0.19957362829427439</c:v>
                </c:pt>
                <c:pt idx="1020">
                  <c:v>0.19992908066524251</c:v>
                </c:pt>
                <c:pt idx="1021">
                  <c:v>0.19998521862544294</c:v>
                </c:pt>
                <c:pt idx="1022">
                  <c:v>0.20008850685644575</c:v>
                </c:pt>
                <c:pt idx="1023">
                  <c:v>0.20067640180786839</c:v>
                </c:pt>
                <c:pt idx="1024">
                  <c:v>0.20085010364891787</c:v>
                </c:pt>
                <c:pt idx="1025">
                  <c:v>0.20093600761811103</c:v>
                </c:pt>
                <c:pt idx="1026">
                  <c:v>0.20095578550626669</c:v>
                </c:pt>
                <c:pt idx="1027">
                  <c:v>0.2010744437793619</c:v>
                </c:pt>
                <c:pt idx="1028">
                  <c:v>0.20109176687947183</c:v>
                </c:pt>
                <c:pt idx="1029">
                  <c:v>0.20113499786475586</c:v>
                </c:pt>
                <c:pt idx="1030">
                  <c:v>0.20136207785253646</c:v>
                </c:pt>
                <c:pt idx="1031">
                  <c:v>0.20136223409917875</c:v>
                </c:pt>
                <c:pt idx="1032">
                  <c:v>0.20167560185018374</c:v>
                </c:pt>
                <c:pt idx="1033">
                  <c:v>0.2017476925129813</c:v>
                </c:pt>
                <c:pt idx="1034">
                  <c:v>0.20180846161110821</c:v>
                </c:pt>
                <c:pt idx="1035">
                  <c:v>0.20199598072940717</c:v>
                </c:pt>
                <c:pt idx="1036">
                  <c:v>0.20276794626806804</c:v>
                </c:pt>
                <c:pt idx="1037">
                  <c:v>0.20278211454842676</c:v>
                </c:pt>
                <c:pt idx="1038">
                  <c:v>0.20365924912766786</c:v>
                </c:pt>
                <c:pt idx="1039">
                  <c:v>0.20369637136991514</c:v>
                </c:pt>
                <c:pt idx="1040">
                  <c:v>0.20412983477217495</c:v>
                </c:pt>
                <c:pt idx="1041">
                  <c:v>0.20434957789893815</c:v>
                </c:pt>
                <c:pt idx="1042">
                  <c:v>0.20464220272515377</c:v>
                </c:pt>
                <c:pt idx="1043">
                  <c:v>0.20469542807222751</c:v>
                </c:pt>
                <c:pt idx="1044">
                  <c:v>0.20522075440567278</c:v>
                </c:pt>
                <c:pt idx="1045">
                  <c:v>0.20540630819868966</c:v>
                </c:pt>
                <c:pt idx="1046">
                  <c:v>0.205584854485096</c:v>
                </c:pt>
                <c:pt idx="1047">
                  <c:v>0.20565753692790167</c:v>
                </c:pt>
                <c:pt idx="1048">
                  <c:v>0.20568479459871014</c:v>
                </c:pt>
                <c:pt idx="1049">
                  <c:v>0.20650418880086363</c:v>
                </c:pt>
                <c:pt idx="1050">
                  <c:v>0.20679397900858021</c:v>
                </c:pt>
                <c:pt idx="1051">
                  <c:v>0.20692431980205583</c:v>
                </c:pt>
                <c:pt idx="1052">
                  <c:v>0.20695950091612758</c:v>
                </c:pt>
                <c:pt idx="1053">
                  <c:v>0.20699231317121303</c:v>
                </c:pt>
                <c:pt idx="1054">
                  <c:v>0.20720988326229417</c:v>
                </c:pt>
                <c:pt idx="1055">
                  <c:v>0.2073921833471104</c:v>
                </c:pt>
                <c:pt idx="1056">
                  <c:v>0.20739652554038912</c:v>
                </c:pt>
                <c:pt idx="1057">
                  <c:v>0.20744172295144381</c:v>
                </c:pt>
                <c:pt idx="1058">
                  <c:v>0.20759225713300111</c:v>
                </c:pt>
                <c:pt idx="1059">
                  <c:v>0.20800164360207418</c:v>
                </c:pt>
                <c:pt idx="1060">
                  <c:v>0.20808953352025128</c:v>
                </c:pt>
                <c:pt idx="1061">
                  <c:v>0.20822669493281865</c:v>
                </c:pt>
                <c:pt idx="1062">
                  <c:v>0.20881020375691151</c:v>
                </c:pt>
                <c:pt idx="1063">
                  <c:v>0.20936457385050744</c:v>
                </c:pt>
                <c:pt idx="1064">
                  <c:v>0.2095097268183963</c:v>
                </c:pt>
                <c:pt idx="1065">
                  <c:v>0.20973867787597555</c:v>
                </c:pt>
                <c:pt idx="1066">
                  <c:v>0.21055933372919355</c:v>
                </c:pt>
                <c:pt idx="1067">
                  <c:v>0.21068074011418503</c:v>
                </c:pt>
                <c:pt idx="1068">
                  <c:v>0.21077420878555131</c:v>
                </c:pt>
                <c:pt idx="1069">
                  <c:v>0.2114902626263131</c:v>
                </c:pt>
                <c:pt idx="1070">
                  <c:v>0.21163108824839583</c:v>
                </c:pt>
                <c:pt idx="1071">
                  <c:v>0.21179446322275908</c:v>
                </c:pt>
                <c:pt idx="1072">
                  <c:v>0.21201387155088014</c:v>
                </c:pt>
                <c:pt idx="1073">
                  <c:v>0.21250757401232434</c:v>
                </c:pt>
                <c:pt idx="1074">
                  <c:v>0.21251622536874493</c:v>
                </c:pt>
                <c:pt idx="1075">
                  <c:v>0.21255358995585993</c:v>
                </c:pt>
                <c:pt idx="1076">
                  <c:v>0.21256745567552571</c:v>
                </c:pt>
                <c:pt idx="1077">
                  <c:v>0.21277521084175532</c:v>
                </c:pt>
                <c:pt idx="1078">
                  <c:v>0.21278045733561157</c:v>
                </c:pt>
                <c:pt idx="1079">
                  <c:v>0.21279860210870538</c:v>
                </c:pt>
                <c:pt idx="1080">
                  <c:v>0.21288802051003586</c:v>
                </c:pt>
                <c:pt idx="1081">
                  <c:v>0.21291219423437724</c:v>
                </c:pt>
                <c:pt idx="1082">
                  <c:v>0.21315202311416215</c:v>
                </c:pt>
                <c:pt idx="1083">
                  <c:v>0.21370337936969008</c:v>
                </c:pt>
                <c:pt idx="1084">
                  <c:v>0.21405981404222985</c:v>
                </c:pt>
                <c:pt idx="1085">
                  <c:v>0.21421295451273181</c:v>
                </c:pt>
                <c:pt idx="1086">
                  <c:v>0.21438227399494281</c:v>
                </c:pt>
                <c:pt idx="1087">
                  <c:v>0.21478456771092169</c:v>
                </c:pt>
                <c:pt idx="1088">
                  <c:v>0.21496518936328357</c:v>
                </c:pt>
                <c:pt idx="1089">
                  <c:v>0.21498936349962605</c:v>
                </c:pt>
                <c:pt idx="1090">
                  <c:v>0.21536392141570104</c:v>
                </c:pt>
                <c:pt idx="1091">
                  <c:v>0.21551627833650855</c:v>
                </c:pt>
                <c:pt idx="1092">
                  <c:v>0.21594256407115608</c:v>
                </c:pt>
                <c:pt idx="1093">
                  <c:v>0.21605866051140765</c:v>
                </c:pt>
                <c:pt idx="1094">
                  <c:v>0.21647512249819556</c:v>
                </c:pt>
                <c:pt idx="1095">
                  <c:v>0.21667537976281892</c:v>
                </c:pt>
                <c:pt idx="1096">
                  <c:v>0.2169030366694642</c:v>
                </c:pt>
                <c:pt idx="1097">
                  <c:v>0.21692094111404003</c:v>
                </c:pt>
                <c:pt idx="1098">
                  <c:v>0.21697613080141309</c:v>
                </c:pt>
                <c:pt idx="1099">
                  <c:v>0.21698607881990029</c:v>
                </c:pt>
                <c:pt idx="1100">
                  <c:v>0.21726162710638164</c:v>
                </c:pt>
                <c:pt idx="1101">
                  <c:v>0.21737571608719009</c:v>
                </c:pt>
                <c:pt idx="1102">
                  <c:v>0.2174389711162803</c:v>
                </c:pt>
                <c:pt idx="1103">
                  <c:v>0.21749795781215653</c:v>
                </c:pt>
                <c:pt idx="1104">
                  <c:v>0.2176554297703035</c:v>
                </c:pt>
                <c:pt idx="1105">
                  <c:v>0.21782672530389391</c:v>
                </c:pt>
                <c:pt idx="1106">
                  <c:v>0.21790845905525202</c:v>
                </c:pt>
                <c:pt idx="1107">
                  <c:v>0.21797178022370645</c:v>
                </c:pt>
                <c:pt idx="1108">
                  <c:v>0.21824323123200884</c:v>
                </c:pt>
                <c:pt idx="1109">
                  <c:v>0.2183967396567823</c:v>
                </c:pt>
                <c:pt idx="1110">
                  <c:v>0.21855744481854344</c:v>
                </c:pt>
                <c:pt idx="1111">
                  <c:v>0.21896306375583663</c:v>
                </c:pt>
                <c:pt idx="1112">
                  <c:v>0.21901666450685298</c:v>
                </c:pt>
                <c:pt idx="1113">
                  <c:v>0.21929554779853788</c:v>
                </c:pt>
                <c:pt idx="1114">
                  <c:v>0.21940299709149258</c:v>
                </c:pt>
                <c:pt idx="1115">
                  <c:v>0.21957090211890318</c:v>
                </c:pt>
                <c:pt idx="1116">
                  <c:v>0.21996947281149914</c:v>
                </c:pt>
                <c:pt idx="1117">
                  <c:v>0.22006313110068731</c:v>
                </c:pt>
                <c:pt idx="1118">
                  <c:v>0.22007221159765322</c:v>
                </c:pt>
                <c:pt idx="1119">
                  <c:v>0.22047591135924449</c:v>
                </c:pt>
                <c:pt idx="1120">
                  <c:v>0.22055840344819444</c:v>
                </c:pt>
                <c:pt idx="1121">
                  <c:v>0.22058058309539774</c:v>
                </c:pt>
                <c:pt idx="1122">
                  <c:v>0.22059815348802658</c:v>
                </c:pt>
                <c:pt idx="1123">
                  <c:v>0.22070959460417328</c:v>
                </c:pt>
                <c:pt idx="1124">
                  <c:v>0.22077704147613986</c:v>
                </c:pt>
                <c:pt idx="1125">
                  <c:v>0.22099610916032475</c:v>
                </c:pt>
                <c:pt idx="1126">
                  <c:v>0.22101230511179892</c:v>
                </c:pt>
                <c:pt idx="1127">
                  <c:v>0.22120070311211748</c:v>
                </c:pt>
                <c:pt idx="1128">
                  <c:v>0.22132042123757856</c:v>
                </c:pt>
                <c:pt idx="1129">
                  <c:v>0.22134380657098518</c:v>
                </c:pt>
                <c:pt idx="1130">
                  <c:v>0.22190011091242923</c:v>
                </c:pt>
                <c:pt idx="1131">
                  <c:v>0.22196669381628453</c:v>
                </c:pt>
                <c:pt idx="1132">
                  <c:v>0.22227022447259515</c:v>
                </c:pt>
                <c:pt idx="1133">
                  <c:v>0.22227548042883427</c:v>
                </c:pt>
                <c:pt idx="1134">
                  <c:v>0.22228430048562586</c:v>
                </c:pt>
                <c:pt idx="1135">
                  <c:v>0.22246525350419688</c:v>
                </c:pt>
                <c:pt idx="1136">
                  <c:v>0.22255052438322309</c:v>
                </c:pt>
                <c:pt idx="1137">
                  <c:v>0.22277287766792142</c:v>
                </c:pt>
                <c:pt idx="1138">
                  <c:v>0.2228812067733088</c:v>
                </c:pt>
                <c:pt idx="1139">
                  <c:v>0.22293677944890078</c:v>
                </c:pt>
                <c:pt idx="1140">
                  <c:v>0.22313274697989982</c:v>
                </c:pt>
                <c:pt idx="1141">
                  <c:v>0.2232111976845772</c:v>
                </c:pt>
                <c:pt idx="1142">
                  <c:v>0.22370159382080601</c:v>
                </c:pt>
                <c:pt idx="1143">
                  <c:v>0.22381720115663484</c:v>
                </c:pt>
                <c:pt idx="1144">
                  <c:v>0.22400777250186366</c:v>
                </c:pt>
                <c:pt idx="1145">
                  <c:v>0.22412221416470857</c:v>
                </c:pt>
                <c:pt idx="1146">
                  <c:v>0.22435873159522046</c:v>
                </c:pt>
                <c:pt idx="1147">
                  <c:v>0.22516464976069983</c:v>
                </c:pt>
                <c:pt idx="1148">
                  <c:v>0.2253157988525345</c:v>
                </c:pt>
                <c:pt idx="1149">
                  <c:v>0.22532620093170408</c:v>
                </c:pt>
                <c:pt idx="1150">
                  <c:v>0.22562967589647087</c:v>
                </c:pt>
                <c:pt idx="1151">
                  <c:v>0.22597815794327403</c:v>
                </c:pt>
                <c:pt idx="1152">
                  <c:v>0.22602312653361878</c:v>
                </c:pt>
                <c:pt idx="1153">
                  <c:v>0.22640568850874843</c:v>
                </c:pt>
                <c:pt idx="1154">
                  <c:v>0.22658485234842374</c:v>
                </c:pt>
                <c:pt idx="1155">
                  <c:v>0.22667626005568309</c:v>
                </c:pt>
                <c:pt idx="1156">
                  <c:v>0.22673286834833561</c:v>
                </c:pt>
                <c:pt idx="1157">
                  <c:v>0.22675265482484974</c:v>
                </c:pt>
                <c:pt idx="1158">
                  <c:v>0.22675931666435645</c:v>
                </c:pt>
                <c:pt idx="1159">
                  <c:v>0.22677061989816139</c:v>
                </c:pt>
                <c:pt idx="1160">
                  <c:v>0.22735646691671718</c:v>
                </c:pt>
                <c:pt idx="1161">
                  <c:v>0.22749038228266727</c:v>
                </c:pt>
                <c:pt idx="1162">
                  <c:v>0.2275118726756773</c:v>
                </c:pt>
                <c:pt idx="1163">
                  <c:v>0.22758191540651751</c:v>
                </c:pt>
                <c:pt idx="1164">
                  <c:v>0.22799407767706725</c:v>
                </c:pt>
                <c:pt idx="1165">
                  <c:v>0.2281693514159997</c:v>
                </c:pt>
                <c:pt idx="1166">
                  <c:v>0.22818916703363357</c:v>
                </c:pt>
                <c:pt idx="1167">
                  <c:v>0.22820949206382579</c:v>
                </c:pt>
                <c:pt idx="1168">
                  <c:v>0.22836900230686297</c:v>
                </c:pt>
                <c:pt idx="1169">
                  <c:v>0.22880700067616999</c:v>
                </c:pt>
                <c:pt idx="1170">
                  <c:v>0.22893937780554552</c:v>
                </c:pt>
                <c:pt idx="1171">
                  <c:v>0.22901928403825877</c:v>
                </c:pt>
                <c:pt idx="1172">
                  <c:v>0.2292984465148038</c:v>
                </c:pt>
                <c:pt idx="1173">
                  <c:v>0.22962956314222538</c:v>
                </c:pt>
                <c:pt idx="1174">
                  <c:v>0.2297215803000654</c:v>
                </c:pt>
                <c:pt idx="1175">
                  <c:v>0.22981880711085978</c:v>
                </c:pt>
                <c:pt idx="1176">
                  <c:v>0.23006538138724864</c:v>
                </c:pt>
                <c:pt idx="1177">
                  <c:v>0.23024173458679797</c:v>
                </c:pt>
                <c:pt idx="1178">
                  <c:v>0.23041613184886955</c:v>
                </c:pt>
                <c:pt idx="1179">
                  <c:v>0.23066787519474019</c:v>
                </c:pt>
                <c:pt idx="1180">
                  <c:v>0.23079190407315764</c:v>
                </c:pt>
                <c:pt idx="1181">
                  <c:v>0.23134165005103569</c:v>
                </c:pt>
                <c:pt idx="1182">
                  <c:v>0.23144829906323139</c:v>
                </c:pt>
                <c:pt idx="1183">
                  <c:v>0.23223508416958794</c:v>
                </c:pt>
                <c:pt idx="1184">
                  <c:v>0.2325178911396506</c:v>
                </c:pt>
                <c:pt idx="1185">
                  <c:v>0.23310022264013242</c:v>
                </c:pt>
                <c:pt idx="1186">
                  <c:v>0.23317872612733481</c:v>
                </c:pt>
                <c:pt idx="1187">
                  <c:v>0.23322992303428691</c:v>
                </c:pt>
                <c:pt idx="1188">
                  <c:v>0.23337024190732336</c:v>
                </c:pt>
                <c:pt idx="1189">
                  <c:v>0.23337332104711095</c:v>
                </c:pt>
                <c:pt idx="1190">
                  <c:v>0.23345363532916963</c:v>
                </c:pt>
                <c:pt idx="1191">
                  <c:v>0.23347055880276457</c:v>
                </c:pt>
                <c:pt idx="1192">
                  <c:v>0.23381515282289911</c:v>
                </c:pt>
                <c:pt idx="1193">
                  <c:v>0.23381667778630799</c:v>
                </c:pt>
                <c:pt idx="1194">
                  <c:v>0.23389687109920487</c:v>
                </c:pt>
                <c:pt idx="1195">
                  <c:v>0.23421718061581487</c:v>
                </c:pt>
                <c:pt idx="1196">
                  <c:v>0.2342219316842602</c:v>
                </c:pt>
                <c:pt idx="1197">
                  <c:v>0.23446412604516809</c:v>
                </c:pt>
                <c:pt idx="1198">
                  <c:v>0.23472805676647113</c:v>
                </c:pt>
                <c:pt idx="1199">
                  <c:v>0.23477716960132966</c:v>
                </c:pt>
                <c:pt idx="1200">
                  <c:v>0.23502403169641184</c:v>
                </c:pt>
                <c:pt idx="1201">
                  <c:v>0.23502677772921743</c:v>
                </c:pt>
                <c:pt idx="1202">
                  <c:v>0.23507567738488433</c:v>
                </c:pt>
                <c:pt idx="1203">
                  <c:v>0.23511872402377776</c:v>
                </c:pt>
                <c:pt idx="1204">
                  <c:v>0.23517729485138261</c:v>
                </c:pt>
                <c:pt idx="1205">
                  <c:v>0.23543755238279118</c:v>
                </c:pt>
                <c:pt idx="1206">
                  <c:v>0.23550822431025153</c:v>
                </c:pt>
                <c:pt idx="1207">
                  <c:v>0.23563349830965308</c:v>
                </c:pt>
                <c:pt idx="1208">
                  <c:v>0.23575528968103754</c:v>
                </c:pt>
                <c:pt idx="1209">
                  <c:v>0.2360991839241251</c:v>
                </c:pt>
                <c:pt idx="1210">
                  <c:v>0.23616639052579558</c:v>
                </c:pt>
                <c:pt idx="1211">
                  <c:v>0.23651233212513034</c:v>
                </c:pt>
                <c:pt idx="1212">
                  <c:v>0.23661061374423298</c:v>
                </c:pt>
                <c:pt idx="1213">
                  <c:v>0.23684171830609557</c:v>
                </c:pt>
                <c:pt idx="1214">
                  <c:v>0.23685249117534113</c:v>
                </c:pt>
                <c:pt idx="1215">
                  <c:v>0.23695524579125049</c:v>
                </c:pt>
                <c:pt idx="1216">
                  <c:v>0.23708596069809573</c:v>
                </c:pt>
                <c:pt idx="1217">
                  <c:v>0.23752591385618871</c:v>
                </c:pt>
                <c:pt idx="1218">
                  <c:v>0.23789783118263585</c:v>
                </c:pt>
                <c:pt idx="1219">
                  <c:v>0.23797603710863768</c:v>
                </c:pt>
                <c:pt idx="1220">
                  <c:v>0.23800367287549307</c:v>
                </c:pt>
                <c:pt idx="1221">
                  <c:v>0.23829127396220429</c:v>
                </c:pt>
                <c:pt idx="1222">
                  <c:v>0.2387185807701826</c:v>
                </c:pt>
                <c:pt idx="1223">
                  <c:v>0.23899212791002356</c:v>
                </c:pt>
                <c:pt idx="1224">
                  <c:v>0.23934113552513736</c:v>
                </c:pt>
                <c:pt idx="1225">
                  <c:v>0.2395848108235441</c:v>
                </c:pt>
                <c:pt idx="1226">
                  <c:v>0.23994362024404836</c:v>
                </c:pt>
                <c:pt idx="1227">
                  <c:v>0.24002176312478696</c:v>
                </c:pt>
                <c:pt idx="1228">
                  <c:v>0.24022004433936672</c:v>
                </c:pt>
                <c:pt idx="1229">
                  <c:v>0.24033696279821015</c:v>
                </c:pt>
                <c:pt idx="1230">
                  <c:v>0.24058931735089573</c:v>
                </c:pt>
                <c:pt idx="1231">
                  <c:v>0.24105537371349328</c:v>
                </c:pt>
                <c:pt idx="1232">
                  <c:v>0.24110724751153612</c:v>
                </c:pt>
                <c:pt idx="1233">
                  <c:v>0.24135612531972583</c:v>
                </c:pt>
                <c:pt idx="1234">
                  <c:v>0.24146963019302348</c:v>
                </c:pt>
                <c:pt idx="1235">
                  <c:v>0.2415095611486322</c:v>
                </c:pt>
                <c:pt idx="1236">
                  <c:v>0.24183954569798516</c:v>
                </c:pt>
                <c:pt idx="1237">
                  <c:v>0.24184519165464735</c:v>
                </c:pt>
                <c:pt idx="1238">
                  <c:v>0.2421597896154708</c:v>
                </c:pt>
                <c:pt idx="1239">
                  <c:v>0.24231209974732337</c:v>
                </c:pt>
                <c:pt idx="1240">
                  <c:v>0.24238920119933027</c:v>
                </c:pt>
                <c:pt idx="1241">
                  <c:v>0.24303853130913922</c:v>
                </c:pt>
                <c:pt idx="1242">
                  <c:v>0.24313579537192709</c:v>
                </c:pt>
                <c:pt idx="1243">
                  <c:v>0.24360286853698199</c:v>
                </c:pt>
                <c:pt idx="1244">
                  <c:v>0.24363756440288853</c:v>
                </c:pt>
                <c:pt idx="1245">
                  <c:v>0.24406509934669884</c:v>
                </c:pt>
                <c:pt idx="1246">
                  <c:v>0.24423560660852672</c:v>
                </c:pt>
                <c:pt idx="1247">
                  <c:v>0.2448263343940198</c:v>
                </c:pt>
                <c:pt idx="1248">
                  <c:v>0.24501249903460121</c:v>
                </c:pt>
                <c:pt idx="1249">
                  <c:v>0.24515319323472795</c:v>
                </c:pt>
                <c:pt idx="1250">
                  <c:v>0.24536045291642949</c:v>
                </c:pt>
                <c:pt idx="1251">
                  <c:v>0.24539923947759235</c:v>
                </c:pt>
                <c:pt idx="1252">
                  <c:v>0.24551278097351314</c:v>
                </c:pt>
                <c:pt idx="1253">
                  <c:v>0.24556510780712415</c:v>
                </c:pt>
                <c:pt idx="1254">
                  <c:v>0.24563908998516126</c:v>
                </c:pt>
                <c:pt idx="1255">
                  <c:v>0.24581047830542957</c:v>
                </c:pt>
                <c:pt idx="1256">
                  <c:v>0.24589402367382718</c:v>
                </c:pt>
                <c:pt idx="1257">
                  <c:v>0.24595737700201425</c:v>
                </c:pt>
                <c:pt idx="1258">
                  <c:v>0.24632706783359026</c:v>
                </c:pt>
                <c:pt idx="1259">
                  <c:v>0.24632856155585614</c:v>
                </c:pt>
                <c:pt idx="1260">
                  <c:v>0.24644473922489851</c:v>
                </c:pt>
                <c:pt idx="1261">
                  <c:v>0.24672587768054655</c:v>
                </c:pt>
                <c:pt idx="1262">
                  <c:v>0.24693310437214677</c:v>
                </c:pt>
                <c:pt idx="1263">
                  <c:v>0.24721140002020547</c:v>
                </c:pt>
                <c:pt idx="1264">
                  <c:v>0.24755203536187764</c:v>
                </c:pt>
                <c:pt idx="1265">
                  <c:v>0.24830246442434145</c:v>
                </c:pt>
                <c:pt idx="1266">
                  <c:v>0.24864464665643027</c:v>
                </c:pt>
                <c:pt idx="1267">
                  <c:v>0.24873254471822293</c:v>
                </c:pt>
                <c:pt idx="1268">
                  <c:v>0.24873988351919252</c:v>
                </c:pt>
                <c:pt idx="1269">
                  <c:v>0.24880809455953568</c:v>
                </c:pt>
                <c:pt idx="1270">
                  <c:v>0.24883431026592007</c:v>
                </c:pt>
                <c:pt idx="1271">
                  <c:v>0.24965396403149498</c:v>
                </c:pt>
                <c:pt idx="1272">
                  <c:v>0.25002085327560053</c:v>
                </c:pt>
                <c:pt idx="1273">
                  <c:v>0.25012773835078406</c:v>
                </c:pt>
                <c:pt idx="1274">
                  <c:v>0.25046279245452752</c:v>
                </c:pt>
                <c:pt idx="1275">
                  <c:v>0.25070718432652939</c:v>
                </c:pt>
                <c:pt idx="1276">
                  <c:v>0.25080753740894579</c:v>
                </c:pt>
                <c:pt idx="1277">
                  <c:v>0.25084468929071591</c:v>
                </c:pt>
                <c:pt idx="1278">
                  <c:v>0.25124218894690387</c:v>
                </c:pt>
                <c:pt idx="1279">
                  <c:v>0.25132587209373014</c:v>
                </c:pt>
                <c:pt idx="1280">
                  <c:v>0.25136609230321483</c:v>
                </c:pt>
                <c:pt idx="1281">
                  <c:v>0.25157393929293903</c:v>
                </c:pt>
                <c:pt idx="1282">
                  <c:v>0.25190409601782449</c:v>
                </c:pt>
                <c:pt idx="1283">
                  <c:v>0.25288967328742729</c:v>
                </c:pt>
                <c:pt idx="1284">
                  <c:v>0.25333224860878545</c:v>
                </c:pt>
                <c:pt idx="1285">
                  <c:v>0.25339034345506661</c:v>
                </c:pt>
                <c:pt idx="1286">
                  <c:v>0.25353528262166947</c:v>
                </c:pt>
                <c:pt idx="1287">
                  <c:v>0.25355745545859065</c:v>
                </c:pt>
                <c:pt idx="1288">
                  <c:v>0.25358632152165228</c:v>
                </c:pt>
                <c:pt idx="1289">
                  <c:v>0.25403314610230154</c:v>
                </c:pt>
                <c:pt idx="1290">
                  <c:v>0.25422102340144193</c:v>
                </c:pt>
                <c:pt idx="1291">
                  <c:v>0.25427030152695806</c:v>
                </c:pt>
                <c:pt idx="1292">
                  <c:v>0.2544325254020805</c:v>
                </c:pt>
                <c:pt idx="1293">
                  <c:v>0.2546700605944352</c:v>
                </c:pt>
                <c:pt idx="1294">
                  <c:v>0.2559002883708672</c:v>
                </c:pt>
                <c:pt idx="1295">
                  <c:v>0.25598703537434631</c:v>
                </c:pt>
                <c:pt idx="1296">
                  <c:v>0.2563110818246237</c:v>
                </c:pt>
                <c:pt idx="1297">
                  <c:v>0.25631359201361192</c:v>
                </c:pt>
                <c:pt idx="1298">
                  <c:v>0.25635722953666118</c:v>
                </c:pt>
                <c:pt idx="1299">
                  <c:v>0.2564145564692808</c:v>
                </c:pt>
                <c:pt idx="1300">
                  <c:v>0.25643654792747839</c:v>
                </c:pt>
                <c:pt idx="1301">
                  <c:v>0.25653530197087093</c:v>
                </c:pt>
                <c:pt idx="1302">
                  <c:v>0.25662680862933485</c:v>
                </c:pt>
                <c:pt idx="1303">
                  <c:v>0.25671936175785959</c:v>
                </c:pt>
                <c:pt idx="1304">
                  <c:v>0.25706011351303459</c:v>
                </c:pt>
                <c:pt idx="1305">
                  <c:v>0.2573997959962071</c:v>
                </c:pt>
                <c:pt idx="1306">
                  <c:v>0.25755700389163394</c:v>
                </c:pt>
                <c:pt idx="1307">
                  <c:v>0.25769045555080083</c:v>
                </c:pt>
                <c:pt idx="1308">
                  <c:v>0.25820692381330446</c:v>
                </c:pt>
                <c:pt idx="1309">
                  <c:v>0.2584479448851198</c:v>
                </c:pt>
                <c:pt idx="1310">
                  <c:v>0.25851382035580173</c:v>
                </c:pt>
                <c:pt idx="1311">
                  <c:v>0.25910407666196988</c:v>
                </c:pt>
                <c:pt idx="1312">
                  <c:v>0.25910593875596533</c:v>
                </c:pt>
                <c:pt idx="1313">
                  <c:v>0.25925084103710105</c:v>
                </c:pt>
                <c:pt idx="1314">
                  <c:v>0.25932007396477275</c:v>
                </c:pt>
                <c:pt idx="1315">
                  <c:v>0.25946726510210283</c:v>
                </c:pt>
                <c:pt idx="1316">
                  <c:v>0.25947031027681078</c:v>
                </c:pt>
                <c:pt idx="1317">
                  <c:v>0.25956111001505633</c:v>
                </c:pt>
                <c:pt idx="1318">
                  <c:v>0.25965397253457922</c:v>
                </c:pt>
                <c:pt idx="1319">
                  <c:v>0.26036956768348318</c:v>
                </c:pt>
                <c:pt idx="1320">
                  <c:v>0.26039790765753423</c:v>
                </c:pt>
                <c:pt idx="1321">
                  <c:v>0.26080295047086111</c:v>
                </c:pt>
                <c:pt idx="1322">
                  <c:v>0.26085148788297374</c:v>
                </c:pt>
                <c:pt idx="1323">
                  <c:v>0.26099492072353314</c:v>
                </c:pt>
                <c:pt idx="1324">
                  <c:v>0.2610227776094689</c:v>
                </c:pt>
                <c:pt idx="1325">
                  <c:v>0.26106054248521104</c:v>
                </c:pt>
                <c:pt idx="1326">
                  <c:v>0.26150100477116212</c:v>
                </c:pt>
                <c:pt idx="1327">
                  <c:v>0.26172829775987339</c:v>
                </c:pt>
                <c:pt idx="1328">
                  <c:v>0.26179317510923283</c:v>
                </c:pt>
                <c:pt idx="1329">
                  <c:v>0.26184089670096</c:v>
                </c:pt>
                <c:pt idx="1330">
                  <c:v>0.26246564946904982</c:v>
                </c:pt>
                <c:pt idx="1331">
                  <c:v>0.26247844583667757</c:v>
                </c:pt>
                <c:pt idx="1332">
                  <c:v>0.26276112071172975</c:v>
                </c:pt>
                <c:pt idx="1333">
                  <c:v>0.26316476451574999</c:v>
                </c:pt>
                <c:pt idx="1334">
                  <c:v>0.26322233182054333</c:v>
                </c:pt>
                <c:pt idx="1335">
                  <c:v>0.26325759945757454</c:v>
                </c:pt>
                <c:pt idx="1336">
                  <c:v>0.26343766105674149</c:v>
                </c:pt>
                <c:pt idx="1337">
                  <c:v>0.26350403668675426</c:v>
                </c:pt>
                <c:pt idx="1338">
                  <c:v>0.26367871414367983</c:v>
                </c:pt>
                <c:pt idx="1339">
                  <c:v>0.26375437999013229</c:v>
                </c:pt>
                <c:pt idx="1340">
                  <c:v>0.26404383886165306</c:v>
                </c:pt>
                <c:pt idx="1341">
                  <c:v>0.26434111940670846</c:v>
                </c:pt>
                <c:pt idx="1342">
                  <c:v>0.26471095905708353</c:v>
                </c:pt>
                <c:pt idx="1343">
                  <c:v>0.26501722429929941</c:v>
                </c:pt>
                <c:pt idx="1344">
                  <c:v>0.26502335598070204</c:v>
                </c:pt>
                <c:pt idx="1345">
                  <c:v>0.26502359666392294</c:v>
                </c:pt>
                <c:pt idx="1346">
                  <c:v>0.26524228504422354</c:v>
                </c:pt>
                <c:pt idx="1347">
                  <c:v>0.26541421124603914</c:v>
                </c:pt>
                <c:pt idx="1348">
                  <c:v>0.26549097936185717</c:v>
                </c:pt>
                <c:pt idx="1349">
                  <c:v>0.26550565129036841</c:v>
                </c:pt>
                <c:pt idx="1350">
                  <c:v>0.26559230211296381</c:v>
                </c:pt>
                <c:pt idx="1351">
                  <c:v>0.26598546157674718</c:v>
                </c:pt>
                <c:pt idx="1352">
                  <c:v>0.26605817727067915</c:v>
                </c:pt>
                <c:pt idx="1353">
                  <c:v>0.26613543830990238</c:v>
                </c:pt>
                <c:pt idx="1354">
                  <c:v>0.26619247447979433</c:v>
                </c:pt>
                <c:pt idx="1355">
                  <c:v>0.26620540719977726</c:v>
                </c:pt>
                <c:pt idx="1356">
                  <c:v>0.26638907092819863</c:v>
                </c:pt>
                <c:pt idx="1357">
                  <c:v>0.26641066866523033</c:v>
                </c:pt>
                <c:pt idx="1358">
                  <c:v>0.26655799020591076</c:v>
                </c:pt>
                <c:pt idx="1359">
                  <c:v>0.26658130734904262</c:v>
                </c:pt>
                <c:pt idx="1360">
                  <c:v>0.26681686059782805</c:v>
                </c:pt>
                <c:pt idx="1361">
                  <c:v>0.26739194810943445</c:v>
                </c:pt>
                <c:pt idx="1362">
                  <c:v>0.26825685639505537</c:v>
                </c:pt>
                <c:pt idx="1363">
                  <c:v>0.26827593700090802</c:v>
                </c:pt>
                <c:pt idx="1364">
                  <c:v>0.26834528722429241</c:v>
                </c:pt>
                <c:pt idx="1365">
                  <c:v>0.26835434687927773</c:v>
                </c:pt>
                <c:pt idx="1366">
                  <c:v>0.26858207689929259</c:v>
                </c:pt>
                <c:pt idx="1367">
                  <c:v>0.26865399640428222</c:v>
                </c:pt>
                <c:pt idx="1368">
                  <c:v>0.26884380674346176</c:v>
                </c:pt>
                <c:pt idx="1369">
                  <c:v>0.26904036249106866</c:v>
                </c:pt>
                <c:pt idx="1370">
                  <c:v>0.26906592915474903</c:v>
                </c:pt>
                <c:pt idx="1371">
                  <c:v>0.26916737936335267</c:v>
                </c:pt>
                <c:pt idx="1372">
                  <c:v>0.26937082180120342</c:v>
                </c:pt>
                <c:pt idx="1373">
                  <c:v>0.26971331514050689</c:v>
                </c:pt>
                <c:pt idx="1374">
                  <c:v>0.26982698530355265</c:v>
                </c:pt>
                <c:pt idx="1375">
                  <c:v>0.27002488187463314</c:v>
                </c:pt>
                <c:pt idx="1376">
                  <c:v>0.27011096718888439</c:v>
                </c:pt>
                <c:pt idx="1377">
                  <c:v>0.27018416809369228</c:v>
                </c:pt>
                <c:pt idx="1378">
                  <c:v>0.27082321033867629</c:v>
                </c:pt>
                <c:pt idx="1379">
                  <c:v>0.27086514799066208</c:v>
                </c:pt>
                <c:pt idx="1380">
                  <c:v>0.2711063243023375</c:v>
                </c:pt>
                <c:pt idx="1381">
                  <c:v>0.27111268027147162</c:v>
                </c:pt>
                <c:pt idx="1382">
                  <c:v>0.27113960713904817</c:v>
                </c:pt>
                <c:pt idx="1383">
                  <c:v>0.27143809264543961</c:v>
                </c:pt>
                <c:pt idx="1384">
                  <c:v>0.2715354794590894</c:v>
                </c:pt>
                <c:pt idx="1385">
                  <c:v>0.2715482098656139</c:v>
                </c:pt>
                <c:pt idx="1386">
                  <c:v>0.27210805627601076</c:v>
                </c:pt>
                <c:pt idx="1387">
                  <c:v>0.27224961785486812</c:v>
                </c:pt>
                <c:pt idx="1388">
                  <c:v>0.27233044345666713</c:v>
                </c:pt>
                <c:pt idx="1389">
                  <c:v>0.27235809138801415</c:v>
                </c:pt>
                <c:pt idx="1390">
                  <c:v>0.27275596435174521</c:v>
                </c:pt>
                <c:pt idx="1391">
                  <c:v>0.27309138426426216</c:v>
                </c:pt>
                <c:pt idx="1392">
                  <c:v>0.27385392500036687</c:v>
                </c:pt>
                <c:pt idx="1393">
                  <c:v>0.27385778809821204</c:v>
                </c:pt>
                <c:pt idx="1394">
                  <c:v>0.27450275682622305</c:v>
                </c:pt>
                <c:pt idx="1395">
                  <c:v>0.27465414345078898</c:v>
                </c:pt>
                <c:pt idx="1396">
                  <c:v>0.27491434874264087</c:v>
                </c:pt>
                <c:pt idx="1397">
                  <c:v>0.27516655755425745</c:v>
                </c:pt>
                <c:pt idx="1398">
                  <c:v>0.27543674984462996</c:v>
                </c:pt>
                <c:pt idx="1399">
                  <c:v>0.27547094685451157</c:v>
                </c:pt>
                <c:pt idx="1400">
                  <c:v>0.27594376472825388</c:v>
                </c:pt>
                <c:pt idx="1401">
                  <c:v>0.27609617764755967</c:v>
                </c:pt>
                <c:pt idx="1402">
                  <c:v>0.2761110135470517</c:v>
                </c:pt>
                <c:pt idx="1403">
                  <c:v>0.27625171868749021</c:v>
                </c:pt>
                <c:pt idx="1404">
                  <c:v>0.27656595764165104</c:v>
                </c:pt>
                <c:pt idx="1405">
                  <c:v>0.27702198481438245</c:v>
                </c:pt>
                <c:pt idx="1406">
                  <c:v>0.27706440664951515</c:v>
                </c:pt>
                <c:pt idx="1407">
                  <c:v>0.27715663905111398</c:v>
                </c:pt>
                <c:pt idx="1408">
                  <c:v>0.2775615886775995</c:v>
                </c:pt>
                <c:pt idx="1409">
                  <c:v>0.27783336704578687</c:v>
                </c:pt>
                <c:pt idx="1410">
                  <c:v>0.27794938789247681</c:v>
                </c:pt>
                <c:pt idx="1411">
                  <c:v>0.27798846748009964</c:v>
                </c:pt>
                <c:pt idx="1412">
                  <c:v>0.27801783735412755</c:v>
                </c:pt>
                <c:pt idx="1413">
                  <c:v>0.27814802316700593</c:v>
                </c:pt>
                <c:pt idx="1414">
                  <c:v>0.2781809664247703</c:v>
                </c:pt>
                <c:pt idx="1415">
                  <c:v>0.2782936008179604</c:v>
                </c:pt>
                <c:pt idx="1416">
                  <c:v>0.27856266876916891</c:v>
                </c:pt>
                <c:pt idx="1417">
                  <c:v>0.27884911173168803</c:v>
                </c:pt>
                <c:pt idx="1418">
                  <c:v>0.27942601232007291</c:v>
                </c:pt>
                <c:pt idx="1419">
                  <c:v>0.27978093552519567</c:v>
                </c:pt>
                <c:pt idx="1420">
                  <c:v>0.27997995596797409</c:v>
                </c:pt>
                <c:pt idx="1421">
                  <c:v>0.27999726924645074</c:v>
                </c:pt>
                <c:pt idx="1422">
                  <c:v>0.28010126056142326</c:v>
                </c:pt>
                <c:pt idx="1423">
                  <c:v>0.28024890134383895</c:v>
                </c:pt>
                <c:pt idx="1424">
                  <c:v>0.28035332215586095</c:v>
                </c:pt>
                <c:pt idx="1425">
                  <c:v>0.2804002650491384</c:v>
                </c:pt>
                <c:pt idx="1426">
                  <c:v>0.28063931027281797</c:v>
                </c:pt>
                <c:pt idx="1427">
                  <c:v>0.28113830740767298</c:v>
                </c:pt>
                <c:pt idx="1428">
                  <c:v>0.2811506132266004</c:v>
                </c:pt>
                <c:pt idx="1429">
                  <c:v>0.28132870302124502</c:v>
                </c:pt>
                <c:pt idx="1430">
                  <c:v>0.28145596751892299</c:v>
                </c:pt>
                <c:pt idx="1431">
                  <c:v>0.28169066768805351</c:v>
                </c:pt>
                <c:pt idx="1432">
                  <c:v>0.28196000699244905</c:v>
                </c:pt>
                <c:pt idx="1433">
                  <c:v>0.28200814927913598</c:v>
                </c:pt>
                <c:pt idx="1434">
                  <c:v>0.28201745882688556</c:v>
                </c:pt>
                <c:pt idx="1435">
                  <c:v>0.2820890533093916</c:v>
                </c:pt>
                <c:pt idx="1436">
                  <c:v>0.28222068171726278</c:v>
                </c:pt>
                <c:pt idx="1437">
                  <c:v>0.28309930306750175</c:v>
                </c:pt>
                <c:pt idx="1438">
                  <c:v>0.2832370176583936</c:v>
                </c:pt>
                <c:pt idx="1439">
                  <c:v>0.28333518180352257</c:v>
                </c:pt>
                <c:pt idx="1440">
                  <c:v>0.28398203332380945</c:v>
                </c:pt>
                <c:pt idx="1441">
                  <c:v>0.28434144068614842</c:v>
                </c:pt>
                <c:pt idx="1442">
                  <c:v>0.28451868754200405</c:v>
                </c:pt>
                <c:pt idx="1443">
                  <c:v>0.28478810545402666</c:v>
                </c:pt>
                <c:pt idx="1444">
                  <c:v>0.2848681904060868</c:v>
                </c:pt>
                <c:pt idx="1445">
                  <c:v>0.28519867052000336</c:v>
                </c:pt>
                <c:pt idx="1446">
                  <c:v>0.28521784263557493</c:v>
                </c:pt>
                <c:pt idx="1447">
                  <c:v>0.28524255255524622</c:v>
                </c:pt>
                <c:pt idx="1448">
                  <c:v>0.28528113104493968</c:v>
                </c:pt>
                <c:pt idx="1449">
                  <c:v>0.28596973211733712</c:v>
                </c:pt>
                <c:pt idx="1450">
                  <c:v>0.28613845951349504</c:v>
                </c:pt>
                <c:pt idx="1451">
                  <c:v>0.28663686423897161</c:v>
                </c:pt>
                <c:pt idx="1452">
                  <c:v>0.28712861157691805</c:v>
                </c:pt>
                <c:pt idx="1453">
                  <c:v>0.287276627220308</c:v>
                </c:pt>
                <c:pt idx="1454">
                  <c:v>0.28732493571806117</c:v>
                </c:pt>
                <c:pt idx="1455">
                  <c:v>0.28782841135216586</c:v>
                </c:pt>
                <c:pt idx="1456">
                  <c:v>0.28802297074071248</c:v>
                </c:pt>
                <c:pt idx="1457">
                  <c:v>0.28806698413427512</c:v>
                </c:pt>
                <c:pt idx="1458">
                  <c:v>0.28829920046155166</c:v>
                </c:pt>
                <c:pt idx="1459">
                  <c:v>0.28843694533316011</c:v>
                </c:pt>
                <c:pt idx="1460">
                  <c:v>0.28881979163270444</c:v>
                </c:pt>
                <c:pt idx="1461">
                  <c:v>0.28887043332633766</c:v>
                </c:pt>
                <c:pt idx="1462">
                  <c:v>0.28931390234720311</c:v>
                </c:pt>
                <c:pt idx="1463">
                  <c:v>0.28960828519029747</c:v>
                </c:pt>
                <c:pt idx="1464">
                  <c:v>0.28970769205170654</c:v>
                </c:pt>
                <c:pt idx="1465">
                  <c:v>0.28998087784384552</c:v>
                </c:pt>
                <c:pt idx="1466">
                  <c:v>0.28999375134571892</c:v>
                </c:pt>
                <c:pt idx="1467">
                  <c:v>0.29018890257339081</c:v>
                </c:pt>
                <c:pt idx="1468">
                  <c:v>0.29152924282152526</c:v>
                </c:pt>
                <c:pt idx="1469">
                  <c:v>0.29157110725009261</c:v>
                </c:pt>
                <c:pt idx="1470">
                  <c:v>0.29163796886496129</c:v>
                </c:pt>
                <c:pt idx="1471">
                  <c:v>0.29174213360238355</c:v>
                </c:pt>
                <c:pt idx="1472">
                  <c:v>0.29216527895732725</c:v>
                </c:pt>
                <c:pt idx="1473">
                  <c:v>0.29238682348204748</c:v>
                </c:pt>
                <c:pt idx="1474">
                  <c:v>0.29267301493928244</c:v>
                </c:pt>
                <c:pt idx="1475">
                  <c:v>0.2929309785595251</c:v>
                </c:pt>
                <c:pt idx="1476">
                  <c:v>0.29331593640654319</c:v>
                </c:pt>
                <c:pt idx="1477">
                  <c:v>0.29344419706467306</c:v>
                </c:pt>
                <c:pt idx="1478">
                  <c:v>0.29376513951683592</c:v>
                </c:pt>
                <c:pt idx="1479">
                  <c:v>0.29389918749529897</c:v>
                </c:pt>
                <c:pt idx="1480">
                  <c:v>0.29390518684886047</c:v>
                </c:pt>
                <c:pt idx="1481">
                  <c:v>0.2945206734148087</c:v>
                </c:pt>
                <c:pt idx="1482">
                  <c:v>0.2948689180184374</c:v>
                </c:pt>
                <c:pt idx="1483">
                  <c:v>0.29491161674468458</c:v>
                </c:pt>
                <c:pt idx="1484">
                  <c:v>0.29524323795340024</c:v>
                </c:pt>
                <c:pt idx="1485">
                  <c:v>0.29525396257122338</c:v>
                </c:pt>
                <c:pt idx="1486">
                  <c:v>0.29536248909334972</c:v>
                </c:pt>
                <c:pt idx="1487">
                  <c:v>0.29577951726423635</c:v>
                </c:pt>
                <c:pt idx="1488">
                  <c:v>0.29589859878433344</c:v>
                </c:pt>
                <c:pt idx="1489">
                  <c:v>0.29607874632984021</c:v>
                </c:pt>
                <c:pt idx="1490">
                  <c:v>0.29618941211356287</c:v>
                </c:pt>
                <c:pt idx="1491">
                  <c:v>0.29675110502377322</c:v>
                </c:pt>
                <c:pt idx="1492">
                  <c:v>0.29698023622677283</c:v>
                </c:pt>
                <c:pt idx="1493">
                  <c:v>0.2971050131454831</c:v>
                </c:pt>
                <c:pt idx="1494">
                  <c:v>0.29730513862523367</c:v>
                </c:pt>
                <c:pt idx="1495">
                  <c:v>0.29732371242971567</c:v>
                </c:pt>
                <c:pt idx="1496">
                  <c:v>0.29738159102271311</c:v>
                </c:pt>
                <c:pt idx="1497">
                  <c:v>0.29755707009007892</c:v>
                </c:pt>
                <c:pt idx="1498">
                  <c:v>0.2975937706660261</c:v>
                </c:pt>
                <c:pt idx="1499">
                  <c:v>0.29796830561463139</c:v>
                </c:pt>
                <c:pt idx="1500">
                  <c:v>0.29806312617620279</c:v>
                </c:pt>
                <c:pt idx="1501">
                  <c:v>0.29809136569565453</c:v>
                </c:pt>
                <c:pt idx="1502">
                  <c:v>0.29822621402763616</c:v>
                </c:pt>
                <c:pt idx="1503">
                  <c:v>0.29838015396671835</c:v>
                </c:pt>
                <c:pt idx="1504">
                  <c:v>0.29876261418303329</c:v>
                </c:pt>
                <c:pt idx="1505">
                  <c:v>0.29916644688637462</c:v>
                </c:pt>
                <c:pt idx="1506">
                  <c:v>0.29928340318019764</c:v>
                </c:pt>
                <c:pt idx="1507">
                  <c:v>0.29936498461393057</c:v>
                </c:pt>
                <c:pt idx="1508">
                  <c:v>0.2993778862637555</c:v>
                </c:pt>
                <c:pt idx="1509">
                  <c:v>0.29949178134302201</c:v>
                </c:pt>
                <c:pt idx="1510">
                  <c:v>0.29951859446646267</c:v>
                </c:pt>
                <c:pt idx="1511">
                  <c:v>0.29999054036488815</c:v>
                </c:pt>
                <c:pt idx="1512">
                  <c:v>0.30009022810372699</c:v>
                </c:pt>
                <c:pt idx="1513">
                  <c:v>0.30023545861695311</c:v>
                </c:pt>
                <c:pt idx="1514">
                  <c:v>0.30088624809013709</c:v>
                </c:pt>
                <c:pt idx="1515">
                  <c:v>0.30100541130741476</c:v>
                </c:pt>
                <c:pt idx="1516">
                  <c:v>0.30139459522890277</c:v>
                </c:pt>
                <c:pt idx="1517">
                  <c:v>0.30141509048735315</c:v>
                </c:pt>
                <c:pt idx="1518">
                  <c:v>0.30149426267144008</c:v>
                </c:pt>
                <c:pt idx="1519">
                  <c:v>0.30177134979203402</c:v>
                </c:pt>
                <c:pt idx="1520">
                  <c:v>0.30255402616876381</c:v>
                </c:pt>
                <c:pt idx="1521">
                  <c:v>0.30266524336093426</c:v>
                </c:pt>
                <c:pt idx="1522">
                  <c:v>0.30271509683188924</c:v>
                </c:pt>
                <c:pt idx="1523">
                  <c:v>0.30324538035984006</c:v>
                </c:pt>
                <c:pt idx="1524">
                  <c:v>0.30326130469893542</c:v>
                </c:pt>
                <c:pt idx="1525">
                  <c:v>0.30375900389481103</c:v>
                </c:pt>
                <c:pt idx="1526">
                  <c:v>0.30396766894136817</c:v>
                </c:pt>
                <c:pt idx="1527">
                  <c:v>0.30412700528449932</c:v>
                </c:pt>
                <c:pt idx="1528">
                  <c:v>0.30414642115829338</c:v>
                </c:pt>
                <c:pt idx="1529">
                  <c:v>0.30417944716555212</c:v>
                </c:pt>
                <c:pt idx="1530">
                  <c:v>0.3042366537711132</c:v>
                </c:pt>
                <c:pt idx="1531">
                  <c:v>0.30446289760766376</c:v>
                </c:pt>
                <c:pt idx="1532">
                  <c:v>0.30453576867148513</c:v>
                </c:pt>
                <c:pt idx="1533">
                  <c:v>0.30528474038965214</c:v>
                </c:pt>
                <c:pt idx="1534">
                  <c:v>0.3052980279599069</c:v>
                </c:pt>
                <c:pt idx="1535">
                  <c:v>0.30547357724481117</c:v>
                </c:pt>
                <c:pt idx="1536">
                  <c:v>0.30555441671003791</c:v>
                </c:pt>
                <c:pt idx="1537">
                  <c:v>0.30595573882601457</c:v>
                </c:pt>
                <c:pt idx="1538">
                  <c:v>0.3060222415251701</c:v>
                </c:pt>
                <c:pt idx="1539">
                  <c:v>0.30617017143049452</c:v>
                </c:pt>
                <c:pt idx="1540">
                  <c:v>0.30639678038096463</c:v>
                </c:pt>
                <c:pt idx="1541">
                  <c:v>0.30647626905556535</c:v>
                </c:pt>
                <c:pt idx="1542">
                  <c:v>0.30659760966591421</c:v>
                </c:pt>
                <c:pt idx="1543">
                  <c:v>0.30691055584247806</c:v>
                </c:pt>
                <c:pt idx="1544">
                  <c:v>0.3069377456604343</c:v>
                </c:pt>
                <c:pt idx="1545">
                  <c:v>0.30708580008649733</c:v>
                </c:pt>
                <c:pt idx="1546">
                  <c:v>0.30729511653953523</c:v>
                </c:pt>
                <c:pt idx="1547">
                  <c:v>0.30762165880560133</c:v>
                </c:pt>
                <c:pt idx="1548">
                  <c:v>0.30779354005608184</c:v>
                </c:pt>
                <c:pt idx="1549">
                  <c:v>0.30791164067704813</c:v>
                </c:pt>
                <c:pt idx="1550">
                  <c:v>0.30809889784723055</c:v>
                </c:pt>
                <c:pt idx="1551">
                  <c:v>0.30838419899464498</c:v>
                </c:pt>
                <c:pt idx="1552">
                  <c:v>0.30870219053576875</c:v>
                </c:pt>
                <c:pt idx="1553">
                  <c:v>0.30911379850749654</c:v>
                </c:pt>
                <c:pt idx="1554">
                  <c:v>0.30917460442287847</c:v>
                </c:pt>
                <c:pt idx="1555">
                  <c:v>0.30923472530685103</c:v>
                </c:pt>
                <c:pt idx="1556">
                  <c:v>0.30930423734480428</c:v>
                </c:pt>
                <c:pt idx="1557">
                  <c:v>0.30981514617087669</c:v>
                </c:pt>
                <c:pt idx="1558">
                  <c:v>0.31004081685296114</c:v>
                </c:pt>
                <c:pt idx="1559">
                  <c:v>0.31004876102088019</c:v>
                </c:pt>
                <c:pt idx="1560">
                  <c:v>0.3100651151717102</c:v>
                </c:pt>
                <c:pt idx="1561">
                  <c:v>0.31016208446726523</c:v>
                </c:pt>
                <c:pt idx="1562">
                  <c:v>0.31046484550552123</c:v>
                </c:pt>
                <c:pt idx="1563">
                  <c:v>0.31073750173436565</c:v>
                </c:pt>
                <c:pt idx="1564">
                  <c:v>0.3109298793342532</c:v>
                </c:pt>
                <c:pt idx="1565">
                  <c:v>0.31093291551405855</c:v>
                </c:pt>
                <c:pt idx="1566">
                  <c:v>0.31118820690974758</c:v>
                </c:pt>
                <c:pt idx="1567">
                  <c:v>0.31134004672276205</c:v>
                </c:pt>
                <c:pt idx="1568">
                  <c:v>0.3115199386702443</c:v>
                </c:pt>
                <c:pt idx="1569">
                  <c:v>0.3117126887991617</c:v>
                </c:pt>
                <c:pt idx="1570">
                  <c:v>0.31172593363680789</c:v>
                </c:pt>
                <c:pt idx="1571">
                  <c:v>0.31174306631146464</c:v>
                </c:pt>
                <c:pt idx="1572">
                  <c:v>0.31178074392755661</c:v>
                </c:pt>
                <c:pt idx="1573">
                  <c:v>0.31193605441148975</c:v>
                </c:pt>
                <c:pt idx="1574">
                  <c:v>0.31200430927128764</c:v>
                </c:pt>
                <c:pt idx="1575">
                  <c:v>0.31258274191259261</c:v>
                </c:pt>
                <c:pt idx="1576">
                  <c:v>0.3127706567693167</c:v>
                </c:pt>
                <c:pt idx="1577">
                  <c:v>0.31277755296832765</c:v>
                </c:pt>
                <c:pt idx="1578">
                  <c:v>0.3128444804551691</c:v>
                </c:pt>
                <c:pt idx="1579">
                  <c:v>0.31329309671218653</c:v>
                </c:pt>
                <c:pt idx="1580">
                  <c:v>0.31345178889932868</c:v>
                </c:pt>
                <c:pt idx="1581">
                  <c:v>0.31360721838973404</c:v>
                </c:pt>
                <c:pt idx="1582">
                  <c:v>0.31360995139402803</c:v>
                </c:pt>
                <c:pt idx="1583">
                  <c:v>0.31364401403152442</c:v>
                </c:pt>
                <c:pt idx="1584">
                  <c:v>0.31409862947111833</c:v>
                </c:pt>
                <c:pt idx="1585">
                  <c:v>0.3143067571309075</c:v>
                </c:pt>
                <c:pt idx="1586">
                  <c:v>0.31434515520416539</c:v>
                </c:pt>
                <c:pt idx="1587">
                  <c:v>0.31503004976548254</c:v>
                </c:pt>
                <c:pt idx="1588">
                  <c:v>0.31606510381425323</c:v>
                </c:pt>
                <c:pt idx="1589">
                  <c:v>0.3163413302772824</c:v>
                </c:pt>
                <c:pt idx="1590">
                  <c:v>0.31656254877725587</c:v>
                </c:pt>
                <c:pt idx="1591">
                  <c:v>0.31656845082125074</c:v>
                </c:pt>
                <c:pt idx="1592">
                  <c:v>0.31670206507806142</c:v>
                </c:pt>
                <c:pt idx="1593">
                  <c:v>0.31711606523822411</c:v>
                </c:pt>
                <c:pt idx="1594">
                  <c:v>0.31722589250239253</c:v>
                </c:pt>
                <c:pt idx="1595">
                  <c:v>0.31750269584063062</c:v>
                </c:pt>
                <c:pt idx="1596">
                  <c:v>0.31798003452786361</c:v>
                </c:pt>
                <c:pt idx="1597">
                  <c:v>0.31809305333263183</c:v>
                </c:pt>
                <c:pt idx="1598">
                  <c:v>0.31827230257567862</c:v>
                </c:pt>
                <c:pt idx="1599">
                  <c:v>0.31842671231424902</c:v>
                </c:pt>
                <c:pt idx="1600">
                  <c:v>0.31859138085656014</c:v>
                </c:pt>
                <c:pt idx="1601">
                  <c:v>0.31876698220003163</c:v>
                </c:pt>
                <c:pt idx="1602">
                  <c:v>0.31876698610176391</c:v>
                </c:pt>
                <c:pt idx="1603">
                  <c:v>0.31891426546008006</c:v>
                </c:pt>
                <c:pt idx="1604">
                  <c:v>0.31906534892368654</c:v>
                </c:pt>
                <c:pt idx="1605">
                  <c:v>0.31966339994687587</c:v>
                </c:pt>
                <c:pt idx="1606">
                  <c:v>0.31970036135498958</c:v>
                </c:pt>
                <c:pt idx="1607">
                  <c:v>0.31982867584522978</c:v>
                </c:pt>
                <c:pt idx="1608">
                  <c:v>0.31990849752583017</c:v>
                </c:pt>
                <c:pt idx="1609">
                  <c:v>0.32002664073206688</c:v>
                </c:pt>
                <c:pt idx="1610">
                  <c:v>0.32012982732339879</c:v>
                </c:pt>
                <c:pt idx="1611">
                  <c:v>0.32025281822552643</c:v>
                </c:pt>
                <c:pt idx="1612">
                  <c:v>0.32032680828797311</c:v>
                </c:pt>
                <c:pt idx="1613">
                  <c:v>0.32056077623929013</c:v>
                </c:pt>
                <c:pt idx="1614">
                  <c:v>0.32070179162838031</c:v>
                </c:pt>
                <c:pt idx="1615">
                  <c:v>0.3209711004546989</c:v>
                </c:pt>
                <c:pt idx="1616">
                  <c:v>0.32113755860427773</c:v>
                </c:pt>
                <c:pt idx="1617">
                  <c:v>0.32122934315157181</c:v>
                </c:pt>
                <c:pt idx="1618">
                  <c:v>0.32124197030407231</c:v>
                </c:pt>
                <c:pt idx="1619">
                  <c:v>0.32130219677401328</c:v>
                </c:pt>
                <c:pt idx="1620">
                  <c:v>0.32172185269791953</c:v>
                </c:pt>
                <c:pt idx="1621">
                  <c:v>0.32211113999346708</c:v>
                </c:pt>
                <c:pt idx="1622">
                  <c:v>0.32230236961004266</c:v>
                </c:pt>
                <c:pt idx="1623">
                  <c:v>0.3223514204573803</c:v>
                </c:pt>
                <c:pt idx="1624">
                  <c:v>0.32244580345923168</c:v>
                </c:pt>
                <c:pt idx="1625">
                  <c:v>0.32269401615576498</c:v>
                </c:pt>
                <c:pt idx="1626">
                  <c:v>0.32298507486575545</c:v>
                </c:pt>
                <c:pt idx="1627">
                  <c:v>0.32299207727919566</c:v>
                </c:pt>
                <c:pt idx="1628">
                  <c:v>0.3231657894593809</c:v>
                </c:pt>
                <c:pt idx="1629">
                  <c:v>0.32327889777661767</c:v>
                </c:pt>
                <c:pt idx="1630">
                  <c:v>0.32353699923896784</c:v>
                </c:pt>
                <c:pt idx="1631">
                  <c:v>0.32372387987379625</c:v>
                </c:pt>
                <c:pt idx="1632">
                  <c:v>0.3240766451735908</c:v>
                </c:pt>
                <c:pt idx="1633">
                  <c:v>0.32424634961716947</c:v>
                </c:pt>
                <c:pt idx="1634">
                  <c:v>0.32461541638349445</c:v>
                </c:pt>
                <c:pt idx="1635">
                  <c:v>0.32499389206532214</c:v>
                </c:pt>
                <c:pt idx="1636">
                  <c:v>0.32505386153115978</c:v>
                </c:pt>
                <c:pt idx="1637">
                  <c:v>0.32562772864912404</c:v>
                </c:pt>
                <c:pt idx="1638">
                  <c:v>0.3256896791035615</c:v>
                </c:pt>
                <c:pt idx="1639">
                  <c:v>0.32576974448056717</c:v>
                </c:pt>
                <c:pt idx="1640">
                  <c:v>0.32591992121706426</c:v>
                </c:pt>
                <c:pt idx="1641">
                  <c:v>0.32595362377560377</c:v>
                </c:pt>
                <c:pt idx="1642">
                  <c:v>0.32599184926766611</c:v>
                </c:pt>
                <c:pt idx="1643">
                  <c:v>0.32611705383351364</c:v>
                </c:pt>
                <c:pt idx="1644">
                  <c:v>0.32612406150383322</c:v>
                </c:pt>
                <c:pt idx="1645">
                  <c:v>0.32615005956085952</c:v>
                </c:pt>
                <c:pt idx="1646">
                  <c:v>0.32628636063782324</c:v>
                </c:pt>
                <c:pt idx="1647">
                  <c:v>0.3264224997283236</c:v>
                </c:pt>
                <c:pt idx="1648">
                  <c:v>0.32660615203258203</c:v>
                </c:pt>
                <c:pt idx="1649">
                  <c:v>0.32674147729630931</c:v>
                </c:pt>
                <c:pt idx="1650">
                  <c:v>0.32697520067722508</c:v>
                </c:pt>
                <c:pt idx="1651">
                  <c:v>0.32700473666136531</c:v>
                </c:pt>
                <c:pt idx="1652">
                  <c:v>0.32790479040158971</c:v>
                </c:pt>
                <c:pt idx="1653">
                  <c:v>0.32809865674971661</c:v>
                </c:pt>
                <c:pt idx="1654">
                  <c:v>0.32819880251372524</c:v>
                </c:pt>
                <c:pt idx="1655">
                  <c:v>0.32843378293455316</c:v>
                </c:pt>
                <c:pt idx="1656">
                  <c:v>0.32850141452581738</c:v>
                </c:pt>
                <c:pt idx="1657">
                  <c:v>0.32858262438185193</c:v>
                </c:pt>
                <c:pt idx="1658">
                  <c:v>0.32866410062615614</c:v>
                </c:pt>
                <c:pt idx="1659">
                  <c:v>0.32904360580323555</c:v>
                </c:pt>
                <c:pt idx="1660">
                  <c:v>0.32905933216079575</c:v>
                </c:pt>
                <c:pt idx="1661">
                  <c:v>0.32937900869910663</c:v>
                </c:pt>
                <c:pt idx="1662">
                  <c:v>0.32941558591119247</c:v>
                </c:pt>
                <c:pt idx="1663">
                  <c:v>0.32951161597338796</c:v>
                </c:pt>
                <c:pt idx="1664">
                  <c:v>0.32988239777296258</c:v>
                </c:pt>
                <c:pt idx="1665">
                  <c:v>0.33017067774744646</c:v>
                </c:pt>
                <c:pt idx="1666">
                  <c:v>0.33026256752236804</c:v>
                </c:pt>
                <c:pt idx="1667">
                  <c:v>0.33108169419483602</c:v>
                </c:pt>
                <c:pt idx="1668">
                  <c:v>0.33135213765582705</c:v>
                </c:pt>
                <c:pt idx="1669">
                  <c:v>0.33169974662723689</c:v>
                </c:pt>
                <c:pt idx="1670">
                  <c:v>0.33188637724835601</c:v>
                </c:pt>
                <c:pt idx="1671">
                  <c:v>0.33196973936446739</c:v>
                </c:pt>
                <c:pt idx="1672">
                  <c:v>0.33213064516166924</c:v>
                </c:pt>
                <c:pt idx="1673">
                  <c:v>0.33220589887423557</c:v>
                </c:pt>
                <c:pt idx="1674">
                  <c:v>0.33247494092393026</c:v>
                </c:pt>
                <c:pt idx="1675">
                  <c:v>0.33294476977971499</c:v>
                </c:pt>
                <c:pt idx="1676">
                  <c:v>0.33311793722168659</c:v>
                </c:pt>
                <c:pt idx="1677">
                  <c:v>0.3331753833563198</c:v>
                </c:pt>
                <c:pt idx="1678">
                  <c:v>0.3333855374248742</c:v>
                </c:pt>
                <c:pt idx="1679">
                  <c:v>0.33345938089314586</c:v>
                </c:pt>
                <c:pt idx="1680">
                  <c:v>0.33350778304156847</c:v>
                </c:pt>
                <c:pt idx="1681">
                  <c:v>0.33367410380833462</c:v>
                </c:pt>
                <c:pt idx="1682">
                  <c:v>0.33374267124690959</c:v>
                </c:pt>
                <c:pt idx="1683">
                  <c:v>0.33395531684982416</c:v>
                </c:pt>
                <c:pt idx="1684">
                  <c:v>0.33399735749389947</c:v>
                </c:pt>
                <c:pt idx="1685">
                  <c:v>0.33416154701899359</c:v>
                </c:pt>
                <c:pt idx="1686">
                  <c:v>0.3345507830463248</c:v>
                </c:pt>
                <c:pt idx="1687">
                  <c:v>0.33464810052919347</c:v>
                </c:pt>
                <c:pt idx="1688">
                  <c:v>0.33468500867820694</c:v>
                </c:pt>
                <c:pt idx="1689">
                  <c:v>0.33479032797276886</c:v>
                </c:pt>
                <c:pt idx="1690">
                  <c:v>0.33482993594407162</c:v>
                </c:pt>
                <c:pt idx="1691">
                  <c:v>0.33497836802052916</c:v>
                </c:pt>
                <c:pt idx="1692">
                  <c:v>0.33555715341935866</c:v>
                </c:pt>
                <c:pt idx="1693">
                  <c:v>0.3357033007487189</c:v>
                </c:pt>
                <c:pt idx="1694">
                  <c:v>0.33586238116367895</c:v>
                </c:pt>
                <c:pt idx="1695">
                  <c:v>0.33626379094857839</c:v>
                </c:pt>
                <c:pt idx="1696">
                  <c:v>0.33670828028152755</c:v>
                </c:pt>
                <c:pt idx="1697">
                  <c:v>0.33709003466719878</c:v>
                </c:pt>
                <c:pt idx="1698">
                  <c:v>0.33717511072609341</c:v>
                </c:pt>
                <c:pt idx="1699">
                  <c:v>0.33728762711507443</c:v>
                </c:pt>
                <c:pt idx="1700">
                  <c:v>0.33738394733336463</c:v>
                </c:pt>
                <c:pt idx="1701">
                  <c:v>0.33738922030715912</c:v>
                </c:pt>
                <c:pt idx="1702">
                  <c:v>0.33780045005732973</c:v>
                </c:pt>
                <c:pt idx="1703">
                  <c:v>0.3379516522081758</c:v>
                </c:pt>
                <c:pt idx="1704">
                  <c:v>0.33798503765683563</c:v>
                </c:pt>
                <c:pt idx="1705">
                  <c:v>0.33811707465611107</c:v>
                </c:pt>
                <c:pt idx="1706">
                  <c:v>0.33813790483145567</c:v>
                </c:pt>
                <c:pt idx="1707">
                  <c:v>0.33821471301325801</c:v>
                </c:pt>
                <c:pt idx="1708">
                  <c:v>0.33825631019138314</c:v>
                </c:pt>
                <c:pt idx="1709">
                  <c:v>0.33831218274553976</c:v>
                </c:pt>
                <c:pt idx="1710">
                  <c:v>0.3383829050908389</c:v>
                </c:pt>
                <c:pt idx="1711">
                  <c:v>0.33873433095777727</c:v>
                </c:pt>
                <c:pt idx="1712">
                  <c:v>0.33886255708421231</c:v>
                </c:pt>
                <c:pt idx="1713">
                  <c:v>0.33890946153132973</c:v>
                </c:pt>
                <c:pt idx="1714">
                  <c:v>0.3390957743549734</c:v>
                </c:pt>
                <c:pt idx="1715">
                  <c:v>0.33912171397605562</c:v>
                </c:pt>
                <c:pt idx="1716">
                  <c:v>0.33916401701935683</c:v>
                </c:pt>
                <c:pt idx="1717">
                  <c:v>0.33942898665281973</c:v>
                </c:pt>
                <c:pt idx="1718">
                  <c:v>0.33957063399248</c:v>
                </c:pt>
                <c:pt idx="1719">
                  <c:v>0.3403210011720148</c:v>
                </c:pt>
                <c:pt idx="1720">
                  <c:v>0.34035137106911861</c:v>
                </c:pt>
                <c:pt idx="1721">
                  <c:v>0.34063147620054224</c:v>
                </c:pt>
                <c:pt idx="1722">
                  <c:v>0.34077273199909541</c:v>
                </c:pt>
                <c:pt idx="1723">
                  <c:v>0.34108743839897215</c:v>
                </c:pt>
                <c:pt idx="1724">
                  <c:v>0.34116886135871027</c:v>
                </c:pt>
                <c:pt idx="1725">
                  <c:v>0.34172463686900301</c:v>
                </c:pt>
                <c:pt idx="1726">
                  <c:v>0.34189944057561661</c:v>
                </c:pt>
                <c:pt idx="1727">
                  <c:v>0.34237479202693066</c:v>
                </c:pt>
                <c:pt idx="1728">
                  <c:v>0.34242610035198595</c:v>
                </c:pt>
                <c:pt idx="1729">
                  <c:v>0.34245575773547898</c:v>
                </c:pt>
                <c:pt idx="1730">
                  <c:v>0.34254279197830328</c:v>
                </c:pt>
                <c:pt idx="1731">
                  <c:v>0.34287731660879217</c:v>
                </c:pt>
                <c:pt idx="1732">
                  <c:v>0.34300044149586029</c:v>
                </c:pt>
                <c:pt idx="1733">
                  <c:v>0.34312779811443761</c:v>
                </c:pt>
                <c:pt idx="1734">
                  <c:v>0.34315223165503994</c:v>
                </c:pt>
                <c:pt idx="1735">
                  <c:v>0.34317426069083012</c:v>
                </c:pt>
                <c:pt idx="1736">
                  <c:v>0.34341162355940469</c:v>
                </c:pt>
                <c:pt idx="1737">
                  <c:v>0.3438234602645025</c:v>
                </c:pt>
                <c:pt idx="1738">
                  <c:v>0.34390031360544526</c:v>
                </c:pt>
                <c:pt idx="1739">
                  <c:v>0.34391030637107178</c:v>
                </c:pt>
                <c:pt idx="1740">
                  <c:v>0.34393213380099041</c:v>
                </c:pt>
                <c:pt idx="1741">
                  <c:v>0.34429170449402591</c:v>
                </c:pt>
                <c:pt idx="1742">
                  <c:v>0.34430182267169585</c:v>
                </c:pt>
                <c:pt idx="1743">
                  <c:v>0.34432842472506309</c:v>
                </c:pt>
                <c:pt idx="1744">
                  <c:v>0.3446611895242313</c:v>
                </c:pt>
                <c:pt idx="1745">
                  <c:v>0.3448124053529682</c:v>
                </c:pt>
                <c:pt idx="1746">
                  <c:v>0.3455997376859159</c:v>
                </c:pt>
                <c:pt idx="1747">
                  <c:v>0.34560943750693696</c:v>
                </c:pt>
                <c:pt idx="1748">
                  <c:v>0.34568028430385311</c:v>
                </c:pt>
                <c:pt idx="1749">
                  <c:v>0.34574031297779584</c:v>
                </c:pt>
                <c:pt idx="1750">
                  <c:v>0.34583272004419996</c:v>
                </c:pt>
                <c:pt idx="1751">
                  <c:v>0.34585624168539653</c:v>
                </c:pt>
                <c:pt idx="1752">
                  <c:v>0.34594987669152033</c:v>
                </c:pt>
                <c:pt idx="1753">
                  <c:v>0.34609274495869613</c:v>
                </c:pt>
                <c:pt idx="1754">
                  <c:v>0.34616213432946097</c:v>
                </c:pt>
                <c:pt idx="1755">
                  <c:v>0.34629666637010814</c:v>
                </c:pt>
                <c:pt idx="1756">
                  <c:v>0.34647402704467822</c:v>
                </c:pt>
                <c:pt idx="1757">
                  <c:v>0.34653210458873218</c:v>
                </c:pt>
                <c:pt idx="1758">
                  <c:v>0.34680162713084428</c:v>
                </c:pt>
                <c:pt idx="1759">
                  <c:v>0.34775204132893123</c:v>
                </c:pt>
                <c:pt idx="1760">
                  <c:v>0.34802411759028473</c:v>
                </c:pt>
                <c:pt idx="1761">
                  <c:v>0.34812018805860134</c:v>
                </c:pt>
                <c:pt idx="1762">
                  <c:v>0.3483894855962717</c:v>
                </c:pt>
                <c:pt idx="1763">
                  <c:v>0.34886122949501441</c:v>
                </c:pt>
                <c:pt idx="1764">
                  <c:v>0.3492620882771007</c:v>
                </c:pt>
                <c:pt idx="1765">
                  <c:v>0.34962182236085937</c:v>
                </c:pt>
                <c:pt idx="1766">
                  <c:v>0.34972462589032105</c:v>
                </c:pt>
                <c:pt idx="1767">
                  <c:v>0.35001355967506242</c:v>
                </c:pt>
                <c:pt idx="1768">
                  <c:v>0.35002074335170619</c:v>
                </c:pt>
                <c:pt idx="1769">
                  <c:v>0.35027910425742448</c:v>
                </c:pt>
                <c:pt idx="1770">
                  <c:v>0.35038256115149125</c:v>
                </c:pt>
                <c:pt idx="1771">
                  <c:v>0.35051066202140646</c:v>
                </c:pt>
                <c:pt idx="1772">
                  <c:v>0.35083063230285916</c:v>
                </c:pt>
                <c:pt idx="1773">
                  <c:v>0.35126532414324174</c:v>
                </c:pt>
                <c:pt idx="1774">
                  <c:v>0.3513833145298122</c:v>
                </c:pt>
                <c:pt idx="1775">
                  <c:v>0.35157746376444265</c:v>
                </c:pt>
                <c:pt idx="1776">
                  <c:v>0.35198507987843186</c:v>
                </c:pt>
                <c:pt idx="1777">
                  <c:v>0.35199272218233091</c:v>
                </c:pt>
                <c:pt idx="1778">
                  <c:v>0.35214378477212449</c:v>
                </c:pt>
                <c:pt idx="1779">
                  <c:v>0.35215235627765651</c:v>
                </c:pt>
                <c:pt idx="1780">
                  <c:v>0.35229415807134501</c:v>
                </c:pt>
                <c:pt idx="1781">
                  <c:v>0.3523357010244581</c:v>
                </c:pt>
                <c:pt idx="1782">
                  <c:v>0.35240211949349032</c:v>
                </c:pt>
                <c:pt idx="1783">
                  <c:v>0.35246572854521219</c:v>
                </c:pt>
                <c:pt idx="1784">
                  <c:v>0.35251116230938351</c:v>
                </c:pt>
                <c:pt idx="1785">
                  <c:v>0.35252644517368026</c:v>
                </c:pt>
                <c:pt idx="1786">
                  <c:v>0.35291069265531405</c:v>
                </c:pt>
                <c:pt idx="1787">
                  <c:v>0.35309705053532525</c:v>
                </c:pt>
                <c:pt idx="1788">
                  <c:v>0.35315155429816514</c:v>
                </c:pt>
                <c:pt idx="1789">
                  <c:v>0.35317429810675094</c:v>
                </c:pt>
                <c:pt idx="1790">
                  <c:v>0.35356790752211964</c:v>
                </c:pt>
                <c:pt idx="1791">
                  <c:v>0.35379333833861892</c:v>
                </c:pt>
                <c:pt idx="1792">
                  <c:v>0.3543106240722409</c:v>
                </c:pt>
                <c:pt idx="1793">
                  <c:v>0.35502396868469077</c:v>
                </c:pt>
                <c:pt idx="1794">
                  <c:v>0.35518959279852425</c:v>
                </c:pt>
                <c:pt idx="1795">
                  <c:v>0.35530564958389732</c:v>
                </c:pt>
                <c:pt idx="1796">
                  <c:v>0.35553158538459684</c:v>
                </c:pt>
                <c:pt idx="1797">
                  <c:v>0.35580916866365442</c:v>
                </c:pt>
                <c:pt idx="1798">
                  <c:v>0.35612546723132255</c:v>
                </c:pt>
                <c:pt idx="1799">
                  <c:v>0.35620031068901881</c:v>
                </c:pt>
                <c:pt idx="1800">
                  <c:v>0.35624560777341685</c:v>
                </c:pt>
                <c:pt idx="1801">
                  <c:v>0.35641077483069239</c:v>
                </c:pt>
                <c:pt idx="1802">
                  <c:v>0.35669694413263642</c:v>
                </c:pt>
                <c:pt idx="1803">
                  <c:v>0.35707318934055365</c:v>
                </c:pt>
                <c:pt idx="1804">
                  <c:v>0.35737141929894278</c:v>
                </c:pt>
                <c:pt idx="1805">
                  <c:v>0.35740871466350654</c:v>
                </c:pt>
                <c:pt idx="1806">
                  <c:v>0.35763532078908611</c:v>
                </c:pt>
                <c:pt idx="1807">
                  <c:v>0.35767604342527193</c:v>
                </c:pt>
                <c:pt idx="1808">
                  <c:v>0.35781098055485927</c:v>
                </c:pt>
                <c:pt idx="1809">
                  <c:v>0.35813331734061649</c:v>
                </c:pt>
                <c:pt idx="1810">
                  <c:v>0.35814428669436893</c:v>
                </c:pt>
                <c:pt idx="1811">
                  <c:v>0.35833850632934627</c:v>
                </c:pt>
                <c:pt idx="1812">
                  <c:v>0.3583608568424097</c:v>
                </c:pt>
                <c:pt idx="1813">
                  <c:v>0.3584953469935499</c:v>
                </c:pt>
                <c:pt idx="1814">
                  <c:v>0.35863069463994179</c:v>
                </c:pt>
                <c:pt idx="1815">
                  <c:v>0.35876566673414345</c:v>
                </c:pt>
                <c:pt idx="1816">
                  <c:v>0.35878255674469983</c:v>
                </c:pt>
                <c:pt idx="1817">
                  <c:v>0.35897813874180429</c:v>
                </c:pt>
                <c:pt idx="1818">
                  <c:v>0.35906551988318824</c:v>
                </c:pt>
                <c:pt idx="1819">
                  <c:v>0.35948468854985549</c:v>
                </c:pt>
                <c:pt idx="1820">
                  <c:v>0.36001319200295256</c:v>
                </c:pt>
                <c:pt idx="1821">
                  <c:v>0.36014608852838137</c:v>
                </c:pt>
                <c:pt idx="1822">
                  <c:v>0.36019943065457483</c:v>
                </c:pt>
                <c:pt idx="1823">
                  <c:v>0.36059500956434931</c:v>
                </c:pt>
                <c:pt idx="1824">
                  <c:v>0.36077678365927568</c:v>
                </c:pt>
                <c:pt idx="1825">
                  <c:v>0.36077916775411722</c:v>
                </c:pt>
                <c:pt idx="1826">
                  <c:v>0.36097685382537748</c:v>
                </c:pt>
                <c:pt idx="1827">
                  <c:v>0.36114647195608995</c:v>
                </c:pt>
                <c:pt idx="1828">
                  <c:v>0.36125675622133713</c:v>
                </c:pt>
                <c:pt idx="1829">
                  <c:v>0.36210469271463808</c:v>
                </c:pt>
                <c:pt idx="1830">
                  <c:v>0.36213345974283584</c:v>
                </c:pt>
                <c:pt idx="1831">
                  <c:v>0.36217330345607479</c:v>
                </c:pt>
                <c:pt idx="1832">
                  <c:v>0.36229787991396734</c:v>
                </c:pt>
                <c:pt idx="1833">
                  <c:v>0.36271910469076829</c:v>
                </c:pt>
                <c:pt idx="1834">
                  <c:v>0.36311947438116476</c:v>
                </c:pt>
                <c:pt idx="1835">
                  <c:v>0.36312629517669848</c:v>
                </c:pt>
                <c:pt idx="1836">
                  <c:v>0.36381068991886423</c:v>
                </c:pt>
                <c:pt idx="1837">
                  <c:v>0.36395489188362262</c:v>
                </c:pt>
                <c:pt idx="1838">
                  <c:v>0.36421682889795193</c:v>
                </c:pt>
                <c:pt idx="1839">
                  <c:v>0.36427251781424275</c:v>
                </c:pt>
                <c:pt idx="1840">
                  <c:v>0.36436411815157044</c:v>
                </c:pt>
                <c:pt idx="1841">
                  <c:v>0.36443064735158259</c:v>
                </c:pt>
                <c:pt idx="1842">
                  <c:v>0.36448420089166689</c:v>
                </c:pt>
                <c:pt idx="1843">
                  <c:v>0.364541526980247</c:v>
                </c:pt>
                <c:pt idx="1844">
                  <c:v>0.36467022247688874</c:v>
                </c:pt>
                <c:pt idx="1845">
                  <c:v>0.36468837929805886</c:v>
                </c:pt>
                <c:pt idx="1846">
                  <c:v>0.36490852901897597</c:v>
                </c:pt>
                <c:pt idx="1847">
                  <c:v>0.36493593569866789</c:v>
                </c:pt>
                <c:pt idx="1848">
                  <c:v>0.36495086968079704</c:v>
                </c:pt>
                <c:pt idx="1849">
                  <c:v>0.36514351181085658</c:v>
                </c:pt>
                <c:pt idx="1850">
                  <c:v>0.36566962177494133</c:v>
                </c:pt>
                <c:pt idx="1851">
                  <c:v>0.36587801873247372</c:v>
                </c:pt>
                <c:pt idx="1852">
                  <c:v>0.36640065638857777</c:v>
                </c:pt>
                <c:pt idx="1853">
                  <c:v>0.36725874970943551</c:v>
                </c:pt>
                <c:pt idx="1854">
                  <c:v>0.36745283666277828</c:v>
                </c:pt>
                <c:pt idx="1855">
                  <c:v>0.36786568837942468</c:v>
                </c:pt>
                <c:pt idx="1856">
                  <c:v>0.36793742698046117</c:v>
                </c:pt>
                <c:pt idx="1857">
                  <c:v>0.36799975314443145</c:v>
                </c:pt>
                <c:pt idx="1858">
                  <c:v>0.36831424766569398</c:v>
                </c:pt>
                <c:pt idx="1859">
                  <c:v>0.36866933758484777</c:v>
                </c:pt>
                <c:pt idx="1860">
                  <c:v>0.36923597670465824</c:v>
                </c:pt>
                <c:pt idx="1861">
                  <c:v>0.36932170452200808</c:v>
                </c:pt>
                <c:pt idx="1862">
                  <c:v>0.36935858817014378</c:v>
                </c:pt>
                <c:pt idx="1863">
                  <c:v>0.3698733905730478</c:v>
                </c:pt>
                <c:pt idx="1864">
                  <c:v>0.36998798776403419</c:v>
                </c:pt>
                <c:pt idx="1865">
                  <c:v>0.37092569932428887</c:v>
                </c:pt>
                <c:pt idx="1866">
                  <c:v>0.37104501249177702</c:v>
                </c:pt>
                <c:pt idx="1867">
                  <c:v>0.37110271846904652</c:v>
                </c:pt>
                <c:pt idx="1868">
                  <c:v>0.37161121663484664</c:v>
                </c:pt>
                <c:pt idx="1869">
                  <c:v>0.37203998065524502</c:v>
                </c:pt>
                <c:pt idx="1870">
                  <c:v>0.37204797453887295</c:v>
                </c:pt>
                <c:pt idx="1871">
                  <c:v>0.37272814350035333</c:v>
                </c:pt>
                <c:pt idx="1872">
                  <c:v>0.37352499437292863</c:v>
                </c:pt>
                <c:pt idx="1873">
                  <c:v>0.37352895570532496</c:v>
                </c:pt>
                <c:pt idx="1874">
                  <c:v>0.37353124698529427</c:v>
                </c:pt>
                <c:pt idx="1875">
                  <c:v>0.37414669721692917</c:v>
                </c:pt>
                <c:pt idx="1876">
                  <c:v>0.37462874911125255</c:v>
                </c:pt>
                <c:pt idx="1877">
                  <c:v>0.37501592847820575</c:v>
                </c:pt>
                <c:pt idx="1878">
                  <c:v>0.37519056802921114</c:v>
                </c:pt>
                <c:pt idx="1879">
                  <c:v>0.37537857721963519</c:v>
                </c:pt>
                <c:pt idx="1880">
                  <c:v>0.37538585017227888</c:v>
                </c:pt>
                <c:pt idx="1881">
                  <c:v>0.37549657079671306</c:v>
                </c:pt>
                <c:pt idx="1882">
                  <c:v>0.37580322274334321</c:v>
                </c:pt>
                <c:pt idx="1883">
                  <c:v>0.37606580848023441</c:v>
                </c:pt>
                <c:pt idx="1884">
                  <c:v>0.37617807288734184</c:v>
                </c:pt>
                <c:pt idx="1885">
                  <c:v>0.37632587427651742</c:v>
                </c:pt>
                <c:pt idx="1886">
                  <c:v>0.37651247181111103</c:v>
                </c:pt>
                <c:pt idx="1887">
                  <c:v>0.37668558976201894</c:v>
                </c:pt>
                <c:pt idx="1888">
                  <c:v>0.37669705761072692</c:v>
                </c:pt>
                <c:pt idx="1889">
                  <c:v>0.37672183146059979</c:v>
                </c:pt>
                <c:pt idx="1890">
                  <c:v>0.37683618477876735</c:v>
                </c:pt>
                <c:pt idx="1891">
                  <c:v>0.3775564677798684</c:v>
                </c:pt>
                <c:pt idx="1892">
                  <c:v>0.37755959164132946</c:v>
                </c:pt>
                <c:pt idx="1893">
                  <c:v>0.37756938057827938</c:v>
                </c:pt>
                <c:pt idx="1894">
                  <c:v>0.37787607383870636</c:v>
                </c:pt>
                <c:pt idx="1895">
                  <c:v>0.37798723808919021</c:v>
                </c:pt>
                <c:pt idx="1896">
                  <c:v>0.37814045070899738</c:v>
                </c:pt>
                <c:pt idx="1897">
                  <c:v>0.37824137621464615</c:v>
                </c:pt>
                <c:pt idx="1898">
                  <c:v>0.37833667347422306</c:v>
                </c:pt>
                <c:pt idx="1899">
                  <c:v>0.37835747037843248</c:v>
                </c:pt>
                <c:pt idx="1900">
                  <c:v>0.37856884831856519</c:v>
                </c:pt>
                <c:pt idx="1901">
                  <c:v>0.37875914037431357</c:v>
                </c:pt>
                <c:pt idx="1902">
                  <c:v>0.37886462407368526</c:v>
                </c:pt>
                <c:pt idx="1903">
                  <c:v>0.37889228900348826</c:v>
                </c:pt>
                <c:pt idx="1904">
                  <c:v>0.37896295388873114</c:v>
                </c:pt>
                <c:pt idx="1905">
                  <c:v>0.37906122094500461</c:v>
                </c:pt>
                <c:pt idx="1906">
                  <c:v>0.37941752833921782</c:v>
                </c:pt>
                <c:pt idx="1907">
                  <c:v>0.37988920044699626</c:v>
                </c:pt>
                <c:pt idx="1908">
                  <c:v>0.38007077595375449</c:v>
                </c:pt>
                <c:pt idx="1909">
                  <c:v>0.38083027453831164</c:v>
                </c:pt>
                <c:pt idx="1910">
                  <c:v>0.38093879103236361</c:v>
                </c:pt>
                <c:pt idx="1911">
                  <c:v>0.38128086334018008</c:v>
                </c:pt>
                <c:pt idx="1912">
                  <c:v>0.38133956725232565</c:v>
                </c:pt>
                <c:pt idx="1913">
                  <c:v>0.38134026852094394</c:v>
                </c:pt>
                <c:pt idx="1914">
                  <c:v>0.38142683402475086</c:v>
                </c:pt>
                <c:pt idx="1915">
                  <c:v>0.38166385958174942</c:v>
                </c:pt>
                <c:pt idx="1916">
                  <c:v>0.38206588713728706</c:v>
                </c:pt>
                <c:pt idx="1917">
                  <c:v>0.38211944171644063</c:v>
                </c:pt>
                <c:pt idx="1918">
                  <c:v>0.38234444546469604</c:v>
                </c:pt>
                <c:pt idx="1919">
                  <c:v>0.38247195815529267</c:v>
                </c:pt>
                <c:pt idx="1920">
                  <c:v>0.38260286112927133</c:v>
                </c:pt>
                <c:pt idx="1921">
                  <c:v>0.38264232407891541</c:v>
                </c:pt>
                <c:pt idx="1922">
                  <c:v>0.38292049787833093</c:v>
                </c:pt>
                <c:pt idx="1923">
                  <c:v>0.38303282935157767</c:v>
                </c:pt>
                <c:pt idx="1924">
                  <c:v>0.38323895315534173</c:v>
                </c:pt>
                <c:pt idx="1925">
                  <c:v>0.3834436610359262</c:v>
                </c:pt>
                <c:pt idx="1926">
                  <c:v>0.38355640984264028</c:v>
                </c:pt>
                <c:pt idx="1927">
                  <c:v>0.3836730372704551</c:v>
                </c:pt>
                <c:pt idx="1928">
                  <c:v>0.38375905102384422</c:v>
                </c:pt>
                <c:pt idx="1929">
                  <c:v>0.38419909870572155</c:v>
                </c:pt>
                <c:pt idx="1930">
                  <c:v>0.38441867474011815</c:v>
                </c:pt>
                <c:pt idx="1931">
                  <c:v>0.38447484530843212</c:v>
                </c:pt>
                <c:pt idx="1932">
                  <c:v>0.38462467085264507</c:v>
                </c:pt>
                <c:pt idx="1933">
                  <c:v>0.38499798879456648</c:v>
                </c:pt>
                <c:pt idx="1934">
                  <c:v>0.38509435163814487</c:v>
                </c:pt>
                <c:pt idx="1935">
                  <c:v>0.38519863219426043</c:v>
                </c:pt>
                <c:pt idx="1936">
                  <c:v>0.38530104324854619</c:v>
                </c:pt>
                <c:pt idx="1937">
                  <c:v>0.38531305722790421</c:v>
                </c:pt>
                <c:pt idx="1938">
                  <c:v>0.38531520650303719</c:v>
                </c:pt>
                <c:pt idx="1939">
                  <c:v>0.385410257017611</c:v>
                </c:pt>
                <c:pt idx="1940">
                  <c:v>0.38545227734721266</c:v>
                </c:pt>
                <c:pt idx="1941">
                  <c:v>0.38546632426550786</c:v>
                </c:pt>
                <c:pt idx="1942">
                  <c:v>0.38554178944013984</c:v>
                </c:pt>
                <c:pt idx="1943">
                  <c:v>0.38554261714853055</c:v>
                </c:pt>
                <c:pt idx="1944">
                  <c:v>0.38568531126657035</c:v>
                </c:pt>
                <c:pt idx="1945">
                  <c:v>0.3857454067638173</c:v>
                </c:pt>
                <c:pt idx="1946">
                  <c:v>0.38575995535029506</c:v>
                </c:pt>
                <c:pt idx="1947">
                  <c:v>0.38591124132744881</c:v>
                </c:pt>
                <c:pt idx="1948">
                  <c:v>0.3859376447444447</c:v>
                </c:pt>
                <c:pt idx="1949">
                  <c:v>0.38616979878955249</c:v>
                </c:pt>
                <c:pt idx="1950">
                  <c:v>0.38635116381374246</c:v>
                </c:pt>
                <c:pt idx="1951">
                  <c:v>0.38635524272649491</c:v>
                </c:pt>
                <c:pt idx="1952">
                  <c:v>0.38642448597238399</c:v>
                </c:pt>
                <c:pt idx="1953">
                  <c:v>0.38650105819669989</c:v>
                </c:pt>
                <c:pt idx="1954">
                  <c:v>0.38661130756736384</c:v>
                </c:pt>
                <c:pt idx="1955">
                  <c:v>0.38667112548955629</c:v>
                </c:pt>
                <c:pt idx="1956">
                  <c:v>0.38672921129091264</c:v>
                </c:pt>
                <c:pt idx="1957">
                  <c:v>0.38690781937839347</c:v>
                </c:pt>
                <c:pt idx="1958">
                  <c:v>0.38702194106008392</c:v>
                </c:pt>
                <c:pt idx="1959">
                  <c:v>0.38710871917464829</c:v>
                </c:pt>
                <c:pt idx="1960">
                  <c:v>0.38713146280133515</c:v>
                </c:pt>
                <c:pt idx="1961">
                  <c:v>0.38818120993710181</c:v>
                </c:pt>
                <c:pt idx="1962">
                  <c:v>0.38853137858495757</c:v>
                </c:pt>
                <c:pt idx="1963">
                  <c:v>0.38904194708084106</c:v>
                </c:pt>
                <c:pt idx="1964">
                  <c:v>0.38944157762944087</c:v>
                </c:pt>
                <c:pt idx="1965">
                  <c:v>0.38985032294294797</c:v>
                </c:pt>
                <c:pt idx="1966">
                  <c:v>0.38994743013608968</c:v>
                </c:pt>
                <c:pt idx="1967">
                  <c:v>0.38995535570666107</c:v>
                </c:pt>
                <c:pt idx="1968">
                  <c:v>0.39048382011060312</c:v>
                </c:pt>
                <c:pt idx="1969">
                  <c:v>0.39050780437537469</c:v>
                </c:pt>
                <c:pt idx="1970">
                  <c:v>0.39064398837672343</c:v>
                </c:pt>
                <c:pt idx="1971">
                  <c:v>0.3907043240224084</c:v>
                </c:pt>
                <c:pt idx="1972">
                  <c:v>0.39094343559372646</c:v>
                </c:pt>
                <c:pt idx="1973">
                  <c:v>0.39107721056279843</c:v>
                </c:pt>
                <c:pt idx="1974">
                  <c:v>0.39131871136032714</c:v>
                </c:pt>
                <c:pt idx="1975">
                  <c:v>0.39146574418919045</c:v>
                </c:pt>
                <c:pt idx="1976">
                  <c:v>0.39226555155528331</c:v>
                </c:pt>
                <c:pt idx="1977">
                  <c:v>0.39244898583547183</c:v>
                </c:pt>
                <c:pt idx="1978">
                  <c:v>0.39250665849613142</c:v>
                </c:pt>
                <c:pt idx="1979">
                  <c:v>0.39260403259868326</c:v>
                </c:pt>
                <c:pt idx="1980">
                  <c:v>0.39264714182083349</c:v>
                </c:pt>
                <c:pt idx="1981">
                  <c:v>0.39313438233511988</c:v>
                </c:pt>
                <c:pt idx="1982">
                  <c:v>0.39325525259391725</c:v>
                </c:pt>
                <c:pt idx="1983">
                  <c:v>0.39341233619961713</c:v>
                </c:pt>
                <c:pt idx="1984">
                  <c:v>0.39364813606334792</c:v>
                </c:pt>
                <c:pt idx="1985">
                  <c:v>0.39397932584961382</c:v>
                </c:pt>
                <c:pt idx="1986">
                  <c:v>0.39413483594125864</c:v>
                </c:pt>
                <c:pt idx="1987">
                  <c:v>0.39436055444184603</c:v>
                </c:pt>
                <c:pt idx="1988">
                  <c:v>0.39437742317932134</c:v>
                </c:pt>
                <c:pt idx="1989">
                  <c:v>0.39440650333744998</c:v>
                </c:pt>
                <c:pt idx="1990">
                  <c:v>0.39464206443062722</c:v>
                </c:pt>
                <c:pt idx="1991">
                  <c:v>0.39469571607696707</c:v>
                </c:pt>
                <c:pt idx="1992">
                  <c:v>0.39475698440855922</c:v>
                </c:pt>
                <c:pt idx="1993">
                  <c:v>0.39488150566012337</c:v>
                </c:pt>
                <c:pt idx="1994">
                  <c:v>0.39516278071005217</c:v>
                </c:pt>
                <c:pt idx="1995">
                  <c:v>0.39521842410886165</c:v>
                </c:pt>
                <c:pt idx="1996">
                  <c:v>0.39521928272461082</c:v>
                </c:pt>
                <c:pt idx="1997">
                  <c:v>0.39565324738759955</c:v>
                </c:pt>
                <c:pt idx="1998">
                  <c:v>0.39578807393627358</c:v>
                </c:pt>
                <c:pt idx="1999">
                  <c:v>0.39594919490355096</c:v>
                </c:pt>
                <c:pt idx="2000">
                  <c:v>0.39598547429068276</c:v>
                </c:pt>
                <c:pt idx="2001">
                  <c:v>0.396238736297164</c:v>
                </c:pt>
                <c:pt idx="2002">
                  <c:v>0.39628221651582862</c:v>
                </c:pt>
                <c:pt idx="2003">
                  <c:v>0.39670507393293519</c:v>
                </c:pt>
                <c:pt idx="2004">
                  <c:v>0.39688305018353276</c:v>
                </c:pt>
                <c:pt idx="2005">
                  <c:v>0.39699626835135859</c:v>
                </c:pt>
                <c:pt idx="2006">
                  <c:v>0.39727254951321811</c:v>
                </c:pt>
                <c:pt idx="2007">
                  <c:v>0.39737675127526018</c:v>
                </c:pt>
                <c:pt idx="2008">
                  <c:v>0.39755937536210695</c:v>
                </c:pt>
                <c:pt idx="2009">
                  <c:v>0.39776462017380254</c:v>
                </c:pt>
                <c:pt idx="2010">
                  <c:v>0.39779037337029877</c:v>
                </c:pt>
                <c:pt idx="2011">
                  <c:v>0.39780002142379089</c:v>
                </c:pt>
                <c:pt idx="2012">
                  <c:v>0.39790411016110738</c:v>
                </c:pt>
                <c:pt idx="2013">
                  <c:v>0.39829320345779706</c:v>
                </c:pt>
                <c:pt idx="2014">
                  <c:v>0.3984859409620185</c:v>
                </c:pt>
                <c:pt idx="2015">
                  <c:v>0.39864900143220439</c:v>
                </c:pt>
                <c:pt idx="2016">
                  <c:v>0.39889011810282682</c:v>
                </c:pt>
                <c:pt idx="2017">
                  <c:v>0.39926863811479052</c:v>
                </c:pt>
                <c:pt idx="2018">
                  <c:v>0.39949595315556508</c:v>
                </c:pt>
                <c:pt idx="2019">
                  <c:v>0.39949985026126456</c:v>
                </c:pt>
                <c:pt idx="2020">
                  <c:v>0.39992006053216755</c:v>
                </c:pt>
                <c:pt idx="2021">
                  <c:v>0.39996005770444754</c:v>
                </c:pt>
                <c:pt idx="2022">
                  <c:v>0.40007879413496994</c:v>
                </c:pt>
                <c:pt idx="2023">
                  <c:v>0.40027777719569713</c:v>
                </c:pt>
                <c:pt idx="2024">
                  <c:v>0.40037313627999538</c:v>
                </c:pt>
                <c:pt idx="2025">
                  <c:v>0.4004280215340259</c:v>
                </c:pt>
                <c:pt idx="2026">
                  <c:v>0.40048352193934988</c:v>
                </c:pt>
                <c:pt idx="2027">
                  <c:v>0.40052960680259275</c:v>
                </c:pt>
                <c:pt idx="2028">
                  <c:v>0.40082042462836398</c:v>
                </c:pt>
                <c:pt idx="2029">
                  <c:v>0.40090076376873185</c:v>
                </c:pt>
                <c:pt idx="2030">
                  <c:v>0.40108596407480945</c:v>
                </c:pt>
                <c:pt idx="2031">
                  <c:v>0.401227755302898</c:v>
                </c:pt>
                <c:pt idx="2032">
                  <c:v>0.40133916878949094</c:v>
                </c:pt>
                <c:pt idx="2033">
                  <c:v>0.40152558600675547</c:v>
                </c:pt>
                <c:pt idx="2034">
                  <c:v>0.40184835994659807</c:v>
                </c:pt>
                <c:pt idx="2035">
                  <c:v>0.40193579732294893</c:v>
                </c:pt>
                <c:pt idx="2036">
                  <c:v>0.4019693766204</c:v>
                </c:pt>
                <c:pt idx="2037">
                  <c:v>0.40213160037001217</c:v>
                </c:pt>
                <c:pt idx="2038">
                  <c:v>0.40292724534356239</c:v>
                </c:pt>
                <c:pt idx="2039">
                  <c:v>0.40297510695017991</c:v>
                </c:pt>
                <c:pt idx="2040">
                  <c:v>0.40320354485993448</c:v>
                </c:pt>
                <c:pt idx="2041">
                  <c:v>0.40321172623498569</c:v>
                </c:pt>
                <c:pt idx="2042">
                  <c:v>0.40384067061495443</c:v>
                </c:pt>
                <c:pt idx="2043">
                  <c:v>0.40386875515014253</c:v>
                </c:pt>
                <c:pt idx="2044">
                  <c:v>0.40394142894638208</c:v>
                </c:pt>
                <c:pt idx="2045">
                  <c:v>0.40397858859705593</c:v>
                </c:pt>
                <c:pt idx="2046">
                  <c:v>0.40414877558396256</c:v>
                </c:pt>
                <c:pt idx="2047">
                  <c:v>0.40437229250983364</c:v>
                </c:pt>
                <c:pt idx="2048">
                  <c:v>0.40440958147974015</c:v>
                </c:pt>
                <c:pt idx="2049">
                  <c:v>0.40449573373916792</c:v>
                </c:pt>
                <c:pt idx="2050">
                  <c:v>0.40465897685407981</c:v>
                </c:pt>
                <c:pt idx="2051">
                  <c:v>0.40488871933030168</c:v>
                </c:pt>
                <c:pt idx="2052">
                  <c:v>0.40500223538219871</c:v>
                </c:pt>
                <c:pt idx="2053">
                  <c:v>0.40526212622262392</c:v>
                </c:pt>
                <c:pt idx="2054">
                  <c:v>0.40561392242398142</c:v>
                </c:pt>
                <c:pt idx="2055">
                  <c:v>0.40565114138098579</c:v>
                </c:pt>
                <c:pt idx="2056">
                  <c:v>0.40575259650995577</c:v>
                </c:pt>
                <c:pt idx="2057">
                  <c:v>0.40576839232926432</c:v>
                </c:pt>
                <c:pt idx="2058">
                  <c:v>0.40591004729049018</c:v>
                </c:pt>
                <c:pt idx="2059">
                  <c:v>0.40604161824285256</c:v>
                </c:pt>
                <c:pt idx="2060">
                  <c:v>0.40673662940298527</c:v>
                </c:pt>
                <c:pt idx="2061">
                  <c:v>0.4068197490505554</c:v>
                </c:pt>
                <c:pt idx="2062">
                  <c:v>0.40729948166972463</c:v>
                </c:pt>
                <c:pt idx="2063">
                  <c:v>0.40752552690264565</c:v>
                </c:pt>
                <c:pt idx="2064">
                  <c:v>0.40761976091653196</c:v>
                </c:pt>
                <c:pt idx="2065">
                  <c:v>0.40783237423875107</c:v>
                </c:pt>
                <c:pt idx="2066">
                  <c:v>0.40790118500626704</c:v>
                </c:pt>
                <c:pt idx="2067">
                  <c:v>0.40822616949026269</c:v>
                </c:pt>
                <c:pt idx="2068">
                  <c:v>0.40853438426256616</c:v>
                </c:pt>
                <c:pt idx="2069">
                  <c:v>0.40862794794247748</c:v>
                </c:pt>
                <c:pt idx="2070">
                  <c:v>0.40913112848102173</c:v>
                </c:pt>
                <c:pt idx="2071">
                  <c:v>0.40957319589506369</c:v>
                </c:pt>
                <c:pt idx="2072">
                  <c:v>0.40973825852051959</c:v>
                </c:pt>
                <c:pt idx="2073">
                  <c:v>0.41007651775635168</c:v>
                </c:pt>
                <c:pt idx="2074">
                  <c:v>0.41048683049939427</c:v>
                </c:pt>
                <c:pt idx="2075">
                  <c:v>0.41118752448164742</c:v>
                </c:pt>
                <c:pt idx="2076">
                  <c:v>0.41138351651443372</c:v>
                </c:pt>
                <c:pt idx="2077">
                  <c:v>0.41154959702816996</c:v>
                </c:pt>
                <c:pt idx="2078">
                  <c:v>0.41155327067463077</c:v>
                </c:pt>
                <c:pt idx="2079">
                  <c:v>0.41162904933116806</c:v>
                </c:pt>
                <c:pt idx="2080">
                  <c:v>0.41176942124639027</c:v>
                </c:pt>
                <c:pt idx="2081">
                  <c:v>0.41188943344423024</c:v>
                </c:pt>
                <c:pt idx="2082">
                  <c:v>0.41226920289591362</c:v>
                </c:pt>
                <c:pt idx="2083">
                  <c:v>0.41242056726241572</c:v>
                </c:pt>
                <c:pt idx="2084">
                  <c:v>0.41244319979432476</c:v>
                </c:pt>
                <c:pt idx="2085">
                  <c:v>0.41246884601787315</c:v>
                </c:pt>
                <c:pt idx="2086">
                  <c:v>0.41272415482399083</c:v>
                </c:pt>
                <c:pt idx="2087">
                  <c:v>0.41300603279250936</c:v>
                </c:pt>
                <c:pt idx="2088">
                  <c:v>0.41327215616729518</c:v>
                </c:pt>
                <c:pt idx="2089">
                  <c:v>0.41354141883675766</c:v>
                </c:pt>
                <c:pt idx="2090">
                  <c:v>0.41400734015223861</c:v>
                </c:pt>
                <c:pt idx="2091">
                  <c:v>0.41421934950722061</c:v>
                </c:pt>
                <c:pt idx="2092">
                  <c:v>0.41461381007320597</c:v>
                </c:pt>
                <c:pt idx="2093">
                  <c:v>0.41483287985465722</c:v>
                </c:pt>
                <c:pt idx="2094">
                  <c:v>0.41489820587139548</c:v>
                </c:pt>
                <c:pt idx="2095">
                  <c:v>0.41517303467389866</c:v>
                </c:pt>
                <c:pt idx="2096">
                  <c:v>0.41526893096306594</c:v>
                </c:pt>
                <c:pt idx="2097">
                  <c:v>0.41567818363455444</c:v>
                </c:pt>
                <c:pt idx="2098">
                  <c:v>0.41583908946904558</c:v>
                </c:pt>
                <c:pt idx="2099">
                  <c:v>0.41609333872840182</c:v>
                </c:pt>
                <c:pt idx="2100">
                  <c:v>0.41629538849429082</c:v>
                </c:pt>
                <c:pt idx="2101">
                  <c:v>0.41638677515857125</c:v>
                </c:pt>
                <c:pt idx="2102">
                  <c:v>0.41657988087717968</c:v>
                </c:pt>
                <c:pt idx="2103">
                  <c:v>0.41689034285536763</c:v>
                </c:pt>
                <c:pt idx="2104">
                  <c:v>0.41693591056355217</c:v>
                </c:pt>
                <c:pt idx="2105">
                  <c:v>0.41742944062298193</c:v>
                </c:pt>
                <c:pt idx="2106">
                  <c:v>0.41755267899679893</c:v>
                </c:pt>
                <c:pt idx="2107">
                  <c:v>0.41758156874948327</c:v>
                </c:pt>
                <c:pt idx="2108">
                  <c:v>0.41819167787343758</c:v>
                </c:pt>
                <c:pt idx="2109">
                  <c:v>0.41821345713105984</c:v>
                </c:pt>
                <c:pt idx="2110">
                  <c:v>0.41824258455562813</c:v>
                </c:pt>
                <c:pt idx="2111">
                  <c:v>0.41833667698665522</c:v>
                </c:pt>
                <c:pt idx="2112">
                  <c:v>0.41861546029758756</c:v>
                </c:pt>
                <c:pt idx="2113">
                  <c:v>0.41906723135980428</c:v>
                </c:pt>
                <c:pt idx="2114">
                  <c:v>0.41915224767399195</c:v>
                </c:pt>
                <c:pt idx="2115">
                  <c:v>0.41923637167110428</c:v>
                </c:pt>
                <c:pt idx="2116">
                  <c:v>0.41952599081923836</c:v>
                </c:pt>
                <c:pt idx="2117">
                  <c:v>0.41959248144030425</c:v>
                </c:pt>
                <c:pt idx="2118">
                  <c:v>0.41975814696797897</c:v>
                </c:pt>
                <c:pt idx="2119">
                  <c:v>0.41988770829630084</c:v>
                </c:pt>
                <c:pt idx="2120">
                  <c:v>0.41989515826571733</c:v>
                </c:pt>
                <c:pt idx="2121">
                  <c:v>0.41992389367078431</c:v>
                </c:pt>
                <c:pt idx="2122">
                  <c:v>0.42011680360610626</c:v>
                </c:pt>
                <c:pt idx="2123">
                  <c:v>0.4205525239385679</c:v>
                </c:pt>
                <c:pt idx="2124">
                  <c:v>0.42071196769393282</c:v>
                </c:pt>
                <c:pt idx="2125">
                  <c:v>0.42099061199587595</c:v>
                </c:pt>
                <c:pt idx="2126">
                  <c:v>0.42128584912097722</c:v>
                </c:pt>
                <c:pt idx="2127">
                  <c:v>0.42145142781828326</c:v>
                </c:pt>
                <c:pt idx="2128">
                  <c:v>0.42179242764177616</c:v>
                </c:pt>
                <c:pt idx="2129">
                  <c:v>0.42252139659377974</c:v>
                </c:pt>
                <c:pt idx="2130">
                  <c:v>0.42282699529994261</c:v>
                </c:pt>
                <c:pt idx="2131">
                  <c:v>0.42301640968980792</c:v>
                </c:pt>
                <c:pt idx="2132">
                  <c:v>0.42321874797744385</c:v>
                </c:pt>
                <c:pt idx="2133">
                  <c:v>0.42372903177874832</c:v>
                </c:pt>
                <c:pt idx="2134">
                  <c:v>0.42384742321701196</c:v>
                </c:pt>
                <c:pt idx="2135">
                  <c:v>0.42398238082932949</c:v>
                </c:pt>
                <c:pt idx="2136">
                  <c:v>0.42401143858114665</c:v>
                </c:pt>
                <c:pt idx="2137">
                  <c:v>0.42403009833287797</c:v>
                </c:pt>
                <c:pt idx="2138">
                  <c:v>0.42443184725108818</c:v>
                </c:pt>
                <c:pt idx="2139">
                  <c:v>0.42487689108838822</c:v>
                </c:pt>
                <c:pt idx="2140">
                  <c:v>0.42494971669020742</c:v>
                </c:pt>
                <c:pt idx="2141">
                  <c:v>0.42495068546577386</c:v>
                </c:pt>
                <c:pt idx="2142">
                  <c:v>0.42535537319054129</c:v>
                </c:pt>
                <c:pt idx="2143">
                  <c:v>0.42558090364309464</c:v>
                </c:pt>
                <c:pt idx="2144">
                  <c:v>0.42604951495559362</c:v>
                </c:pt>
                <c:pt idx="2145">
                  <c:v>0.4261914469570911</c:v>
                </c:pt>
                <c:pt idx="2146">
                  <c:v>0.42621111098378606</c:v>
                </c:pt>
                <c:pt idx="2147">
                  <c:v>0.42624018530295871</c:v>
                </c:pt>
                <c:pt idx="2148">
                  <c:v>0.42624603942749673</c:v>
                </c:pt>
                <c:pt idx="2149">
                  <c:v>0.4262619332093891</c:v>
                </c:pt>
                <c:pt idx="2150">
                  <c:v>0.42634535196884826</c:v>
                </c:pt>
                <c:pt idx="2151">
                  <c:v>0.42636520352425578</c:v>
                </c:pt>
                <c:pt idx="2152">
                  <c:v>0.42663105533029011</c:v>
                </c:pt>
                <c:pt idx="2153">
                  <c:v>0.42690638492786093</c:v>
                </c:pt>
                <c:pt idx="2154">
                  <c:v>0.42695933617233095</c:v>
                </c:pt>
                <c:pt idx="2155">
                  <c:v>0.42728392668414017</c:v>
                </c:pt>
                <c:pt idx="2156">
                  <c:v>0.42735259416713234</c:v>
                </c:pt>
                <c:pt idx="2157">
                  <c:v>0.42768216058902908</c:v>
                </c:pt>
                <c:pt idx="2158">
                  <c:v>0.42835471891339694</c:v>
                </c:pt>
                <c:pt idx="2159">
                  <c:v>0.42845846198451909</c:v>
                </c:pt>
                <c:pt idx="2160">
                  <c:v>0.4285320012104421</c:v>
                </c:pt>
                <c:pt idx="2161">
                  <c:v>0.42945748051170085</c:v>
                </c:pt>
                <c:pt idx="2162">
                  <c:v>0.42954781184562307</c:v>
                </c:pt>
                <c:pt idx="2163">
                  <c:v>0.42959225282629632</c:v>
                </c:pt>
                <c:pt idx="2164">
                  <c:v>0.42962996191999991</c:v>
                </c:pt>
                <c:pt idx="2165">
                  <c:v>0.42965068931607675</c:v>
                </c:pt>
                <c:pt idx="2166">
                  <c:v>0.42973252257706918</c:v>
                </c:pt>
                <c:pt idx="2167">
                  <c:v>0.42976755628751562</c:v>
                </c:pt>
                <c:pt idx="2168">
                  <c:v>0.43012524991900136</c:v>
                </c:pt>
                <c:pt idx="2169">
                  <c:v>0.43024615930244181</c:v>
                </c:pt>
                <c:pt idx="2170">
                  <c:v>0.43040005897910305</c:v>
                </c:pt>
                <c:pt idx="2171">
                  <c:v>0.43057164310994267</c:v>
                </c:pt>
                <c:pt idx="2172">
                  <c:v>0.43066884106610814</c:v>
                </c:pt>
                <c:pt idx="2173">
                  <c:v>0.43072894708893728</c:v>
                </c:pt>
                <c:pt idx="2174">
                  <c:v>0.43085564675493515</c:v>
                </c:pt>
                <c:pt idx="2175">
                  <c:v>0.43112879481941491</c:v>
                </c:pt>
                <c:pt idx="2176">
                  <c:v>0.43136133139341837</c:v>
                </c:pt>
                <c:pt idx="2177">
                  <c:v>0.43143684675305849</c:v>
                </c:pt>
                <c:pt idx="2178">
                  <c:v>0.43159288076185476</c:v>
                </c:pt>
                <c:pt idx="2179">
                  <c:v>0.43177177222696628</c:v>
                </c:pt>
                <c:pt idx="2180">
                  <c:v>0.43189373831501143</c:v>
                </c:pt>
                <c:pt idx="2181">
                  <c:v>0.43213629109959584</c:v>
                </c:pt>
                <c:pt idx="2182">
                  <c:v>0.43231089728215011</c:v>
                </c:pt>
                <c:pt idx="2183">
                  <c:v>0.43237442531153647</c:v>
                </c:pt>
                <c:pt idx="2184">
                  <c:v>0.43239987048855255</c:v>
                </c:pt>
                <c:pt idx="2185">
                  <c:v>0.43245587453748158</c:v>
                </c:pt>
                <c:pt idx="2186">
                  <c:v>0.43273462697106879</c:v>
                </c:pt>
                <c:pt idx="2187">
                  <c:v>0.43274582754656876</c:v>
                </c:pt>
                <c:pt idx="2188">
                  <c:v>0.43298300888727681</c:v>
                </c:pt>
                <c:pt idx="2189">
                  <c:v>0.4331845092410731</c:v>
                </c:pt>
                <c:pt idx="2190">
                  <c:v>0.43321410422413464</c:v>
                </c:pt>
                <c:pt idx="2191">
                  <c:v>0.43327893689911434</c:v>
                </c:pt>
                <c:pt idx="2192">
                  <c:v>0.433340561852674</c:v>
                </c:pt>
                <c:pt idx="2193">
                  <c:v>0.43335751260383404</c:v>
                </c:pt>
                <c:pt idx="2194">
                  <c:v>0.4336418273342133</c:v>
                </c:pt>
                <c:pt idx="2195">
                  <c:v>0.43377297682036442</c:v>
                </c:pt>
                <c:pt idx="2196">
                  <c:v>0.4339633507461258</c:v>
                </c:pt>
                <c:pt idx="2197">
                  <c:v>0.43432954465060902</c:v>
                </c:pt>
                <c:pt idx="2198">
                  <c:v>0.43480691754211875</c:v>
                </c:pt>
                <c:pt idx="2199">
                  <c:v>0.43500889715323865</c:v>
                </c:pt>
                <c:pt idx="2200">
                  <c:v>0.43526682631181757</c:v>
                </c:pt>
                <c:pt idx="2201">
                  <c:v>0.43550548260373034</c:v>
                </c:pt>
                <c:pt idx="2202">
                  <c:v>0.435557690450878</c:v>
                </c:pt>
                <c:pt idx="2203">
                  <c:v>0.43591770429611643</c:v>
                </c:pt>
                <c:pt idx="2204">
                  <c:v>0.43600680765212019</c:v>
                </c:pt>
                <c:pt idx="2205">
                  <c:v>0.43611356058863748</c:v>
                </c:pt>
                <c:pt idx="2206">
                  <c:v>0.43627805490905303</c:v>
                </c:pt>
                <c:pt idx="2207">
                  <c:v>0.43638636995456181</c:v>
                </c:pt>
                <c:pt idx="2208">
                  <c:v>0.43670255594042828</c:v>
                </c:pt>
                <c:pt idx="2209">
                  <c:v>0.43701778608192399</c:v>
                </c:pt>
                <c:pt idx="2210">
                  <c:v>0.43714993615412823</c:v>
                </c:pt>
                <c:pt idx="2211">
                  <c:v>0.43717128346270329</c:v>
                </c:pt>
                <c:pt idx="2212">
                  <c:v>0.43723678880087391</c:v>
                </c:pt>
                <c:pt idx="2213">
                  <c:v>0.43737850619891105</c:v>
                </c:pt>
                <c:pt idx="2214">
                  <c:v>0.4375663819591864</c:v>
                </c:pt>
                <c:pt idx="2215">
                  <c:v>0.43757981794442458</c:v>
                </c:pt>
                <c:pt idx="2216">
                  <c:v>0.43777127330758958</c:v>
                </c:pt>
                <c:pt idx="2217">
                  <c:v>0.43814068421579577</c:v>
                </c:pt>
                <c:pt idx="2218">
                  <c:v>0.43817168833265896</c:v>
                </c:pt>
                <c:pt idx="2219">
                  <c:v>0.43819835657723161</c:v>
                </c:pt>
                <c:pt idx="2220">
                  <c:v>0.43847906953851634</c:v>
                </c:pt>
                <c:pt idx="2221">
                  <c:v>0.43857562137372952</c:v>
                </c:pt>
                <c:pt idx="2222">
                  <c:v>0.43864450343971839</c:v>
                </c:pt>
                <c:pt idx="2223">
                  <c:v>0.43872479630863381</c:v>
                </c:pt>
                <c:pt idx="2224">
                  <c:v>0.43878129539100996</c:v>
                </c:pt>
                <c:pt idx="2225">
                  <c:v>0.43882203272733022</c:v>
                </c:pt>
                <c:pt idx="2226">
                  <c:v>0.4389141152478544</c:v>
                </c:pt>
                <c:pt idx="2227">
                  <c:v>0.43928493320345297</c:v>
                </c:pt>
                <c:pt idx="2228">
                  <c:v>0.43929596690850303</c:v>
                </c:pt>
                <c:pt idx="2229">
                  <c:v>0.43932963505358202</c:v>
                </c:pt>
                <c:pt idx="2230">
                  <c:v>0.43937188451309339</c:v>
                </c:pt>
                <c:pt idx="2231">
                  <c:v>0.4397392535029212</c:v>
                </c:pt>
                <c:pt idx="2232">
                  <c:v>0.43980108483356162</c:v>
                </c:pt>
                <c:pt idx="2233">
                  <c:v>0.43983054382988485</c:v>
                </c:pt>
                <c:pt idx="2234">
                  <c:v>0.44030391479009268</c:v>
                </c:pt>
                <c:pt idx="2235">
                  <c:v>0.44049448637179012</c:v>
                </c:pt>
                <c:pt idx="2236">
                  <c:v>0.44106202420789486</c:v>
                </c:pt>
                <c:pt idx="2237">
                  <c:v>0.4411461115887505</c:v>
                </c:pt>
                <c:pt idx="2238">
                  <c:v>0.44145450624182558</c:v>
                </c:pt>
                <c:pt idx="2239">
                  <c:v>0.44175125593210396</c:v>
                </c:pt>
                <c:pt idx="2240">
                  <c:v>0.44197740227355098</c:v>
                </c:pt>
                <c:pt idx="2241">
                  <c:v>0.4420206046261228</c:v>
                </c:pt>
                <c:pt idx="2242">
                  <c:v>0.44208310655267269</c:v>
                </c:pt>
                <c:pt idx="2243">
                  <c:v>0.44223281776976364</c:v>
                </c:pt>
                <c:pt idx="2244">
                  <c:v>0.44288005186535884</c:v>
                </c:pt>
                <c:pt idx="2245">
                  <c:v>0.4431318200795431</c:v>
                </c:pt>
                <c:pt idx="2246">
                  <c:v>0.44323115253882861</c:v>
                </c:pt>
                <c:pt idx="2247">
                  <c:v>0.4432471464642731</c:v>
                </c:pt>
                <c:pt idx="2248">
                  <c:v>0.44347814866344493</c:v>
                </c:pt>
                <c:pt idx="2249">
                  <c:v>0.44477336783893406</c:v>
                </c:pt>
                <c:pt idx="2250">
                  <c:v>0.44483863430014026</c:v>
                </c:pt>
                <c:pt idx="2251">
                  <c:v>0.44490934515671654</c:v>
                </c:pt>
                <c:pt idx="2252">
                  <c:v>0.44510458131026098</c:v>
                </c:pt>
                <c:pt idx="2253">
                  <c:v>0.44511121531013487</c:v>
                </c:pt>
                <c:pt idx="2254">
                  <c:v>0.44520367230688862</c:v>
                </c:pt>
                <c:pt idx="2255">
                  <c:v>0.44521363534204283</c:v>
                </c:pt>
                <c:pt idx="2256">
                  <c:v>0.44527929986090342</c:v>
                </c:pt>
                <c:pt idx="2257">
                  <c:v>0.44580063284320204</c:v>
                </c:pt>
                <c:pt idx="2258">
                  <c:v>0.44597723107564491</c:v>
                </c:pt>
                <c:pt idx="2259">
                  <c:v>0.44616937789126609</c:v>
                </c:pt>
                <c:pt idx="2260">
                  <c:v>0.44630706880343496</c:v>
                </c:pt>
                <c:pt idx="2261">
                  <c:v>0.4475357597502807</c:v>
                </c:pt>
                <c:pt idx="2262">
                  <c:v>0.44763530533327867</c:v>
                </c:pt>
                <c:pt idx="2263">
                  <c:v>0.44774044005134783</c:v>
                </c:pt>
                <c:pt idx="2264">
                  <c:v>0.44791005419210705</c:v>
                </c:pt>
                <c:pt idx="2265">
                  <c:v>0.44791921876321794</c:v>
                </c:pt>
                <c:pt idx="2266">
                  <c:v>0.44803783940642461</c:v>
                </c:pt>
                <c:pt idx="2267">
                  <c:v>0.44804157369799213</c:v>
                </c:pt>
                <c:pt idx="2268">
                  <c:v>0.44809867164258321</c:v>
                </c:pt>
                <c:pt idx="2269">
                  <c:v>0.44847645047411788</c:v>
                </c:pt>
                <c:pt idx="2270">
                  <c:v>0.44859299911513517</c:v>
                </c:pt>
                <c:pt idx="2271">
                  <c:v>0.44864738435080653</c:v>
                </c:pt>
                <c:pt idx="2272">
                  <c:v>0.44867946418344218</c:v>
                </c:pt>
                <c:pt idx="2273">
                  <c:v>0.44868581622642978</c:v>
                </c:pt>
                <c:pt idx="2274">
                  <c:v>0.44871087670617271</c:v>
                </c:pt>
                <c:pt idx="2275">
                  <c:v>0.44885632689783961</c:v>
                </c:pt>
                <c:pt idx="2276">
                  <c:v>0.44891266138893116</c:v>
                </c:pt>
                <c:pt idx="2277">
                  <c:v>0.44900361897543917</c:v>
                </c:pt>
                <c:pt idx="2278">
                  <c:v>0.44907483886981936</c:v>
                </c:pt>
                <c:pt idx="2279">
                  <c:v>0.44914219418116663</c:v>
                </c:pt>
                <c:pt idx="2280">
                  <c:v>0.44957404222442676</c:v>
                </c:pt>
                <c:pt idx="2281">
                  <c:v>0.45009019566441566</c:v>
                </c:pt>
                <c:pt idx="2282">
                  <c:v>0.45017629710218898</c:v>
                </c:pt>
                <c:pt idx="2283">
                  <c:v>0.45022977321332291</c:v>
                </c:pt>
                <c:pt idx="2284">
                  <c:v>0.45090100785819232</c:v>
                </c:pt>
                <c:pt idx="2285">
                  <c:v>0.45098743311609724</c:v>
                </c:pt>
                <c:pt idx="2286">
                  <c:v>0.45112593260455469</c:v>
                </c:pt>
                <c:pt idx="2287">
                  <c:v>0.45115796545178455</c:v>
                </c:pt>
                <c:pt idx="2288">
                  <c:v>0.45119309169240296</c:v>
                </c:pt>
                <c:pt idx="2289">
                  <c:v>0.45134657858125138</c:v>
                </c:pt>
                <c:pt idx="2290">
                  <c:v>0.45140012966021459</c:v>
                </c:pt>
                <c:pt idx="2291">
                  <c:v>0.45143587801339891</c:v>
                </c:pt>
                <c:pt idx="2292">
                  <c:v>0.45197191622082755</c:v>
                </c:pt>
                <c:pt idx="2293">
                  <c:v>0.45284863727101765</c:v>
                </c:pt>
                <c:pt idx="2294">
                  <c:v>0.45296081824380963</c:v>
                </c:pt>
                <c:pt idx="2295">
                  <c:v>0.45327623607590795</c:v>
                </c:pt>
                <c:pt idx="2296">
                  <c:v>0.4533459531094195</c:v>
                </c:pt>
                <c:pt idx="2297">
                  <c:v>0.45353362972946343</c:v>
                </c:pt>
                <c:pt idx="2298">
                  <c:v>0.45380777650461823</c:v>
                </c:pt>
                <c:pt idx="2299">
                  <c:v>0.45381804289536376</c:v>
                </c:pt>
                <c:pt idx="2300">
                  <c:v>0.45396115333733178</c:v>
                </c:pt>
                <c:pt idx="2301">
                  <c:v>0.45445006160207413</c:v>
                </c:pt>
                <c:pt idx="2302">
                  <c:v>0.45465104271443124</c:v>
                </c:pt>
                <c:pt idx="2303">
                  <c:v>0.45500352191720594</c:v>
                </c:pt>
                <c:pt idx="2304">
                  <c:v>0.45511097912731202</c:v>
                </c:pt>
                <c:pt idx="2305">
                  <c:v>0.45531117020436795</c:v>
                </c:pt>
                <c:pt idx="2306">
                  <c:v>0.45632165923598222</c:v>
                </c:pt>
                <c:pt idx="2307">
                  <c:v>0.45637596426149685</c:v>
                </c:pt>
                <c:pt idx="2308">
                  <c:v>0.45641463655192638</c:v>
                </c:pt>
                <c:pt idx="2309">
                  <c:v>0.45668709005974506</c:v>
                </c:pt>
                <c:pt idx="2310">
                  <c:v>0.45670871750007791</c:v>
                </c:pt>
                <c:pt idx="2311">
                  <c:v>0.45679551192370127</c:v>
                </c:pt>
                <c:pt idx="2312">
                  <c:v>0.45764607438832172</c:v>
                </c:pt>
                <c:pt idx="2313">
                  <c:v>0.45790693472918065</c:v>
                </c:pt>
                <c:pt idx="2314">
                  <c:v>0.45811399552258081</c:v>
                </c:pt>
                <c:pt idx="2315">
                  <c:v>0.45828850513862562</c:v>
                </c:pt>
                <c:pt idx="2316">
                  <c:v>0.45829465016049653</c:v>
                </c:pt>
                <c:pt idx="2317">
                  <c:v>0.45839702412558836</c:v>
                </c:pt>
                <c:pt idx="2318">
                  <c:v>0.45840237062657252</c:v>
                </c:pt>
                <c:pt idx="2319">
                  <c:v>0.45874884731529164</c:v>
                </c:pt>
                <c:pt idx="2320">
                  <c:v>0.45879306899314543</c:v>
                </c:pt>
                <c:pt idx="2321">
                  <c:v>0.45911059613081306</c:v>
                </c:pt>
                <c:pt idx="2322">
                  <c:v>0.45927434432815062</c:v>
                </c:pt>
                <c:pt idx="2323">
                  <c:v>0.45943467677352601</c:v>
                </c:pt>
                <c:pt idx="2324">
                  <c:v>0.4594423775197356</c:v>
                </c:pt>
                <c:pt idx="2325">
                  <c:v>0.45952806342847907</c:v>
                </c:pt>
                <c:pt idx="2326">
                  <c:v>0.45968419456221454</c:v>
                </c:pt>
                <c:pt idx="2327">
                  <c:v>0.45998466223863943</c:v>
                </c:pt>
                <c:pt idx="2328">
                  <c:v>0.46019964892093412</c:v>
                </c:pt>
                <c:pt idx="2329">
                  <c:v>0.46137060660930729</c:v>
                </c:pt>
                <c:pt idx="2330">
                  <c:v>0.46176761405877187</c:v>
                </c:pt>
                <c:pt idx="2331">
                  <c:v>0.46207590721041925</c:v>
                </c:pt>
                <c:pt idx="2332">
                  <c:v>0.46207733232677128</c:v>
                </c:pt>
                <c:pt idx="2333">
                  <c:v>0.46223549225669558</c:v>
                </c:pt>
                <c:pt idx="2334">
                  <c:v>0.46247366010447877</c:v>
                </c:pt>
                <c:pt idx="2335">
                  <c:v>0.46330657448743295</c:v>
                </c:pt>
                <c:pt idx="2336">
                  <c:v>0.4635932918972685</c:v>
                </c:pt>
                <c:pt idx="2337">
                  <c:v>0.46433408087068528</c:v>
                </c:pt>
                <c:pt idx="2338">
                  <c:v>0.46434995935214829</c:v>
                </c:pt>
                <c:pt idx="2339">
                  <c:v>0.46437020036864851</c:v>
                </c:pt>
                <c:pt idx="2340">
                  <c:v>0.46447122466543078</c:v>
                </c:pt>
                <c:pt idx="2341">
                  <c:v>0.46458900370902256</c:v>
                </c:pt>
                <c:pt idx="2342">
                  <c:v>0.46482043108244397</c:v>
                </c:pt>
                <c:pt idx="2343">
                  <c:v>0.46502621623676532</c:v>
                </c:pt>
                <c:pt idx="2344">
                  <c:v>0.46506111069084</c:v>
                </c:pt>
                <c:pt idx="2345">
                  <c:v>0.46511542940879735</c:v>
                </c:pt>
                <c:pt idx="2346">
                  <c:v>0.46585803153448069</c:v>
                </c:pt>
                <c:pt idx="2347">
                  <c:v>0.46597576203021163</c:v>
                </c:pt>
                <c:pt idx="2348">
                  <c:v>0.46618651629250962</c:v>
                </c:pt>
                <c:pt idx="2349">
                  <c:v>0.46658833645142295</c:v>
                </c:pt>
                <c:pt idx="2350">
                  <c:v>0.46691233007641131</c:v>
                </c:pt>
                <c:pt idx="2351">
                  <c:v>0.4669136863985841</c:v>
                </c:pt>
                <c:pt idx="2352">
                  <c:v>0.46729543614401337</c:v>
                </c:pt>
                <c:pt idx="2353">
                  <c:v>0.46738562979862763</c:v>
                </c:pt>
                <c:pt idx="2354">
                  <c:v>0.46764844121571514</c:v>
                </c:pt>
                <c:pt idx="2355">
                  <c:v>0.4677079824714383</c:v>
                </c:pt>
                <c:pt idx="2356">
                  <c:v>0.46807818800243695</c:v>
                </c:pt>
                <c:pt idx="2357">
                  <c:v>0.46838196675525978</c:v>
                </c:pt>
                <c:pt idx="2358">
                  <c:v>0.46838728987859213</c:v>
                </c:pt>
                <c:pt idx="2359">
                  <c:v>0.46855667971294679</c:v>
                </c:pt>
                <c:pt idx="2360">
                  <c:v>0.46869043584410974</c:v>
                </c:pt>
                <c:pt idx="2361">
                  <c:v>0.46880949086973089</c:v>
                </c:pt>
                <c:pt idx="2362">
                  <c:v>0.46888625731662614</c:v>
                </c:pt>
                <c:pt idx="2363">
                  <c:v>0.46957137627580892</c:v>
                </c:pt>
                <c:pt idx="2364">
                  <c:v>0.46958201334291516</c:v>
                </c:pt>
                <c:pt idx="2365">
                  <c:v>0.46960705056335428</c:v>
                </c:pt>
                <c:pt idx="2366">
                  <c:v>0.46993670747724536</c:v>
                </c:pt>
                <c:pt idx="2367">
                  <c:v>0.4699554018843628</c:v>
                </c:pt>
                <c:pt idx="2368">
                  <c:v>0.47014253639190429</c:v>
                </c:pt>
                <c:pt idx="2369">
                  <c:v>0.4703476580507413</c:v>
                </c:pt>
                <c:pt idx="2370">
                  <c:v>0.47041440230441367</c:v>
                </c:pt>
                <c:pt idx="2371">
                  <c:v>0.47061438650689524</c:v>
                </c:pt>
                <c:pt idx="2372">
                  <c:v>0.47075162919190916</c:v>
                </c:pt>
                <c:pt idx="2373">
                  <c:v>0.47077301145691308</c:v>
                </c:pt>
                <c:pt idx="2374">
                  <c:v>0.47080264634951163</c:v>
                </c:pt>
                <c:pt idx="2375">
                  <c:v>0.47093459334791987</c:v>
                </c:pt>
                <c:pt idx="2376">
                  <c:v>0.47095851063386363</c:v>
                </c:pt>
                <c:pt idx="2377">
                  <c:v>0.47121481679550925</c:v>
                </c:pt>
                <c:pt idx="2378">
                  <c:v>0.4712825212000098</c:v>
                </c:pt>
                <c:pt idx="2379">
                  <c:v>0.47135518549021072</c:v>
                </c:pt>
                <c:pt idx="2380">
                  <c:v>0.47135802674893057</c:v>
                </c:pt>
                <c:pt idx="2381">
                  <c:v>0.47166656487479486</c:v>
                </c:pt>
                <c:pt idx="2382">
                  <c:v>0.47168116983357322</c:v>
                </c:pt>
                <c:pt idx="2383">
                  <c:v>0.47200709924436524</c:v>
                </c:pt>
                <c:pt idx="2384">
                  <c:v>0.47223783707067923</c:v>
                </c:pt>
                <c:pt idx="2385">
                  <c:v>0.47243925518796459</c:v>
                </c:pt>
                <c:pt idx="2386">
                  <c:v>0.47261873108254804</c:v>
                </c:pt>
                <c:pt idx="2387">
                  <c:v>0.47275122375958745</c:v>
                </c:pt>
                <c:pt idx="2388">
                  <c:v>0.47296347187511856</c:v>
                </c:pt>
                <c:pt idx="2389">
                  <c:v>0.47330480554319365</c:v>
                </c:pt>
                <c:pt idx="2390">
                  <c:v>0.47330545185650408</c:v>
                </c:pt>
                <c:pt idx="2391">
                  <c:v>0.47398542366045149</c:v>
                </c:pt>
                <c:pt idx="2392">
                  <c:v>0.47406191774007311</c:v>
                </c:pt>
                <c:pt idx="2393">
                  <c:v>0.47423777234143927</c:v>
                </c:pt>
                <c:pt idx="2394">
                  <c:v>0.47426494606406777</c:v>
                </c:pt>
                <c:pt idx="2395">
                  <c:v>0.47428662871789129</c:v>
                </c:pt>
                <c:pt idx="2396">
                  <c:v>0.47436823210955481</c:v>
                </c:pt>
                <c:pt idx="2397">
                  <c:v>0.47481232986956456</c:v>
                </c:pt>
                <c:pt idx="2398">
                  <c:v>0.47491580785299448</c:v>
                </c:pt>
                <c:pt idx="2399">
                  <c:v>0.47501080177516997</c:v>
                </c:pt>
                <c:pt idx="2400">
                  <c:v>0.47543781147760455</c:v>
                </c:pt>
                <c:pt idx="2401">
                  <c:v>0.47566089551946789</c:v>
                </c:pt>
                <c:pt idx="2402">
                  <c:v>0.47607617657831725</c:v>
                </c:pt>
                <c:pt idx="2403">
                  <c:v>0.47622375734954403</c:v>
                </c:pt>
                <c:pt idx="2404">
                  <c:v>0.47637499123084126</c:v>
                </c:pt>
                <c:pt idx="2405">
                  <c:v>0.4768994780806679</c:v>
                </c:pt>
                <c:pt idx="2406">
                  <c:v>0.47703534034371842</c:v>
                </c:pt>
                <c:pt idx="2407">
                  <c:v>0.47718169279596623</c:v>
                </c:pt>
                <c:pt idx="2408">
                  <c:v>0.47724478991131036</c:v>
                </c:pt>
                <c:pt idx="2409">
                  <c:v>0.47738642042986612</c:v>
                </c:pt>
                <c:pt idx="2410">
                  <c:v>0.47756251467308175</c:v>
                </c:pt>
                <c:pt idx="2411">
                  <c:v>0.47758609033553512</c:v>
                </c:pt>
                <c:pt idx="2412">
                  <c:v>0.47785027318695938</c:v>
                </c:pt>
                <c:pt idx="2413">
                  <c:v>0.47832216860206245</c:v>
                </c:pt>
                <c:pt idx="2414">
                  <c:v>0.47836845122310478</c:v>
                </c:pt>
                <c:pt idx="2415">
                  <c:v>0.47847748780714028</c:v>
                </c:pt>
                <c:pt idx="2416">
                  <c:v>0.47848734412946214</c:v>
                </c:pt>
                <c:pt idx="2417">
                  <c:v>0.47877339574824873</c:v>
                </c:pt>
                <c:pt idx="2418">
                  <c:v>0.4789434753893147</c:v>
                </c:pt>
                <c:pt idx="2419">
                  <c:v>0.47910560556738346</c:v>
                </c:pt>
                <c:pt idx="2420">
                  <c:v>0.47912148390969378</c:v>
                </c:pt>
                <c:pt idx="2421">
                  <c:v>0.47915640048449859</c:v>
                </c:pt>
                <c:pt idx="2422">
                  <c:v>0.47926942733829492</c:v>
                </c:pt>
                <c:pt idx="2423">
                  <c:v>0.47959360420827579</c:v>
                </c:pt>
                <c:pt idx="2424">
                  <c:v>0.48005227690282481</c:v>
                </c:pt>
                <c:pt idx="2425">
                  <c:v>0.48011698461505148</c:v>
                </c:pt>
                <c:pt idx="2426">
                  <c:v>0.48015560596104478</c:v>
                </c:pt>
                <c:pt idx="2427">
                  <c:v>0.48055247329102713</c:v>
                </c:pt>
                <c:pt idx="2428">
                  <c:v>0.4805791079716073</c:v>
                </c:pt>
                <c:pt idx="2429">
                  <c:v>0.4806541152374848</c:v>
                </c:pt>
                <c:pt idx="2430">
                  <c:v>0.48117849782101985</c:v>
                </c:pt>
                <c:pt idx="2431">
                  <c:v>0.48126028925071296</c:v>
                </c:pt>
                <c:pt idx="2432">
                  <c:v>0.48190646926195768</c:v>
                </c:pt>
                <c:pt idx="2433">
                  <c:v>0.48191083116762456</c:v>
                </c:pt>
                <c:pt idx="2434">
                  <c:v>0.48195784071185699</c:v>
                </c:pt>
                <c:pt idx="2435">
                  <c:v>0.48223515603876876</c:v>
                </c:pt>
                <c:pt idx="2436">
                  <c:v>0.48246712470427155</c:v>
                </c:pt>
                <c:pt idx="2437">
                  <c:v>0.48274416883486992</c:v>
                </c:pt>
                <c:pt idx="2438">
                  <c:v>0.48291474403686152</c:v>
                </c:pt>
                <c:pt idx="2439">
                  <c:v>0.4829568988407118</c:v>
                </c:pt>
                <c:pt idx="2440">
                  <c:v>0.48344520548289438</c:v>
                </c:pt>
                <c:pt idx="2441">
                  <c:v>0.48358896657464356</c:v>
                </c:pt>
                <c:pt idx="2442">
                  <c:v>0.48386617053895975</c:v>
                </c:pt>
                <c:pt idx="2443">
                  <c:v>0.48394614886910858</c:v>
                </c:pt>
                <c:pt idx="2444">
                  <c:v>0.48435766146758397</c:v>
                </c:pt>
                <c:pt idx="2445">
                  <c:v>0.48442453334519087</c:v>
                </c:pt>
                <c:pt idx="2446">
                  <c:v>0.48491684580858418</c:v>
                </c:pt>
                <c:pt idx="2447">
                  <c:v>0.48547742880509759</c:v>
                </c:pt>
                <c:pt idx="2448">
                  <c:v>0.48575108223940333</c:v>
                </c:pt>
                <c:pt idx="2449">
                  <c:v>0.48582751033063687</c:v>
                </c:pt>
                <c:pt idx="2450">
                  <c:v>0.48605258457610034</c:v>
                </c:pt>
                <c:pt idx="2451">
                  <c:v>0.48624643619405106</c:v>
                </c:pt>
                <c:pt idx="2452">
                  <c:v>0.48626298368708376</c:v>
                </c:pt>
                <c:pt idx="2453">
                  <c:v>0.4863336108301155</c:v>
                </c:pt>
                <c:pt idx="2454">
                  <c:v>0.48636528579663718</c:v>
                </c:pt>
                <c:pt idx="2455">
                  <c:v>0.48637963184592081</c:v>
                </c:pt>
                <c:pt idx="2456">
                  <c:v>0.48646660207487002</c:v>
                </c:pt>
                <c:pt idx="2457">
                  <c:v>0.487245929416531</c:v>
                </c:pt>
                <c:pt idx="2458">
                  <c:v>0.48724761599260091</c:v>
                </c:pt>
                <c:pt idx="2459">
                  <c:v>0.48756151300494821</c:v>
                </c:pt>
                <c:pt idx="2460">
                  <c:v>0.48779251577889227</c:v>
                </c:pt>
                <c:pt idx="2461">
                  <c:v>0.48812663708213222</c:v>
                </c:pt>
                <c:pt idx="2462">
                  <c:v>0.48849318494831095</c:v>
                </c:pt>
                <c:pt idx="2463">
                  <c:v>0.4886567321154871</c:v>
                </c:pt>
                <c:pt idx="2464">
                  <c:v>0.48893328475332964</c:v>
                </c:pt>
                <c:pt idx="2465">
                  <c:v>0.48905147697587381</c:v>
                </c:pt>
                <c:pt idx="2466">
                  <c:v>0.48931854808961361</c:v>
                </c:pt>
                <c:pt idx="2467">
                  <c:v>0.48953306429211807</c:v>
                </c:pt>
                <c:pt idx="2468">
                  <c:v>0.48986114633225952</c:v>
                </c:pt>
                <c:pt idx="2469">
                  <c:v>0.48989052572687797</c:v>
                </c:pt>
                <c:pt idx="2470">
                  <c:v>0.49004298441286664</c:v>
                </c:pt>
                <c:pt idx="2471">
                  <c:v>0.49010934627312963</c:v>
                </c:pt>
                <c:pt idx="2472">
                  <c:v>0.49040633614458784</c:v>
                </c:pt>
                <c:pt idx="2473">
                  <c:v>0.49079780291503994</c:v>
                </c:pt>
                <c:pt idx="2474">
                  <c:v>0.49080999880061427</c:v>
                </c:pt>
                <c:pt idx="2475">
                  <c:v>0.49101183814946125</c:v>
                </c:pt>
                <c:pt idx="2476">
                  <c:v>0.49156286327706766</c:v>
                </c:pt>
                <c:pt idx="2477">
                  <c:v>0.491699023916226</c:v>
                </c:pt>
                <c:pt idx="2478">
                  <c:v>0.49177651256104582</c:v>
                </c:pt>
                <c:pt idx="2479">
                  <c:v>0.49181326722548491</c:v>
                </c:pt>
                <c:pt idx="2480">
                  <c:v>0.49195251069522783</c:v>
                </c:pt>
                <c:pt idx="2481">
                  <c:v>0.49197754605847877</c:v>
                </c:pt>
                <c:pt idx="2482">
                  <c:v>0.49199443126326514</c:v>
                </c:pt>
                <c:pt idx="2483">
                  <c:v>0.49315782519079221</c:v>
                </c:pt>
                <c:pt idx="2484">
                  <c:v>0.49334538470338885</c:v>
                </c:pt>
                <c:pt idx="2485">
                  <c:v>0.49357639609297621</c:v>
                </c:pt>
                <c:pt idx="2486">
                  <c:v>0.49362403578379599</c:v>
                </c:pt>
                <c:pt idx="2487">
                  <c:v>0.49386369281091902</c:v>
                </c:pt>
                <c:pt idx="2488">
                  <c:v>0.49430243920869543</c:v>
                </c:pt>
                <c:pt idx="2489">
                  <c:v>0.49467090808138892</c:v>
                </c:pt>
                <c:pt idx="2490">
                  <c:v>0.49477751374161016</c:v>
                </c:pt>
                <c:pt idx="2491">
                  <c:v>0.49545530159775808</c:v>
                </c:pt>
                <c:pt idx="2492">
                  <c:v>0.49558776794128789</c:v>
                </c:pt>
                <c:pt idx="2493">
                  <c:v>0.49583556909510662</c:v>
                </c:pt>
                <c:pt idx="2494">
                  <c:v>0.49636179643948708</c:v>
                </c:pt>
                <c:pt idx="2495">
                  <c:v>0.4970986809103124</c:v>
                </c:pt>
                <c:pt idx="2496">
                  <c:v>0.49717246711406915</c:v>
                </c:pt>
                <c:pt idx="2497">
                  <c:v>0.49773425941657479</c:v>
                </c:pt>
                <c:pt idx="2498">
                  <c:v>0.4977693766104494</c:v>
                </c:pt>
                <c:pt idx="2499">
                  <c:v>0.49781854344382737</c:v>
                </c:pt>
                <c:pt idx="2500">
                  <c:v>0.49792298394550016</c:v>
                </c:pt>
                <c:pt idx="2501">
                  <c:v>0.49797715443946799</c:v>
                </c:pt>
                <c:pt idx="2502">
                  <c:v>0.49799281154264463</c:v>
                </c:pt>
                <c:pt idx="2503">
                  <c:v>0.49848045383714634</c:v>
                </c:pt>
                <c:pt idx="2504">
                  <c:v>0.49869554240467551</c:v>
                </c:pt>
                <c:pt idx="2505">
                  <c:v>0.49874188408739428</c:v>
                </c:pt>
                <c:pt idx="2506">
                  <c:v>0.49886658678315143</c:v>
                </c:pt>
                <c:pt idx="2507">
                  <c:v>0.4989646044796423</c:v>
                </c:pt>
                <c:pt idx="2508">
                  <c:v>0.49907084381720779</c:v>
                </c:pt>
                <c:pt idx="2509">
                  <c:v>0.50052794285056734</c:v>
                </c:pt>
                <c:pt idx="2510">
                  <c:v>0.50060016287443432</c:v>
                </c:pt>
                <c:pt idx="2511">
                  <c:v>0.50065269056267425</c:v>
                </c:pt>
                <c:pt idx="2512">
                  <c:v>0.50130751021879405</c:v>
                </c:pt>
                <c:pt idx="2513">
                  <c:v>0.50165110348461894</c:v>
                </c:pt>
                <c:pt idx="2514">
                  <c:v>0.50191826465561462</c:v>
                </c:pt>
                <c:pt idx="2515">
                  <c:v>0.50212931342502998</c:v>
                </c:pt>
                <c:pt idx="2516">
                  <c:v>0.50227871724746365</c:v>
                </c:pt>
                <c:pt idx="2517">
                  <c:v>0.50250434046120063</c:v>
                </c:pt>
                <c:pt idx="2518">
                  <c:v>0.5026477820429136</c:v>
                </c:pt>
                <c:pt idx="2519">
                  <c:v>0.50276182522247836</c:v>
                </c:pt>
                <c:pt idx="2520">
                  <c:v>0.50287052494149975</c:v>
                </c:pt>
                <c:pt idx="2521">
                  <c:v>0.50303769856236613</c:v>
                </c:pt>
                <c:pt idx="2522">
                  <c:v>0.50314176322262938</c:v>
                </c:pt>
                <c:pt idx="2523">
                  <c:v>0.5032949754386209</c:v>
                </c:pt>
                <c:pt idx="2524">
                  <c:v>0.50330070692598383</c:v>
                </c:pt>
                <c:pt idx="2525">
                  <c:v>0.50360421838558977</c:v>
                </c:pt>
                <c:pt idx="2526">
                  <c:v>0.50406608977118594</c:v>
                </c:pt>
                <c:pt idx="2527">
                  <c:v>0.50435367125373887</c:v>
                </c:pt>
                <c:pt idx="2528">
                  <c:v>0.50450147353694774</c:v>
                </c:pt>
                <c:pt idx="2529">
                  <c:v>0.50459236095412052</c:v>
                </c:pt>
                <c:pt idx="2530">
                  <c:v>0.50551972243192722</c:v>
                </c:pt>
                <c:pt idx="2531">
                  <c:v>0.50559511557457881</c:v>
                </c:pt>
                <c:pt idx="2532">
                  <c:v>0.50565585415915848</c:v>
                </c:pt>
                <c:pt idx="2533">
                  <c:v>0.5057143319863826</c:v>
                </c:pt>
                <c:pt idx="2534">
                  <c:v>0.50591329702820076</c:v>
                </c:pt>
                <c:pt idx="2535">
                  <c:v>0.50615563331393787</c:v>
                </c:pt>
                <c:pt idx="2536">
                  <c:v>0.50616873460694478</c:v>
                </c:pt>
                <c:pt idx="2537">
                  <c:v>0.50631283145685302</c:v>
                </c:pt>
                <c:pt idx="2538">
                  <c:v>0.50638661702487298</c:v>
                </c:pt>
                <c:pt idx="2539">
                  <c:v>0.50640651907724532</c:v>
                </c:pt>
                <c:pt idx="2540">
                  <c:v>0.50681849525699363</c:v>
                </c:pt>
                <c:pt idx="2541">
                  <c:v>0.50687546062181355</c:v>
                </c:pt>
                <c:pt idx="2542">
                  <c:v>0.50723867017677549</c:v>
                </c:pt>
                <c:pt idx="2543">
                  <c:v>0.507346481705099</c:v>
                </c:pt>
                <c:pt idx="2544">
                  <c:v>0.5074252539416193</c:v>
                </c:pt>
                <c:pt idx="2545">
                  <c:v>0.50748393439062056</c:v>
                </c:pt>
                <c:pt idx="2546">
                  <c:v>0.5077397415161613</c:v>
                </c:pt>
                <c:pt idx="2547">
                  <c:v>0.50790974825576995</c:v>
                </c:pt>
                <c:pt idx="2548">
                  <c:v>0.50873867659174721</c:v>
                </c:pt>
                <c:pt idx="2549">
                  <c:v>0.50882830250247935</c:v>
                </c:pt>
                <c:pt idx="2550">
                  <c:v>0.50905949683419749</c:v>
                </c:pt>
                <c:pt idx="2551">
                  <c:v>0.50920562508508738</c:v>
                </c:pt>
                <c:pt idx="2552">
                  <c:v>0.50935223726628465</c:v>
                </c:pt>
                <c:pt idx="2553">
                  <c:v>0.50937934008106822</c:v>
                </c:pt>
                <c:pt idx="2554">
                  <c:v>0.50991346754926781</c:v>
                </c:pt>
                <c:pt idx="2555">
                  <c:v>0.51009358099599922</c:v>
                </c:pt>
                <c:pt idx="2556">
                  <c:v>0.51009998907557019</c:v>
                </c:pt>
                <c:pt idx="2557">
                  <c:v>0.51024631009022414</c:v>
                </c:pt>
                <c:pt idx="2558">
                  <c:v>0.51025711187503475</c:v>
                </c:pt>
                <c:pt idx="2559">
                  <c:v>0.51040866349286773</c:v>
                </c:pt>
                <c:pt idx="2560">
                  <c:v>0.51050765946092724</c:v>
                </c:pt>
                <c:pt idx="2561">
                  <c:v>0.51076192471282411</c:v>
                </c:pt>
                <c:pt idx="2562">
                  <c:v>0.51087869832281285</c:v>
                </c:pt>
                <c:pt idx="2563">
                  <c:v>0.51101699944047141</c:v>
                </c:pt>
                <c:pt idx="2564">
                  <c:v>0.51107802510068723</c:v>
                </c:pt>
                <c:pt idx="2565">
                  <c:v>0.51110602308745001</c:v>
                </c:pt>
                <c:pt idx="2566">
                  <c:v>0.5113525190645305</c:v>
                </c:pt>
                <c:pt idx="2567">
                  <c:v>0.51168813468120788</c:v>
                </c:pt>
                <c:pt idx="2568">
                  <c:v>0.51183955604210496</c:v>
                </c:pt>
                <c:pt idx="2569">
                  <c:v>0.51185253364292294</c:v>
                </c:pt>
                <c:pt idx="2570">
                  <c:v>0.51207403527769202</c:v>
                </c:pt>
                <c:pt idx="2571">
                  <c:v>0.51213774752704921</c:v>
                </c:pt>
                <c:pt idx="2572">
                  <c:v>0.51254456277820282</c:v>
                </c:pt>
                <c:pt idx="2573">
                  <c:v>0.51268680919474718</c:v>
                </c:pt>
                <c:pt idx="2574">
                  <c:v>0.51295808021770029</c:v>
                </c:pt>
                <c:pt idx="2575">
                  <c:v>0.51306773558371788</c:v>
                </c:pt>
                <c:pt idx="2576">
                  <c:v>0.51308635435816541</c:v>
                </c:pt>
                <c:pt idx="2577">
                  <c:v>0.51322959463504958</c:v>
                </c:pt>
                <c:pt idx="2578">
                  <c:v>0.51326178652834642</c:v>
                </c:pt>
                <c:pt idx="2579">
                  <c:v>0.51364391247807362</c:v>
                </c:pt>
                <c:pt idx="2580">
                  <c:v>0.51381288725860941</c:v>
                </c:pt>
                <c:pt idx="2581">
                  <c:v>0.51389322922386782</c:v>
                </c:pt>
                <c:pt idx="2582">
                  <c:v>0.51432209225822589</c:v>
                </c:pt>
                <c:pt idx="2583">
                  <c:v>0.5144803661351034</c:v>
                </c:pt>
                <c:pt idx="2584">
                  <c:v>0.51473407804405724</c:v>
                </c:pt>
                <c:pt idx="2585">
                  <c:v>0.51477393097593449</c:v>
                </c:pt>
                <c:pt idx="2586">
                  <c:v>0.51523928627830173</c:v>
                </c:pt>
                <c:pt idx="2587">
                  <c:v>0.51575561176650808</c:v>
                </c:pt>
                <c:pt idx="2588">
                  <c:v>0.51591754826040415</c:v>
                </c:pt>
                <c:pt idx="2589">
                  <c:v>0.51605915654636192</c:v>
                </c:pt>
                <c:pt idx="2590">
                  <c:v>0.51627619816281367</c:v>
                </c:pt>
                <c:pt idx="2591">
                  <c:v>0.51631755533344403</c:v>
                </c:pt>
                <c:pt idx="2592">
                  <c:v>0.51655878912970365</c:v>
                </c:pt>
                <c:pt idx="2593">
                  <c:v>0.51664850992074207</c:v>
                </c:pt>
                <c:pt idx="2594">
                  <c:v>0.51668265822354442</c:v>
                </c:pt>
                <c:pt idx="2595">
                  <c:v>0.51697191602943349</c:v>
                </c:pt>
                <c:pt idx="2596">
                  <c:v>0.51699891930638842</c:v>
                </c:pt>
                <c:pt idx="2597">
                  <c:v>0.51717695407569408</c:v>
                </c:pt>
                <c:pt idx="2598">
                  <c:v>0.51725832172180031</c:v>
                </c:pt>
                <c:pt idx="2599">
                  <c:v>0.51773637723454158</c:v>
                </c:pt>
                <c:pt idx="2600">
                  <c:v>0.5180273084433793</c:v>
                </c:pt>
                <c:pt idx="2601">
                  <c:v>0.51831447517088236</c:v>
                </c:pt>
                <c:pt idx="2602">
                  <c:v>0.51876748531230987</c:v>
                </c:pt>
                <c:pt idx="2603">
                  <c:v>0.51990246169862075</c:v>
                </c:pt>
                <c:pt idx="2604">
                  <c:v>0.51999963516664138</c:v>
                </c:pt>
                <c:pt idx="2605">
                  <c:v>0.52027701180304575</c:v>
                </c:pt>
                <c:pt idx="2606">
                  <c:v>0.52064990815324563</c:v>
                </c:pt>
                <c:pt idx="2607">
                  <c:v>0.5207230895957764</c:v>
                </c:pt>
                <c:pt idx="2608">
                  <c:v>0.52146550468114583</c:v>
                </c:pt>
                <c:pt idx="2609">
                  <c:v>0.52155820072769643</c:v>
                </c:pt>
                <c:pt idx="2610">
                  <c:v>0.52186225381410623</c:v>
                </c:pt>
                <c:pt idx="2611">
                  <c:v>0.52196608573194681</c:v>
                </c:pt>
                <c:pt idx="2612">
                  <c:v>0.52202748496620188</c:v>
                </c:pt>
                <c:pt idx="2613">
                  <c:v>0.52206532548552786</c:v>
                </c:pt>
                <c:pt idx="2614">
                  <c:v>0.52211329945021134</c:v>
                </c:pt>
                <c:pt idx="2615">
                  <c:v>0.5221321993994934</c:v>
                </c:pt>
                <c:pt idx="2616">
                  <c:v>0.52217237783179371</c:v>
                </c:pt>
                <c:pt idx="2617">
                  <c:v>0.52269720723143109</c:v>
                </c:pt>
                <c:pt idx="2618">
                  <c:v>0.52300834218840464</c:v>
                </c:pt>
                <c:pt idx="2619">
                  <c:v>0.52358198773163167</c:v>
                </c:pt>
                <c:pt idx="2620">
                  <c:v>0.52368818576542253</c:v>
                </c:pt>
                <c:pt idx="2621">
                  <c:v>0.52382546818807896</c:v>
                </c:pt>
                <c:pt idx="2622">
                  <c:v>0.52408665712027869</c:v>
                </c:pt>
                <c:pt idx="2623">
                  <c:v>0.52427890895341989</c:v>
                </c:pt>
                <c:pt idx="2624">
                  <c:v>0.52442663361307496</c:v>
                </c:pt>
                <c:pt idx="2625">
                  <c:v>0.52452575762526976</c:v>
                </c:pt>
                <c:pt idx="2626">
                  <c:v>0.5248141727724942</c:v>
                </c:pt>
                <c:pt idx="2627">
                  <c:v>0.52519779622434726</c:v>
                </c:pt>
                <c:pt idx="2628">
                  <c:v>0.52547072761535674</c:v>
                </c:pt>
                <c:pt idx="2629">
                  <c:v>0.52564376037480542</c:v>
                </c:pt>
                <c:pt idx="2630">
                  <c:v>0.52572704509657342</c:v>
                </c:pt>
                <c:pt idx="2631">
                  <c:v>0.52574632252981246</c:v>
                </c:pt>
                <c:pt idx="2632">
                  <c:v>0.52578665423970961</c:v>
                </c:pt>
                <c:pt idx="2633">
                  <c:v>0.52598160223533341</c:v>
                </c:pt>
                <c:pt idx="2634">
                  <c:v>0.52611509421967639</c:v>
                </c:pt>
                <c:pt idx="2635">
                  <c:v>0.52619277772737405</c:v>
                </c:pt>
                <c:pt idx="2636">
                  <c:v>0.52629446023001947</c:v>
                </c:pt>
                <c:pt idx="2637">
                  <c:v>0.52674949319225561</c:v>
                </c:pt>
                <c:pt idx="2638">
                  <c:v>0.52715239648023271</c:v>
                </c:pt>
                <c:pt idx="2639">
                  <c:v>0.52728619393383269</c:v>
                </c:pt>
                <c:pt idx="2640">
                  <c:v>0.52815268087942968</c:v>
                </c:pt>
                <c:pt idx="2641">
                  <c:v>0.52817299934395123</c:v>
                </c:pt>
                <c:pt idx="2642">
                  <c:v>0.52856088337557594</c:v>
                </c:pt>
                <c:pt idx="2643">
                  <c:v>0.52858457093589095</c:v>
                </c:pt>
                <c:pt idx="2644">
                  <c:v>0.52872055001989793</c:v>
                </c:pt>
                <c:pt idx="2645">
                  <c:v>0.52907478453880685</c:v>
                </c:pt>
                <c:pt idx="2646">
                  <c:v>0.52955904840200674</c:v>
                </c:pt>
                <c:pt idx="2647">
                  <c:v>0.52994104279514431</c:v>
                </c:pt>
                <c:pt idx="2648">
                  <c:v>0.52996951087880007</c:v>
                </c:pt>
                <c:pt idx="2649">
                  <c:v>0.53001656040487433</c:v>
                </c:pt>
                <c:pt idx="2650">
                  <c:v>0.53042252919385646</c:v>
                </c:pt>
                <c:pt idx="2651">
                  <c:v>0.53101815026639088</c:v>
                </c:pt>
                <c:pt idx="2652">
                  <c:v>0.53106811478937743</c:v>
                </c:pt>
                <c:pt idx="2653">
                  <c:v>0.53154779623855575</c:v>
                </c:pt>
                <c:pt idx="2654">
                  <c:v>0.53164289512278629</c:v>
                </c:pt>
                <c:pt idx="2655">
                  <c:v>0.53184547154707218</c:v>
                </c:pt>
                <c:pt idx="2656">
                  <c:v>0.5327253751365788</c:v>
                </c:pt>
                <c:pt idx="2657">
                  <c:v>0.53281563637574436</c:v>
                </c:pt>
                <c:pt idx="2658">
                  <c:v>0.53301593129981484</c:v>
                </c:pt>
                <c:pt idx="2659">
                  <c:v>0.53335899251760566</c:v>
                </c:pt>
                <c:pt idx="2660">
                  <c:v>0.5336102813926118</c:v>
                </c:pt>
                <c:pt idx="2661">
                  <c:v>0.53472656748363079</c:v>
                </c:pt>
                <c:pt idx="2662">
                  <c:v>0.53482583837831044</c:v>
                </c:pt>
                <c:pt idx="2663">
                  <c:v>0.53486727068229811</c:v>
                </c:pt>
                <c:pt idx="2664">
                  <c:v>0.53493284273281461</c:v>
                </c:pt>
                <c:pt idx="2665">
                  <c:v>0.53519935191616241</c:v>
                </c:pt>
                <c:pt idx="2666">
                  <c:v>0.53550827463459427</c:v>
                </c:pt>
                <c:pt idx="2667">
                  <c:v>0.53556127478077542</c:v>
                </c:pt>
                <c:pt idx="2668">
                  <c:v>0.5356604633598181</c:v>
                </c:pt>
                <c:pt idx="2669">
                  <c:v>0.53567904249393905</c:v>
                </c:pt>
                <c:pt idx="2670">
                  <c:v>0.53572418076419126</c:v>
                </c:pt>
                <c:pt idx="2671">
                  <c:v>0.53623671031255071</c:v>
                </c:pt>
                <c:pt idx="2672">
                  <c:v>0.53632008159729594</c:v>
                </c:pt>
                <c:pt idx="2673">
                  <c:v>0.53647137847656268</c:v>
                </c:pt>
                <c:pt idx="2674">
                  <c:v>0.53653415479038813</c:v>
                </c:pt>
                <c:pt idx="2675">
                  <c:v>0.53662301058739104</c:v>
                </c:pt>
                <c:pt idx="2676">
                  <c:v>0.53673375607831986</c:v>
                </c:pt>
                <c:pt idx="2677">
                  <c:v>0.53698225347397965</c:v>
                </c:pt>
                <c:pt idx="2678">
                  <c:v>0.53712870576873684</c:v>
                </c:pt>
                <c:pt idx="2679">
                  <c:v>0.53728019804293581</c:v>
                </c:pt>
                <c:pt idx="2680">
                  <c:v>0.5373511854231765</c:v>
                </c:pt>
                <c:pt idx="2681">
                  <c:v>0.53735248742214026</c:v>
                </c:pt>
                <c:pt idx="2682">
                  <c:v>0.53744923224712693</c:v>
                </c:pt>
                <c:pt idx="2683">
                  <c:v>0.53748810790514767</c:v>
                </c:pt>
                <c:pt idx="2684">
                  <c:v>0.53750082553415268</c:v>
                </c:pt>
                <c:pt idx="2685">
                  <c:v>0.53750558248884772</c:v>
                </c:pt>
                <c:pt idx="2686">
                  <c:v>0.53761159824352944</c:v>
                </c:pt>
                <c:pt idx="2687">
                  <c:v>0.53777920166248805</c:v>
                </c:pt>
                <c:pt idx="2688">
                  <c:v>0.53789862807207101</c:v>
                </c:pt>
                <c:pt idx="2689">
                  <c:v>0.53806643944426469</c:v>
                </c:pt>
                <c:pt idx="2690">
                  <c:v>0.53820351494232455</c:v>
                </c:pt>
                <c:pt idx="2691">
                  <c:v>0.53829912793389667</c:v>
                </c:pt>
                <c:pt idx="2692">
                  <c:v>0.53865064532874385</c:v>
                </c:pt>
                <c:pt idx="2693">
                  <c:v>0.53866925428337709</c:v>
                </c:pt>
                <c:pt idx="2694">
                  <c:v>0.53876366340864479</c:v>
                </c:pt>
                <c:pt idx="2695">
                  <c:v>0.53878809183427734</c:v>
                </c:pt>
                <c:pt idx="2696">
                  <c:v>0.5390817907264136</c:v>
                </c:pt>
                <c:pt idx="2697">
                  <c:v>0.53921615557010227</c:v>
                </c:pt>
                <c:pt idx="2698">
                  <c:v>0.53930513803607028</c:v>
                </c:pt>
                <c:pt idx="2699">
                  <c:v>0.53944659306398535</c:v>
                </c:pt>
                <c:pt idx="2700">
                  <c:v>0.5397411464346078</c:v>
                </c:pt>
                <c:pt idx="2701">
                  <c:v>0.5400217173009878</c:v>
                </c:pt>
                <c:pt idx="2702">
                  <c:v>0.54015965882808814</c:v>
                </c:pt>
                <c:pt idx="2703">
                  <c:v>0.54017102917896409</c:v>
                </c:pt>
                <c:pt idx="2704">
                  <c:v>0.54027353523179045</c:v>
                </c:pt>
                <c:pt idx="2705">
                  <c:v>0.54115331105822406</c:v>
                </c:pt>
                <c:pt idx="2706">
                  <c:v>0.54150222578482499</c:v>
                </c:pt>
                <c:pt idx="2707">
                  <c:v>0.54152165471168701</c:v>
                </c:pt>
                <c:pt idx="2708">
                  <c:v>0.54164096373642678</c:v>
                </c:pt>
                <c:pt idx="2709">
                  <c:v>0.54188345730563015</c:v>
                </c:pt>
                <c:pt idx="2710">
                  <c:v>0.54263276202891575</c:v>
                </c:pt>
                <c:pt idx="2711">
                  <c:v>0.5428184715219686</c:v>
                </c:pt>
                <c:pt idx="2712">
                  <c:v>0.54282801971839945</c:v>
                </c:pt>
                <c:pt idx="2713">
                  <c:v>0.54290931350351457</c:v>
                </c:pt>
                <c:pt idx="2714">
                  <c:v>0.54302059284509596</c:v>
                </c:pt>
                <c:pt idx="2715">
                  <c:v>0.54309036778522568</c:v>
                </c:pt>
                <c:pt idx="2716">
                  <c:v>0.54321923145198525</c:v>
                </c:pt>
                <c:pt idx="2717">
                  <c:v>0.54325978527685947</c:v>
                </c:pt>
                <c:pt idx="2718">
                  <c:v>0.54337364757338946</c:v>
                </c:pt>
                <c:pt idx="2719">
                  <c:v>0.54337501210375194</c:v>
                </c:pt>
                <c:pt idx="2720">
                  <c:v>0.54409416044927639</c:v>
                </c:pt>
                <c:pt idx="2721">
                  <c:v>0.54422877795877866</c:v>
                </c:pt>
                <c:pt idx="2722">
                  <c:v>0.54423710814626247</c:v>
                </c:pt>
                <c:pt idx="2723">
                  <c:v>0.54449180442861689</c:v>
                </c:pt>
                <c:pt idx="2724">
                  <c:v>0.5452655013605181</c:v>
                </c:pt>
                <c:pt idx="2725">
                  <c:v>0.54538365695589164</c:v>
                </c:pt>
                <c:pt idx="2726">
                  <c:v>0.54544137120956293</c:v>
                </c:pt>
                <c:pt idx="2727">
                  <c:v>0.54603797065283288</c:v>
                </c:pt>
                <c:pt idx="2728">
                  <c:v>0.54608428392111819</c:v>
                </c:pt>
                <c:pt idx="2729">
                  <c:v>0.54630326211554348</c:v>
                </c:pt>
                <c:pt idx="2730">
                  <c:v>0.54658085156188463</c:v>
                </c:pt>
                <c:pt idx="2731">
                  <c:v>0.54666900093889126</c:v>
                </c:pt>
                <c:pt idx="2732">
                  <c:v>0.54680006953185512</c:v>
                </c:pt>
                <c:pt idx="2733">
                  <c:v>0.54714960868295748</c:v>
                </c:pt>
                <c:pt idx="2734">
                  <c:v>0.5474355383830698</c:v>
                </c:pt>
                <c:pt idx="2735">
                  <c:v>0.54745901319165569</c:v>
                </c:pt>
                <c:pt idx="2736">
                  <c:v>0.54756025349161064</c:v>
                </c:pt>
                <c:pt idx="2737">
                  <c:v>0.54756097897373479</c:v>
                </c:pt>
                <c:pt idx="2738">
                  <c:v>0.54756992921375058</c:v>
                </c:pt>
                <c:pt idx="2739">
                  <c:v>0.5477681214306358</c:v>
                </c:pt>
                <c:pt idx="2740">
                  <c:v>0.54793129382690609</c:v>
                </c:pt>
                <c:pt idx="2741">
                  <c:v>0.5480108211750121</c:v>
                </c:pt>
                <c:pt idx="2742">
                  <c:v>0.54810426969561377</c:v>
                </c:pt>
                <c:pt idx="2743">
                  <c:v>0.54815613231858151</c:v>
                </c:pt>
                <c:pt idx="2744">
                  <c:v>0.54826319384665112</c:v>
                </c:pt>
                <c:pt idx="2745">
                  <c:v>0.54827145288072643</c:v>
                </c:pt>
                <c:pt idx="2746">
                  <c:v>0.54830402541847434</c:v>
                </c:pt>
                <c:pt idx="2747">
                  <c:v>0.5483983798776535</c:v>
                </c:pt>
                <c:pt idx="2748">
                  <c:v>0.54842647423356539</c:v>
                </c:pt>
                <c:pt idx="2749">
                  <c:v>0.54852940552427754</c:v>
                </c:pt>
                <c:pt idx="2750">
                  <c:v>0.54888950686836324</c:v>
                </c:pt>
                <c:pt idx="2751">
                  <c:v>0.54937185848757508</c:v>
                </c:pt>
                <c:pt idx="2752">
                  <c:v>0.55006397641230365</c:v>
                </c:pt>
                <c:pt idx="2753">
                  <c:v>0.55009130010694207</c:v>
                </c:pt>
                <c:pt idx="2754">
                  <c:v>0.55018419233692839</c:v>
                </c:pt>
                <c:pt idx="2755">
                  <c:v>0.55082651928751147</c:v>
                </c:pt>
                <c:pt idx="2756">
                  <c:v>0.55113871606499742</c:v>
                </c:pt>
                <c:pt idx="2757">
                  <c:v>0.55136672871140036</c:v>
                </c:pt>
                <c:pt idx="2758">
                  <c:v>0.55138625648578454</c:v>
                </c:pt>
                <c:pt idx="2759">
                  <c:v>0.55148293861566344</c:v>
                </c:pt>
                <c:pt idx="2760">
                  <c:v>0.55151134238349186</c:v>
                </c:pt>
                <c:pt idx="2761">
                  <c:v>0.55158947854943108</c:v>
                </c:pt>
                <c:pt idx="2762">
                  <c:v>0.55187957594353065</c:v>
                </c:pt>
                <c:pt idx="2763">
                  <c:v>0.55210808675474254</c:v>
                </c:pt>
                <c:pt idx="2764">
                  <c:v>0.55233734090415965</c:v>
                </c:pt>
                <c:pt idx="2765">
                  <c:v>0.55289260746758373</c:v>
                </c:pt>
                <c:pt idx="2766">
                  <c:v>0.55306087117878633</c:v>
                </c:pt>
                <c:pt idx="2767">
                  <c:v>0.55310636752983555</c:v>
                </c:pt>
                <c:pt idx="2768">
                  <c:v>0.55356359256529686</c:v>
                </c:pt>
                <c:pt idx="2769">
                  <c:v>0.55378593200748583</c:v>
                </c:pt>
                <c:pt idx="2770">
                  <c:v>0.55412924338725134</c:v>
                </c:pt>
                <c:pt idx="2771">
                  <c:v>0.55419966869430937</c:v>
                </c:pt>
                <c:pt idx="2772">
                  <c:v>0.55449582887013094</c:v>
                </c:pt>
                <c:pt idx="2773">
                  <c:v>0.55483967800682876</c:v>
                </c:pt>
                <c:pt idx="2774">
                  <c:v>0.554966204320408</c:v>
                </c:pt>
                <c:pt idx="2775">
                  <c:v>0.55522345359531755</c:v>
                </c:pt>
                <c:pt idx="2776">
                  <c:v>0.55562833396743372</c:v>
                </c:pt>
                <c:pt idx="2777">
                  <c:v>0.55566313789768174</c:v>
                </c:pt>
                <c:pt idx="2778">
                  <c:v>0.55567502052781492</c:v>
                </c:pt>
                <c:pt idx="2779">
                  <c:v>0.55568739260070288</c:v>
                </c:pt>
                <c:pt idx="2780">
                  <c:v>0.55583441438648151</c:v>
                </c:pt>
                <c:pt idx="2781">
                  <c:v>0.55592451662414533</c:v>
                </c:pt>
                <c:pt idx="2782">
                  <c:v>0.55626691534234851</c:v>
                </c:pt>
                <c:pt idx="2783">
                  <c:v>0.55684972960807499</c:v>
                </c:pt>
                <c:pt idx="2784">
                  <c:v>0.55691593211486179</c:v>
                </c:pt>
                <c:pt idx="2785">
                  <c:v>0.55704517567482981</c:v>
                </c:pt>
                <c:pt idx="2786">
                  <c:v>0.55713473375635658</c:v>
                </c:pt>
                <c:pt idx="2787">
                  <c:v>0.55762414241780789</c:v>
                </c:pt>
                <c:pt idx="2788">
                  <c:v>0.55783415031874029</c:v>
                </c:pt>
                <c:pt idx="2789">
                  <c:v>0.55805716883696732</c:v>
                </c:pt>
                <c:pt idx="2790">
                  <c:v>0.55829765318503632</c:v>
                </c:pt>
                <c:pt idx="2791">
                  <c:v>0.55832551232015248</c:v>
                </c:pt>
                <c:pt idx="2792">
                  <c:v>0.55855521740795666</c:v>
                </c:pt>
                <c:pt idx="2793">
                  <c:v>0.5589154053841412</c:v>
                </c:pt>
                <c:pt idx="2794">
                  <c:v>0.55895638383029222</c:v>
                </c:pt>
                <c:pt idx="2795">
                  <c:v>0.5595095110420516</c:v>
                </c:pt>
                <c:pt idx="2796">
                  <c:v>0.55976869211372104</c:v>
                </c:pt>
                <c:pt idx="2797">
                  <c:v>0.55988095999236975</c:v>
                </c:pt>
                <c:pt idx="2798">
                  <c:v>0.55988985445765138</c:v>
                </c:pt>
                <c:pt idx="2799">
                  <c:v>0.5603183315070055</c:v>
                </c:pt>
                <c:pt idx="2800">
                  <c:v>0.56047434501124371</c:v>
                </c:pt>
                <c:pt idx="2801">
                  <c:v>0.56069833392484725</c:v>
                </c:pt>
                <c:pt idx="2802">
                  <c:v>0.56073083781393507</c:v>
                </c:pt>
                <c:pt idx="2803">
                  <c:v>0.56082607488860958</c:v>
                </c:pt>
                <c:pt idx="2804">
                  <c:v>0.56085341631023766</c:v>
                </c:pt>
                <c:pt idx="2805">
                  <c:v>0.56109758331695048</c:v>
                </c:pt>
                <c:pt idx="2806">
                  <c:v>0.56143718603289017</c:v>
                </c:pt>
                <c:pt idx="2807">
                  <c:v>0.56171373194047192</c:v>
                </c:pt>
                <c:pt idx="2808">
                  <c:v>0.56183967153720005</c:v>
                </c:pt>
                <c:pt idx="2809">
                  <c:v>0.56192948943498777</c:v>
                </c:pt>
                <c:pt idx="2810">
                  <c:v>0.56210830407417234</c:v>
                </c:pt>
                <c:pt idx="2811">
                  <c:v>0.56251583134780958</c:v>
                </c:pt>
                <c:pt idx="2812">
                  <c:v>0.56276372065258329</c:v>
                </c:pt>
                <c:pt idx="2813">
                  <c:v>0.56283868515492941</c:v>
                </c:pt>
                <c:pt idx="2814">
                  <c:v>0.56285554617352318</c:v>
                </c:pt>
                <c:pt idx="2815">
                  <c:v>0.56298773848266137</c:v>
                </c:pt>
                <c:pt idx="2816">
                  <c:v>0.56367821195271972</c:v>
                </c:pt>
                <c:pt idx="2817">
                  <c:v>0.56371296426732442</c:v>
                </c:pt>
                <c:pt idx="2818">
                  <c:v>0.56382995858621143</c:v>
                </c:pt>
                <c:pt idx="2819">
                  <c:v>0.56394303170600324</c:v>
                </c:pt>
                <c:pt idx="2820">
                  <c:v>0.56400251069953811</c:v>
                </c:pt>
                <c:pt idx="2821">
                  <c:v>0.56404960104555357</c:v>
                </c:pt>
                <c:pt idx="2822">
                  <c:v>0.56409739100217848</c:v>
                </c:pt>
                <c:pt idx="2823">
                  <c:v>0.56426082267171296</c:v>
                </c:pt>
                <c:pt idx="2824">
                  <c:v>0.56467581708238868</c:v>
                </c:pt>
                <c:pt idx="2825">
                  <c:v>0.56481011770938494</c:v>
                </c:pt>
                <c:pt idx="2826">
                  <c:v>0.56482290662006562</c:v>
                </c:pt>
                <c:pt idx="2827">
                  <c:v>0.56483600286446745</c:v>
                </c:pt>
                <c:pt idx="2828">
                  <c:v>0.56487696022486489</c:v>
                </c:pt>
                <c:pt idx="2829">
                  <c:v>0.56542381881445181</c:v>
                </c:pt>
                <c:pt idx="2830">
                  <c:v>0.56542582192378177</c:v>
                </c:pt>
                <c:pt idx="2831">
                  <c:v>0.56560347944559908</c:v>
                </c:pt>
                <c:pt idx="2832">
                  <c:v>0.56561784299992723</c:v>
                </c:pt>
                <c:pt idx="2833">
                  <c:v>0.56584691911302798</c:v>
                </c:pt>
                <c:pt idx="2834">
                  <c:v>0.56629142164820223</c:v>
                </c:pt>
                <c:pt idx="2835">
                  <c:v>0.5663300571450236</c:v>
                </c:pt>
                <c:pt idx="2836">
                  <c:v>0.56646260330580844</c:v>
                </c:pt>
                <c:pt idx="2837">
                  <c:v>0.56656348290016467</c:v>
                </c:pt>
                <c:pt idx="2838">
                  <c:v>0.56684209234845184</c:v>
                </c:pt>
                <c:pt idx="2839">
                  <c:v>0.5671612708192697</c:v>
                </c:pt>
                <c:pt idx="2840">
                  <c:v>0.56724363408284262</c:v>
                </c:pt>
                <c:pt idx="2841">
                  <c:v>0.56726560306833562</c:v>
                </c:pt>
                <c:pt idx="2842">
                  <c:v>0.56756522617524752</c:v>
                </c:pt>
                <c:pt idx="2843">
                  <c:v>0.56763298302939802</c:v>
                </c:pt>
                <c:pt idx="2844">
                  <c:v>0.56794854319650767</c:v>
                </c:pt>
                <c:pt idx="2845">
                  <c:v>0.56796547222711524</c:v>
                </c:pt>
                <c:pt idx="2846">
                  <c:v>0.56814106901947525</c:v>
                </c:pt>
                <c:pt idx="2847">
                  <c:v>0.5681885842277552</c:v>
                </c:pt>
                <c:pt idx="2848">
                  <c:v>0.56824648177644121</c:v>
                </c:pt>
                <c:pt idx="2849">
                  <c:v>0.56834049662666075</c:v>
                </c:pt>
                <c:pt idx="2850">
                  <c:v>0.56844311294116778</c:v>
                </c:pt>
                <c:pt idx="2851">
                  <c:v>0.56859565940521861</c:v>
                </c:pt>
                <c:pt idx="2852">
                  <c:v>0.5693817860674244</c:v>
                </c:pt>
                <c:pt idx="2853">
                  <c:v>0.56963334984811809</c:v>
                </c:pt>
                <c:pt idx="2854">
                  <c:v>0.56963954298043973</c:v>
                </c:pt>
                <c:pt idx="2855">
                  <c:v>0.56990706131819024</c:v>
                </c:pt>
                <c:pt idx="2856">
                  <c:v>0.570103976291648</c:v>
                </c:pt>
                <c:pt idx="2857">
                  <c:v>0.57087953576319705</c:v>
                </c:pt>
                <c:pt idx="2858">
                  <c:v>0.57106988981286122</c:v>
                </c:pt>
                <c:pt idx="2859">
                  <c:v>0.571176019196173</c:v>
                </c:pt>
                <c:pt idx="2860">
                  <c:v>0.57157482484751654</c:v>
                </c:pt>
                <c:pt idx="2861">
                  <c:v>0.57160244995429821</c:v>
                </c:pt>
                <c:pt idx="2862">
                  <c:v>0.57237865009938105</c:v>
                </c:pt>
                <c:pt idx="2863">
                  <c:v>0.57255790618910396</c:v>
                </c:pt>
                <c:pt idx="2864">
                  <c:v>0.57301677679151908</c:v>
                </c:pt>
                <c:pt idx="2865">
                  <c:v>0.57403898958909849</c:v>
                </c:pt>
                <c:pt idx="2866">
                  <c:v>0.57412185861448961</c:v>
                </c:pt>
                <c:pt idx="2867">
                  <c:v>0.57434483296219696</c:v>
                </c:pt>
                <c:pt idx="2868">
                  <c:v>0.57480299146118341</c:v>
                </c:pt>
                <c:pt idx="2869">
                  <c:v>0.57509807521273615</c:v>
                </c:pt>
                <c:pt idx="2870">
                  <c:v>0.57530155756649037</c:v>
                </c:pt>
                <c:pt idx="2871">
                  <c:v>0.57584858040900144</c:v>
                </c:pt>
                <c:pt idx="2872">
                  <c:v>0.57629159590760537</c:v>
                </c:pt>
                <c:pt idx="2873">
                  <c:v>0.57636232711047342</c:v>
                </c:pt>
                <c:pt idx="2874">
                  <c:v>0.57655200786302885</c:v>
                </c:pt>
                <c:pt idx="2875">
                  <c:v>0.5765748212361359</c:v>
                </c:pt>
                <c:pt idx="2876">
                  <c:v>0.57666065352987061</c:v>
                </c:pt>
                <c:pt idx="2877">
                  <c:v>0.57671662182110595</c:v>
                </c:pt>
                <c:pt idx="2878">
                  <c:v>0.57672068249667063</c:v>
                </c:pt>
                <c:pt idx="2879">
                  <c:v>0.57689957459118091</c:v>
                </c:pt>
                <c:pt idx="2880">
                  <c:v>0.57726421457664401</c:v>
                </c:pt>
                <c:pt idx="2881">
                  <c:v>0.57752082402748783</c:v>
                </c:pt>
                <c:pt idx="2882">
                  <c:v>0.57828766620514216</c:v>
                </c:pt>
                <c:pt idx="2883">
                  <c:v>0.57837213110997254</c:v>
                </c:pt>
                <c:pt idx="2884">
                  <c:v>0.57838593924498127</c:v>
                </c:pt>
                <c:pt idx="2885">
                  <c:v>0.57891297095738992</c:v>
                </c:pt>
                <c:pt idx="2886">
                  <c:v>0.57908025400502083</c:v>
                </c:pt>
                <c:pt idx="2887">
                  <c:v>0.57923667211252905</c:v>
                </c:pt>
                <c:pt idx="2888">
                  <c:v>0.57946427618935559</c:v>
                </c:pt>
                <c:pt idx="2889">
                  <c:v>0.57994924127706327</c:v>
                </c:pt>
                <c:pt idx="2890">
                  <c:v>0.58053458867016161</c:v>
                </c:pt>
                <c:pt idx="2891">
                  <c:v>0.58055136655639217</c:v>
                </c:pt>
                <c:pt idx="2892">
                  <c:v>0.58073077735025436</c:v>
                </c:pt>
                <c:pt idx="2893">
                  <c:v>0.58091477986999962</c:v>
                </c:pt>
                <c:pt idx="2894">
                  <c:v>0.58165220560476882</c:v>
                </c:pt>
                <c:pt idx="2895">
                  <c:v>0.58169265030619499</c:v>
                </c:pt>
                <c:pt idx="2896">
                  <c:v>0.58172121656299947</c:v>
                </c:pt>
                <c:pt idx="2897">
                  <c:v>0.58197869852847361</c:v>
                </c:pt>
                <c:pt idx="2898">
                  <c:v>0.58214253178539366</c:v>
                </c:pt>
                <c:pt idx="2899">
                  <c:v>0.58278993685689784</c:v>
                </c:pt>
                <c:pt idx="2900">
                  <c:v>0.58293187230447074</c:v>
                </c:pt>
                <c:pt idx="2901">
                  <c:v>0.58297514402056549</c:v>
                </c:pt>
                <c:pt idx="2902">
                  <c:v>0.58313069428095332</c:v>
                </c:pt>
                <c:pt idx="2903">
                  <c:v>0.58327591138640855</c:v>
                </c:pt>
                <c:pt idx="2904">
                  <c:v>0.58350566048829933</c:v>
                </c:pt>
                <c:pt idx="2905">
                  <c:v>0.58391308364934957</c:v>
                </c:pt>
                <c:pt idx="2906">
                  <c:v>0.58394689856049808</c:v>
                </c:pt>
                <c:pt idx="2907">
                  <c:v>0.58406216361254337</c:v>
                </c:pt>
                <c:pt idx="2908">
                  <c:v>0.58424485067644127</c:v>
                </c:pt>
                <c:pt idx="2909">
                  <c:v>0.58439843873929931</c:v>
                </c:pt>
                <c:pt idx="2910">
                  <c:v>0.5844122098023945</c:v>
                </c:pt>
                <c:pt idx="2911">
                  <c:v>0.58446697913132084</c:v>
                </c:pt>
                <c:pt idx="2912">
                  <c:v>0.58470761919033976</c:v>
                </c:pt>
                <c:pt idx="2913">
                  <c:v>0.58489146145714699</c:v>
                </c:pt>
                <c:pt idx="2914">
                  <c:v>0.58493961633212166</c:v>
                </c:pt>
                <c:pt idx="2915">
                  <c:v>0.58524070083876722</c:v>
                </c:pt>
                <c:pt idx="2916">
                  <c:v>0.58529127045767382</c:v>
                </c:pt>
                <c:pt idx="2917">
                  <c:v>0.58556716435759881</c:v>
                </c:pt>
                <c:pt idx="2918">
                  <c:v>0.58576158259802469</c:v>
                </c:pt>
                <c:pt idx="2919">
                  <c:v>0.58582058319370844</c:v>
                </c:pt>
                <c:pt idx="2920">
                  <c:v>0.58584747906388657</c:v>
                </c:pt>
                <c:pt idx="2921">
                  <c:v>0.58599537513055111</c:v>
                </c:pt>
                <c:pt idx="2922">
                  <c:v>0.5860245366293384</c:v>
                </c:pt>
                <c:pt idx="2923">
                  <c:v>0.58628454395784502</c:v>
                </c:pt>
                <c:pt idx="2924">
                  <c:v>0.58636306774133118</c:v>
                </c:pt>
                <c:pt idx="2925">
                  <c:v>0.5863781033676787</c:v>
                </c:pt>
                <c:pt idx="2926">
                  <c:v>0.5865313050817349</c:v>
                </c:pt>
                <c:pt idx="2927">
                  <c:v>0.58653146702272352</c:v>
                </c:pt>
                <c:pt idx="2928">
                  <c:v>0.58734158754486998</c:v>
                </c:pt>
                <c:pt idx="2929">
                  <c:v>0.58742708308454894</c:v>
                </c:pt>
                <c:pt idx="2930">
                  <c:v>0.58768415267695673</c:v>
                </c:pt>
                <c:pt idx="2931">
                  <c:v>0.5877963095153973</c:v>
                </c:pt>
                <c:pt idx="2932">
                  <c:v>0.58803603400519933</c:v>
                </c:pt>
                <c:pt idx="2933">
                  <c:v>0.58827879981981823</c:v>
                </c:pt>
                <c:pt idx="2934">
                  <c:v>0.58867677885382363</c:v>
                </c:pt>
                <c:pt idx="2935">
                  <c:v>0.58889319717491162</c:v>
                </c:pt>
                <c:pt idx="2936">
                  <c:v>0.58889674614420073</c:v>
                </c:pt>
                <c:pt idx="2937">
                  <c:v>0.5892846630895292</c:v>
                </c:pt>
                <c:pt idx="2938">
                  <c:v>0.58932698080297996</c:v>
                </c:pt>
                <c:pt idx="2939">
                  <c:v>0.5893275664839166</c:v>
                </c:pt>
                <c:pt idx="2940">
                  <c:v>0.58947206539141916</c:v>
                </c:pt>
                <c:pt idx="2941">
                  <c:v>0.58955614351361874</c:v>
                </c:pt>
                <c:pt idx="2942">
                  <c:v>0.58960981535892643</c:v>
                </c:pt>
                <c:pt idx="2943">
                  <c:v>0.58979065918720153</c:v>
                </c:pt>
                <c:pt idx="2944">
                  <c:v>0.58980572207110527</c:v>
                </c:pt>
                <c:pt idx="2945">
                  <c:v>0.58984742242137145</c:v>
                </c:pt>
                <c:pt idx="2946">
                  <c:v>0.59017636327916989</c:v>
                </c:pt>
                <c:pt idx="2947">
                  <c:v>0.59054561421999097</c:v>
                </c:pt>
                <c:pt idx="2948">
                  <c:v>0.59082566124925506</c:v>
                </c:pt>
                <c:pt idx="2949">
                  <c:v>0.59089906575900386</c:v>
                </c:pt>
                <c:pt idx="2950">
                  <c:v>0.59106254714515671</c:v>
                </c:pt>
                <c:pt idx="2951">
                  <c:v>0.59109368553799868</c:v>
                </c:pt>
                <c:pt idx="2952">
                  <c:v>0.59138293353862537</c:v>
                </c:pt>
                <c:pt idx="2953">
                  <c:v>0.59179525888248463</c:v>
                </c:pt>
                <c:pt idx="2954">
                  <c:v>0.59179861192933458</c:v>
                </c:pt>
                <c:pt idx="2955">
                  <c:v>0.59190671482156176</c:v>
                </c:pt>
                <c:pt idx="2956">
                  <c:v>0.59215644241885457</c:v>
                </c:pt>
                <c:pt idx="2957">
                  <c:v>0.59232293324021157</c:v>
                </c:pt>
                <c:pt idx="2958">
                  <c:v>0.59237509711968528</c:v>
                </c:pt>
                <c:pt idx="2959">
                  <c:v>0.59246083159814589</c:v>
                </c:pt>
                <c:pt idx="2960">
                  <c:v>0.5928339207348472</c:v>
                </c:pt>
                <c:pt idx="2961">
                  <c:v>0.59332676066969725</c:v>
                </c:pt>
                <c:pt idx="2962">
                  <c:v>0.59350584230378445</c:v>
                </c:pt>
                <c:pt idx="2963">
                  <c:v>0.59356482031671476</c:v>
                </c:pt>
                <c:pt idx="2964">
                  <c:v>0.59390653266473237</c:v>
                </c:pt>
                <c:pt idx="2965">
                  <c:v>0.59402304426748742</c:v>
                </c:pt>
                <c:pt idx="2966">
                  <c:v>0.59428987804585631</c:v>
                </c:pt>
                <c:pt idx="2967">
                  <c:v>0.59497242162433395</c:v>
                </c:pt>
                <c:pt idx="2968">
                  <c:v>0.59522893056964676</c:v>
                </c:pt>
                <c:pt idx="2969">
                  <c:v>0.59536371135800437</c:v>
                </c:pt>
                <c:pt idx="2970">
                  <c:v>0.5954335507203723</c:v>
                </c:pt>
                <c:pt idx="2971">
                  <c:v>0.59562045381062489</c:v>
                </c:pt>
                <c:pt idx="2972">
                  <c:v>0.5957201425508174</c:v>
                </c:pt>
                <c:pt idx="2973">
                  <c:v>0.59585438346402952</c:v>
                </c:pt>
                <c:pt idx="2974">
                  <c:v>0.59608140811360499</c:v>
                </c:pt>
                <c:pt idx="2975">
                  <c:v>0.59614454850088805</c:v>
                </c:pt>
                <c:pt idx="2976">
                  <c:v>0.5962059639787185</c:v>
                </c:pt>
                <c:pt idx="2977">
                  <c:v>0.59642756427638233</c:v>
                </c:pt>
                <c:pt idx="2978">
                  <c:v>0.59659258708506968</c:v>
                </c:pt>
                <c:pt idx="2979">
                  <c:v>0.59686700824386207</c:v>
                </c:pt>
                <c:pt idx="2980">
                  <c:v>0.59689525342400884</c:v>
                </c:pt>
                <c:pt idx="2981">
                  <c:v>0.59711754604450107</c:v>
                </c:pt>
                <c:pt idx="2982">
                  <c:v>0.59717717380863178</c:v>
                </c:pt>
                <c:pt idx="2983">
                  <c:v>0.59721757601892023</c:v>
                </c:pt>
                <c:pt idx="2984">
                  <c:v>0.5974112122439692</c:v>
                </c:pt>
                <c:pt idx="2985">
                  <c:v>0.59753188959075487</c:v>
                </c:pt>
                <c:pt idx="2986">
                  <c:v>0.59785240416022134</c:v>
                </c:pt>
                <c:pt idx="2987">
                  <c:v>0.59793257002547762</c:v>
                </c:pt>
                <c:pt idx="2988">
                  <c:v>0.5981009512061064</c:v>
                </c:pt>
                <c:pt idx="2989">
                  <c:v>0.59832630666005571</c:v>
                </c:pt>
                <c:pt idx="2990">
                  <c:v>0.59848464782044175</c:v>
                </c:pt>
                <c:pt idx="2991">
                  <c:v>0.59889794493301451</c:v>
                </c:pt>
                <c:pt idx="2992">
                  <c:v>0.59908156900928589</c:v>
                </c:pt>
                <c:pt idx="2993">
                  <c:v>0.59931756589594443</c:v>
                </c:pt>
                <c:pt idx="2994">
                  <c:v>0.59992068616065808</c:v>
                </c:pt>
                <c:pt idx="2995">
                  <c:v>0.60065366425897082</c:v>
                </c:pt>
                <c:pt idx="2996">
                  <c:v>0.60085221146528056</c:v>
                </c:pt>
                <c:pt idx="2997">
                  <c:v>0.60116402828862192</c:v>
                </c:pt>
                <c:pt idx="2998">
                  <c:v>0.60155674170800921</c:v>
                </c:pt>
                <c:pt idx="2999">
                  <c:v>0.60186875034924014</c:v>
                </c:pt>
                <c:pt idx="3000">
                  <c:v>0.60210729025220644</c:v>
                </c:pt>
                <c:pt idx="3001">
                  <c:v>0.60230534098263888</c:v>
                </c:pt>
                <c:pt idx="3002">
                  <c:v>0.60230758240140858</c:v>
                </c:pt>
                <c:pt idx="3003">
                  <c:v>0.60277655341997161</c:v>
                </c:pt>
                <c:pt idx="3004">
                  <c:v>0.60282323854426068</c:v>
                </c:pt>
                <c:pt idx="3005">
                  <c:v>0.60320221052825218</c:v>
                </c:pt>
                <c:pt idx="3006">
                  <c:v>0.60366364486253588</c:v>
                </c:pt>
                <c:pt idx="3007">
                  <c:v>0.6039570086331878</c:v>
                </c:pt>
                <c:pt idx="3008">
                  <c:v>0.60410840360873408</c:v>
                </c:pt>
                <c:pt idx="3009">
                  <c:v>0.60451513439875271</c:v>
                </c:pt>
                <c:pt idx="3010">
                  <c:v>0.60512678585109825</c:v>
                </c:pt>
                <c:pt idx="3011">
                  <c:v>0.60518072668673994</c:v>
                </c:pt>
                <c:pt idx="3012">
                  <c:v>0.6052624509893576</c:v>
                </c:pt>
                <c:pt idx="3013">
                  <c:v>0.60557501536004565</c:v>
                </c:pt>
                <c:pt idx="3014">
                  <c:v>0.60571464400527475</c:v>
                </c:pt>
                <c:pt idx="3015">
                  <c:v>0.60603532188179088</c:v>
                </c:pt>
                <c:pt idx="3016">
                  <c:v>0.60606047788405704</c:v>
                </c:pt>
                <c:pt idx="3017">
                  <c:v>0.60607240068111423</c:v>
                </c:pt>
                <c:pt idx="3018">
                  <c:v>0.60629876075836364</c:v>
                </c:pt>
                <c:pt idx="3019">
                  <c:v>0.60642045097847586</c:v>
                </c:pt>
                <c:pt idx="3020">
                  <c:v>0.60687865801264707</c:v>
                </c:pt>
                <c:pt idx="3021">
                  <c:v>0.60707257372177992</c:v>
                </c:pt>
                <c:pt idx="3022">
                  <c:v>0.60731532655518095</c:v>
                </c:pt>
                <c:pt idx="3023">
                  <c:v>0.60732774499956577</c:v>
                </c:pt>
                <c:pt idx="3024">
                  <c:v>0.60741649959118149</c:v>
                </c:pt>
                <c:pt idx="3025">
                  <c:v>0.60768491498402</c:v>
                </c:pt>
                <c:pt idx="3026">
                  <c:v>0.60817100399799529</c:v>
                </c:pt>
                <c:pt idx="3027">
                  <c:v>0.60851160773017909</c:v>
                </c:pt>
                <c:pt idx="3028">
                  <c:v>0.60873348362565594</c:v>
                </c:pt>
                <c:pt idx="3029">
                  <c:v>0.60927700862976053</c:v>
                </c:pt>
                <c:pt idx="3030">
                  <c:v>0.60932883003715688</c:v>
                </c:pt>
                <c:pt idx="3031">
                  <c:v>0.60936533066796983</c:v>
                </c:pt>
                <c:pt idx="3032">
                  <c:v>0.6099204088877741</c:v>
                </c:pt>
                <c:pt idx="3033">
                  <c:v>0.61029652497472853</c:v>
                </c:pt>
                <c:pt idx="3034">
                  <c:v>0.61074821721740591</c:v>
                </c:pt>
                <c:pt idx="3035">
                  <c:v>0.61097198644347372</c:v>
                </c:pt>
                <c:pt idx="3036">
                  <c:v>0.61113887115880061</c:v>
                </c:pt>
                <c:pt idx="3037">
                  <c:v>0.61150294056960774</c:v>
                </c:pt>
                <c:pt idx="3038">
                  <c:v>0.61156342496178695</c:v>
                </c:pt>
                <c:pt idx="3039">
                  <c:v>0.61164384199582855</c:v>
                </c:pt>
                <c:pt idx="3040">
                  <c:v>0.61191755906475009</c:v>
                </c:pt>
                <c:pt idx="3041">
                  <c:v>0.61196544513313711</c:v>
                </c:pt>
                <c:pt idx="3042">
                  <c:v>0.61210322157876362</c:v>
                </c:pt>
                <c:pt idx="3043">
                  <c:v>0.6121546642634712</c:v>
                </c:pt>
                <c:pt idx="3044">
                  <c:v>0.61241412407525786</c:v>
                </c:pt>
                <c:pt idx="3045">
                  <c:v>0.61246279914303159</c:v>
                </c:pt>
                <c:pt idx="3046">
                  <c:v>0.61251869866373454</c:v>
                </c:pt>
                <c:pt idx="3047">
                  <c:v>0.61270421387416718</c:v>
                </c:pt>
                <c:pt idx="3048">
                  <c:v>0.61352092668312252</c:v>
                </c:pt>
                <c:pt idx="3049">
                  <c:v>0.61354306859539065</c:v>
                </c:pt>
                <c:pt idx="3050">
                  <c:v>0.61360865774076956</c:v>
                </c:pt>
                <c:pt idx="3051">
                  <c:v>0.61367966107630423</c:v>
                </c:pt>
                <c:pt idx="3052">
                  <c:v>0.61375153526660142</c:v>
                </c:pt>
                <c:pt idx="3053">
                  <c:v>0.61389763280021725</c:v>
                </c:pt>
                <c:pt idx="3054">
                  <c:v>0.61404629919252329</c:v>
                </c:pt>
                <c:pt idx="3055">
                  <c:v>0.61429466820027301</c:v>
                </c:pt>
                <c:pt idx="3056">
                  <c:v>0.61484692279100273</c:v>
                </c:pt>
                <c:pt idx="3057">
                  <c:v>0.6152389292483349</c:v>
                </c:pt>
                <c:pt idx="3058">
                  <c:v>0.61532417955550045</c:v>
                </c:pt>
                <c:pt idx="3059">
                  <c:v>0.61554519590390555</c:v>
                </c:pt>
                <c:pt idx="3060">
                  <c:v>0.61607290472602472</c:v>
                </c:pt>
                <c:pt idx="3061">
                  <c:v>0.61633212664946768</c:v>
                </c:pt>
                <c:pt idx="3062">
                  <c:v>0.61669164046907099</c:v>
                </c:pt>
                <c:pt idx="3063">
                  <c:v>0.61676381616143772</c:v>
                </c:pt>
                <c:pt idx="3064">
                  <c:v>0.61686556505719636</c:v>
                </c:pt>
                <c:pt idx="3065">
                  <c:v>0.61709807300849207</c:v>
                </c:pt>
                <c:pt idx="3066">
                  <c:v>0.61736393837782089</c:v>
                </c:pt>
                <c:pt idx="3067">
                  <c:v>0.61755912008629821</c:v>
                </c:pt>
                <c:pt idx="3068">
                  <c:v>0.61756943736418179</c:v>
                </c:pt>
                <c:pt idx="3069">
                  <c:v>0.6177691307857458</c:v>
                </c:pt>
                <c:pt idx="3070">
                  <c:v>0.61785417037754087</c:v>
                </c:pt>
                <c:pt idx="3071">
                  <c:v>0.6182807635559584</c:v>
                </c:pt>
                <c:pt idx="3072">
                  <c:v>0.6183196552328809</c:v>
                </c:pt>
                <c:pt idx="3073">
                  <c:v>0.6198442155828161</c:v>
                </c:pt>
                <c:pt idx="3074">
                  <c:v>0.61989182158868061</c:v>
                </c:pt>
                <c:pt idx="3075">
                  <c:v>0.61992957424808992</c:v>
                </c:pt>
                <c:pt idx="3076">
                  <c:v>0.6201153956244525</c:v>
                </c:pt>
                <c:pt idx="3077">
                  <c:v>0.62046787457802566</c:v>
                </c:pt>
                <c:pt idx="3078">
                  <c:v>0.62047039762273926</c:v>
                </c:pt>
                <c:pt idx="3079">
                  <c:v>0.62080967868132575</c:v>
                </c:pt>
                <c:pt idx="3080">
                  <c:v>0.62090403880756639</c:v>
                </c:pt>
                <c:pt idx="3081">
                  <c:v>0.6210153762713162</c:v>
                </c:pt>
                <c:pt idx="3082">
                  <c:v>0.62102272125412128</c:v>
                </c:pt>
                <c:pt idx="3083">
                  <c:v>0.62103925678457017</c:v>
                </c:pt>
                <c:pt idx="3084">
                  <c:v>0.62111229233141785</c:v>
                </c:pt>
                <c:pt idx="3085">
                  <c:v>0.62125451198335213</c:v>
                </c:pt>
                <c:pt idx="3086">
                  <c:v>0.62145432813667867</c:v>
                </c:pt>
                <c:pt idx="3087">
                  <c:v>0.6216393198028527</c:v>
                </c:pt>
                <c:pt idx="3088">
                  <c:v>0.62192624406179675</c:v>
                </c:pt>
                <c:pt idx="3089">
                  <c:v>0.62196455557023</c:v>
                </c:pt>
                <c:pt idx="3090">
                  <c:v>0.62262412335167028</c:v>
                </c:pt>
                <c:pt idx="3091">
                  <c:v>0.62269398784246732</c:v>
                </c:pt>
                <c:pt idx="3092">
                  <c:v>0.6227340320501753</c:v>
                </c:pt>
                <c:pt idx="3093">
                  <c:v>0.62281854825596383</c:v>
                </c:pt>
                <c:pt idx="3094">
                  <c:v>0.62297589359241101</c:v>
                </c:pt>
                <c:pt idx="3095">
                  <c:v>0.62301675759044883</c:v>
                </c:pt>
                <c:pt idx="3096">
                  <c:v>0.62316090828880988</c:v>
                </c:pt>
                <c:pt idx="3097">
                  <c:v>0.62333146895161917</c:v>
                </c:pt>
                <c:pt idx="3098">
                  <c:v>0.62415727291136136</c:v>
                </c:pt>
                <c:pt idx="3099">
                  <c:v>0.62429920679278439</c:v>
                </c:pt>
                <c:pt idx="3100">
                  <c:v>0.6243491027107666</c:v>
                </c:pt>
                <c:pt idx="3101">
                  <c:v>0.62445480888709426</c:v>
                </c:pt>
                <c:pt idx="3102">
                  <c:v>0.62520805518488487</c:v>
                </c:pt>
                <c:pt idx="3103">
                  <c:v>0.62571847764411359</c:v>
                </c:pt>
                <c:pt idx="3104">
                  <c:v>0.62574004468297062</c:v>
                </c:pt>
                <c:pt idx="3105">
                  <c:v>0.62576897569852008</c:v>
                </c:pt>
                <c:pt idx="3106">
                  <c:v>0.62596664053216955</c:v>
                </c:pt>
                <c:pt idx="3107">
                  <c:v>0.6262317070923018</c:v>
                </c:pt>
                <c:pt idx="3108">
                  <c:v>0.62643631742685102</c:v>
                </c:pt>
                <c:pt idx="3109">
                  <c:v>0.62646783114541904</c:v>
                </c:pt>
                <c:pt idx="3110">
                  <c:v>0.62650408440003957</c:v>
                </c:pt>
                <c:pt idx="3111">
                  <c:v>0.62665571020443167</c:v>
                </c:pt>
                <c:pt idx="3112">
                  <c:v>0.62669920823464054</c:v>
                </c:pt>
                <c:pt idx="3113">
                  <c:v>0.62675430243962182</c:v>
                </c:pt>
                <c:pt idx="3114">
                  <c:v>0.62678935671738145</c:v>
                </c:pt>
                <c:pt idx="3115">
                  <c:v>0.62695257786072034</c:v>
                </c:pt>
                <c:pt idx="3116">
                  <c:v>0.6269932471032007</c:v>
                </c:pt>
                <c:pt idx="3117">
                  <c:v>0.62722564456726104</c:v>
                </c:pt>
                <c:pt idx="3118">
                  <c:v>0.62761605678952037</c:v>
                </c:pt>
                <c:pt idx="3119">
                  <c:v>0.6277251853780399</c:v>
                </c:pt>
                <c:pt idx="3120">
                  <c:v>0.62772593875433813</c:v>
                </c:pt>
                <c:pt idx="3121">
                  <c:v>0.62789276915736991</c:v>
                </c:pt>
                <c:pt idx="3122">
                  <c:v>0.62791765978727199</c:v>
                </c:pt>
                <c:pt idx="3123">
                  <c:v>0.6279904880302638</c:v>
                </c:pt>
                <c:pt idx="3124">
                  <c:v>0.62812414743711997</c:v>
                </c:pt>
                <c:pt idx="3125">
                  <c:v>0.62925557328890136</c:v>
                </c:pt>
                <c:pt idx="3126">
                  <c:v>0.62952193232467835</c:v>
                </c:pt>
                <c:pt idx="3127">
                  <c:v>0.62976563632855687</c:v>
                </c:pt>
                <c:pt idx="3128">
                  <c:v>0.62980946497737023</c:v>
                </c:pt>
                <c:pt idx="3129">
                  <c:v>0.62991097329359036</c:v>
                </c:pt>
                <c:pt idx="3130">
                  <c:v>0.6299552057425899</c:v>
                </c:pt>
                <c:pt idx="3131">
                  <c:v>0.63069531225937681</c:v>
                </c:pt>
                <c:pt idx="3132">
                  <c:v>0.63076245929551078</c:v>
                </c:pt>
                <c:pt idx="3133">
                  <c:v>0.63110813432194846</c:v>
                </c:pt>
                <c:pt idx="3134">
                  <c:v>0.63131767740924261</c:v>
                </c:pt>
                <c:pt idx="3135">
                  <c:v>0.63133818047208479</c:v>
                </c:pt>
                <c:pt idx="3136">
                  <c:v>0.63136188851785846</c:v>
                </c:pt>
                <c:pt idx="3137">
                  <c:v>0.63156996578072722</c:v>
                </c:pt>
                <c:pt idx="3138">
                  <c:v>0.63182321243493789</c:v>
                </c:pt>
                <c:pt idx="3139">
                  <c:v>0.6318489540799419</c:v>
                </c:pt>
                <c:pt idx="3140">
                  <c:v>0.63186066413618391</c:v>
                </c:pt>
                <c:pt idx="3141">
                  <c:v>0.63196938657347346</c:v>
                </c:pt>
                <c:pt idx="3142">
                  <c:v>0.63219810440114088</c:v>
                </c:pt>
                <c:pt idx="3143">
                  <c:v>0.63247889848571504</c:v>
                </c:pt>
                <c:pt idx="3144">
                  <c:v>0.63258754399976169</c:v>
                </c:pt>
                <c:pt idx="3145">
                  <c:v>0.63263987895334139</c:v>
                </c:pt>
                <c:pt idx="3146">
                  <c:v>0.63279102917658747</c:v>
                </c:pt>
                <c:pt idx="3147">
                  <c:v>0.63290249942656374</c:v>
                </c:pt>
                <c:pt idx="3148">
                  <c:v>0.63294569116987986</c:v>
                </c:pt>
                <c:pt idx="3149">
                  <c:v>0.63306114596161933</c:v>
                </c:pt>
                <c:pt idx="3150">
                  <c:v>0.63383854573385179</c:v>
                </c:pt>
                <c:pt idx="3151">
                  <c:v>0.63390036746750411</c:v>
                </c:pt>
                <c:pt idx="3152">
                  <c:v>0.63411344898486277</c:v>
                </c:pt>
                <c:pt idx="3153">
                  <c:v>0.63438332802979858</c:v>
                </c:pt>
                <c:pt idx="3154">
                  <c:v>0.6345869620972735</c:v>
                </c:pt>
                <c:pt idx="3155">
                  <c:v>0.63464478637979482</c:v>
                </c:pt>
                <c:pt idx="3156">
                  <c:v>0.63465695811828482</c:v>
                </c:pt>
                <c:pt idx="3157">
                  <c:v>0.63491058751969831</c:v>
                </c:pt>
                <c:pt idx="3158">
                  <c:v>0.63512231929325935</c:v>
                </c:pt>
                <c:pt idx="3159">
                  <c:v>0.63520139169941103</c:v>
                </c:pt>
                <c:pt idx="3160">
                  <c:v>0.63526238566737447</c:v>
                </c:pt>
                <c:pt idx="3161">
                  <c:v>0.63577432931560907</c:v>
                </c:pt>
                <c:pt idx="3162">
                  <c:v>0.6358955152636554</c:v>
                </c:pt>
                <c:pt idx="3163">
                  <c:v>0.6363138433698623</c:v>
                </c:pt>
                <c:pt idx="3164">
                  <c:v>0.63651786802802235</c:v>
                </c:pt>
                <c:pt idx="3165">
                  <c:v>0.63679028954720707</c:v>
                </c:pt>
                <c:pt idx="3166">
                  <c:v>0.63693436146058957</c:v>
                </c:pt>
                <c:pt idx="3167">
                  <c:v>0.63693852102460369</c:v>
                </c:pt>
                <c:pt idx="3168">
                  <c:v>0.63712413770736021</c:v>
                </c:pt>
                <c:pt idx="3169">
                  <c:v>0.63729670110842562</c:v>
                </c:pt>
                <c:pt idx="3170">
                  <c:v>0.63770069098609383</c:v>
                </c:pt>
                <c:pt idx="3171">
                  <c:v>0.63798038408731372</c:v>
                </c:pt>
                <c:pt idx="3172">
                  <c:v>0.63801607207187772</c:v>
                </c:pt>
                <c:pt idx="3173">
                  <c:v>0.63817315715914447</c:v>
                </c:pt>
                <c:pt idx="3174">
                  <c:v>0.63853359263157472</c:v>
                </c:pt>
                <c:pt idx="3175">
                  <c:v>0.63858585180153682</c:v>
                </c:pt>
                <c:pt idx="3176">
                  <c:v>0.63874647372904292</c:v>
                </c:pt>
                <c:pt idx="3177">
                  <c:v>0.63881002421931044</c:v>
                </c:pt>
                <c:pt idx="3178">
                  <c:v>0.63888384740675974</c:v>
                </c:pt>
                <c:pt idx="3179">
                  <c:v>0.63901752779929666</c:v>
                </c:pt>
                <c:pt idx="3180">
                  <c:v>0.63929971338802716</c:v>
                </c:pt>
                <c:pt idx="3181">
                  <c:v>0.63942694782417675</c:v>
                </c:pt>
                <c:pt idx="3182">
                  <c:v>0.63955580163383274</c:v>
                </c:pt>
                <c:pt idx="3183">
                  <c:v>0.63998945659841411</c:v>
                </c:pt>
                <c:pt idx="3184">
                  <c:v>0.6402969234432021</c:v>
                </c:pt>
                <c:pt idx="3185">
                  <c:v>0.64047898152057314</c:v>
                </c:pt>
                <c:pt idx="3186">
                  <c:v>0.64057296054033941</c:v>
                </c:pt>
                <c:pt idx="3187">
                  <c:v>0.64083377890347037</c:v>
                </c:pt>
                <c:pt idx="3188">
                  <c:v>0.64101324658804515</c:v>
                </c:pt>
                <c:pt idx="3189">
                  <c:v>0.64147075636901718</c:v>
                </c:pt>
                <c:pt idx="3190">
                  <c:v>0.64149120632373524</c:v>
                </c:pt>
                <c:pt idx="3191">
                  <c:v>0.64167263485978765</c:v>
                </c:pt>
                <c:pt idx="3192">
                  <c:v>0.64199257985728764</c:v>
                </c:pt>
                <c:pt idx="3193">
                  <c:v>0.64214554514546762</c:v>
                </c:pt>
                <c:pt idx="3194">
                  <c:v>0.64310449462391261</c:v>
                </c:pt>
                <c:pt idx="3195">
                  <c:v>0.64334876626071491</c:v>
                </c:pt>
                <c:pt idx="3196">
                  <c:v>0.64344323333716602</c:v>
                </c:pt>
                <c:pt idx="3197">
                  <c:v>0.64362932927360816</c:v>
                </c:pt>
                <c:pt idx="3198">
                  <c:v>0.64374598679569317</c:v>
                </c:pt>
                <c:pt idx="3199">
                  <c:v>0.64405194243590813</c:v>
                </c:pt>
                <c:pt idx="3200">
                  <c:v>0.64420463130772987</c:v>
                </c:pt>
                <c:pt idx="3201">
                  <c:v>0.64425793320242519</c:v>
                </c:pt>
                <c:pt idx="3202">
                  <c:v>0.64447204535463243</c:v>
                </c:pt>
                <c:pt idx="3203">
                  <c:v>0.6446496462185678</c:v>
                </c:pt>
                <c:pt idx="3204">
                  <c:v>0.64465555019978638</c:v>
                </c:pt>
                <c:pt idx="3205">
                  <c:v>0.64503515228079777</c:v>
                </c:pt>
                <c:pt idx="3206">
                  <c:v>0.64548706817549828</c:v>
                </c:pt>
                <c:pt idx="3207">
                  <c:v>0.64591756173012982</c:v>
                </c:pt>
                <c:pt idx="3208">
                  <c:v>0.64615604978916963</c:v>
                </c:pt>
                <c:pt idx="3209">
                  <c:v>0.64616829078931914</c:v>
                </c:pt>
                <c:pt idx="3210">
                  <c:v>0.64688354766803968</c:v>
                </c:pt>
                <c:pt idx="3211">
                  <c:v>0.64736693275244761</c:v>
                </c:pt>
                <c:pt idx="3212">
                  <c:v>0.64746505896710005</c:v>
                </c:pt>
                <c:pt idx="3213">
                  <c:v>0.64755538678036828</c:v>
                </c:pt>
                <c:pt idx="3214">
                  <c:v>0.64759983002750232</c:v>
                </c:pt>
                <c:pt idx="3215">
                  <c:v>0.64770088314071472</c:v>
                </c:pt>
                <c:pt idx="3216">
                  <c:v>0.64772331460608257</c:v>
                </c:pt>
                <c:pt idx="3217">
                  <c:v>0.64773695179428614</c:v>
                </c:pt>
                <c:pt idx="3218">
                  <c:v>0.6477392204287753</c:v>
                </c:pt>
                <c:pt idx="3219">
                  <c:v>0.6478640029718008</c:v>
                </c:pt>
                <c:pt idx="3220">
                  <c:v>0.64795228740695165</c:v>
                </c:pt>
                <c:pt idx="3221">
                  <c:v>0.64798381514629</c:v>
                </c:pt>
                <c:pt idx="3222">
                  <c:v>0.64804476138851896</c:v>
                </c:pt>
                <c:pt idx="3223">
                  <c:v>0.6484578935396712</c:v>
                </c:pt>
                <c:pt idx="3224">
                  <c:v>0.64859682673977659</c:v>
                </c:pt>
                <c:pt idx="3225">
                  <c:v>0.64861893097076972</c:v>
                </c:pt>
                <c:pt idx="3226">
                  <c:v>0.64913291339053103</c:v>
                </c:pt>
                <c:pt idx="3227">
                  <c:v>0.64946176553257828</c:v>
                </c:pt>
                <c:pt idx="3228">
                  <c:v>0.64959996666948427</c:v>
                </c:pt>
                <c:pt idx="3229">
                  <c:v>0.64989015861920052</c:v>
                </c:pt>
                <c:pt idx="3230">
                  <c:v>0.65039822784774515</c:v>
                </c:pt>
                <c:pt idx="3231">
                  <c:v>0.6504073712940226</c:v>
                </c:pt>
                <c:pt idx="3232">
                  <c:v>0.65049675598675094</c:v>
                </c:pt>
                <c:pt idx="3233">
                  <c:v>0.65074855756483885</c:v>
                </c:pt>
                <c:pt idx="3234">
                  <c:v>0.65088111836212192</c:v>
                </c:pt>
                <c:pt idx="3235">
                  <c:v>0.65098515291811054</c:v>
                </c:pt>
                <c:pt idx="3236">
                  <c:v>0.65137936515930051</c:v>
                </c:pt>
                <c:pt idx="3237">
                  <c:v>0.65138503103025869</c:v>
                </c:pt>
                <c:pt idx="3238">
                  <c:v>0.65145736999875226</c:v>
                </c:pt>
                <c:pt idx="3239">
                  <c:v>0.65157422166339529</c:v>
                </c:pt>
                <c:pt idx="3240">
                  <c:v>0.65248420831721887</c:v>
                </c:pt>
                <c:pt idx="3241">
                  <c:v>0.65263010006583499</c:v>
                </c:pt>
                <c:pt idx="3242">
                  <c:v>0.65276397989055113</c:v>
                </c:pt>
                <c:pt idx="3243">
                  <c:v>0.65276910530155874</c:v>
                </c:pt>
                <c:pt idx="3244">
                  <c:v>0.65301607678429718</c:v>
                </c:pt>
                <c:pt idx="3245">
                  <c:v>0.65340669229863124</c:v>
                </c:pt>
                <c:pt idx="3246">
                  <c:v>0.65349421946211805</c:v>
                </c:pt>
                <c:pt idx="3247">
                  <c:v>0.65381082470685215</c:v>
                </c:pt>
                <c:pt idx="3248">
                  <c:v>0.65386281361588772</c:v>
                </c:pt>
                <c:pt idx="3249">
                  <c:v>0.65410616579538328</c:v>
                </c:pt>
                <c:pt idx="3250">
                  <c:v>0.65422528525414236</c:v>
                </c:pt>
                <c:pt idx="3251">
                  <c:v>0.65441194724917295</c:v>
                </c:pt>
                <c:pt idx="3252">
                  <c:v>0.6545322368538109</c:v>
                </c:pt>
                <c:pt idx="3253">
                  <c:v>0.65459899641064112</c:v>
                </c:pt>
                <c:pt idx="3254">
                  <c:v>0.65460422031355847</c:v>
                </c:pt>
                <c:pt idx="3255">
                  <c:v>0.65481827878556942</c:v>
                </c:pt>
                <c:pt idx="3256">
                  <c:v>0.65493422199051565</c:v>
                </c:pt>
                <c:pt idx="3257">
                  <c:v>0.65569163183317869</c:v>
                </c:pt>
                <c:pt idx="3258">
                  <c:v>0.65578647204438312</c:v>
                </c:pt>
                <c:pt idx="3259">
                  <c:v>0.65597886653449677</c:v>
                </c:pt>
                <c:pt idx="3260">
                  <c:v>0.6560110690043075</c:v>
                </c:pt>
                <c:pt idx="3261">
                  <c:v>0.65637454684383556</c:v>
                </c:pt>
                <c:pt idx="3262">
                  <c:v>0.65646537432985497</c:v>
                </c:pt>
                <c:pt idx="3263">
                  <c:v>0.65652716817112378</c:v>
                </c:pt>
                <c:pt idx="3264">
                  <c:v>0.65656518874220637</c:v>
                </c:pt>
                <c:pt idx="3265">
                  <c:v>0.65667006982312159</c:v>
                </c:pt>
                <c:pt idx="3266">
                  <c:v>0.65670736382708128</c:v>
                </c:pt>
                <c:pt idx="3267">
                  <c:v>0.65683210726456309</c:v>
                </c:pt>
                <c:pt idx="3268">
                  <c:v>0.65691023690305883</c:v>
                </c:pt>
                <c:pt idx="3269">
                  <c:v>0.65739139548531966</c:v>
                </c:pt>
                <c:pt idx="3270">
                  <c:v>0.65760676363061066</c:v>
                </c:pt>
                <c:pt idx="3271">
                  <c:v>0.65763132970459992</c:v>
                </c:pt>
                <c:pt idx="3272">
                  <c:v>0.6582550242637808</c:v>
                </c:pt>
                <c:pt idx="3273">
                  <c:v>0.65827612490284082</c:v>
                </c:pt>
                <c:pt idx="3274">
                  <c:v>0.65847523592859147</c:v>
                </c:pt>
                <c:pt idx="3275">
                  <c:v>0.65851801518056163</c:v>
                </c:pt>
                <c:pt idx="3276">
                  <c:v>0.65900414916632144</c:v>
                </c:pt>
                <c:pt idx="3277">
                  <c:v>0.65905541584743332</c:v>
                </c:pt>
                <c:pt idx="3278">
                  <c:v>0.6592586517062955</c:v>
                </c:pt>
                <c:pt idx="3279">
                  <c:v>0.65941359172575176</c:v>
                </c:pt>
                <c:pt idx="3280">
                  <c:v>0.65948261230005301</c:v>
                </c:pt>
                <c:pt idx="3281">
                  <c:v>0.65952903248216899</c:v>
                </c:pt>
                <c:pt idx="3282">
                  <c:v>0.65965795291776885</c:v>
                </c:pt>
                <c:pt idx="3283">
                  <c:v>0.66042342002219812</c:v>
                </c:pt>
                <c:pt idx="3284">
                  <c:v>0.66045074560497596</c:v>
                </c:pt>
                <c:pt idx="3285">
                  <c:v>0.66057750704385398</c:v>
                </c:pt>
                <c:pt idx="3286">
                  <c:v>0.66057804650699836</c:v>
                </c:pt>
                <c:pt idx="3287">
                  <c:v>0.66079826659552054</c:v>
                </c:pt>
                <c:pt idx="3288">
                  <c:v>0.66139522202865919</c:v>
                </c:pt>
                <c:pt idx="3289">
                  <c:v>0.66146971323905746</c:v>
                </c:pt>
                <c:pt idx="3290">
                  <c:v>0.66159182863520982</c:v>
                </c:pt>
                <c:pt idx="3291">
                  <c:v>0.66165572250247351</c:v>
                </c:pt>
                <c:pt idx="3292">
                  <c:v>0.6617252462056058</c:v>
                </c:pt>
                <c:pt idx="3293">
                  <c:v>0.66179410058339272</c:v>
                </c:pt>
                <c:pt idx="3294">
                  <c:v>0.6618112349697185</c:v>
                </c:pt>
                <c:pt idx="3295">
                  <c:v>0.66192430656610668</c:v>
                </c:pt>
                <c:pt idx="3296">
                  <c:v>0.66192834887988283</c:v>
                </c:pt>
                <c:pt idx="3297">
                  <c:v>0.66199224897172826</c:v>
                </c:pt>
                <c:pt idx="3298">
                  <c:v>0.66257866512933106</c:v>
                </c:pt>
                <c:pt idx="3299">
                  <c:v>0.66257936052261357</c:v>
                </c:pt>
                <c:pt idx="3300">
                  <c:v>0.66262410115814419</c:v>
                </c:pt>
                <c:pt idx="3301">
                  <c:v>0.6626974215350856</c:v>
                </c:pt>
                <c:pt idx="3302">
                  <c:v>0.66285670671550179</c:v>
                </c:pt>
                <c:pt idx="3303">
                  <c:v>0.66305295171423495</c:v>
                </c:pt>
                <c:pt idx="3304">
                  <c:v>0.66311248219062691</c:v>
                </c:pt>
                <c:pt idx="3305">
                  <c:v>0.66321510097259306</c:v>
                </c:pt>
                <c:pt idx="3306">
                  <c:v>0.66332325046460028</c:v>
                </c:pt>
                <c:pt idx="3307">
                  <c:v>0.66332798704024754</c:v>
                </c:pt>
                <c:pt idx="3308">
                  <c:v>0.66359288280364126</c:v>
                </c:pt>
                <c:pt idx="3309">
                  <c:v>0.66366482811281458</c:v>
                </c:pt>
                <c:pt idx="3310">
                  <c:v>0.66385062380504678</c:v>
                </c:pt>
                <c:pt idx="3311">
                  <c:v>0.66415014307676756</c:v>
                </c:pt>
                <c:pt idx="3312">
                  <c:v>0.66447337684712693</c:v>
                </c:pt>
                <c:pt idx="3313">
                  <c:v>0.6645142525439951</c:v>
                </c:pt>
                <c:pt idx="3314">
                  <c:v>0.66484733605375368</c:v>
                </c:pt>
                <c:pt idx="3315">
                  <c:v>0.66490298920689384</c:v>
                </c:pt>
                <c:pt idx="3316">
                  <c:v>0.66499055333952128</c:v>
                </c:pt>
                <c:pt idx="3317">
                  <c:v>0.66524021526311117</c:v>
                </c:pt>
                <c:pt idx="3318">
                  <c:v>0.66542526905686827</c:v>
                </c:pt>
                <c:pt idx="3319">
                  <c:v>0.66590788730536588</c:v>
                </c:pt>
                <c:pt idx="3320">
                  <c:v>0.66603982642482151</c:v>
                </c:pt>
                <c:pt idx="3321">
                  <c:v>0.6664727321067403</c:v>
                </c:pt>
                <c:pt idx="3322">
                  <c:v>0.6671409506634518</c:v>
                </c:pt>
                <c:pt idx="3323">
                  <c:v>0.66722757898605778</c:v>
                </c:pt>
                <c:pt idx="3324">
                  <c:v>0.66723627929331997</c:v>
                </c:pt>
                <c:pt idx="3325">
                  <c:v>0.66763361521043407</c:v>
                </c:pt>
                <c:pt idx="3326">
                  <c:v>0.66818573606724385</c:v>
                </c:pt>
                <c:pt idx="3327">
                  <c:v>0.6682422263393164</c:v>
                </c:pt>
                <c:pt idx="3328">
                  <c:v>0.66839818042080879</c:v>
                </c:pt>
                <c:pt idx="3329">
                  <c:v>0.66911237305976101</c:v>
                </c:pt>
                <c:pt idx="3330">
                  <c:v>0.66997795155384665</c:v>
                </c:pt>
                <c:pt idx="3331">
                  <c:v>0.67036426187041798</c:v>
                </c:pt>
                <c:pt idx="3332">
                  <c:v>0.67043888290572795</c:v>
                </c:pt>
                <c:pt idx="3333">
                  <c:v>0.67075038497932837</c:v>
                </c:pt>
                <c:pt idx="3334">
                  <c:v>0.67083715259741439</c:v>
                </c:pt>
                <c:pt idx="3335">
                  <c:v>0.67089465689241479</c:v>
                </c:pt>
                <c:pt idx="3336">
                  <c:v>0.67131113992036262</c:v>
                </c:pt>
                <c:pt idx="3337">
                  <c:v>0.67213780099700671</c:v>
                </c:pt>
                <c:pt idx="3338">
                  <c:v>0.67222169228443818</c:v>
                </c:pt>
                <c:pt idx="3339">
                  <c:v>0.67236938104360888</c:v>
                </c:pt>
                <c:pt idx="3340">
                  <c:v>0.67252793982970616</c:v>
                </c:pt>
                <c:pt idx="3341">
                  <c:v>0.67258560350001062</c:v>
                </c:pt>
                <c:pt idx="3342">
                  <c:v>0.67279235125261039</c:v>
                </c:pt>
                <c:pt idx="3343">
                  <c:v>0.67285704667210666</c:v>
                </c:pt>
                <c:pt idx="3344">
                  <c:v>0.67307840692228638</c:v>
                </c:pt>
                <c:pt idx="3345">
                  <c:v>0.67327964884862013</c:v>
                </c:pt>
                <c:pt idx="3346">
                  <c:v>0.67330124401632929</c:v>
                </c:pt>
                <c:pt idx="3347">
                  <c:v>0.67339960150729894</c:v>
                </c:pt>
                <c:pt idx="3348">
                  <c:v>0.67350924400852819</c:v>
                </c:pt>
                <c:pt idx="3349">
                  <c:v>0.67351719187900017</c:v>
                </c:pt>
                <c:pt idx="3350">
                  <c:v>0.67380146206505742</c:v>
                </c:pt>
                <c:pt idx="3351">
                  <c:v>0.67409214671988593</c:v>
                </c:pt>
                <c:pt idx="3352">
                  <c:v>0.67412810524001543</c:v>
                </c:pt>
                <c:pt idx="3353">
                  <c:v>0.67434495077759493</c:v>
                </c:pt>
                <c:pt idx="3354">
                  <c:v>0.67448041779334744</c:v>
                </c:pt>
                <c:pt idx="3355">
                  <c:v>0.67451996536328807</c:v>
                </c:pt>
                <c:pt idx="3356">
                  <c:v>0.67476633263140684</c:v>
                </c:pt>
                <c:pt idx="3357">
                  <c:v>0.67481697899256687</c:v>
                </c:pt>
                <c:pt idx="3358">
                  <c:v>0.67501770144917828</c:v>
                </c:pt>
                <c:pt idx="3359">
                  <c:v>0.6752897981887287</c:v>
                </c:pt>
                <c:pt idx="3360">
                  <c:v>0.67532793561713333</c:v>
                </c:pt>
                <c:pt idx="3361">
                  <c:v>0.67544637790615525</c:v>
                </c:pt>
                <c:pt idx="3362">
                  <c:v>0.67567329160920053</c:v>
                </c:pt>
                <c:pt idx="3363">
                  <c:v>0.67584339306722541</c:v>
                </c:pt>
                <c:pt idx="3364">
                  <c:v>0.67597681022743927</c:v>
                </c:pt>
                <c:pt idx="3365">
                  <c:v>0.67655326340354804</c:v>
                </c:pt>
                <c:pt idx="3366">
                  <c:v>0.67656910956247884</c:v>
                </c:pt>
                <c:pt idx="3367">
                  <c:v>0.67674074035130616</c:v>
                </c:pt>
                <c:pt idx="3368">
                  <c:v>0.67713866000576672</c:v>
                </c:pt>
                <c:pt idx="3369">
                  <c:v>0.67722224155477306</c:v>
                </c:pt>
                <c:pt idx="3370">
                  <c:v>0.67737359015154652</c:v>
                </c:pt>
                <c:pt idx="3371">
                  <c:v>0.67740631094966375</c:v>
                </c:pt>
                <c:pt idx="3372">
                  <c:v>0.67755793866399472</c:v>
                </c:pt>
                <c:pt idx="3373">
                  <c:v>0.67778893947070173</c:v>
                </c:pt>
                <c:pt idx="3374">
                  <c:v>0.67781730974365928</c:v>
                </c:pt>
                <c:pt idx="3375">
                  <c:v>0.67789281382829358</c:v>
                </c:pt>
                <c:pt idx="3376">
                  <c:v>0.67794626365775912</c:v>
                </c:pt>
                <c:pt idx="3377">
                  <c:v>0.67811626782531675</c:v>
                </c:pt>
                <c:pt idx="3378">
                  <c:v>0.67822485513352149</c:v>
                </c:pt>
                <c:pt idx="3379">
                  <c:v>0.67838329125606833</c:v>
                </c:pt>
                <c:pt idx="3380">
                  <c:v>0.67861550025099859</c:v>
                </c:pt>
                <c:pt idx="3381">
                  <c:v>0.67889491305868432</c:v>
                </c:pt>
                <c:pt idx="3382">
                  <c:v>0.67901182076548139</c:v>
                </c:pt>
                <c:pt idx="3383">
                  <c:v>0.67944898215409921</c:v>
                </c:pt>
                <c:pt idx="3384">
                  <c:v>0.6795507792958233</c:v>
                </c:pt>
                <c:pt idx="3385">
                  <c:v>0.67983927376826614</c:v>
                </c:pt>
                <c:pt idx="3386">
                  <c:v>0.67985469387440389</c:v>
                </c:pt>
                <c:pt idx="3387">
                  <c:v>0.68014424998182221</c:v>
                </c:pt>
                <c:pt idx="3388">
                  <c:v>0.68038755207453505</c:v>
                </c:pt>
                <c:pt idx="3389">
                  <c:v>0.68039864510228654</c:v>
                </c:pt>
                <c:pt idx="3390">
                  <c:v>0.6804033474991229</c:v>
                </c:pt>
                <c:pt idx="3391">
                  <c:v>0.68060975640946708</c:v>
                </c:pt>
                <c:pt idx="3392">
                  <c:v>0.68083710928749497</c:v>
                </c:pt>
                <c:pt idx="3393">
                  <c:v>0.68126076761473087</c:v>
                </c:pt>
                <c:pt idx="3394">
                  <c:v>0.68150901758599503</c:v>
                </c:pt>
                <c:pt idx="3395">
                  <c:v>0.68166349469174747</c:v>
                </c:pt>
                <c:pt idx="3396">
                  <c:v>0.68185219875431358</c:v>
                </c:pt>
                <c:pt idx="3397">
                  <c:v>0.68231267893406766</c:v>
                </c:pt>
                <c:pt idx="3398">
                  <c:v>0.68231722715427168</c:v>
                </c:pt>
                <c:pt idx="3399">
                  <c:v>0.68277632320859993</c:v>
                </c:pt>
                <c:pt idx="3400">
                  <c:v>0.68278625411585381</c:v>
                </c:pt>
                <c:pt idx="3401">
                  <c:v>0.68286952617199859</c:v>
                </c:pt>
                <c:pt idx="3402">
                  <c:v>0.68296513024279193</c:v>
                </c:pt>
                <c:pt idx="3403">
                  <c:v>0.68325943929630739</c:v>
                </c:pt>
                <c:pt idx="3404">
                  <c:v>0.68343137837928225</c:v>
                </c:pt>
                <c:pt idx="3405">
                  <c:v>0.68365182971592731</c:v>
                </c:pt>
                <c:pt idx="3406">
                  <c:v>0.68394403601632803</c:v>
                </c:pt>
                <c:pt idx="3407">
                  <c:v>0.68403691788898868</c:v>
                </c:pt>
                <c:pt idx="3408">
                  <c:v>0.6841842635321882</c:v>
                </c:pt>
                <c:pt idx="3409">
                  <c:v>0.68482808350563573</c:v>
                </c:pt>
                <c:pt idx="3410">
                  <c:v>0.68483889193066716</c:v>
                </c:pt>
                <c:pt idx="3411">
                  <c:v>0.68484420645290811</c:v>
                </c:pt>
                <c:pt idx="3412">
                  <c:v>0.68537037335318018</c:v>
                </c:pt>
                <c:pt idx="3413">
                  <c:v>0.68539936023807968</c:v>
                </c:pt>
                <c:pt idx="3414">
                  <c:v>0.685537125645169</c:v>
                </c:pt>
                <c:pt idx="3415">
                  <c:v>0.68555905315406562</c:v>
                </c:pt>
                <c:pt idx="3416">
                  <c:v>0.68600728630190133</c:v>
                </c:pt>
                <c:pt idx="3417">
                  <c:v>0.68623382460009452</c:v>
                </c:pt>
                <c:pt idx="3418">
                  <c:v>0.68636045521816413</c:v>
                </c:pt>
                <c:pt idx="3419">
                  <c:v>0.68675025453558192</c:v>
                </c:pt>
                <c:pt idx="3420">
                  <c:v>0.68678429132705787</c:v>
                </c:pt>
                <c:pt idx="3421">
                  <c:v>0.68694611179671483</c:v>
                </c:pt>
                <c:pt idx="3422">
                  <c:v>0.68699662087965407</c:v>
                </c:pt>
                <c:pt idx="3423">
                  <c:v>0.68702000725443213</c:v>
                </c:pt>
                <c:pt idx="3424">
                  <c:v>0.6873590483019143</c:v>
                </c:pt>
                <c:pt idx="3425">
                  <c:v>0.68741683291136724</c:v>
                </c:pt>
                <c:pt idx="3426">
                  <c:v>0.68749340858630603</c:v>
                </c:pt>
                <c:pt idx="3427">
                  <c:v>0.68771940575607005</c:v>
                </c:pt>
                <c:pt idx="3428">
                  <c:v>0.68804411435939983</c:v>
                </c:pt>
                <c:pt idx="3429">
                  <c:v>0.68804880223979126</c:v>
                </c:pt>
                <c:pt idx="3430">
                  <c:v>0.6883989853267849</c:v>
                </c:pt>
                <c:pt idx="3431">
                  <c:v>0.68882174385180406</c:v>
                </c:pt>
                <c:pt idx="3432">
                  <c:v>0.68883815675326332</c:v>
                </c:pt>
                <c:pt idx="3433">
                  <c:v>0.68887902993174066</c:v>
                </c:pt>
                <c:pt idx="3434">
                  <c:v>0.68914851735371485</c:v>
                </c:pt>
                <c:pt idx="3435">
                  <c:v>0.68920396600788081</c:v>
                </c:pt>
                <c:pt idx="3436">
                  <c:v>0.68945577933936875</c:v>
                </c:pt>
                <c:pt idx="3437">
                  <c:v>0.68979411892451026</c:v>
                </c:pt>
                <c:pt idx="3438">
                  <c:v>0.68997889194452</c:v>
                </c:pt>
                <c:pt idx="3439">
                  <c:v>0.69042808392987354</c:v>
                </c:pt>
                <c:pt idx="3440">
                  <c:v>0.69064133900246816</c:v>
                </c:pt>
                <c:pt idx="3441">
                  <c:v>0.69091848333482631</c:v>
                </c:pt>
                <c:pt idx="3442">
                  <c:v>0.69098356160793628</c:v>
                </c:pt>
                <c:pt idx="3443">
                  <c:v>0.69111853133017576</c:v>
                </c:pt>
                <c:pt idx="3444">
                  <c:v>0.69111860228804289</c:v>
                </c:pt>
                <c:pt idx="3445">
                  <c:v>0.69112810681417614</c:v>
                </c:pt>
                <c:pt idx="3446">
                  <c:v>0.6914946666565811</c:v>
                </c:pt>
                <c:pt idx="3447">
                  <c:v>0.69151853899802518</c:v>
                </c:pt>
                <c:pt idx="3448">
                  <c:v>0.69154357708248426</c:v>
                </c:pt>
                <c:pt idx="3449">
                  <c:v>0.69157229609845672</c:v>
                </c:pt>
                <c:pt idx="3450">
                  <c:v>0.69167530972663371</c:v>
                </c:pt>
                <c:pt idx="3451">
                  <c:v>0.69179366130902054</c:v>
                </c:pt>
                <c:pt idx="3452">
                  <c:v>0.69235585160913615</c:v>
                </c:pt>
                <c:pt idx="3453">
                  <c:v>0.6923644183802935</c:v>
                </c:pt>
                <c:pt idx="3454">
                  <c:v>0.69276381659165054</c:v>
                </c:pt>
                <c:pt idx="3455">
                  <c:v>0.6928392563449961</c:v>
                </c:pt>
                <c:pt idx="3456">
                  <c:v>0.69290233318679384</c:v>
                </c:pt>
                <c:pt idx="3457">
                  <c:v>0.69325109937835805</c:v>
                </c:pt>
                <c:pt idx="3458">
                  <c:v>0.69330161573270743</c:v>
                </c:pt>
                <c:pt idx="3459">
                  <c:v>0.69337717237885954</c:v>
                </c:pt>
                <c:pt idx="3460">
                  <c:v>0.69417652441461541</c:v>
                </c:pt>
                <c:pt idx="3461">
                  <c:v>0.694195290292555</c:v>
                </c:pt>
                <c:pt idx="3462">
                  <c:v>0.69507835375679861</c:v>
                </c:pt>
                <c:pt idx="3463">
                  <c:v>0.69512063243928424</c:v>
                </c:pt>
                <c:pt idx="3464">
                  <c:v>0.69515091428002052</c:v>
                </c:pt>
                <c:pt idx="3465">
                  <c:v>0.69518265140959556</c:v>
                </c:pt>
                <c:pt idx="3466">
                  <c:v>0.69623037955079781</c:v>
                </c:pt>
                <c:pt idx="3467">
                  <c:v>0.69645369751560793</c:v>
                </c:pt>
                <c:pt idx="3468">
                  <c:v>0.69648794534168701</c:v>
                </c:pt>
                <c:pt idx="3469">
                  <c:v>0.69668918426305027</c:v>
                </c:pt>
                <c:pt idx="3470">
                  <c:v>0.69677916121509043</c:v>
                </c:pt>
                <c:pt idx="3471">
                  <c:v>0.69689033047689009</c:v>
                </c:pt>
                <c:pt idx="3472">
                  <c:v>0.6968933575990377</c:v>
                </c:pt>
                <c:pt idx="3473">
                  <c:v>0.69692158797352022</c:v>
                </c:pt>
                <c:pt idx="3474">
                  <c:v>0.69696135983122076</c:v>
                </c:pt>
                <c:pt idx="3475">
                  <c:v>0.69704211598218535</c:v>
                </c:pt>
                <c:pt idx="3476">
                  <c:v>0.69705547538615065</c:v>
                </c:pt>
                <c:pt idx="3477">
                  <c:v>0.69721947634752723</c:v>
                </c:pt>
                <c:pt idx="3478">
                  <c:v>0.69728004024091206</c:v>
                </c:pt>
                <c:pt idx="3479">
                  <c:v>0.69741535246885178</c:v>
                </c:pt>
                <c:pt idx="3480">
                  <c:v>0.6976084525913393</c:v>
                </c:pt>
                <c:pt idx="3481">
                  <c:v>0.69781671776036092</c:v>
                </c:pt>
                <c:pt idx="3482">
                  <c:v>0.6983019817762397</c:v>
                </c:pt>
                <c:pt idx="3483">
                  <c:v>0.69841763319618622</c:v>
                </c:pt>
                <c:pt idx="3484">
                  <c:v>0.69844050657229673</c:v>
                </c:pt>
                <c:pt idx="3485">
                  <c:v>0.69850472417238052</c:v>
                </c:pt>
                <c:pt idx="3486">
                  <c:v>0.69875645892625471</c:v>
                </c:pt>
                <c:pt idx="3487">
                  <c:v>0.69881003897171468</c:v>
                </c:pt>
                <c:pt idx="3488">
                  <c:v>0.69888274178629217</c:v>
                </c:pt>
                <c:pt idx="3489">
                  <c:v>0.69983232012145891</c:v>
                </c:pt>
                <c:pt idx="3490">
                  <c:v>0.70007300268571271</c:v>
                </c:pt>
                <c:pt idx="3491">
                  <c:v>0.70018639126556081</c:v>
                </c:pt>
                <c:pt idx="3492">
                  <c:v>0.70019068715828325</c:v>
                </c:pt>
                <c:pt idx="3493">
                  <c:v>0.70035600674418674</c:v>
                </c:pt>
                <c:pt idx="3494">
                  <c:v>0.7013728373012782</c:v>
                </c:pt>
                <c:pt idx="3495">
                  <c:v>0.70142667024992988</c:v>
                </c:pt>
                <c:pt idx="3496">
                  <c:v>0.70212417747188738</c:v>
                </c:pt>
                <c:pt idx="3497">
                  <c:v>0.70212641607668047</c:v>
                </c:pt>
                <c:pt idx="3498">
                  <c:v>0.70240761957848008</c:v>
                </c:pt>
                <c:pt idx="3499">
                  <c:v>0.70413826791082101</c:v>
                </c:pt>
                <c:pt idx="3500">
                  <c:v>0.70438409838425287</c:v>
                </c:pt>
                <c:pt idx="3501">
                  <c:v>0.70479140809311502</c:v>
                </c:pt>
                <c:pt idx="3502">
                  <c:v>0.7048174634719544</c:v>
                </c:pt>
                <c:pt idx="3503">
                  <c:v>0.70527704830874427</c:v>
                </c:pt>
                <c:pt idx="3504">
                  <c:v>0.70540821948361554</c:v>
                </c:pt>
                <c:pt idx="3505">
                  <c:v>0.70658461708626419</c:v>
                </c:pt>
                <c:pt idx="3506">
                  <c:v>0.70664315361864283</c:v>
                </c:pt>
                <c:pt idx="3507">
                  <c:v>0.70666619492840255</c:v>
                </c:pt>
                <c:pt idx="3508">
                  <c:v>0.70675031278369715</c:v>
                </c:pt>
                <c:pt idx="3509">
                  <c:v>0.70712878158701642</c:v>
                </c:pt>
                <c:pt idx="3510">
                  <c:v>0.70741110368635418</c:v>
                </c:pt>
                <c:pt idx="3511">
                  <c:v>0.70771372992021497</c:v>
                </c:pt>
                <c:pt idx="3512">
                  <c:v>0.70786052718904102</c:v>
                </c:pt>
                <c:pt idx="3513">
                  <c:v>0.70837672546258545</c:v>
                </c:pt>
                <c:pt idx="3514">
                  <c:v>0.70903160448506242</c:v>
                </c:pt>
                <c:pt idx="3515">
                  <c:v>0.70903831780196924</c:v>
                </c:pt>
                <c:pt idx="3516">
                  <c:v>0.70908633589533565</c:v>
                </c:pt>
                <c:pt idx="3517">
                  <c:v>0.70924386945625884</c:v>
                </c:pt>
                <c:pt idx="3518">
                  <c:v>0.71000733518212655</c:v>
                </c:pt>
                <c:pt idx="3519">
                  <c:v>0.71008622953650047</c:v>
                </c:pt>
                <c:pt idx="3520">
                  <c:v>0.71014621844005887</c:v>
                </c:pt>
                <c:pt idx="3521">
                  <c:v>0.71016032572697441</c:v>
                </c:pt>
                <c:pt idx="3522">
                  <c:v>0.71028634896993026</c:v>
                </c:pt>
                <c:pt idx="3523">
                  <c:v>0.71028791116350476</c:v>
                </c:pt>
                <c:pt idx="3524">
                  <c:v>0.71108708111660235</c:v>
                </c:pt>
                <c:pt idx="3525">
                  <c:v>0.71120883173352922</c:v>
                </c:pt>
                <c:pt idx="3526">
                  <c:v>0.71124726800644567</c:v>
                </c:pt>
                <c:pt idx="3527">
                  <c:v>0.71138060766861599</c:v>
                </c:pt>
                <c:pt idx="3528">
                  <c:v>0.71164224236053997</c:v>
                </c:pt>
                <c:pt idx="3529">
                  <c:v>0.71175854335888289</c:v>
                </c:pt>
                <c:pt idx="3530">
                  <c:v>0.71190722894152714</c:v>
                </c:pt>
                <c:pt idx="3531">
                  <c:v>0.71200835958006792</c:v>
                </c:pt>
                <c:pt idx="3532">
                  <c:v>0.71237551145441103</c:v>
                </c:pt>
                <c:pt idx="3533">
                  <c:v>0.71243612599482731</c:v>
                </c:pt>
                <c:pt idx="3534">
                  <c:v>0.71285347845696378</c:v>
                </c:pt>
                <c:pt idx="3535">
                  <c:v>0.71383670238901686</c:v>
                </c:pt>
                <c:pt idx="3536">
                  <c:v>0.71425890188675112</c:v>
                </c:pt>
                <c:pt idx="3537">
                  <c:v>0.71443325173731864</c:v>
                </c:pt>
                <c:pt idx="3538">
                  <c:v>0.71462424791479862</c:v>
                </c:pt>
                <c:pt idx="3539">
                  <c:v>0.71474928570114571</c:v>
                </c:pt>
                <c:pt idx="3540">
                  <c:v>0.71507895079412265</c:v>
                </c:pt>
                <c:pt idx="3541">
                  <c:v>0.71507928063965664</c:v>
                </c:pt>
                <c:pt idx="3542">
                  <c:v>0.71535213695460698</c:v>
                </c:pt>
                <c:pt idx="3543">
                  <c:v>0.71550761983598932</c:v>
                </c:pt>
                <c:pt idx="3544">
                  <c:v>0.71567060775942082</c:v>
                </c:pt>
                <c:pt idx="3545">
                  <c:v>0.71574620380488341</c:v>
                </c:pt>
                <c:pt idx="3546">
                  <c:v>0.71585153932028334</c:v>
                </c:pt>
                <c:pt idx="3547">
                  <c:v>0.7159525301267422</c:v>
                </c:pt>
                <c:pt idx="3548">
                  <c:v>0.71618574826516124</c:v>
                </c:pt>
                <c:pt idx="3549">
                  <c:v>0.71652820621511637</c:v>
                </c:pt>
                <c:pt idx="3550">
                  <c:v>0.71728854733555636</c:v>
                </c:pt>
                <c:pt idx="3551">
                  <c:v>0.71758612774283392</c:v>
                </c:pt>
                <c:pt idx="3552">
                  <c:v>0.71781089492924366</c:v>
                </c:pt>
                <c:pt idx="3553">
                  <c:v>0.71815477181553433</c:v>
                </c:pt>
                <c:pt idx="3554">
                  <c:v>0.71823152974957338</c:v>
                </c:pt>
                <c:pt idx="3555">
                  <c:v>0.71829246228571719</c:v>
                </c:pt>
                <c:pt idx="3556">
                  <c:v>0.71867804637622612</c:v>
                </c:pt>
                <c:pt idx="3557">
                  <c:v>0.71886417629684729</c:v>
                </c:pt>
                <c:pt idx="3558">
                  <c:v>0.71895362996474432</c:v>
                </c:pt>
                <c:pt idx="3559">
                  <c:v>0.71937748293112236</c:v>
                </c:pt>
                <c:pt idx="3560">
                  <c:v>0.71937784989498255</c:v>
                </c:pt>
                <c:pt idx="3561">
                  <c:v>0.71942076539198752</c:v>
                </c:pt>
                <c:pt idx="3562">
                  <c:v>0.71945581678573944</c:v>
                </c:pt>
                <c:pt idx="3563">
                  <c:v>0.71949485433742666</c:v>
                </c:pt>
                <c:pt idx="3564">
                  <c:v>0.71952011343000777</c:v>
                </c:pt>
                <c:pt idx="3565">
                  <c:v>0.72001621429717488</c:v>
                </c:pt>
                <c:pt idx="3566">
                  <c:v>0.72022914824810869</c:v>
                </c:pt>
                <c:pt idx="3567">
                  <c:v>0.72073621185609227</c:v>
                </c:pt>
                <c:pt idx="3568">
                  <c:v>0.72110178851926321</c:v>
                </c:pt>
                <c:pt idx="3569">
                  <c:v>0.72137710026436253</c:v>
                </c:pt>
                <c:pt idx="3570">
                  <c:v>0.72139639527904365</c:v>
                </c:pt>
                <c:pt idx="3571">
                  <c:v>0.72157421646079456</c:v>
                </c:pt>
                <c:pt idx="3572">
                  <c:v>0.72162501484854147</c:v>
                </c:pt>
                <c:pt idx="3573">
                  <c:v>0.72184619156996632</c:v>
                </c:pt>
                <c:pt idx="3574">
                  <c:v>0.72196640110269072</c:v>
                </c:pt>
                <c:pt idx="3575">
                  <c:v>0.72236540599897126</c:v>
                </c:pt>
                <c:pt idx="3576">
                  <c:v>0.72244868031702936</c:v>
                </c:pt>
                <c:pt idx="3577">
                  <c:v>0.72247502978282796</c:v>
                </c:pt>
                <c:pt idx="3578">
                  <c:v>0.72251033412157994</c:v>
                </c:pt>
                <c:pt idx="3579">
                  <c:v>0.72255080676404759</c:v>
                </c:pt>
                <c:pt idx="3580">
                  <c:v>0.72297636645544117</c:v>
                </c:pt>
                <c:pt idx="3581">
                  <c:v>0.72327296350340475</c:v>
                </c:pt>
                <c:pt idx="3582">
                  <c:v>0.72353968459083262</c:v>
                </c:pt>
                <c:pt idx="3583">
                  <c:v>0.72365847544188</c:v>
                </c:pt>
                <c:pt idx="3584">
                  <c:v>0.72409646794221771</c:v>
                </c:pt>
                <c:pt idx="3585">
                  <c:v>0.72425480969286582</c:v>
                </c:pt>
                <c:pt idx="3586">
                  <c:v>0.72433170461954433</c:v>
                </c:pt>
                <c:pt idx="3587">
                  <c:v>0.72456624065944197</c:v>
                </c:pt>
                <c:pt idx="3588">
                  <c:v>0.7247209845463658</c:v>
                </c:pt>
                <c:pt idx="3589">
                  <c:v>0.72485854312435549</c:v>
                </c:pt>
                <c:pt idx="3590">
                  <c:v>0.72500661677804601</c:v>
                </c:pt>
                <c:pt idx="3591">
                  <c:v>0.72510999840505974</c:v>
                </c:pt>
                <c:pt idx="3592">
                  <c:v>0.72524639164112159</c:v>
                </c:pt>
                <c:pt idx="3593">
                  <c:v>0.72543047858835052</c:v>
                </c:pt>
                <c:pt idx="3594">
                  <c:v>0.7258284689651191</c:v>
                </c:pt>
                <c:pt idx="3595">
                  <c:v>0.72583165243122494</c:v>
                </c:pt>
                <c:pt idx="3596">
                  <c:v>0.72599044023900206</c:v>
                </c:pt>
                <c:pt idx="3597">
                  <c:v>0.7260928834148217</c:v>
                </c:pt>
                <c:pt idx="3598">
                  <c:v>0.72623229920372978</c:v>
                </c:pt>
                <c:pt idx="3599">
                  <c:v>0.72639731726758328</c:v>
                </c:pt>
                <c:pt idx="3600">
                  <c:v>0.72670499880587158</c:v>
                </c:pt>
                <c:pt idx="3601">
                  <c:v>0.72692613063463796</c:v>
                </c:pt>
                <c:pt idx="3602">
                  <c:v>0.72730810641769494</c:v>
                </c:pt>
                <c:pt idx="3603">
                  <c:v>0.72759780349770153</c:v>
                </c:pt>
                <c:pt idx="3604">
                  <c:v>0.72776658239672543</c:v>
                </c:pt>
                <c:pt idx="3605">
                  <c:v>0.72808815027113383</c:v>
                </c:pt>
                <c:pt idx="3606">
                  <c:v>0.72813693008902192</c:v>
                </c:pt>
                <c:pt idx="3607">
                  <c:v>0.72814278542318789</c:v>
                </c:pt>
                <c:pt idx="3608">
                  <c:v>0.72898324691686867</c:v>
                </c:pt>
                <c:pt idx="3609">
                  <c:v>0.72919882429687277</c:v>
                </c:pt>
                <c:pt idx="3610">
                  <c:v>0.73008712904538697</c:v>
                </c:pt>
                <c:pt idx="3611">
                  <c:v>0.73013360309232667</c:v>
                </c:pt>
                <c:pt idx="3612">
                  <c:v>0.73017328894638922</c:v>
                </c:pt>
                <c:pt idx="3613">
                  <c:v>0.73024576064381108</c:v>
                </c:pt>
                <c:pt idx="3614">
                  <c:v>0.73038154315690917</c:v>
                </c:pt>
                <c:pt idx="3615">
                  <c:v>0.73038708415333531</c:v>
                </c:pt>
                <c:pt idx="3616">
                  <c:v>0.73044423817191273</c:v>
                </c:pt>
                <c:pt idx="3617">
                  <c:v>0.73053563628220175</c:v>
                </c:pt>
                <c:pt idx="3618">
                  <c:v>0.73071340603564749</c:v>
                </c:pt>
                <c:pt idx="3619">
                  <c:v>0.73076424001465057</c:v>
                </c:pt>
                <c:pt idx="3620">
                  <c:v>0.73100037908261584</c:v>
                </c:pt>
                <c:pt idx="3621">
                  <c:v>0.73141305266562995</c:v>
                </c:pt>
                <c:pt idx="3622">
                  <c:v>0.73142907587043737</c:v>
                </c:pt>
                <c:pt idx="3623">
                  <c:v>0.73147335279736581</c:v>
                </c:pt>
                <c:pt idx="3624">
                  <c:v>0.73159367668813502</c:v>
                </c:pt>
                <c:pt idx="3625">
                  <c:v>0.73160197151264583</c:v>
                </c:pt>
                <c:pt idx="3626">
                  <c:v>0.7317180098980316</c:v>
                </c:pt>
                <c:pt idx="3627">
                  <c:v>0.73181218988702312</c:v>
                </c:pt>
                <c:pt idx="3628">
                  <c:v>0.73186971584527782</c:v>
                </c:pt>
                <c:pt idx="3629">
                  <c:v>0.73188242862306652</c:v>
                </c:pt>
                <c:pt idx="3630">
                  <c:v>0.73201738623629353</c:v>
                </c:pt>
                <c:pt idx="3631">
                  <c:v>0.7324257551726987</c:v>
                </c:pt>
                <c:pt idx="3632">
                  <c:v>0.73268259545329784</c:v>
                </c:pt>
                <c:pt idx="3633">
                  <c:v>0.73277018079079426</c:v>
                </c:pt>
                <c:pt idx="3634">
                  <c:v>0.73315615766841802</c:v>
                </c:pt>
                <c:pt idx="3635">
                  <c:v>0.73327238453839527</c:v>
                </c:pt>
                <c:pt idx="3636">
                  <c:v>0.73329695027041453</c:v>
                </c:pt>
                <c:pt idx="3637">
                  <c:v>0.73358946850476059</c:v>
                </c:pt>
                <c:pt idx="3638">
                  <c:v>0.73361914357064961</c:v>
                </c:pt>
                <c:pt idx="3639">
                  <c:v>0.73391819245352963</c:v>
                </c:pt>
                <c:pt idx="3640">
                  <c:v>0.73405035609539482</c:v>
                </c:pt>
                <c:pt idx="3641">
                  <c:v>0.73420362491197011</c:v>
                </c:pt>
                <c:pt idx="3642">
                  <c:v>0.73447128793350203</c:v>
                </c:pt>
                <c:pt idx="3643">
                  <c:v>0.7347555711021414</c:v>
                </c:pt>
                <c:pt idx="3644">
                  <c:v>0.73478613783208857</c:v>
                </c:pt>
                <c:pt idx="3645">
                  <c:v>0.73488777353941259</c:v>
                </c:pt>
                <c:pt idx="3646">
                  <c:v>0.73506400479618605</c:v>
                </c:pt>
                <c:pt idx="3647">
                  <c:v>0.73510333674130379</c:v>
                </c:pt>
                <c:pt idx="3648">
                  <c:v>0.73525878945929435</c:v>
                </c:pt>
                <c:pt idx="3649">
                  <c:v>0.73534626706532435</c:v>
                </c:pt>
                <c:pt idx="3650">
                  <c:v>0.73551579926424893</c:v>
                </c:pt>
                <c:pt idx="3651">
                  <c:v>0.7355378264473984</c:v>
                </c:pt>
                <c:pt idx="3652">
                  <c:v>0.73563562759227352</c:v>
                </c:pt>
                <c:pt idx="3653">
                  <c:v>0.73605073565795465</c:v>
                </c:pt>
                <c:pt idx="3654">
                  <c:v>0.73640666556002543</c:v>
                </c:pt>
                <c:pt idx="3655">
                  <c:v>0.73642275624661124</c:v>
                </c:pt>
                <c:pt idx="3656">
                  <c:v>0.73691741027596436</c:v>
                </c:pt>
                <c:pt idx="3657">
                  <c:v>0.73705694430555013</c:v>
                </c:pt>
                <c:pt idx="3658">
                  <c:v>0.73747816718241666</c:v>
                </c:pt>
                <c:pt idx="3659">
                  <c:v>0.73754533671854006</c:v>
                </c:pt>
                <c:pt idx="3660">
                  <c:v>0.73779348108382692</c:v>
                </c:pt>
                <c:pt idx="3661">
                  <c:v>0.73785225887968409</c:v>
                </c:pt>
                <c:pt idx="3662">
                  <c:v>0.73786543390542647</c:v>
                </c:pt>
                <c:pt idx="3663">
                  <c:v>0.73794246337365621</c:v>
                </c:pt>
                <c:pt idx="3664">
                  <c:v>0.7380861630617801</c:v>
                </c:pt>
                <c:pt idx="3665">
                  <c:v>0.73821348305500578</c:v>
                </c:pt>
                <c:pt idx="3666">
                  <c:v>0.73827690672442259</c:v>
                </c:pt>
                <c:pt idx="3667">
                  <c:v>0.73842192416213948</c:v>
                </c:pt>
                <c:pt idx="3668">
                  <c:v>0.73844534661839134</c:v>
                </c:pt>
                <c:pt idx="3669">
                  <c:v>0.73847292128903064</c:v>
                </c:pt>
                <c:pt idx="3670">
                  <c:v>0.73850045946619503</c:v>
                </c:pt>
                <c:pt idx="3671">
                  <c:v>0.73891866625763214</c:v>
                </c:pt>
                <c:pt idx="3672">
                  <c:v>0.73913649779842672</c:v>
                </c:pt>
                <c:pt idx="3673">
                  <c:v>0.73982767862435139</c:v>
                </c:pt>
                <c:pt idx="3674">
                  <c:v>0.7403582235065187</c:v>
                </c:pt>
                <c:pt idx="3675">
                  <c:v>0.74062040389617323</c:v>
                </c:pt>
                <c:pt idx="3676">
                  <c:v>0.74064512864515564</c:v>
                </c:pt>
                <c:pt idx="3677">
                  <c:v>0.74066991834388318</c:v>
                </c:pt>
                <c:pt idx="3678">
                  <c:v>0.7407114522811753</c:v>
                </c:pt>
                <c:pt idx="3679">
                  <c:v>0.74073192643754737</c:v>
                </c:pt>
                <c:pt idx="3680">
                  <c:v>0.74078683495372388</c:v>
                </c:pt>
                <c:pt idx="3681">
                  <c:v>0.7409189407244412</c:v>
                </c:pt>
                <c:pt idx="3682">
                  <c:v>0.74103433229447546</c:v>
                </c:pt>
                <c:pt idx="3683">
                  <c:v>0.7410739430324611</c:v>
                </c:pt>
                <c:pt idx="3684">
                  <c:v>0.74132603082398418</c:v>
                </c:pt>
                <c:pt idx="3685">
                  <c:v>0.74136303073009913</c:v>
                </c:pt>
                <c:pt idx="3686">
                  <c:v>0.74164930265487783</c:v>
                </c:pt>
                <c:pt idx="3687">
                  <c:v>0.74167619005220331</c:v>
                </c:pt>
                <c:pt idx="3688">
                  <c:v>0.74173692475596908</c:v>
                </c:pt>
                <c:pt idx="3689">
                  <c:v>0.74177543063342455</c:v>
                </c:pt>
                <c:pt idx="3690">
                  <c:v>0.74188179806060361</c:v>
                </c:pt>
                <c:pt idx="3691">
                  <c:v>0.74276013818689535</c:v>
                </c:pt>
                <c:pt idx="3692">
                  <c:v>0.74307724597747438</c:v>
                </c:pt>
                <c:pt idx="3693">
                  <c:v>0.74314524428882578</c:v>
                </c:pt>
                <c:pt idx="3694">
                  <c:v>0.74334839212042425</c:v>
                </c:pt>
                <c:pt idx="3695">
                  <c:v>0.74364377361598599</c:v>
                </c:pt>
                <c:pt idx="3696">
                  <c:v>0.74380411408674263</c:v>
                </c:pt>
                <c:pt idx="3697">
                  <c:v>0.74405213413592719</c:v>
                </c:pt>
                <c:pt idx="3698">
                  <c:v>0.74421441122285614</c:v>
                </c:pt>
                <c:pt idx="3699">
                  <c:v>0.74440481771398481</c:v>
                </c:pt>
                <c:pt idx="3700">
                  <c:v>0.74448492180272297</c:v>
                </c:pt>
                <c:pt idx="3701">
                  <c:v>0.74451022384982934</c:v>
                </c:pt>
                <c:pt idx="3702">
                  <c:v>0.74485913836178952</c:v>
                </c:pt>
                <c:pt idx="3703">
                  <c:v>0.74507758731397189</c:v>
                </c:pt>
                <c:pt idx="3704">
                  <c:v>0.74537462047010195</c:v>
                </c:pt>
                <c:pt idx="3705">
                  <c:v>0.74539486452158599</c:v>
                </c:pt>
                <c:pt idx="3706">
                  <c:v>0.74549130550258269</c:v>
                </c:pt>
                <c:pt idx="3707">
                  <c:v>0.7458966983067512</c:v>
                </c:pt>
                <c:pt idx="3708">
                  <c:v>0.74607314284730819</c:v>
                </c:pt>
                <c:pt idx="3709">
                  <c:v>0.74621106872564269</c:v>
                </c:pt>
                <c:pt idx="3710">
                  <c:v>0.746420302453771</c:v>
                </c:pt>
                <c:pt idx="3711">
                  <c:v>0.74664819065765187</c:v>
                </c:pt>
                <c:pt idx="3712">
                  <c:v>0.74682650105933135</c:v>
                </c:pt>
                <c:pt idx="3713">
                  <c:v>0.74682862949066475</c:v>
                </c:pt>
                <c:pt idx="3714">
                  <c:v>0.74743922446670652</c:v>
                </c:pt>
                <c:pt idx="3715">
                  <c:v>0.74771378420246037</c:v>
                </c:pt>
                <c:pt idx="3716">
                  <c:v>0.74774000435172638</c:v>
                </c:pt>
                <c:pt idx="3717">
                  <c:v>0.74775105163644184</c:v>
                </c:pt>
                <c:pt idx="3718">
                  <c:v>0.74776940959600324</c:v>
                </c:pt>
                <c:pt idx="3719">
                  <c:v>0.74785678930675203</c:v>
                </c:pt>
                <c:pt idx="3720">
                  <c:v>0.74788369920770492</c:v>
                </c:pt>
                <c:pt idx="3721">
                  <c:v>0.74823986256114949</c:v>
                </c:pt>
                <c:pt idx="3722">
                  <c:v>0.74826623458102404</c:v>
                </c:pt>
                <c:pt idx="3723">
                  <c:v>0.74829718374076037</c:v>
                </c:pt>
                <c:pt idx="3724">
                  <c:v>0.74836533816414885</c:v>
                </c:pt>
                <c:pt idx="3725">
                  <c:v>0.74860699726013991</c:v>
                </c:pt>
                <c:pt idx="3726">
                  <c:v>0.7492220307876778</c:v>
                </c:pt>
                <c:pt idx="3727">
                  <c:v>0.74956709623074858</c:v>
                </c:pt>
                <c:pt idx="3728">
                  <c:v>0.75023815434724384</c:v>
                </c:pt>
                <c:pt idx="3729">
                  <c:v>0.75035119142194162</c:v>
                </c:pt>
                <c:pt idx="3730">
                  <c:v>0.75051992744556628</c:v>
                </c:pt>
                <c:pt idx="3731">
                  <c:v>0.75076856513442181</c:v>
                </c:pt>
                <c:pt idx="3732">
                  <c:v>0.75151030947381514</c:v>
                </c:pt>
                <c:pt idx="3733">
                  <c:v>0.75154745237523457</c:v>
                </c:pt>
                <c:pt idx="3734">
                  <c:v>0.75169046103201254</c:v>
                </c:pt>
                <c:pt idx="3735">
                  <c:v>0.75185345805039105</c:v>
                </c:pt>
                <c:pt idx="3736">
                  <c:v>0.75220046136064411</c:v>
                </c:pt>
                <c:pt idx="3737">
                  <c:v>0.75220107694167382</c:v>
                </c:pt>
                <c:pt idx="3738">
                  <c:v>0.75221285564657592</c:v>
                </c:pt>
                <c:pt idx="3739">
                  <c:v>0.75248331990314909</c:v>
                </c:pt>
                <c:pt idx="3740">
                  <c:v>0.75258039601521887</c:v>
                </c:pt>
                <c:pt idx="3741">
                  <c:v>0.75265095687700523</c:v>
                </c:pt>
                <c:pt idx="3742">
                  <c:v>0.75289125261861045</c:v>
                </c:pt>
                <c:pt idx="3743">
                  <c:v>0.75289352012532618</c:v>
                </c:pt>
                <c:pt idx="3744">
                  <c:v>0.75291186128197296</c:v>
                </c:pt>
                <c:pt idx="3745">
                  <c:v>0.75295228742743348</c:v>
                </c:pt>
                <c:pt idx="3746">
                  <c:v>0.75312790411499009</c:v>
                </c:pt>
                <c:pt idx="3747">
                  <c:v>0.75328054747842543</c:v>
                </c:pt>
                <c:pt idx="3748">
                  <c:v>0.75362739506454091</c:v>
                </c:pt>
                <c:pt idx="3749">
                  <c:v>0.75368944583533448</c:v>
                </c:pt>
                <c:pt idx="3750">
                  <c:v>0.7538527219385287</c:v>
                </c:pt>
                <c:pt idx="3751">
                  <c:v>0.75397384395546396</c:v>
                </c:pt>
                <c:pt idx="3752">
                  <c:v>0.75458175123549154</c:v>
                </c:pt>
                <c:pt idx="3753">
                  <c:v>0.75465417069972318</c:v>
                </c:pt>
                <c:pt idx="3754">
                  <c:v>0.75470550917270884</c:v>
                </c:pt>
                <c:pt idx="3755">
                  <c:v>0.75491745504587016</c:v>
                </c:pt>
                <c:pt idx="3756">
                  <c:v>0.75496183971426944</c:v>
                </c:pt>
                <c:pt idx="3757">
                  <c:v>0.75498525111834169</c:v>
                </c:pt>
                <c:pt idx="3758">
                  <c:v>0.75498993326709751</c:v>
                </c:pt>
                <c:pt idx="3759">
                  <c:v>0.75501451008403819</c:v>
                </c:pt>
                <c:pt idx="3760">
                  <c:v>0.75518134317280783</c:v>
                </c:pt>
                <c:pt idx="3761">
                  <c:v>0.75520683086597273</c:v>
                </c:pt>
                <c:pt idx="3762">
                  <c:v>0.75522892182925716</c:v>
                </c:pt>
                <c:pt idx="3763">
                  <c:v>0.75530526923284924</c:v>
                </c:pt>
                <c:pt idx="3764">
                  <c:v>0.75531331081310782</c:v>
                </c:pt>
                <c:pt idx="3765">
                  <c:v>0.75531519559081062</c:v>
                </c:pt>
                <c:pt idx="3766">
                  <c:v>0.75532082624249597</c:v>
                </c:pt>
                <c:pt idx="3767">
                  <c:v>0.75533788320717576</c:v>
                </c:pt>
                <c:pt idx="3768">
                  <c:v>0.75576526189342985</c:v>
                </c:pt>
                <c:pt idx="3769">
                  <c:v>0.75582380036121322</c:v>
                </c:pt>
                <c:pt idx="3770">
                  <c:v>0.75596857755499514</c:v>
                </c:pt>
                <c:pt idx="3771">
                  <c:v>0.75613261832222634</c:v>
                </c:pt>
                <c:pt idx="3772">
                  <c:v>0.75622236134495324</c:v>
                </c:pt>
                <c:pt idx="3773">
                  <c:v>0.75647357824527717</c:v>
                </c:pt>
                <c:pt idx="3774">
                  <c:v>0.75648464697587769</c:v>
                </c:pt>
                <c:pt idx="3775">
                  <c:v>0.75684413262388262</c:v>
                </c:pt>
                <c:pt idx="3776">
                  <c:v>0.7568710007080881</c:v>
                </c:pt>
                <c:pt idx="3777">
                  <c:v>0.75761489207798149</c:v>
                </c:pt>
                <c:pt idx="3778">
                  <c:v>0.75814369545241789</c:v>
                </c:pt>
                <c:pt idx="3779">
                  <c:v>0.75820542937981372</c:v>
                </c:pt>
                <c:pt idx="3780">
                  <c:v>0.75866497508286557</c:v>
                </c:pt>
                <c:pt idx="3781">
                  <c:v>0.7589761227973213</c:v>
                </c:pt>
                <c:pt idx="3782">
                  <c:v>0.75922390276809892</c:v>
                </c:pt>
                <c:pt idx="3783">
                  <c:v>0.75928454257064004</c:v>
                </c:pt>
                <c:pt idx="3784">
                  <c:v>0.75945945544935967</c:v>
                </c:pt>
                <c:pt idx="3785">
                  <c:v>0.7595158092553902</c:v>
                </c:pt>
                <c:pt idx="3786">
                  <c:v>0.75996182349535957</c:v>
                </c:pt>
                <c:pt idx="3787">
                  <c:v>0.75996989958275663</c:v>
                </c:pt>
                <c:pt idx="3788">
                  <c:v>0.76007727520754997</c:v>
                </c:pt>
                <c:pt idx="3789">
                  <c:v>0.76008039494172408</c:v>
                </c:pt>
                <c:pt idx="3790">
                  <c:v>0.76037375847408839</c:v>
                </c:pt>
                <c:pt idx="3791">
                  <c:v>0.76049666803373839</c:v>
                </c:pt>
                <c:pt idx="3792">
                  <c:v>0.76080733307298942</c:v>
                </c:pt>
                <c:pt idx="3793">
                  <c:v>0.7608380022475103</c:v>
                </c:pt>
                <c:pt idx="3794">
                  <c:v>0.76166952358016715</c:v>
                </c:pt>
                <c:pt idx="3795">
                  <c:v>0.76171877205706551</c:v>
                </c:pt>
                <c:pt idx="3796">
                  <c:v>0.76186305495320994</c:v>
                </c:pt>
                <c:pt idx="3797">
                  <c:v>0.76214592164342321</c:v>
                </c:pt>
                <c:pt idx="3798">
                  <c:v>0.76220971803104476</c:v>
                </c:pt>
                <c:pt idx="3799">
                  <c:v>0.76238812446081283</c:v>
                </c:pt>
                <c:pt idx="3800">
                  <c:v>0.76256158882006275</c:v>
                </c:pt>
                <c:pt idx="3801">
                  <c:v>0.76289744588029862</c:v>
                </c:pt>
                <c:pt idx="3802">
                  <c:v>0.76293088315924251</c:v>
                </c:pt>
                <c:pt idx="3803">
                  <c:v>0.76302257577481214</c:v>
                </c:pt>
                <c:pt idx="3804">
                  <c:v>0.7631528563097163</c:v>
                </c:pt>
                <c:pt idx="3805">
                  <c:v>0.76351387819795491</c:v>
                </c:pt>
                <c:pt idx="3806">
                  <c:v>0.76418885739440157</c:v>
                </c:pt>
                <c:pt idx="3807">
                  <c:v>0.76434075100405607</c:v>
                </c:pt>
                <c:pt idx="3808">
                  <c:v>0.76465209735397366</c:v>
                </c:pt>
                <c:pt idx="3809">
                  <c:v>0.76514676543592941</c:v>
                </c:pt>
                <c:pt idx="3810">
                  <c:v>0.76528382404376316</c:v>
                </c:pt>
                <c:pt idx="3811">
                  <c:v>0.76540862925867259</c:v>
                </c:pt>
                <c:pt idx="3812">
                  <c:v>0.76547507286704786</c:v>
                </c:pt>
                <c:pt idx="3813">
                  <c:v>0.76549479149525723</c:v>
                </c:pt>
                <c:pt idx="3814">
                  <c:v>0.76567726925532043</c:v>
                </c:pt>
                <c:pt idx="3815">
                  <c:v>0.76582884211347846</c:v>
                </c:pt>
                <c:pt idx="3816">
                  <c:v>0.7658984022682489</c:v>
                </c:pt>
                <c:pt idx="3817">
                  <c:v>0.76610798361798516</c:v>
                </c:pt>
                <c:pt idx="3818">
                  <c:v>0.76651005627081759</c:v>
                </c:pt>
                <c:pt idx="3819">
                  <c:v>0.76663006896342267</c:v>
                </c:pt>
                <c:pt idx="3820">
                  <c:v>0.76671000886199181</c:v>
                </c:pt>
                <c:pt idx="3821">
                  <c:v>0.76694435520403204</c:v>
                </c:pt>
                <c:pt idx="3822">
                  <c:v>0.76704524040997057</c:v>
                </c:pt>
                <c:pt idx="3823">
                  <c:v>0.76737729078467964</c:v>
                </c:pt>
                <c:pt idx="3824">
                  <c:v>0.76753290354645287</c:v>
                </c:pt>
                <c:pt idx="3825">
                  <c:v>0.7682098081568256</c:v>
                </c:pt>
                <c:pt idx="3826">
                  <c:v>0.76822643784271349</c:v>
                </c:pt>
                <c:pt idx="3827">
                  <c:v>0.76840715266462212</c:v>
                </c:pt>
                <c:pt idx="3828">
                  <c:v>0.76927048415836907</c:v>
                </c:pt>
                <c:pt idx="3829">
                  <c:v>0.7699153129806291</c:v>
                </c:pt>
                <c:pt idx="3830">
                  <c:v>0.77021547465938056</c:v>
                </c:pt>
                <c:pt idx="3831">
                  <c:v>0.77046584714025812</c:v>
                </c:pt>
                <c:pt idx="3832">
                  <c:v>0.77067927811276604</c:v>
                </c:pt>
                <c:pt idx="3833">
                  <c:v>0.77072505661089963</c:v>
                </c:pt>
                <c:pt idx="3834">
                  <c:v>0.77120013589592418</c:v>
                </c:pt>
                <c:pt idx="3835">
                  <c:v>0.77139522134893923</c:v>
                </c:pt>
                <c:pt idx="3836">
                  <c:v>0.77158892945044499</c:v>
                </c:pt>
                <c:pt idx="3837">
                  <c:v>0.77166560417663277</c:v>
                </c:pt>
                <c:pt idx="3838">
                  <c:v>0.77176604482610855</c:v>
                </c:pt>
                <c:pt idx="3839">
                  <c:v>0.77180531641170091</c:v>
                </c:pt>
                <c:pt idx="3840">
                  <c:v>0.77223259817401413</c:v>
                </c:pt>
                <c:pt idx="3841">
                  <c:v>0.77242809677409241</c:v>
                </c:pt>
                <c:pt idx="3842">
                  <c:v>0.77266757965571742</c:v>
                </c:pt>
                <c:pt idx="3843">
                  <c:v>0.77274794820823445</c:v>
                </c:pt>
                <c:pt idx="3844">
                  <c:v>0.77279062917841657</c:v>
                </c:pt>
                <c:pt idx="3845">
                  <c:v>0.77312738787622948</c:v>
                </c:pt>
                <c:pt idx="3846">
                  <c:v>0.77317304916778085</c:v>
                </c:pt>
                <c:pt idx="3847">
                  <c:v>0.77319913989776978</c:v>
                </c:pt>
                <c:pt idx="3848">
                  <c:v>0.77342275408591377</c:v>
                </c:pt>
                <c:pt idx="3849">
                  <c:v>0.77344200273637398</c:v>
                </c:pt>
                <c:pt idx="3850">
                  <c:v>0.77376866182567028</c:v>
                </c:pt>
                <c:pt idx="3851">
                  <c:v>0.77377583752604551</c:v>
                </c:pt>
                <c:pt idx="3852">
                  <c:v>0.77378907536240149</c:v>
                </c:pt>
                <c:pt idx="3853">
                  <c:v>0.77418455619320525</c:v>
                </c:pt>
                <c:pt idx="3854">
                  <c:v>0.77483196526554821</c:v>
                </c:pt>
                <c:pt idx="3855">
                  <c:v>0.77489471824267753</c:v>
                </c:pt>
                <c:pt idx="3856">
                  <c:v>0.77523585486915181</c:v>
                </c:pt>
                <c:pt idx="3857">
                  <c:v>0.77564759318011056</c:v>
                </c:pt>
                <c:pt idx="3858">
                  <c:v>0.77603293088031933</c:v>
                </c:pt>
                <c:pt idx="3859">
                  <c:v>0.7769954157729444</c:v>
                </c:pt>
                <c:pt idx="3860">
                  <c:v>0.77735503414714913</c:v>
                </c:pt>
                <c:pt idx="3861">
                  <c:v>0.77755773671015049</c:v>
                </c:pt>
                <c:pt idx="3862">
                  <c:v>0.77756286055500823</c:v>
                </c:pt>
                <c:pt idx="3863">
                  <c:v>0.77761261777050095</c:v>
                </c:pt>
                <c:pt idx="3864">
                  <c:v>0.77779003248269873</c:v>
                </c:pt>
                <c:pt idx="3865">
                  <c:v>0.77820413403969724</c:v>
                </c:pt>
                <c:pt idx="3866">
                  <c:v>0.77847245286920952</c:v>
                </c:pt>
                <c:pt idx="3867">
                  <c:v>0.77875466294972284</c:v>
                </c:pt>
                <c:pt idx="3868">
                  <c:v>0.7795428644230924</c:v>
                </c:pt>
                <c:pt idx="3869">
                  <c:v>0.7796802039101749</c:v>
                </c:pt>
                <c:pt idx="3870">
                  <c:v>0.78077918538201629</c:v>
                </c:pt>
                <c:pt idx="3871">
                  <c:v>0.78087622174462012</c:v>
                </c:pt>
                <c:pt idx="3872">
                  <c:v>0.78088553330962895</c:v>
                </c:pt>
                <c:pt idx="3873">
                  <c:v>0.78096616030779842</c:v>
                </c:pt>
                <c:pt idx="3874">
                  <c:v>0.78098578360368265</c:v>
                </c:pt>
                <c:pt idx="3875">
                  <c:v>0.7813111948180449</c:v>
                </c:pt>
                <c:pt idx="3876">
                  <c:v>0.78189674671716602</c:v>
                </c:pt>
                <c:pt idx="3877">
                  <c:v>0.78204687405741424</c:v>
                </c:pt>
                <c:pt idx="3878">
                  <c:v>0.78209427279489319</c:v>
                </c:pt>
                <c:pt idx="3879">
                  <c:v>0.78235572421272082</c:v>
                </c:pt>
                <c:pt idx="3880">
                  <c:v>0.78283246290993702</c:v>
                </c:pt>
                <c:pt idx="3881">
                  <c:v>0.7830225908301145</c:v>
                </c:pt>
                <c:pt idx="3882">
                  <c:v>0.78303907683948637</c:v>
                </c:pt>
                <c:pt idx="3883">
                  <c:v>0.783399599364202</c:v>
                </c:pt>
                <c:pt idx="3884">
                  <c:v>0.78359392833681341</c:v>
                </c:pt>
                <c:pt idx="3885">
                  <c:v>0.78368751094694744</c:v>
                </c:pt>
                <c:pt idx="3886">
                  <c:v>0.78421278231417091</c:v>
                </c:pt>
                <c:pt idx="3887">
                  <c:v>0.78498044653770194</c:v>
                </c:pt>
                <c:pt idx="3888">
                  <c:v>0.78527206249464143</c:v>
                </c:pt>
                <c:pt idx="3889">
                  <c:v>0.78533471484024631</c:v>
                </c:pt>
                <c:pt idx="3890">
                  <c:v>0.78552590161598346</c:v>
                </c:pt>
                <c:pt idx="3891">
                  <c:v>0.78586016905865108</c:v>
                </c:pt>
                <c:pt idx="3892">
                  <c:v>0.78605676230563404</c:v>
                </c:pt>
                <c:pt idx="3893">
                  <c:v>0.78622296661160362</c:v>
                </c:pt>
                <c:pt idx="3894">
                  <c:v>0.78638052758105914</c:v>
                </c:pt>
                <c:pt idx="3895">
                  <c:v>0.78659157601850893</c:v>
                </c:pt>
                <c:pt idx="3896">
                  <c:v>0.78696501590002299</c:v>
                </c:pt>
                <c:pt idx="3897">
                  <c:v>0.78725346983355848</c:v>
                </c:pt>
                <c:pt idx="3898">
                  <c:v>0.78746095725546184</c:v>
                </c:pt>
                <c:pt idx="3899">
                  <c:v>0.787677268558582</c:v>
                </c:pt>
                <c:pt idx="3900">
                  <c:v>0.78769972556438006</c:v>
                </c:pt>
                <c:pt idx="3901">
                  <c:v>0.78782517739819014</c:v>
                </c:pt>
                <c:pt idx="3902">
                  <c:v>0.78788314497796819</c:v>
                </c:pt>
                <c:pt idx="3903">
                  <c:v>0.78796333972240973</c:v>
                </c:pt>
                <c:pt idx="3904">
                  <c:v>0.78805688534339424</c:v>
                </c:pt>
                <c:pt idx="3905">
                  <c:v>0.78810779385457863</c:v>
                </c:pt>
                <c:pt idx="3906">
                  <c:v>0.7881213583496276</c:v>
                </c:pt>
                <c:pt idx="3907">
                  <c:v>0.7883228425453126</c:v>
                </c:pt>
                <c:pt idx="3908">
                  <c:v>0.78868920563309075</c:v>
                </c:pt>
                <c:pt idx="3909">
                  <c:v>0.78874081410685903</c:v>
                </c:pt>
                <c:pt idx="3910">
                  <c:v>0.78879303590292693</c:v>
                </c:pt>
                <c:pt idx="3911">
                  <c:v>0.78883239377864811</c:v>
                </c:pt>
                <c:pt idx="3912">
                  <c:v>0.78883542422317987</c:v>
                </c:pt>
                <c:pt idx="3913">
                  <c:v>0.78944332406990725</c:v>
                </c:pt>
                <c:pt idx="3914">
                  <c:v>0.78975485397859302</c:v>
                </c:pt>
                <c:pt idx="3915">
                  <c:v>0.78988452568592038</c:v>
                </c:pt>
                <c:pt idx="3916">
                  <c:v>0.79050286719302676</c:v>
                </c:pt>
                <c:pt idx="3917">
                  <c:v>0.79080882229027338</c:v>
                </c:pt>
                <c:pt idx="3918">
                  <c:v>0.79084429593967798</c:v>
                </c:pt>
                <c:pt idx="3919">
                  <c:v>0.79087389709184208</c:v>
                </c:pt>
                <c:pt idx="3920">
                  <c:v>0.79102187754233455</c:v>
                </c:pt>
                <c:pt idx="3921">
                  <c:v>0.79123538397107041</c:v>
                </c:pt>
                <c:pt idx="3922">
                  <c:v>0.79140741468927445</c:v>
                </c:pt>
                <c:pt idx="3923">
                  <c:v>0.79141643979892251</c:v>
                </c:pt>
                <c:pt idx="3924">
                  <c:v>0.79171308463355672</c:v>
                </c:pt>
                <c:pt idx="3925">
                  <c:v>0.79189878964736526</c:v>
                </c:pt>
                <c:pt idx="3926">
                  <c:v>0.7925915372234158</c:v>
                </c:pt>
                <c:pt idx="3927">
                  <c:v>0.79326669392867188</c:v>
                </c:pt>
                <c:pt idx="3928">
                  <c:v>0.7932945224119976</c:v>
                </c:pt>
                <c:pt idx="3929">
                  <c:v>0.79344248857796629</c:v>
                </c:pt>
                <c:pt idx="3930">
                  <c:v>0.79405848847454763</c:v>
                </c:pt>
                <c:pt idx="3931">
                  <c:v>0.7941880057205708</c:v>
                </c:pt>
                <c:pt idx="3932">
                  <c:v>0.79470759627474763</c:v>
                </c:pt>
                <c:pt idx="3933">
                  <c:v>0.7950534718866038</c:v>
                </c:pt>
                <c:pt idx="3934">
                  <c:v>0.79517135588594101</c:v>
                </c:pt>
                <c:pt idx="3935">
                  <c:v>0.7952781654548744</c:v>
                </c:pt>
                <c:pt idx="3936">
                  <c:v>0.79550689259849605</c:v>
                </c:pt>
                <c:pt idx="3937">
                  <c:v>0.79560353282613505</c:v>
                </c:pt>
                <c:pt idx="3938">
                  <c:v>0.79566879340109153</c:v>
                </c:pt>
                <c:pt idx="3939">
                  <c:v>0.79568738979196496</c:v>
                </c:pt>
                <c:pt idx="3940">
                  <c:v>0.79591895226258202</c:v>
                </c:pt>
                <c:pt idx="3941">
                  <c:v>0.7959466446445731</c:v>
                </c:pt>
                <c:pt idx="3942">
                  <c:v>0.79596369079899887</c:v>
                </c:pt>
                <c:pt idx="3943">
                  <c:v>0.79614005740950233</c:v>
                </c:pt>
                <c:pt idx="3944">
                  <c:v>0.7961516324958211</c:v>
                </c:pt>
                <c:pt idx="3945">
                  <c:v>0.79617504191355692</c:v>
                </c:pt>
                <c:pt idx="3946">
                  <c:v>0.79650976877292123</c:v>
                </c:pt>
                <c:pt idx="3947">
                  <c:v>0.79653565698754392</c:v>
                </c:pt>
                <c:pt idx="3948">
                  <c:v>0.79664141214652773</c:v>
                </c:pt>
                <c:pt idx="3949">
                  <c:v>0.79685649439397821</c:v>
                </c:pt>
                <c:pt idx="3950">
                  <c:v>0.79701826871951198</c:v>
                </c:pt>
                <c:pt idx="3951">
                  <c:v>0.79741009145072894</c:v>
                </c:pt>
                <c:pt idx="3952">
                  <c:v>0.79797667196180555</c:v>
                </c:pt>
                <c:pt idx="3953">
                  <c:v>0.79802556774939148</c:v>
                </c:pt>
                <c:pt idx="3954">
                  <c:v>0.79831242939053482</c:v>
                </c:pt>
                <c:pt idx="3955">
                  <c:v>0.79839684468424821</c:v>
                </c:pt>
                <c:pt idx="3956">
                  <c:v>0.79846422682749107</c:v>
                </c:pt>
                <c:pt idx="3957">
                  <c:v>0.79847769360367238</c:v>
                </c:pt>
                <c:pt idx="3958">
                  <c:v>0.79850407981757598</c:v>
                </c:pt>
                <c:pt idx="3959">
                  <c:v>0.79881260731690418</c:v>
                </c:pt>
                <c:pt idx="3960">
                  <c:v>0.79908287137277512</c:v>
                </c:pt>
                <c:pt idx="3961">
                  <c:v>0.79919336293187371</c:v>
                </c:pt>
                <c:pt idx="3962">
                  <c:v>0.79933590407472366</c:v>
                </c:pt>
                <c:pt idx="3963">
                  <c:v>0.79965127224022581</c:v>
                </c:pt>
                <c:pt idx="3964">
                  <c:v>0.79976760555382498</c:v>
                </c:pt>
                <c:pt idx="3965">
                  <c:v>0.80041870998502418</c:v>
                </c:pt>
                <c:pt idx="3966">
                  <c:v>0.80064995198699762</c:v>
                </c:pt>
                <c:pt idx="3967">
                  <c:v>0.80080663194348745</c:v>
                </c:pt>
                <c:pt idx="3968">
                  <c:v>0.80088237463860423</c:v>
                </c:pt>
                <c:pt idx="3969">
                  <c:v>0.80159903082585515</c:v>
                </c:pt>
                <c:pt idx="3970">
                  <c:v>0.80161974719794671</c:v>
                </c:pt>
                <c:pt idx="3971">
                  <c:v>0.80214198015073634</c:v>
                </c:pt>
                <c:pt idx="3972">
                  <c:v>0.80240462257188483</c:v>
                </c:pt>
                <c:pt idx="3973">
                  <c:v>0.80252105562203724</c:v>
                </c:pt>
                <c:pt idx="3974">
                  <c:v>0.80267330922106339</c:v>
                </c:pt>
                <c:pt idx="3975">
                  <c:v>0.80327756574206433</c:v>
                </c:pt>
                <c:pt idx="3976">
                  <c:v>0.80328045777696389</c:v>
                </c:pt>
                <c:pt idx="3977">
                  <c:v>0.80328390888826107</c:v>
                </c:pt>
                <c:pt idx="3978">
                  <c:v>0.80337904145835637</c:v>
                </c:pt>
                <c:pt idx="3979">
                  <c:v>0.80385165658572078</c:v>
                </c:pt>
                <c:pt idx="3980">
                  <c:v>0.80410585280515079</c:v>
                </c:pt>
                <c:pt idx="3981">
                  <c:v>0.80418329315398296</c:v>
                </c:pt>
                <c:pt idx="3982">
                  <c:v>0.80422419397200429</c:v>
                </c:pt>
                <c:pt idx="3983">
                  <c:v>0.80427279657760664</c:v>
                </c:pt>
                <c:pt idx="3984">
                  <c:v>0.8050569682764035</c:v>
                </c:pt>
                <c:pt idx="3985">
                  <c:v>0.80510487653373275</c:v>
                </c:pt>
                <c:pt idx="3986">
                  <c:v>0.80526432465740072</c:v>
                </c:pt>
                <c:pt idx="3987">
                  <c:v>0.80535791528836853</c:v>
                </c:pt>
                <c:pt idx="3988">
                  <c:v>0.80540446790109854</c:v>
                </c:pt>
                <c:pt idx="3989">
                  <c:v>0.8055209043186693</c:v>
                </c:pt>
                <c:pt idx="3990">
                  <c:v>0.80557678064633365</c:v>
                </c:pt>
                <c:pt idx="3991">
                  <c:v>0.80567471265658241</c:v>
                </c:pt>
                <c:pt idx="3992">
                  <c:v>0.80570010307746998</c:v>
                </c:pt>
                <c:pt idx="3993">
                  <c:v>0.80577380670183629</c:v>
                </c:pt>
                <c:pt idx="3994">
                  <c:v>0.80637213169487154</c:v>
                </c:pt>
                <c:pt idx="3995">
                  <c:v>0.80658812845831562</c:v>
                </c:pt>
                <c:pt idx="3996">
                  <c:v>0.80680621801093366</c:v>
                </c:pt>
                <c:pt idx="3997">
                  <c:v>0.80681110166734982</c:v>
                </c:pt>
                <c:pt idx="3998">
                  <c:v>0.80692950370666949</c:v>
                </c:pt>
                <c:pt idx="3999">
                  <c:v>0.80707043019356206</c:v>
                </c:pt>
                <c:pt idx="4000">
                  <c:v>0.80727450314202542</c:v>
                </c:pt>
                <c:pt idx="4001">
                  <c:v>0.80747849964973284</c:v>
                </c:pt>
                <c:pt idx="4002">
                  <c:v>0.80748620958183892</c:v>
                </c:pt>
                <c:pt idx="4003">
                  <c:v>0.80752379031582677</c:v>
                </c:pt>
                <c:pt idx="4004">
                  <c:v>0.80756268295590417</c:v>
                </c:pt>
                <c:pt idx="4005">
                  <c:v>0.80804310913526933</c:v>
                </c:pt>
                <c:pt idx="4006">
                  <c:v>0.80810465490412753</c:v>
                </c:pt>
                <c:pt idx="4007">
                  <c:v>0.80832588818702789</c:v>
                </c:pt>
                <c:pt idx="4008">
                  <c:v>0.80834961084929091</c:v>
                </c:pt>
                <c:pt idx="4009">
                  <c:v>0.80863757128736324</c:v>
                </c:pt>
                <c:pt idx="4010">
                  <c:v>0.80863775451871334</c:v>
                </c:pt>
                <c:pt idx="4011">
                  <c:v>0.80901265951342793</c:v>
                </c:pt>
                <c:pt idx="4012">
                  <c:v>0.8091308764714995</c:v>
                </c:pt>
                <c:pt idx="4013">
                  <c:v>0.80927725748551893</c:v>
                </c:pt>
                <c:pt idx="4014">
                  <c:v>0.80931160404725233</c:v>
                </c:pt>
                <c:pt idx="4015">
                  <c:v>0.8093408510185327</c:v>
                </c:pt>
                <c:pt idx="4016">
                  <c:v>0.80941172485927382</c:v>
                </c:pt>
                <c:pt idx="4017">
                  <c:v>0.80960136324210907</c:v>
                </c:pt>
                <c:pt idx="4018">
                  <c:v>0.80976769137123483</c:v>
                </c:pt>
                <c:pt idx="4019">
                  <c:v>0.8098162918631715</c:v>
                </c:pt>
                <c:pt idx="4020">
                  <c:v>0.80990709521302051</c:v>
                </c:pt>
                <c:pt idx="4021">
                  <c:v>0.80998487551642029</c:v>
                </c:pt>
                <c:pt idx="4022">
                  <c:v>0.81012298361747526</c:v>
                </c:pt>
                <c:pt idx="4023">
                  <c:v>0.81066814070527471</c:v>
                </c:pt>
                <c:pt idx="4024">
                  <c:v>0.81073847716288583</c:v>
                </c:pt>
                <c:pt idx="4025">
                  <c:v>0.8109191137682501</c:v>
                </c:pt>
                <c:pt idx="4026">
                  <c:v>0.81096909968164255</c:v>
                </c:pt>
                <c:pt idx="4027">
                  <c:v>0.81104128286369814</c:v>
                </c:pt>
                <c:pt idx="4028">
                  <c:v>0.81132904837249953</c:v>
                </c:pt>
                <c:pt idx="4029">
                  <c:v>0.81144710718675128</c:v>
                </c:pt>
                <c:pt idx="4030">
                  <c:v>0.81156575600925862</c:v>
                </c:pt>
                <c:pt idx="4031">
                  <c:v>0.81177491655307676</c:v>
                </c:pt>
                <c:pt idx="4032">
                  <c:v>0.81190520523068699</c:v>
                </c:pt>
                <c:pt idx="4033">
                  <c:v>0.81201189009061636</c:v>
                </c:pt>
                <c:pt idx="4034">
                  <c:v>0.81229285309656518</c:v>
                </c:pt>
                <c:pt idx="4035">
                  <c:v>0.81239457814263005</c:v>
                </c:pt>
                <c:pt idx="4036">
                  <c:v>0.81253325426226297</c:v>
                </c:pt>
                <c:pt idx="4037">
                  <c:v>0.81263176575521356</c:v>
                </c:pt>
                <c:pt idx="4038">
                  <c:v>0.81280976748257672</c:v>
                </c:pt>
                <c:pt idx="4039">
                  <c:v>0.81281403783123096</c:v>
                </c:pt>
                <c:pt idx="4040">
                  <c:v>0.81284400495860609</c:v>
                </c:pt>
                <c:pt idx="4041">
                  <c:v>0.81328398011646641</c:v>
                </c:pt>
                <c:pt idx="4042">
                  <c:v>0.81384546596655127</c:v>
                </c:pt>
                <c:pt idx="4043">
                  <c:v>0.81396698126536648</c:v>
                </c:pt>
                <c:pt idx="4044">
                  <c:v>0.81416081139559537</c:v>
                </c:pt>
                <c:pt idx="4045">
                  <c:v>0.81419508670569485</c:v>
                </c:pt>
                <c:pt idx="4046">
                  <c:v>0.81487163296060316</c:v>
                </c:pt>
                <c:pt idx="4047">
                  <c:v>0.81490290043620917</c:v>
                </c:pt>
                <c:pt idx="4048">
                  <c:v>0.81495184353843797</c:v>
                </c:pt>
                <c:pt idx="4049">
                  <c:v>0.8154047980424366</c:v>
                </c:pt>
                <c:pt idx="4050">
                  <c:v>0.81543412331393483</c:v>
                </c:pt>
                <c:pt idx="4051">
                  <c:v>0.81543603330101178</c:v>
                </c:pt>
                <c:pt idx="4052">
                  <c:v>0.81543774813508207</c:v>
                </c:pt>
                <c:pt idx="4053">
                  <c:v>0.81577512962758192</c:v>
                </c:pt>
                <c:pt idx="4054">
                  <c:v>0.81587228530952416</c:v>
                </c:pt>
                <c:pt idx="4055">
                  <c:v>0.81601664637219073</c:v>
                </c:pt>
                <c:pt idx="4056">
                  <c:v>0.81621923647799122</c:v>
                </c:pt>
                <c:pt idx="4057">
                  <c:v>0.81623632888840802</c:v>
                </c:pt>
                <c:pt idx="4058">
                  <c:v>0.81628226483098842</c:v>
                </c:pt>
                <c:pt idx="4059">
                  <c:v>0.81630168493396127</c:v>
                </c:pt>
                <c:pt idx="4060">
                  <c:v>0.81648958325331478</c:v>
                </c:pt>
                <c:pt idx="4061">
                  <c:v>0.81652939845298533</c:v>
                </c:pt>
                <c:pt idx="4062">
                  <c:v>0.81679256809820799</c:v>
                </c:pt>
                <c:pt idx="4063">
                  <c:v>0.81710833692795859</c:v>
                </c:pt>
                <c:pt idx="4064">
                  <c:v>0.81765474064286536</c:v>
                </c:pt>
                <c:pt idx="4065">
                  <c:v>0.81772174740035553</c:v>
                </c:pt>
                <c:pt idx="4066">
                  <c:v>0.81796591783404438</c:v>
                </c:pt>
                <c:pt idx="4067">
                  <c:v>0.8180989477186813</c:v>
                </c:pt>
                <c:pt idx="4068">
                  <c:v>0.81832389789997251</c:v>
                </c:pt>
                <c:pt idx="4069">
                  <c:v>0.81850266372293845</c:v>
                </c:pt>
                <c:pt idx="4070">
                  <c:v>0.8185357595602909</c:v>
                </c:pt>
                <c:pt idx="4071">
                  <c:v>0.81871982618213224</c:v>
                </c:pt>
                <c:pt idx="4072">
                  <c:v>0.81879891125754511</c:v>
                </c:pt>
                <c:pt idx="4073">
                  <c:v>0.81894219661990064</c:v>
                </c:pt>
                <c:pt idx="4074">
                  <c:v>0.81914806800978113</c:v>
                </c:pt>
                <c:pt idx="4075">
                  <c:v>0.81944625687265216</c:v>
                </c:pt>
                <c:pt idx="4076">
                  <c:v>0.81966232648574078</c:v>
                </c:pt>
                <c:pt idx="4077">
                  <c:v>0.81977938768432068</c:v>
                </c:pt>
                <c:pt idx="4078">
                  <c:v>0.8204777685168807</c:v>
                </c:pt>
                <c:pt idx="4079">
                  <c:v>0.82097477681782038</c:v>
                </c:pt>
                <c:pt idx="4080">
                  <c:v>0.8210253650759114</c:v>
                </c:pt>
                <c:pt idx="4081">
                  <c:v>0.82111095293839753</c:v>
                </c:pt>
                <c:pt idx="4082">
                  <c:v>0.82122454505952192</c:v>
                </c:pt>
                <c:pt idx="4083">
                  <c:v>0.82141270511874609</c:v>
                </c:pt>
                <c:pt idx="4084">
                  <c:v>0.82141817704814457</c:v>
                </c:pt>
                <c:pt idx="4085">
                  <c:v>0.8215577718710847</c:v>
                </c:pt>
                <c:pt idx="4086">
                  <c:v>0.82189642893354176</c:v>
                </c:pt>
                <c:pt idx="4087">
                  <c:v>0.82260729878362326</c:v>
                </c:pt>
                <c:pt idx="4088">
                  <c:v>0.82301552582521253</c:v>
                </c:pt>
                <c:pt idx="4089">
                  <c:v>0.82323490803173627</c:v>
                </c:pt>
                <c:pt idx="4090">
                  <c:v>0.82329512418436934</c:v>
                </c:pt>
                <c:pt idx="4091">
                  <c:v>0.82352391156018712</c:v>
                </c:pt>
                <c:pt idx="4092">
                  <c:v>0.82380474924502778</c:v>
                </c:pt>
                <c:pt idx="4093">
                  <c:v>0.82387279525391932</c:v>
                </c:pt>
                <c:pt idx="4094">
                  <c:v>0.82395077114051674</c:v>
                </c:pt>
                <c:pt idx="4095">
                  <c:v>0.82406740955775604</c:v>
                </c:pt>
                <c:pt idx="4096">
                  <c:v>0.82431153311244998</c:v>
                </c:pt>
                <c:pt idx="4097">
                  <c:v>0.82440530304484128</c:v>
                </c:pt>
                <c:pt idx="4098">
                  <c:v>0.82527782334636868</c:v>
                </c:pt>
                <c:pt idx="4099">
                  <c:v>0.82533740763710739</c:v>
                </c:pt>
                <c:pt idx="4100">
                  <c:v>0.82541721397319634</c:v>
                </c:pt>
                <c:pt idx="4101">
                  <c:v>0.82545619114171132</c:v>
                </c:pt>
                <c:pt idx="4102">
                  <c:v>0.82614941022984567</c:v>
                </c:pt>
                <c:pt idx="4103">
                  <c:v>0.82678486153236008</c:v>
                </c:pt>
                <c:pt idx="4104">
                  <c:v>0.82682510454378644</c:v>
                </c:pt>
                <c:pt idx="4105">
                  <c:v>0.8268436679009028</c:v>
                </c:pt>
                <c:pt idx="4106">
                  <c:v>0.82706145092106453</c:v>
                </c:pt>
                <c:pt idx="4107">
                  <c:v>0.82707114979348262</c:v>
                </c:pt>
                <c:pt idx="4108">
                  <c:v>0.82707797889906942</c:v>
                </c:pt>
                <c:pt idx="4109">
                  <c:v>0.82708134409313061</c:v>
                </c:pt>
                <c:pt idx="4110">
                  <c:v>0.82715196402386937</c:v>
                </c:pt>
                <c:pt idx="4111">
                  <c:v>0.82730967522002175</c:v>
                </c:pt>
                <c:pt idx="4112">
                  <c:v>0.82735535304163932</c:v>
                </c:pt>
                <c:pt idx="4113">
                  <c:v>0.82742327118467074</c:v>
                </c:pt>
                <c:pt idx="4114">
                  <c:v>0.82748127270770055</c:v>
                </c:pt>
                <c:pt idx="4115">
                  <c:v>0.82756690749738482</c:v>
                </c:pt>
                <c:pt idx="4116">
                  <c:v>0.82757963088261022</c:v>
                </c:pt>
                <c:pt idx="4117">
                  <c:v>0.82772658879275696</c:v>
                </c:pt>
                <c:pt idx="4118">
                  <c:v>0.82777610669836577</c:v>
                </c:pt>
                <c:pt idx="4119">
                  <c:v>0.82780826191992674</c:v>
                </c:pt>
                <c:pt idx="4120">
                  <c:v>0.82794179183292727</c:v>
                </c:pt>
                <c:pt idx="4121">
                  <c:v>0.8279946857401228</c:v>
                </c:pt>
                <c:pt idx="4122">
                  <c:v>0.82848171525802172</c:v>
                </c:pt>
                <c:pt idx="4123">
                  <c:v>0.8290281900053742</c:v>
                </c:pt>
                <c:pt idx="4124">
                  <c:v>0.82924285580429569</c:v>
                </c:pt>
                <c:pt idx="4125">
                  <c:v>0.82943886885368556</c:v>
                </c:pt>
                <c:pt idx="4126">
                  <c:v>0.8294985313223151</c:v>
                </c:pt>
                <c:pt idx="4127">
                  <c:v>0.82956391203424573</c:v>
                </c:pt>
                <c:pt idx="4128">
                  <c:v>0.82978048352015321</c:v>
                </c:pt>
                <c:pt idx="4129">
                  <c:v>0.8303360923218861</c:v>
                </c:pt>
                <c:pt idx="4130">
                  <c:v>0.83035329668564373</c:v>
                </c:pt>
                <c:pt idx="4131">
                  <c:v>0.83047172883561871</c:v>
                </c:pt>
                <c:pt idx="4132">
                  <c:v>0.83059247255641822</c:v>
                </c:pt>
                <c:pt idx="4133">
                  <c:v>0.83080124898424401</c:v>
                </c:pt>
                <c:pt idx="4134">
                  <c:v>0.83088838248659158</c:v>
                </c:pt>
                <c:pt idx="4135">
                  <c:v>0.83121027958986815</c:v>
                </c:pt>
                <c:pt idx="4136">
                  <c:v>0.83129009185995528</c:v>
                </c:pt>
                <c:pt idx="4137">
                  <c:v>0.83140695721522206</c:v>
                </c:pt>
                <c:pt idx="4138">
                  <c:v>0.83149729651358939</c:v>
                </c:pt>
                <c:pt idx="4139">
                  <c:v>0.8315786557368483</c:v>
                </c:pt>
                <c:pt idx="4140">
                  <c:v>0.831654623652895</c:v>
                </c:pt>
                <c:pt idx="4141">
                  <c:v>0.83194607818586519</c:v>
                </c:pt>
                <c:pt idx="4142">
                  <c:v>0.832393945507647</c:v>
                </c:pt>
                <c:pt idx="4143">
                  <c:v>0.83247902237781091</c:v>
                </c:pt>
                <c:pt idx="4144">
                  <c:v>0.83259133739375102</c:v>
                </c:pt>
                <c:pt idx="4145">
                  <c:v>0.83264323955609143</c:v>
                </c:pt>
                <c:pt idx="4146">
                  <c:v>0.83280255303361628</c:v>
                </c:pt>
                <c:pt idx="4147">
                  <c:v>0.83291670212020108</c:v>
                </c:pt>
                <c:pt idx="4148">
                  <c:v>0.83356561381606298</c:v>
                </c:pt>
                <c:pt idx="4149">
                  <c:v>0.83410189056121453</c:v>
                </c:pt>
                <c:pt idx="4150">
                  <c:v>0.83516752677860495</c:v>
                </c:pt>
                <c:pt idx="4151">
                  <c:v>0.83535679986107425</c:v>
                </c:pt>
                <c:pt idx="4152">
                  <c:v>0.83538900804796867</c:v>
                </c:pt>
                <c:pt idx="4153">
                  <c:v>0.83568903816012607</c:v>
                </c:pt>
                <c:pt idx="4154">
                  <c:v>0.83577695041367406</c:v>
                </c:pt>
                <c:pt idx="4155">
                  <c:v>0.8358948034565401</c:v>
                </c:pt>
                <c:pt idx="4156">
                  <c:v>0.83593378235855198</c:v>
                </c:pt>
                <c:pt idx="4157">
                  <c:v>0.83605863508182665</c:v>
                </c:pt>
                <c:pt idx="4158">
                  <c:v>0.83616149690442398</c:v>
                </c:pt>
                <c:pt idx="4159">
                  <c:v>0.83619023958635808</c:v>
                </c:pt>
                <c:pt idx="4160">
                  <c:v>0.83645826751853747</c:v>
                </c:pt>
                <c:pt idx="4161">
                  <c:v>0.83670203026395029</c:v>
                </c:pt>
                <c:pt idx="4162">
                  <c:v>0.83681183140652138</c:v>
                </c:pt>
                <c:pt idx="4163">
                  <c:v>0.8369699159047741</c:v>
                </c:pt>
                <c:pt idx="4164">
                  <c:v>0.83751661712085479</c:v>
                </c:pt>
                <c:pt idx="4165">
                  <c:v>0.83756841460399301</c:v>
                </c:pt>
                <c:pt idx="4166">
                  <c:v>0.83771008544135839</c:v>
                </c:pt>
                <c:pt idx="4167">
                  <c:v>0.83806291178916581</c:v>
                </c:pt>
                <c:pt idx="4168">
                  <c:v>0.83820579910388915</c:v>
                </c:pt>
                <c:pt idx="4169">
                  <c:v>0.83853945005466812</c:v>
                </c:pt>
                <c:pt idx="4170">
                  <c:v>0.8387071060751623</c:v>
                </c:pt>
                <c:pt idx="4171">
                  <c:v>0.83883177297686373</c:v>
                </c:pt>
                <c:pt idx="4172">
                  <c:v>0.83909145598681789</c:v>
                </c:pt>
                <c:pt idx="4173">
                  <c:v>0.83913723873956769</c:v>
                </c:pt>
                <c:pt idx="4174">
                  <c:v>0.83932805337462923</c:v>
                </c:pt>
                <c:pt idx="4175">
                  <c:v>0.84036667978489277</c:v>
                </c:pt>
                <c:pt idx="4176">
                  <c:v>0.84042966000833985</c:v>
                </c:pt>
                <c:pt idx="4177">
                  <c:v>0.84045443789364072</c:v>
                </c:pt>
                <c:pt idx="4178">
                  <c:v>0.8408232176780075</c:v>
                </c:pt>
                <c:pt idx="4179">
                  <c:v>0.84101223196284991</c:v>
                </c:pt>
                <c:pt idx="4180">
                  <c:v>0.8412605366538628</c:v>
                </c:pt>
                <c:pt idx="4181">
                  <c:v>0.84130816804372444</c:v>
                </c:pt>
                <c:pt idx="4182">
                  <c:v>0.84154120806397259</c:v>
                </c:pt>
                <c:pt idx="4183">
                  <c:v>0.84184602736240777</c:v>
                </c:pt>
                <c:pt idx="4184">
                  <c:v>0.84243832431093324</c:v>
                </c:pt>
                <c:pt idx="4185">
                  <c:v>0.84246767210242979</c:v>
                </c:pt>
                <c:pt idx="4186">
                  <c:v>0.84253453450583038</c:v>
                </c:pt>
                <c:pt idx="4187">
                  <c:v>0.84254275113926269</c:v>
                </c:pt>
                <c:pt idx="4188">
                  <c:v>0.84272629845781921</c:v>
                </c:pt>
                <c:pt idx="4189">
                  <c:v>0.84289489120783401</c:v>
                </c:pt>
                <c:pt idx="4190">
                  <c:v>0.84311455673548608</c:v>
                </c:pt>
                <c:pt idx="4191">
                  <c:v>0.84326874787348061</c:v>
                </c:pt>
                <c:pt idx="4192">
                  <c:v>0.84335459873727814</c:v>
                </c:pt>
                <c:pt idx="4193">
                  <c:v>0.84336984366746037</c:v>
                </c:pt>
                <c:pt idx="4194">
                  <c:v>0.84360240882233484</c:v>
                </c:pt>
                <c:pt idx="4195">
                  <c:v>0.84361721246932575</c:v>
                </c:pt>
                <c:pt idx="4196">
                  <c:v>0.84444886689107079</c:v>
                </c:pt>
                <c:pt idx="4197">
                  <c:v>0.84452623004381167</c:v>
                </c:pt>
                <c:pt idx="4198">
                  <c:v>0.84454551428189006</c:v>
                </c:pt>
                <c:pt idx="4199">
                  <c:v>0.84460684304485767</c:v>
                </c:pt>
                <c:pt idx="4200">
                  <c:v>0.84494180622732529</c:v>
                </c:pt>
                <c:pt idx="4201">
                  <c:v>0.84528051895722456</c:v>
                </c:pt>
                <c:pt idx="4202">
                  <c:v>0.84556763327782392</c:v>
                </c:pt>
                <c:pt idx="4203">
                  <c:v>0.84567074999722536</c:v>
                </c:pt>
                <c:pt idx="4204">
                  <c:v>0.84598221747273783</c:v>
                </c:pt>
                <c:pt idx="4205">
                  <c:v>0.84603790404344181</c:v>
                </c:pt>
                <c:pt idx="4206">
                  <c:v>0.84638732048642851</c:v>
                </c:pt>
                <c:pt idx="4207">
                  <c:v>0.84724686191566434</c:v>
                </c:pt>
                <c:pt idx="4208">
                  <c:v>0.84725507671555533</c:v>
                </c:pt>
                <c:pt idx="4209">
                  <c:v>0.84737413446782739</c:v>
                </c:pt>
                <c:pt idx="4210">
                  <c:v>0.84741490670785424</c:v>
                </c:pt>
                <c:pt idx="4211">
                  <c:v>0.84744005429547542</c:v>
                </c:pt>
                <c:pt idx="4212">
                  <c:v>0.84757053323937726</c:v>
                </c:pt>
                <c:pt idx="4213">
                  <c:v>0.84768219169473014</c:v>
                </c:pt>
                <c:pt idx="4214">
                  <c:v>0.84790611543394334</c:v>
                </c:pt>
                <c:pt idx="4215">
                  <c:v>0.84817338058746827</c:v>
                </c:pt>
                <c:pt idx="4216">
                  <c:v>0.84840595332389057</c:v>
                </c:pt>
                <c:pt idx="4217">
                  <c:v>0.84855165228691476</c:v>
                </c:pt>
                <c:pt idx="4218">
                  <c:v>0.84858263298974634</c:v>
                </c:pt>
                <c:pt idx="4219">
                  <c:v>0.84861118892878551</c:v>
                </c:pt>
                <c:pt idx="4220">
                  <c:v>0.8487309645042842</c:v>
                </c:pt>
                <c:pt idx="4221">
                  <c:v>0.84884265935943404</c:v>
                </c:pt>
                <c:pt idx="4222">
                  <c:v>0.84888281657731568</c:v>
                </c:pt>
                <c:pt idx="4223">
                  <c:v>0.84892281750398979</c:v>
                </c:pt>
                <c:pt idx="4224">
                  <c:v>0.84914489076879818</c:v>
                </c:pt>
                <c:pt idx="4225">
                  <c:v>0.84963312773561483</c:v>
                </c:pt>
                <c:pt idx="4226">
                  <c:v>0.8496778687740516</c:v>
                </c:pt>
                <c:pt idx="4227">
                  <c:v>0.8498149866491076</c:v>
                </c:pt>
                <c:pt idx="4228">
                  <c:v>0.8499433243259773</c:v>
                </c:pt>
                <c:pt idx="4229">
                  <c:v>0.85035593413795141</c:v>
                </c:pt>
                <c:pt idx="4230">
                  <c:v>0.8504324844070652</c:v>
                </c:pt>
                <c:pt idx="4231">
                  <c:v>0.85044725059833581</c:v>
                </c:pt>
                <c:pt idx="4232">
                  <c:v>0.85050188982677355</c:v>
                </c:pt>
                <c:pt idx="4233">
                  <c:v>0.85076168462182977</c:v>
                </c:pt>
                <c:pt idx="4234">
                  <c:v>0.85132288051136129</c:v>
                </c:pt>
                <c:pt idx="4235">
                  <c:v>0.85137979396586161</c:v>
                </c:pt>
                <c:pt idx="4236">
                  <c:v>0.85195026377914473</c:v>
                </c:pt>
                <c:pt idx="4237">
                  <c:v>0.85198557835701649</c:v>
                </c:pt>
                <c:pt idx="4238">
                  <c:v>0.85206450388795929</c:v>
                </c:pt>
                <c:pt idx="4239">
                  <c:v>0.85244865417553228</c:v>
                </c:pt>
                <c:pt idx="4240">
                  <c:v>0.85252638020756422</c:v>
                </c:pt>
                <c:pt idx="4241">
                  <c:v>0.85268499981975765</c:v>
                </c:pt>
                <c:pt idx="4242">
                  <c:v>0.85274194134763093</c:v>
                </c:pt>
                <c:pt idx="4243">
                  <c:v>0.85293582927442912</c:v>
                </c:pt>
                <c:pt idx="4244">
                  <c:v>0.85309091949056892</c:v>
                </c:pt>
                <c:pt idx="4245">
                  <c:v>0.85393504105195461</c:v>
                </c:pt>
                <c:pt idx="4246">
                  <c:v>0.85400712046975968</c:v>
                </c:pt>
                <c:pt idx="4247">
                  <c:v>0.85402731882277294</c:v>
                </c:pt>
                <c:pt idx="4248">
                  <c:v>0.85443551759635739</c:v>
                </c:pt>
                <c:pt idx="4249">
                  <c:v>0.85452208716560563</c:v>
                </c:pt>
                <c:pt idx="4250">
                  <c:v>0.85456878819240956</c:v>
                </c:pt>
                <c:pt idx="4251">
                  <c:v>0.85478458176021377</c:v>
                </c:pt>
                <c:pt idx="4252">
                  <c:v>0.85509396687302797</c:v>
                </c:pt>
                <c:pt idx="4253">
                  <c:v>0.8553457206389794</c:v>
                </c:pt>
                <c:pt idx="4254">
                  <c:v>0.85549883446947206</c:v>
                </c:pt>
                <c:pt idx="4255">
                  <c:v>0.85554646585023875</c:v>
                </c:pt>
                <c:pt idx="4256">
                  <c:v>0.85569159127135208</c:v>
                </c:pt>
                <c:pt idx="4257">
                  <c:v>0.85581957237718598</c:v>
                </c:pt>
                <c:pt idx="4258">
                  <c:v>0.85609045155069907</c:v>
                </c:pt>
                <c:pt idx="4259">
                  <c:v>0.8570766070188256</c:v>
                </c:pt>
                <c:pt idx="4260">
                  <c:v>0.85747840415569954</c:v>
                </c:pt>
                <c:pt idx="4261">
                  <c:v>0.85749856090114918</c:v>
                </c:pt>
                <c:pt idx="4262">
                  <c:v>0.85759917017549014</c:v>
                </c:pt>
                <c:pt idx="4263">
                  <c:v>0.85879028708586702</c:v>
                </c:pt>
                <c:pt idx="4264">
                  <c:v>0.85896335194956919</c:v>
                </c:pt>
                <c:pt idx="4265">
                  <c:v>0.85902761086890678</c:v>
                </c:pt>
                <c:pt idx="4266">
                  <c:v>0.85948373909377551</c:v>
                </c:pt>
                <c:pt idx="4267">
                  <c:v>0.85953886917923228</c:v>
                </c:pt>
                <c:pt idx="4268">
                  <c:v>0.86001029524140904</c:v>
                </c:pt>
                <c:pt idx="4269">
                  <c:v>0.86003869965134072</c:v>
                </c:pt>
                <c:pt idx="4270">
                  <c:v>0.86103569592251006</c:v>
                </c:pt>
                <c:pt idx="4271">
                  <c:v>0.86122927623182477</c:v>
                </c:pt>
                <c:pt idx="4272">
                  <c:v>0.8613931194813631</c:v>
                </c:pt>
                <c:pt idx="4273">
                  <c:v>0.86145440060863621</c:v>
                </c:pt>
                <c:pt idx="4274">
                  <c:v>0.86147441789853474</c:v>
                </c:pt>
                <c:pt idx="4275">
                  <c:v>0.861753444637543</c:v>
                </c:pt>
                <c:pt idx="4276">
                  <c:v>0.86193694392295583</c:v>
                </c:pt>
                <c:pt idx="4277">
                  <c:v>0.86215952218844905</c:v>
                </c:pt>
                <c:pt idx="4278">
                  <c:v>0.86220312698151247</c:v>
                </c:pt>
                <c:pt idx="4279">
                  <c:v>0.86221720853882289</c:v>
                </c:pt>
                <c:pt idx="4280">
                  <c:v>0.86224541148658318</c:v>
                </c:pt>
                <c:pt idx="4281">
                  <c:v>0.86242733249218873</c:v>
                </c:pt>
                <c:pt idx="4282">
                  <c:v>0.86262609415098268</c:v>
                </c:pt>
                <c:pt idx="4283">
                  <c:v>0.86264410988951568</c:v>
                </c:pt>
                <c:pt idx="4284">
                  <c:v>0.8629828604262002</c:v>
                </c:pt>
                <c:pt idx="4285">
                  <c:v>0.86299425645211159</c:v>
                </c:pt>
                <c:pt idx="4286">
                  <c:v>0.86320505328740182</c:v>
                </c:pt>
                <c:pt idx="4287">
                  <c:v>0.86383472956185869</c:v>
                </c:pt>
                <c:pt idx="4288">
                  <c:v>0.86401565256437607</c:v>
                </c:pt>
                <c:pt idx="4289">
                  <c:v>0.8644871020123901</c:v>
                </c:pt>
                <c:pt idx="4290">
                  <c:v>0.86458899978970294</c:v>
                </c:pt>
                <c:pt idx="4291">
                  <c:v>0.86510385905421572</c:v>
                </c:pt>
                <c:pt idx="4292">
                  <c:v>0.86527969473718258</c:v>
                </c:pt>
                <c:pt idx="4293">
                  <c:v>0.8655370158057849</c:v>
                </c:pt>
                <c:pt idx="4294">
                  <c:v>0.86557971220099716</c:v>
                </c:pt>
                <c:pt idx="4295">
                  <c:v>0.86560720384386514</c:v>
                </c:pt>
                <c:pt idx="4296">
                  <c:v>0.86562714551655517</c:v>
                </c:pt>
                <c:pt idx="4297">
                  <c:v>0.86616684888213058</c:v>
                </c:pt>
                <c:pt idx="4298">
                  <c:v>0.86628320075396914</c:v>
                </c:pt>
                <c:pt idx="4299">
                  <c:v>0.8663645479527986</c:v>
                </c:pt>
                <c:pt idx="4300">
                  <c:v>0.86684181806958804</c:v>
                </c:pt>
                <c:pt idx="4301">
                  <c:v>0.86705140806225245</c:v>
                </c:pt>
                <c:pt idx="4302">
                  <c:v>0.86736198534345021</c:v>
                </c:pt>
                <c:pt idx="4303">
                  <c:v>0.86771087394848223</c:v>
                </c:pt>
                <c:pt idx="4304">
                  <c:v>0.86774857134514605</c:v>
                </c:pt>
                <c:pt idx="4305">
                  <c:v>0.86787947403990984</c:v>
                </c:pt>
                <c:pt idx="4306">
                  <c:v>0.86799909339879378</c:v>
                </c:pt>
                <c:pt idx="4307">
                  <c:v>0.86828706720552873</c:v>
                </c:pt>
                <c:pt idx="4308">
                  <c:v>0.86841054544765939</c:v>
                </c:pt>
                <c:pt idx="4309">
                  <c:v>0.86862309180014563</c:v>
                </c:pt>
                <c:pt idx="4310">
                  <c:v>0.86871542877815955</c:v>
                </c:pt>
                <c:pt idx="4311">
                  <c:v>0.86882871661873651</c:v>
                </c:pt>
                <c:pt idx="4312">
                  <c:v>0.86899982940758491</c:v>
                </c:pt>
                <c:pt idx="4313">
                  <c:v>0.86914842999613029</c:v>
                </c:pt>
                <c:pt idx="4314">
                  <c:v>0.86918222085478192</c:v>
                </c:pt>
                <c:pt idx="4315">
                  <c:v>0.86920238369839353</c:v>
                </c:pt>
                <c:pt idx="4316">
                  <c:v>0.86949912086765835</c:v>
                </c:pt>
                <c:pt idx="4317">
                  <c:v>0.86968823224833613</c:v>
                </c:pt>
                <c:pt idx="4318">
                  <c:v>0.86968829922443547</c:v>
                </c:pt>
                <c:pt idx="4319">
                  <c:v>0.86975681450621778</c:v>
                </c:pt>
                <c:pt idx="4320">
                  <c:v>0.86988997424850822</c:v>
                </c:pt>
                <c:pt idx="4321">
                  <c:v>0.86993141138100327</c:v>
                </c:pt>
                <c:pt idx="4322">
                  <c:v>0.87014776348132727</c:v>
                </c:pt>
                <c:pt idx="4323">
                  <c:v>0.8702953527936188</c:v>
                </c:pt>
                <c:pt idx="4324">
                  <c:v>0.87068603773515818</c:v>
                </c:pt>
                <c:pt idx="4325">
                  <c:v>0.8708158922227085</c:v>
                </c:pt>
                <c:pt idx="4326">
                  <c:v>0.87084538604540285</c:v>
                </c:pt>
                <c:pt idx="4327">
                  <c:v>0.87133102028747089</c:v>
                </c:pt>
                <c:pt idx="4328">
                  <c:v>0.87138368754222029</c:v>
                </c:pt>
                <c:pt idx="4329">
                  <c:v>0.8713963923864867</c:v>
                </c:pt>
                <c:pt idx="4330">
                  <c:v>0.87185787916314439</c:v>
                </c:pt>
                <c:pt idx="4331">
                  <c:v>0.87212294550408842</c:v>
                </c:pt>
                <c:pt idx="4332">
                  <c:v>0.8722478171766852</c:v>
                </c:pt>
                <c:pt idx="4333">
                  <c:v>0.87254415628285642</c:v>
                </c:pt>
                <c:pt idx="4334">
                  <c:v>0.87273588804782776</c:v>
                </c:pt>
                <c:pt idx="4335">
                  <c:v>0.87359847386505862</c:v>
                </c:pt>
                <c:pt idx="4336">
                  <c:v>0.87365313163445535</c:v>
                </c:pt>
                <c:pt idx="4337">
                  <c:v>0.87379490865441767</c:v>
                </c:pt>
                <c:pt idx="4338">
                  <c:v>0.87383759485328483</c:v>
                </c:pt>
                <c:pt idx="4339">
                  <c:v>0.87391334866879333</c:v>
                </c:pt>
                <c:pt idx="4340">
                  <c:v>0.87403875541531306</c:v>
                </c:pt>
                <c:pt idx="4341">
                  <c:v>0.87404078336658131</c:v>
                </c:pt>
                <c:pt idx="4342">
                  <c:v>0.87426945920924481</c:v>
                </c:pt>
                <c:pt idx="4343">
                  <c:v>0.87429195680125815</c:v>
                </c:pt>
                <c:pt idx="4344">
                  <c:v>0.87430885555113491</c:v>
                </c:pt>
                <c:pt idx="4345">
                  <c:v>0.87439433099552843</c:v>
                </c:pt>
                <c:pt idx="4346">
                  <c:v>0.87449391948211996</c:v>
                </c:pt>
                <c:pt idx="4347">
                  <c:v>0.87464849376010534</c:v>
                </c:pt>
                <c:pt idx="4348">
                  <c:v>0.87491900848181103</c:v>
                </c:pt>
                <c:pt idx="4349">
                  <c:v>0.87493035538500408</c:v>
                </c:pt>
                <c:pt idx="4350">
                  <c:v>0.87507194846784842</c:v>
                </c:pt>
                <c:pt idx="4351">
                  <c:v>0.87511495032231323</c:v>
                </c:pt>
                <c:pt idx="4352">
                  <c:v>0.87514225598079065</c:v>
                </c:pt>
                <c:pt idx="4353">
                  <c:v>0.87532405450838269</c:v>
                </c:pt>
                <c:pt idx="4354">
                  <c:v>0.87534602321193233</c:v>
                </c:pt>
                <c:pt idx="4355">
                  <c:v>0.87559943060114165</c:v>
                </c:pt>
                <c:pt idx="4356">
                  <c:v>0.87603242392833636</c:v>
                </c:pt>
                <c:pt idx="4357">
                  <c:v>0.8761694536815412</c:v>
                </c:pt>
                <c:pt idx="4358">
                  <c:v>0.87635192671768891</c:v>
                </c:pt>
                <c:pt idx="4359">
                  <c:v>0.87655045862811676</c:v>
                </c:pt>
                <c:pt idx="4360">
                  <c:v>0.87669249033299934</c:v>
                </c:pt>
                <c:pt idx="4361">
                  <c:v>0.87686941753599967</c:v>
                </c:pt>
                <c:pt idx="4362">
                  <c:v>0.87696711635726388</c:v>
                </c:pt>
                <c:pt idx="4363">
                  <c:v>0.87711426589521579</c:v>
                </c:pt>
                <c:pt idx="4364">
                  <c:v>0.87728133534164954</c:v>
                </c:pt>
                <c:pt idx="4365">
                  <c:v>0.87737179597934301</c:v>
                </c:pt>
                <c:pt idx="4366">
                  <c:v>0.87766503774400917</c:v>
                </c:pt>
                <c:pt idx="4367">
                  <c:v>0.87777357307186321</c:v>
                </c:pt>
                <c:pt idx="4368">
                  <c:v>0.87799117030954221</c:v>
                </c:pt>
                <c:pt idx="4369">
                  <c:v>0.87801225899966084</c:v>
                </c:pt>
                <c:pt idx="4370">
                  <c:v>0.87810881798395712</c:v>
                </c:pt>
                <c:pt idx="4371">
                  <c:v>0.87823534312155971</c:v>
                </c:pt>
                <c:pt idx="4372">
                  <c:v>0.87862489192684734</c:v>
                </c:pt>
                <c:pt idx="4373">
                  <c:v>0.87862586419214495</c:v>
                </c:pt>
                <c:pt idx="4374">
                  <c:v>0.87882370456009085</c:v>
                </c:pt>
                <c:pt idx="4375">
                  <c:v>0.87887052533551469</c:v>
                </c:pt>
                <c:pt idx="4376">
                  <c:v>0.87894699589287484</c:v>
                </c:pt>
                <c:pt idx="4377">
                  <c:v>0.87903867415661807</c:v>
                </c:pt>
                <c:pt idx="4378">
                  <c:v>0.87911056136817933</c:v>
                </c:pt>
                <c:pt idx="4379">
                  <c:v>0.87941500116994575</c:v>
                </c:pt>
                <c:pt idx="4380">
                  <c:v>0.87943421051932091</c:v>
                </c:pt>
                <c:pt idx="4381">
                  <c:v>0.87952776423207979</c:v>
                </c:pt>
                <c:pt idx="4382">
                  <c:v>0.87958819477717043</c:v>
                </c:pt>
                <c:pt idx="4383">
                  <c:v>0.87996374977412017</c:v>
                </c:pt>
                <c:pt idx="4384">
                  <c:v>0.88009709044217743</c:v>
                </c:pt>
                <c:pt idx="4385">
                  <c:v>0.88014546328759025</c:v>
                </c:pt>
                <c:pt idx="4386">
                  <c:v>0.88027724803305318</c:v>
                </c:pt>
                <c:pt idx="4387">
                  <c:v>0.88044974226068007</c:v>
                </c:pt>
                <c:pt idx="4388">
                  <c:v>0.8804983512727631</c:v>
                </c:pt>
                <c:pt idx="4389">
                  <c:v>0.88057409927661823</c:v>
                </c:pt>
                <c:pt idx="4390">
                  <c:v>0.88109696552055539</c:v>
                </c:pt>
                <c:pt idx="4391">
                  <c:v>0.88125344020136254</c:v>
                </c:pt>
                <c:pt idx="4392">
                  <c:v>0.88131562584658241</c:v>
                </c:pt>
                <c:pt idx="4393">
                  <c:v>0.88155597137574659</c:v>
                </c:pt>
                <c:pt idx="4394">
                  <c:v>0.88166614804595156</c:v>
                </c:pt>
                <c:pt idx="4395">
                  <c:v>0.88171887682619854</c:v>
                </c:pt>
                <c:pt idx="4396">
                  <c:v>0.88196793553015596</c:v>
                </c:pt>
                <c:pt idx="4397">
                  <c:v>0.88214262267774757</c:v>
                </c:pt>
                <c:pt idx="4398">
                  <c:v>0.88230368455606367</c:v>
                </c:pt>
                <c:pt idx="4399">
                  <c:v>0.88241133758856449</c:v>
                </c:pt>
                <c:pt idx="4400">
                  <c:v>0.8824230090567653</c:v>
                </c:pt>
                <c:pt idx="4401">
                  <c:v>0.88243257525209629</c:v>
                </c:pt>
                <c:pt idx="4402">
                  <c:v>0.88253755091318453</c:v>
                </c:pt>
                <c:pt idx="4403">
                  <c:v>0.88254751217664307</c:v>
                </c:pt>
                <c:pt idx="4404">
                  <c:v>0.8825883981617153</c:v>
                </c:pt>
                <c:pt idx="4405">
                  <c:v>0.88284592062245792</c:v>
                </c:pt>
                <c:pt idx="4406">
                  <c:v>0.88309237330759061</c:v>
                </c:pt>
                <c:pt idx="4407">
                  <c:v>0.8831391515705036</c:v>
                </c:pt>
                <c:pt idx="4408">
                  <c:v>0.88336330071342672</c:v>
                </c:pt>
                <c:pt idx="4409">
                  <c:v>0.88385713863317505</c:v>
                </c:pt>
                <c:pt idx="4410">
                  <c:v>0.88411102935242525</c:v>
                </c:pt>
                <c:pt idx="4411">
                  <c:v>0.88443287709287688</c:v>
                </c:pt>
                <c:pt idx="4412">
                  <c:v>0.88447707369959971</c:v>
                </c:pt>
                <c:pt idx="4413">
                  <c:v>0.8852059903447298</c:v>
                </c:pt>
                <c:pt idx="4414">
                  <c:v>0.88532511119592527</c:v>
                </c:pt>
                <c:pt idx="4415">
                  <c:v>0.88539267489159101</c:v>
                </c:pt>
                <c:pt idx="4416">
                  <c:v>0.88573015594192839</c:v>
                </c:pt>
                <c:pt idx="4417">
                  <c:v>0.88573566571176343</c:v>
                </c:pt>
                <c:pt idx="4418">
                  <c:v>0.88596301084089646</c:v>
                </c:pt>
                <c:pt idx="4419">
                  <c:v>0.88648018846379273</c:v>
                </c:pt>
                <c:pt idx="4420">
                  <c:v>0.88682155201513524</c:v>
                </c:pt>
                <c:pt idx="4421">
                  <c:v>0.88694602301802661</c:v>
                </c:pt>
                <c:pt idx="4422">
                  <c:v>0.88729813725694839</c:v>
                </c:pt>
                <c:pt idx="4423">
                  <c:v>0.88754481588875933</c:v>
                </c:pt>
                <c:pt idx="4424">
                  <c:v>0.88787909850816504</c:v>
                </c:pt>
                <c:pt idx="4425">
                  <c:v>0.88794280374895607</c:v>
                </c:pt>
                <c:pt idx="4426">
                  <c:v>0.88820308006961568</c:v>
                </c:pt>
                <c:pt idx="4427">
                  <c:v>0.88820720060175518</c:v>
                </c:pt>
                <c:pt idx="4428">
                  <c:v>0.88886395700137655</c:v>
                </c:pt>
                <c:pt idx="4429">
                  <c:v>0.88918621494485706</c:v>
                </c:pt>
                <c:pt idx="4430">
                  <c:v>0.88918799490238598</c:v>
                </c:pt>
                <c:pt idx="4431">
                  <c:v>0.88941571914710948</c:v>
                </c:pt>
                <c:pt idx="4432">
                  <c:v>0.88942594365926197</c:v>
                </c:pt>
                <c:pt idx="4433">
                  <c:v>0.88949224094903911</c:v>
                </c:pt>
                <c:pt idx="4434">
                  <c:v>0.88990395755536156</c:v>
                </c:pt>
                <c:pt idx="4435">
                  <c:v>0.88996240128471982</c:v>
                </c:pt>
                <c:pt idx="4436">
                  <c:v>0.89040519050558942</c:v>
                </c:pt>
                <c:pt idx="4437">
                  <c:v>0.89065895716066734</c:v>
                </c:pt>
                <c:pt idx="4438">
                  <c:v>0.89068511336245137</c:v>
                </c:pt>
                <c:pt idx="4439">
                  <c:v>0.89104124779714766</c:v>
                </c:pt>
                <c:pt idx="4440">
                  <c:v>0.89141240303797531</c:v>
                </c:pt>
                <c:pt idx="4441">
                  <c:v>0.89148737980940496</c:v>
                </c:pt>
                <c:pt idx="4442">
                  <c:v>0.89150352003525768</c:v>
                </c:pt>
                <c:pt idx="4443">
                  <c:v>0.89183070067429071</c:v>
                </c:pt>
                <c:pt idx="4444">
                  <c:v>0.89235364818159724</c:v>
                </c:pt>
                <c:pt idx="4445">
                  <c:v>0.89245551956082636</c:v>
                </c:pt>
                <c:pt idx="4446">
                  <c:v>0.89283235246875847</c:v>
                </c:pt>
                <c:pt idx="4447">
                  <c:v>0.89284096605751984</c:v>
                </c:pt>
                <c:pt idx="4448">
                  <c:v>0.89351808265928412</c:v>
                </c:pt>
                <c:pt idx="4449">
                  <c:v>0.89399940164366853</c:v>
                </c:pt>
                <c:pt idx="4450">
                  <c:v>0.89401351004198659</c:v>
                </c:pt>
                <c:pt idx="4451">
                  <c:v>0.89402226487345615</c:v>
                </c:pt>
                <c:pt idx="4452">
                  <c:v>0.89434696651642298</c:v>
                </c:pt>
                <c:pt idx="4453">
                  <c:v>0.89450792104616994</c:v>
                </c:pt>
                <c:pt idx="4454">
                  <c:v>0.89454849371486489</c:v>
                </c:pt>
                <c:pt idx="4455">
                  <c:v>0.89462512229783897</c:v>
                </c:pt>
                <c:pt idx="4456">
                  <c:v>0.89489103333198727</c:v>
                </c:pt>
                <c:pt idx="4457">
                  <c:v>0.89503217031051463</c:v>
                </c:pt>
                <c:pt idx="4458">
                  <c:v>0.89510013133440225</c:v>
                </c:pt>
                <c:pt idx="4459">
                  <c:v>0.89519227816617786</c:v>
                </c:pt>
                <c:pt idx="4460">
                  <c:v>0.89520689581149782</c:v>
                </c:pt>
                <c:pt idx="4461">
                  <c:v>0.89523873741836724</c:v>
                </c:pt>
                <c:pt idx="4462">
                  <c:v>0.8954940043431634</c:v>
                </c:pt>
                <c:pt idx="4463">
                  <c:v>0.89566556731369928</c:v>
                </c:pt>
                <c:pt idx="4464">
                  <c:v>0.89572848163879826</c:v>
                </c:pt>
                <c:pt idx="4465">
                  <c:v>0.89573596521222498</c:v>
                </c:pt>
                <c:pt idx="4466">
                  <c:v>0.89583188251799584</c:v>
                </c:pt>
                <c:pt idx="4467">
                  <c:v>0.89596737214742461</c:v>
                </c:pt>
                <c:pt idx="4468">
                  <c:v>0.89625157878435857</c:v>
                </c:pt>
                <c:pt idx="4469">
                  <c:v>0.89676590662838862</c:v>
                </c:pt>
                <c:pt idx="4470">
                  <c:v>0.89708048848842736</c:v>
                </c:pt>
                <c:pt idx="4471">
                  <c:v>0.89742325021870784</c:v>
                </c:pt>
                <c:pt idx="4472">
                  <c:v>0.89763141387538781</c:v>
                </c:pt>
                <c:pt idx="4473">
                  <c:v>0.89764756470958673</c:v>
                </c:pt>
                <c:pt idx="4474">
                  <c:v>0.89818450207803835</c:v>
                </c:pt>
                <c:pt idx="4475">
                  <c:v>0.89833207355877676</c:v>
                </c:pt>
                <c:pt idx="4476">
                  <c:v>0.89855893223921157</c:v>
                </c:pt>
                <c:pt idx="4477">
                  <c:v>0.89862592983081413</c:v>
                </c:pt>
                <c:pt idx="4478">
                  <c:v>0.89933193462820782</c:v>
                </c:pt>
                <c:pt idx="4479">
                  <c:v>0.89935192620851012</c:v>
                </c:pt>
                <c:pt idx="4480">
                  <c:v>0.89967735917161917</c:v>
                </c:pt>
                <c:pt idx="4481">
                  <c:v>0.89999997260474629</c:v>
                </c:pt>
                <c:pt idx="4482">
                  <c:v>0.90016893449683266</c:v>
                </c:pt>
                <c:pt idx="4483">
                  <c:v>0.90021996874656907</c:v>
                </c:pt>
                <c:pt idx="4484">
                  <c:v>0.90027509831998032</c:v>
                </c:pt>
                <c:pt idx="4485">
                  <c:v>0.90105540602507972</c:v>
                </c:pt>
                <c:pt idx="4486">
                  <c:v>0.90113592947727739</c:v>
                </c:pt>
                <c:pt idx="4487">
                  <c:v>0.90130951777337032</c:v>
                </c:pt>
                <c:pt idx="4488">
                  <c:v>0.90150177351824823</c:v>
                </c:pt>
                <c:pt idx="4489">
                  <c:v>0.90155395252622839</c:v>
                </c:pt>
                <c:pt idx="4490">
                  <c:v>0.90224984613632842</c:v>
                </c:pt>
                <c:pt idx="4491">
                  <c:v>0.90238740103359305</c:v>
                </c:pt>
                <c:pt idx="4492">
                  <c:v>0.90248945749681297</c:v>
                </c:pt>
                <c:pt idx="4493">
                  <c:v>0.90252239667825052</c:v>
                </c:pt>
                <c:pt idx="4494">
                  <c:v>0.90292142655653151</c:v>
                </c:pt>
                <c:pt idx="4495">
                  <c:v>0.90318218780703319</c:v>
                </c:pt>
                <c:pt idx="4496">
                  <c:v>0.90353725151453546</c:v>
                </c:pt>
                <c:pt idx="4497">
                  <c:v>0.90360405226238072</c:v>
                </c:pt>
                <c:pt idx="4498">
                  <c:v>0.90363537016128248</c:v>
                </c:pt>
                <c:pt idx="4499">
                  <c:v>0.90374200857331743</c:v>
                </c:pt>
                <c:pt idx="4500">
                  <c:v>0.90414205515298818</c:v>
                </c:pt>
                <c:pt idx="4501">
                  <c:v>0.90443681092801853</c:v>
                </c:pt>
                <c:pt idx="4502">
                  <c:v>0.90479186506763654</c:v>
                </c:pt>
                <c:pt idx="4503">
                  <c:v>0.90479597934972844</c:v>
                </c:pt>
                <c:pt idx="4504">
                  <c:v>0.90482524215349258</c:v>
                </c:pt>
                <c:pt idx="4505">
                  <c:v>0.90486519771820895</c:v>
                </c:pt>
                <c:pt idx="4506">
                  <c:v>0.904865826070818</c:v>
                </c:pt>
                <c:pt idx="4507">
                  <c:v>0.90521601640557492</c:v>
                </c:pt>
                <c:pt idx="4508">
                  <c:v>0.90546598338096373</c:v>
                </c:pt>
                <c:pt idx="4509">
                  <c:v>0.90585237600862456</c:v>
                </c:pt>
                <c:pt idx="4510">
                  <c:v>0.90613333286000852</c:v>
                </c:pt>
                <c:pt idx="4511">
                  <c:v>0.9061474699728933</c:v>
                </c:pt>
                <c:pt idx="4512">
                  <c:v>0.90622363075999601</c:v>
                </c:pt>
                <c:pt idx="4513">
                  <c:v>0.9062540479017116</c:v>
                </c:pt>
                <c:pt idx="4514">
                  <c:v>0.90626606890236872</c:v>
                </c:pt>
                <c:pt idx="4515">
                  <c:v>0.90641666150440869</c:v>
                </c:pt>
                <c:pt idx="4516">
                  <c:v>0.90658020792034222</c:v>
                </c:pt>
                <c:pt idx="4517">
                  <c:v>0.9068860897596096</c:v>
                </c:pt>
                <c:pt idx="4518">
                  <c:v>0.90747985808775411</c:v>
                </c:pt>
                <c:pt idx="4519">
                  <c:v>0.90762163469207735</c:v>
                </c:pt>
                <c:pt idx="4520">
                  <c:v>0.90767952686746867</c:v>
                </c:pt>
                <c:pt idx="4521">
                  <c:v>0.90786609158476494</c:v>
                </c:pt>
                <c:pt idx="4522">
                  <c:v>0.90848906923838513</c:v>
                </c:pt>
                <c:pt idx="4523">
                  <c:v>0.90863461580920557</c:v>
                </c:pt>
                <c:pt idx="4524">
                  <c:v>0.90891859238581674</c:v>
                </c:pt>
                <c:pt idx="4525">
                  <c:v>0.9090011881544342</c:v>
                </c:pt>
                <c:pt idx="4526">
                  <c:v>0.90912773731179186</c:v>
                </c:pt>
                <c:pt idx="4527">
                  <c:v>0.90921413874275459</c:v>
                </c:pt>
                <c:pt idx="4528">
                  <c:v>0.90924961699874984</c:v>
                </c:pt>
                <c:pt idx="4529">
                  <c:v>0.90944080290773854</c:v>
                </c:pt>
                <c:pt idx="4530">
                  <c:v>0.90946217581767996</c:v>
                </c:pt>
                <c:pt idx="4531">
                  <c:v>0.90953220799929113</c:v>
                </c:pt>
                <c:pt idx="4532">
                  <c:v>0.9098326800221912</c:v>
                </c:pt>
                <c:pt idx="4533">
                  <c:v>0.91034748071342619</c:v>
                </c:pt>
                <c:pt idx="4534">
                  <c:v>0.91047988374248234</c:v>
                </c:pt>
                <c:pt idx="4535">
                  <c:v>0.91055817392316385</c:v>
                </c:pt>
                <c:pt idx="4536">
                  <c:v>0.91088191115977679</c:v>
                </c:pt>
                <c:pt idx="4537">
                  <c:v>0.91098921374577913</c:v>
                </c:pt>
                <c:pt idx="4538">
                  <c:v>0.91118276783527108</c:v>
                </c:pt>
                <c:pt idx="4539">
                  <c:v>0.91124609436155879</c:v>
                </c:pt>
                <c:pt idx="4540">
                  <c:v>0.91137371008517221</c:v>
                </c:pt>
                <c:pt idx="4541">
                  <c:v>0.91145514694198937</c:v>
                </c:pt>
                <c:pt idx="4542">
                  <c:v>0.91146562686299148</c:v>
                </c:pt>
                <c:pt idx="4543">
                  <c:v>0.91150198863579135</c:v>
                </c:pt>
                <c:pt idx="4544">
                  <c:v>0.91164632181971683</c:v>
                </c:pt>
                <c:pt idx="4545">
                  <c:v>0.91169574584910151</c:v>
                </c:pt>
                <c:pt idx="4546">
                  <c:v>0.91235208742000395</c:v>
                </c:pt>
                <c:pt idx="4547">
                  <c:v>0.91242268682981376</c:v>
                </c:pt>
                <c:pt idx="4548">
                  <c:v>0.91287334338812798</c:v>
                </c:pt>
                <c:pt idx="4549">
                  <c:v>0.91294890455992572</c:v>
                </c:pt>
                <c:pt idx="4550">
                  <c:v>0.9129741733068073</c:v>
                </c:pt>
                <c:pt idx="4551">
                  <c:v>0.91304027003116062</c:v>
                </c:pt>
                <c:pt idx="4552">
                  <c:v>0.91314125393728318</c:v>
                </c:pt>
                <c:pt idx="4553">
                  <c:v>0.91315528263749002</c:v>
                </c:pt>
                <c:pt idx="4554">
                  <c:v>0.91319929381461407</c:v>
                </c:pt>
                <c:pt idx="4555">
                  <c:v>0.9134083706921956</c:v>
                </c:pt>
                <c:pt idx="4556">
                  <c:v>0.9134604909859263</c:v>
                </c:pt>
                <c:pt idx="4557">
                  <c:v>0.91348769820797315</c:v>
                </c:pt>
                <c:pt idx="4558">
                  <c:v>0.91393451532803738</c:v>
                </c:pt>
                <c:pt idx="4559">
                  <c:v>0.91422184523071337</c:v>
                </c:pt>
                <c:pt idx="4560">
                  <c:v>0.91428970989818481</c:v>
                </c:pt>
                <c:pt idx="4561">
                  <c:v>0.91477725568165624</c:v>
                </c:pt>
                <c:pt idx="4562">
                  <c:v>0.91478275971076073</c:v>
                </c:pt>
                <c:pt idx="4563">
                  <c:v>0.91485166265647422</c:v>
                </c:pt>
                <c:pt idx="4564">
                  <c:v>0.91517486963766714</c:v>
                </c:pt>
                <c:pt idx="4565">
                  <c:v>0.91549046968339098</c:v>
                </c:pt>
                <c:pt idx="4566">
                  <c:v>0.91566038140354067</c:v>
                </c:pt>
                <c:pt idx="4567">
                  <c:v>0.91577884069010906</c:v>
                </c:pt>
                <c:pt idx="4568">
                  <c:v>0.91587587168123719</c:v>
                </c:pt>
                <c:pt idx="4569">
                  <c:v>0.91607516271778877</c:v>
                </c:pt>
                <c:pt idx="4570">
                  <c:v>0.91617319623128424</c:v>
                </c:pt>
                <c:pt idx="4571">
                  <c:v>0.91620726324163115</c:v>
                </c:pt>
                <c:pt idx="4572">
                  <c:v>0.91636371971617336</c:v>
                </c:pt>
                <c:pt idx="4573">
                  <c:v>0.91650596089039027</c:v>
                </c:pt>
                <c:pt idx="4574">
                  <c:v>0.91663805972075352</c:v>
                </c:pt>
                <c:pt idx="4575">
                  <c:v>0.9167138068451095</c:v>
                </c:pt>
                <c:pt idx="4576">
                  <c:v>0.91689152754224779</c:v>
                </c:pt>
                <c:pt idx="4577">
                  <c:v>0.91694710704450699</c:v>
                </c:pt>
                <c:pt idx="4578">
                  <c:v>0.91739043374491303</c:v>
                </c:pt>
                <c:pt idx="4579">
                  <c:v>0.91750920568756555</c:v>
                </c:pt>
                <c:pt idx="4580">
                  <c:v>0.91755487223326782</c:v>
                </c:pt>
                <c:pt idx="4581">
                  <c:v>0.91791208279028069</c:v>
                </c:pt>
                <c:pt idx="4582">
                  <c:v>0.91793824853539263</c:v>
                </c:pt>
                <c:pt idx="4583">
                  <c:v>0.91811398433037539</c:v>
                </c:pt>
                <c:pt idx="4584">
                  <c:v>0.91818803977730568</c:v>
                </c:pt>
                <c:pt idx="4585">
                  <c:v>0.91831666541202139</c:v>
                </c:pt>
                <c:pt idx="4586">
                  <c:v>0.91838518189433671</c:v>
                </c:pt>
                <c:pt idx="4587">
                  <c:v>0.91850926233382779</c:v>
                </c:pt>
                <c:pt idx="4588">
                  <c:v>0.91872037366738368</c:v>
                </c:pt>
                <c:pt idx="4589">
                  <c:v>0.91893678131694401</c:v>
                </c:pt>
                <c:pt idx="4590">
                  <c:v>0.91911262935809646</c:v>
                </c:pt>
                <c:pt idx="4591">
                  <c:v>0.91940570100089758</c:v>
                </c:pt>
                <c:pt idx="4592">
                  <c:v>0.9195796652129502</c:v>
                </c:pt>
                <c:pt idx="4593">
                  <c:v>0.92006910989312019</c:v>
                </c:pt>
                <c:pt idx="4594">
                  <c:v>0.92021526086136873</c:v>
                </c:pt>
                <c:pt idx="4595">
                  <c:v>0.92032179305078898</c:v>
                </c:pt>
                <c:pt idx="4596">
                  <c:v>0.92062994522621011</c:v>
                </c:pt>
                <c:pt idx="4597">
                  <c:v>0.92090573222321837</c:v>
                </c:pt>
                <c:pt idx="4598">
                  <c:v>0.92124886433521169</c:v>
                </c:pt>
                <c:pt idx="4599">
                  <c:v>0.92132885458431701</c:v>
                </c:pt>
                <c:pt idx="4600">
                  <c:v>0.92140371560890344</c:v>
                </c:pt>
                <c:pt idx="4601">
                  <c:v>0.9215244987854021</c:v>
                </c:pt>
                <c:pt idx="4602">
                  <c:v>0.92153950737611012</c:v>
                </c:pt>
                <c:pt idx="4603">
                  <c:v>0.92165896471942688</c:v>
                </c:pt>
                <c:pt idx="4604">
                  <c:v>0.92168031459368649</c:v>
                </c:pt>
                <c:pt idx="4605">
                  <c:v>0.92169742793157639</c:v>
                </c:pt>
                <c:pt idx="4606">
                  <c:v>0.92174221939785639</c:v>
                </c:pt>
                <c:pt idx="4607">
                  <c:v>0.92180288451254455</c:v>
                </c:pt>
                <c:pt idx="4608">
                  <c:v>0.92191735792860641</c:v>
                </c:pt>
                <c:pt idx="4609">
                  <c:v>0.92229978020895942</c:v>
                </c:pt>
                <c:pt idx="4610">
                  <c:v>0.92234016838028765</c:v>
                </c:pt>
                <c:pt idx="4611">
                  <c:v>0.92244090142958157</c:v>
                </c:pt>
                <c:pt idx="4612">
                  <c:v>0.92245341369198286</c:v>
                </c:pt>
                <c:pt idx="4613">
                  <c:v>0.92264048491779249</c:v>
                </c:pt>
                <c:pt idx="4614">
                  <c:v>0.92270697905678389</c:v>
                </c:pt>
                <c:pt idx="4615">
                  <c:v>0.92276118970858079</c:v>
                </c:pt>
                <c:pt idx="4616">
                  <c:v>0.92289148110285169</c:v>
                </c:pt>
                <c:pt idx="4617">
                  <c:v>0.92345080437098659</c:v>
                </c:pt>
                <c:pt idx="4618">
                  <c:v>0.92346504686884145</c:v>
                </c:pt>
                <c:pt idx="4619">
                  <c:v>0.92355583858989121</c:v>
                </c:pt>
                <c:pt idx="4620">
                  <c:v>0.92367581411235733</c:v>
                </c:pt>
                <c:pt idx="4621">
                  <c:v>0.92379457761398953</c:v>
                </c:pt>
                <c:pt idx="4622">
                  <c:v>0.92390188462559308</c:v>
                </c:pt>
                <c:pt idx="4623">
                  <c:v>0.92391204473460675</c:v>
                </c:pt>
                <c:pt idx="4624">
                  <c:v>0.92399954913616966</c:v>
                </c:pt>
                <c:pt idx="4625">
                  <c:v>0.92445271593260259</c:v>
                </c:pt>
                <c:pt idx="4626">
                  <c:v>0.92448104871709802</c:v>
                </c:pt>
                <c:pt idx="4627">
                  <c:v>0.92448649331163324</c:v>
                </c:pt>
                <c:pt idx="4628">
                  <c:v>0.92474623436464753</c:v>
                </c:pt>
                <c:pt idx="4629">
                  <c:v>0.92486207955516875</c:v>
                </c:pt>
                <c:pt idx="4630">
                  <c:v>0.92498997027632868</c:v>
                </c:pt>
                <c:pt idx="4631">
                  <c:v>0.92521699122335122</c:v>
                </c:pt>
                <c:pt idx="4632">
                  <c:v>0.92541010190416273</c:v>
                </c:pt>
                <c:pt idx="4633">
                  <c:v>0.92546130040227581</c:v>
                </c:pt>
                <c:pt idx="4634">
                  <c:v>0.92650761520053493</c:v>
                </c:pt>
                <c:pt idx="4635">
                  <c:v>0.92679467334983201</c:v>
                </c:pt>
                <c:pt idx="4636">
                  <c:v>0.92778578919478605</c:v>
                </c:pt>
                <c:pt idx="4637">
                  <c:v>0.92785463285690639</c:v>
                </c:pt>
                <c:pt idx="4638">
                  <c:v>0.92785915334388847</c:v>
                </c:pt>
                <c:pt idx="4639">
                  <c:v>0.92793725433057261</c:v>
                </c:pt>
                <c:pt idx="4640">
                  <c:v>0.92813822283551417</c:v>
                </c:pt>
                <c:pt idx="4641">
                  <c:v>0.92843104106577812</c:v>
                </c:pt>
                <c:pt idx="4642">
                  <c:v>0.92849317932495978</c:v>
                </c:pt>
                <c:pt idx="4643">
                  <c:v>0.9285573299139287</c:v>
                </c:pt>
                <c:pt idx="4644">
                  <c:v>0.92871554877547169</c:v>
                </c:pt>
                <c:pt idx="4645">
                  <c:v>0.9289162056047644</c:v>
                </c:pt>
                <c:pt idx="4646">
                  <c:v>0.9296635381933811</c:v>
                </c:pt>
                <c:pt idx="4647">
                  <c:v>0.9296821285288388</c:v>
                </c:pt>
                <c:pt idx="4648">
                  <c:v>0.9298975316232827</c:v>
                </c:pt>
                <c:pt idx="4649">
                  <c:v>0.93008448274940747</c:v>
                </c:pt>
                <c:pt idx="4650">
                  <c:v>0.93010849019812558</c:v>
                </c:pt>
                <c:pt idx="4651">
                  <c:v>0.93012893600825919</c:v>
                </c:pt>
                <c:pt idx="4652">
                  <c:v>0.93025321847835585</c:v>
                </c:pt>
                <c:pt idx="4653">
                  <c:v>0.93048064575577882</c:v>
                </c:pt>
                <c:pt idx="4654">
                  <c:v>0.93054824751015985</c:v>
                </c:pt>
                <c:pt idx="4655">
                  <c:v>0.93059701688889618</c:v>
                </c:pt>
                <c:pt idx="4656">
                  <c:v>0.93109565152462892</c:v>
                </c:pt>
                <c:pt idx="4657">
                  <c:v>0.93128904724017048</c:v>
                </c:pt>
                <c:pt idx="4658">
                  <c:v>0.9313499391764708</c:v>
                </c:pt>
                <c:pt idx="4659">
                  <c:v>0.93145537773943943</c:v>
                </c:pt>
                <c:pt idx="4660">
                  <c:v>0.93156448078025278</c:v>
                </c:pt>
                <c:pt idx="4661">
                  <c:v>0.93167931154584949</c:v>
                </c:pt>
                <c:pt idx="4662">
                  <c:v>0.93183663769741543</c:v>
                </c:pt>
                <c:pt idx="4663">
                  <c:v>0.93196484011969005</c:v>
                </c:pt>
                <c:pt idx="4664">
                  <c:v>0.93213885479417513</c:v>
                </c:pt>
                <c:pt idx="4665">
                  <c:v>0.93262082486853615</c:v>
                </c:pt>
                <c:pt idx="4666">
                  <c:v>0.93262770155251928</c:v>
                </c:pt>
                <c:pt idx="4667">
                  <c:v>0.93277750892866607</c:v>
                </c:pt>
                <c:pt idx="4668">
                  <c:v>0.93287618266913341</c:v>
                </c:pt>
                <c:pt idx="4669">
                  <c:v>0.93339185104377975</c:v>
                </c:pt>
                <c:pt idx="4670">
                  <c:v>0.93340673877992231</c:v>
                </c:pt>
                <c:pt idx="4671">
                  <c:v>0.93347210930551228</c:v>
                </c:pt>
                <c:pt idx="4672">
                  <c:v>0.9336961004355544</c:v>
                </c:pt>
                <c:pt idx="4673">
                  <c:v>0.93387955939488165</c:v>
                </c:pt>
                <c:pt idx="4674">
                  <c:v>0.93398482874727051</c:v>
                </c:pt>
                <c:pt idx="4675">
                  <c:v>0.93484028047168977</c:v>
                </c:pt>
                <c:pt idx="4676">
                  <c:v>0.93563045114660781</c:v>
                </c:pt>
                <c:pt idx="4677">
                  <c:v>0.93592703826197976</c:v>
                </c:pt>
                <c:pt idx="4678">
                  <c:v>0.93604358689026412</c:v>
                </c:pt>
                <c:pt idx="4679">
                  <c:v>0.93635227428148937</c:v>
                </c:pt>
                <c:pt idx="4680">
                  <c:v>0.9364472221059259</c:v>
                </c:pt>
                <c:pt idx="4681">
                  <c:v>0.93670118120553525</c:v>
                </c:pt>
                <c:pt idx="4682">
                  <c:v>0.93712119015799544</c:v>
                </c:pt>
                <c:pt idx="4683">
                  <c:v>0.93712527595835127</c:v>
                </c:pt>
                <c:pt idx="4684">
                  <c:v>0.9372484711739304</c:v>
                </c:pt>
                <c:pt idx="4685">
                  <c:v>0.93810119008503534</c:v>
                </c:pt>
                <c:pt idx="4686">
                  <c:v>0.93822240861663886</c:v>
                </c:pt>
                <c:pt idx="4687">
                  <c:v>0.93845931425039453</c:v>
                </c:pt>
                <c:pt idx="4688">
                  <c:v>0.93857140293584962</c:v>
                </c:pt>
                <c:pt idx="4689">
                  <c:v>0.93858909532718826</c:v>
                </c:pt>
                <c:pt idx="4690">
                  <c:v>0.93869184208324441</c:v>
                </c:pt>
                <c:pt idx="4691">
                  <c:v>0.9386971655421803</c:v>
                </c:pt>
                <c:pt idx="4692">
                  <c:v>0.93902733343202271</c:v>
                </c:pt>
                <c:pt idx="4693">
                  <c:v>0.93922080893753446</c:v>
                </c:pt>
                <c:pt idx="4694">
                  <c:v>0.93928469957791094</c:v>
                </c:pt>
                <c:pt idx="4695">
                  <c:v>0.93928907415283902</c:v>
                </c:pt>
                <c:pt idx="4696">
                  <c:v>0.93934744933903858</c:v>
                </c:pt>
                <c:pt idx="4697">
                  <c:v>0.94014367910494911</c:v>
                </c:pt>
                <c:pt idx="4698">
                  <c:v>0.94040468118237186</c:v>
                </c:pt>
                <c:pt idx="4699">
                  <c:v>0.94086414527285456</c:v>
                </c:pt>
                <c:pt idx="4700">
                  <c:v>0.94086769427758554</c:v>
                </c:pt>
                <c:pt idx="4701">
                  <c:v>0.9414461300793846</c:v>
                </c:pt>
                <c:pt idx="4702">
                  <c:v>0.94157917622305831</c:v>
                </c:pt>
                <c:pt idx="4703">
                  <c:v>0.94171630171240395</c:v>
                </c:pt>
                <c:pt idx="4704">
                  <c:v>0.94173529239560594</c:v>
                </c:pt>
                <c:pt idx="4705">
                  <c:v>0.94174165076037752</c:v>
                </c:pt>
                <c:pt idx="4706">
                  <c:v>0.94213654724990192</c:v>
                </c:pt>
                <c:pt idx="4707">
                  <c:v>0.94234666400916467</c:v>
                </c:pt>
                <c:pt idx="4708">
                  <c:v>0.94256741950084688</c:v>
                </c:pt>
                <c:pt idx="4709">
                  <c:v>0.94257724396084086</c:v>
                </c:pt>
                <c:pt idx="4710">
                  <c:v>0.94269419150532485</c:v>
                </c:pt>
                <c:pt idx="4711">
                  <c:v>0.94277473393412947</c:v>
                </c:pt>
                <c:pt idx="4712">
                  <c:v>0.94302221753150661</c:v>
                </c:pt>
                <c:pt idx="4713">
                  <c:v>0.94313792360753723</c:v>
                </c:pt>
                <c:pt idx="4714">
                  <c:v>0.94332003969793732</c:v>
                </c:pt>
                <c:pt idx="4715">
                  <c:v>0.94363444536520547</c:v>
                </c:pt>
                <c:pt idx="4716">
                  <c:v>0.9441647505873334</c:v>
                </c:pt>
                <c:pt idx="4717">
                  <c:v>0.94417518112186372</c:v>
                </c:pt>
                <c:pt idx="4718">
                  <c:v>0.94477838924285606</c:v>
                </c:pt>
                <c:pt idx="4719">
                  <c:v>0.9450111247415407</c:v>
                </c:pt>
                <c:pt idx="4720">
                  <c:v>0.94502472954354744</c:v>
                </c:pt>
                <c:pt idx="4721">
                  <c:v>0.94515879090158705</c:v>
                </c:pt>
                <c:pt idx="4722">
                  <c:v>0.94540443040023092</c:v>
                </c:pt>
                <c:pt idx="4723">
                  <c:v>0.94541763962752157</c:v>
                </c:pt>
                <c:pt idx="4724">
                  <c:v>0.94578847077991668</c:v>
                </c:pt>
                <c:pt idx="4725">
                  <c:v>0.94580312153721025</c:v>
                </c:pt>
                <c:pt idx="4726">
                  <c:v>0.94644313053868245</c:v>
                </c:pt>
                <c:pt idx="4727">
                  <c:v>0.94671164683313691</c:v>
                </c:pt>
                <c:pt idx="4728">
                  <c:v>0.94686615125374374</c:v>
                </c:pt>
                <c:pt idx="4729">
                  <c:v>0.9470329651294378</c:v>
                </c:pt>
                <c:pt idx="4730">
                  <c:v>0.9477987856234904</c:v>
                </c:pt>
                <c:pt idx="4731">
                  <c:v>0.94791112286111456</c:v>
                </c:pt>
                <c:pt idx="4732">
                  <c:v>0.94850561833027314</c:v>
                </c:pt>
                <c:pt idx="4733">
                  <c:v>0.94890940478762786</c:v>
                </c:pt>
                <c:pt idx="4734">
                  <c:v>0.94951775673507655</c:v>
                </c:pt>
                <c:pt idx="4735">
                  <c:v>0.9497367886306165</c:v>
                </c:pt>
                <c:pt idx="4736">
                  <c:v>0.95011442648683442</c:v>
                </c:pt>
                <c:pt idx="4737">
                  <c:v>0.95022031341250113</c:v>
                </c:pt>
                <c:pt idx="4738">
                  <c:v>0.95047535477897327</c:v>
                </c:pt>
                <c:pt idx="4739">
                  <c:v>0.95058711308502097</c:v>
                </c:pt>
                <c:pt idx="4740">
                  <c:v>0.95061762069417455</c:v>
                </c:pt>
                <c:pt idx="4741">
                  <c:v>0.95085922631736253</c:v>
                </c:pt>
                <c:pt idx="4742">
                  <c:v>0.95088524937546026</c:v>
                </c:pt>
                <c:pt idx="4743">
                  <c:v>0.95100714500404138</c:v>
                </c:pt>
                <c:pt idx="4744">
                  <c:v>0.95117100837072144</c:v>
                </c:pt>
                <c:pt idx="4745">
                  <c:v>0.95131329737614578</c:v>
                </c:pt>
                <c:pt idx="4746">
                  <c:v>0.95141011184568924</c:v>
                </c:pt>
                <c:pt idx="4747">
                  <c:v>0.95206475836585014</c:v>
                </c:pt>
                <c:pt idx="4748">
                  <c:v>0.95221114253490668</c:v>
                </c:pt>
                <c:pt idx="4749">
                  <c:v>0.9522953270443395</c:v>
                </c:pt>
                <c:pt idx="4750">
                  <c:v>0.95246021618277155</c:v>
                </c:pt>
                <c:pt idx="4751">
                  <c:v>0.95246794741979102</c:v>
                </c:pt>
                <c:pt idx="4752">
                  <c:v>0.95304294382822263</c:v>
                </c:pt>
                <c:pt idx="4753">
                  <c:v>0.9531654390048061</c:v>
                </c:pt>
                <c:pt idx="4754">
                  <c:v>0.95318408704588364</c:v>
                </c:pt>
                <c:pt idx="4755">
                  <c:v>0.95319390268468851</c:v>
                </c:pt>
                <c:pt idx="4756">
                  <c:v>0.95358607561229292</c:v>
                </c:pt>
                <c:pt idx="4757">
                  <c:v>0.95358668345033948</c:v>
                </c:pt>
                <c:pt idx="4758">
                  <c:v>0.9537883624807364</c:v>
                </c:pt>
                <c:pt idx="4759">
                  <c:v>0.95379067235353432</c:v>
                </c:pt>
                <c:pt idx="4760">
                  <c:v>0.95394730077441636</c:v>
                </c:pt>
                <c:pt idx="4761">
                  <c:v>0.9543049046797023</c:v>
                </c:pt>
                <c:pt idx="4762">
                  <c:v>0.95431412589186948</c:v>
                </c:pt>
                <c:pt idx="4763">
                  <c:v>0.95434787349768158</c:v>
                </c:pt>
                <c:pt idx="4764">
                  <c:v>0.95439907383843092</c:v>
                </c:pt>
                <c:pt idx="4765">
                  <c:v>0.95468194273507834</c:v>
                </c:pt>
                <c:pt idx="4766">
                  <c:v>0.95497739013353566</c:v>
                </c:pt>
                <c:pt idx="4767">
                  <c:v>0.95551331263686734</c:v>
                </c:pt>
                <c:pt idx="4768">
                  <c:v>0.9565152609238794</c:v>
                </c:pt>
                <c:pt idx="4769">
                  <c:v>0.9569246870578354</c:v>
                </c:pt>
                <c:pt idx="4770">
                  <c:v>0.95725048504482402</c:v>
                </c:pt>
                <c:pt idx="4771">
                  <c:v>0.95748066515716346</c:v>
                </c:pt>
                <c:pt idx="4772">
                  <c:v>0.95749701141357946</c:v>
                </c:pt>
                <c:pt idx="4773">
                  <c:v>0.95753953679286496</c:v>
                </c:pt>
                <c:pt idx="4774">
                  <c:v>0.95799198903841898</c:v>
                </c:pt>
                <c:pt idx="4775">
                  <c:v>0.95803528255510173</c:v>
                </c:pt>
                <c:pt idx="4776">
                  <c:v>0.95805466383899329</c:v>
                </c:pt>
                <c:pt idx="4777">
                  <c:v>0.95845887751329428</c:v>
                </c:pt>
                <c:pt idx="4778">
                  <c:v>0.95860883883688075</c:v>
                </c:pt>
                <c:pt idx="4779">
                  <c:v>0.95870249490417336</c:v>
                </c:pt>
                <c:pt idx="4780">
                  <c:v>0.95900652110412921</c:v>
                </c:pt>
                <c:pt idx="4781">
                  <c:v>0.95903842054485722</c:v>
                </c:pt>
                <c:pt idx="4782">
                  <c:v>0.95907045493640908</c:v>
                </c:pt>
                <c:pt idx="4783">
                  <c:v>0.95920269293765159</c:v>
                </c:pt>
                <c:pt idx="4784">
                  <c:v>0.95952994057824981</c:v>
                </c:pt>
                <c:pt idx="4785">
                  <c:v>0.95978418099730334</c:v>
                </c:pt>
                <c:pt idx="4786">
                  <c:v>0.96035695240334462</c:v>
                </c:pt>
                <c:pt idx="4787">
                  <c:v>0.96072016860944132</c:v>
                </c:pt>
                <c:pt idx="4788">
                  <c:v>0.96084086059727269</c:v>
                </c:pt>
                <c:pt idx="4789">
                  <c:v>0.96095736724873859</c:v>
                </c:pt>
                <c:pt idx="4790">
                  <c:v>0.96118520160962362</c:v>
                </c:pt>
                <c:pt idx="4791">
                  <c:v>0.9615134253526918</c:v>
                </c:pt>
                <c:pt idx="4792">
                  <c:v>0.9617500798403853</c:v>
                </c:pt>
                <c:pt idx="4793">
                  <c:v>0.96190767385542131</c:v>
                </c:pt>
                <c:pt idx="4794">
                  <c:v>0.96195933979834081</c:v>
                </c:pt>
                <c:pt idx="4795">
                  <c:v>0.9622238791835116</c:v>
                </c:pt>
                <c:pt idx="4796">
                  <c:v>0.96223042877682019</c:v>
                </c:pt>
                <c:pt idx="4797">
                  <c:v>0.96224905907001812</c:v>
                </c:pt>
                <c:pt idx="4798">
                  <c:v>0.96326649515594909</c:v>
                </c:pt>
                <c:pt idx="4799">
                  <c:v>0.96334437146560958</c:v>
                </c:pt>
                <c:pt idx="4800">
                  <c:v>0.96346384969865539</c:v>
                </c:pt>
                <c:pt idx="4801">
                  <c:v>0.96348631924229267</c:v>
                </c:pt>
                <c:pt idx="4802">
                  <c:v>0.96381943906726519</c:v>
                </c:pt>
                <c:pt idx="4803">
                  <c:v>0.96383154175782693</c:v>
                </c:pt>
                <c:pt idx="4804">
                  <c:v>0.96394711375251063</c:v>
                </c:pt>
                <c:pt idx="4805">
                  <c:v>0.96550213197770063</c:v>
                </c:pt>
                <c:pt idx="4806">
                  <c:v>0.96569497152086115</c:v>
                </c:pt>
                <c:pt idx="4807">
                  <c:v>0.96623306478704762</c:v>
                </c:pt>
                <c:pt idx="4808">
                  <c:v>0.96624247824274789</c:v>
                </c:pt>
                <c:pt idx="4809">
                  <c:v>0.96624398128642497</c:v>
                </c:pt>
                <c:pt idx="4810">
                  <c:v>0.96627509225072572</c:v>
                </c:pt>
                <c:pt idx="4811">
                  <c:v>0.96633301667498017</c:v>
                </c:pt>
                <c:pt idx="4812">
                  <c:v>0.9668349384519388</c:v>
                </c:pt>
                <c:pt idx="4813">
                  <c:v>0.966947789889673</c:v>
                </c:pt>
                <c:pt idx="4814">
                  <c:v>0.96703538763813413</c:v>
                </c:pt>
                <c:pt idx="4815">
                  <c:v>0.96703693738618313</c:v>
                </c:pt>
                <c:pt idx="4816">
                  <c:v>0.96708884952204244</c:v>
                </c:pt>
                <c:pt idx="4817">
                  <c:v>0.96713417420323822</c:v>
                </c:pt>
                <c:pt idx="4818">
                  <c:v>0.96722212058466539</c:v>
                </c:pt>
                <c:pt idx="4819">
                  <c:v>0.96752084687159368</c:v>
                </c:pt>
                <c:pt idx="4820">
                  <c:v>0.96766036362259911</c:v>
                </c:pt>
                <c:pt idx="4821">
                  <c:v>0.9676935066408987</c:v>
                </c:pt>
                <c:pt idx="4822">
                  <c:v>0.96774565449413785</c:v>
                </c:pt>
                <c:pt idx="4823">
                  <c:v>0.96779145267555577</c:v>
                </c:pt>
                <c:pt idx="4824">
                  <c:v>0.96782473598250363</c:v>
                </c:pt>
                <c:pt idx="4825">
                  <c:v>0.968197557746862</c:v>
                </c:pt>
                <c:pt idx="4826">
                  <c:v>0.96830410839538672</c:v>
                </c:pt>
                <c:pt idx="4827">
                  <c:v>0.96859207978650375</c:v>
                </c:pt>
                <c:pt idx="4828">
                  <c:v>0.9686731011415759</c:v>
                </c:pt>
                <c:pt idx="4829">
                  <c:v>0.96897396126860258</c:v>
                </c:pt>
                <c:pt idx="4830">
                  <c:v>0.96913427352319559</c:v>
                </c:pt>
                <c:pt idx="4831">
                  <c:v>0.96917756809489219</c:v>
                </c:pt>
                <c:pt idx="4832">
                  <c:v>0.96919664082179224</c:v>
                </c:pt>
                <c:pt idx="4833">
                  <c:v>0.96921431346072495</c:v>
                </c:pt>
                <c:pt idx="4834">
                  <c:v>0.96931208805472124</c:v>
                </c:pt>
                <c:pt idx="4835">
                  <c:v>0.96943379410549824</c:v>
                </c:pt>
                <c:pt idx="4836">
                  <c:v>0.96984267789957812</c:v>
                </c:pt>
                <c:pt idx="4837">
                  <c:v>0.9699871890443319</c:v>
                </c:pt>
                <c:pt idx="4838">
                  <c:v>0.97010269441125274</c:v>
                </c:pt>
                <c:pt idx="4839">
                  <c:v>0.97017476094697486</c:v>
                </c:pt>
                <c:pt idx="4840">
                  <c:v>0.97036547339939716</c:v>
                </c:pt>
                <c:pt idx="4841">
                  <c:v>0.97059307304789399</c:v>
                </c:pt>
                <c:pt idx="4842">
                  <c:v>0.97166704940445925</c:v>
                </c:pt>
                <c:pt idx="4843">
                  <c:v>0.97168411206348537</c:v>
                </c:pt>
                <c:pt idx="4844">
                  <c:v>0.97173783645121148</c:v>
                </c:pt>
                <c:pt idx="4845">
                  <c:v>0.97195615884538711</c:v>
                </c:pt>
                <c:pt idx="4846">
                  <c:v>0.97214517540760426</c:v>
                </c:pt>
                <c:pt idx="4847">
                  <c:v>0.97217052445557783</c:v>
                </c:pt>
                <c:pt idx="4848">
                  <c:v>0.97238766138525534</c:v>
                </c:pt>
                <c:pt idx="4849">
                  <c:v>0.97246684772017034</c:v>
                </c:pt>
                <c:pt idx="4850">
                  <c:v>0.97247093126952677</c:v>
                </c:pt>
                <c:pt idx="4851">
                  <c:v>0.97252429512627714</c:v>
                </c:pt>
                <c:pt idx="4852">
                  <c:v>0.97264941699540941</c:v>
                </c:pt>
                <c:pt idx="4853">
                  <c:v>0.97270417831441591</c:v>
                </c:pt>
                <c:pt idx="4854">
                  <c:v>0.97280980705727416</c:v>
                </c:pt>
                <c:pt idx="4855">
                  <c:v>0.97299936192393943</c:v>
                </c:pt>
                <c:pt idx="4856">
                  <c:v>0.97318077579529927</c:v>
                </c:pt>
                <c:pt idx="4857">
                  <c:v>0.97322213038660266</c:v>
                </c:pt>
                <c:pt idx="4858">
                  <c:v>0.97390550372983853</c:v>
                </c:pt>
                <c:pt idx="4859">
                  <c:v>0.97438119574690063</c:v>
                </c:pt>
                <c:pt idx="4860">
                  <c:v>0.97454731313973753</c:v>
                </c:pt>
                <c:pt idx="4861">
                  <c:v>0.97463649251585593</c:v>
                </c:pt>
                <c:pt idx="4862">
                  <c:v>0.97467651613533235</c:v>
                </c:pt>
                <c:pt idx="4863">
                  <c:v>0.97473398012334656</c:v>
                </c:pt>
                <c:pt idx="4864">
                  <c:v>0.97491901205285103</c:v>
                </c:pt>
                <c:pt idx="4865">
                  <c:v>0.9750219809848204</c:v>
                </c:pt>
                <c:pt idx="4866">
                  <c:v>0.97505565250867221</c:v>
                </c:pt>
                <c:pt idx="4867">
                  <c:v>0.97527445653304312</c:v>
                </c:pt>
                <c:pt idx="4868">
                  <c:v>0.97551775988449663</c:v>
                </c:pt>
                <c:pt idx="4869">
                  <c:v>0.97579660529208923</c:v>
                </c:pt>
                <c:pt idx="4870">
                  <c:v>0.97602765975989314</c:v>
                </c:pt>
                <c:pt idx="4871">
                  <c:v>0.9761129009857541</c:v>
                </c:pt>
                <c:pt idx="4872">
                  <c:v>0.97634391266728926</c:v>
                </c:pt>
                <c:pt idx="4873">
                  <c:v>0.97661735502970259</c:v>
                </c:pt>
                <c:pt idx="4874">
                  <c:v>0.97678176491535851</c:v>
                </c:pt>
                <c:pt idx="4875">
                  <c:v>0.9767961491479582</c:v>
                </c:pt>
                <c:pt idx="4876">
                  <c:v>0.97683650290491641</c:v>
                </c:pt>
                <c:pt idx="4877">
                  <c:v>0.97708208585936518</c:v>
                </c:pt>
                <c:pt idx="4878">
                  <c:v>0.97711733031064796</c:v>
                </c:pt>
                <c:pt idx="4879">
                  <c:v>0.97768727141556155</c:v>
                </c:pt>
                <c:pt idx="4880">
                  <c:v>0.97772947291923629</c:v>
                </c:pt>
                <c:pt idx="4881">
                  <c:v>0.97788551290068426</c:v>
                </c:pt>
                <c:pt idx="4882">
                  <c:v>0.97797019707286381</c:v>
                </c:pt>
                <c:pt idx="4883">
                  <c:v>0.97807604418451888</c:v>
                </c:pt>
                <c:pt idx="4884">
                  <c:v>0.97835654700793384</c:v>
                </c:pt>
                <c:pt idx="4885">
                  <c:v>0.97860126326122554</c:v>
                </c:pt>
                <c:pt idx="4886">
                  <c:v>0.97883545345302991</c:v>
                </c:pt>
                <c:pt idx="4887">
                  <c:v>0.97887686258218309</c:v>
                </c:pt>
                <c:pt idx="4888">
                  <c:v>0.97906427457837708</c:v>
                </c:pt>
                <c:pt idx="4889">
                  <c:v>0.97917115961172385</c:v>
                </c:pt>
                <c:pt idx="4890">
                  <c:v>0.97919514218847326</c:v>
                </c:pt>
                <c:pt idx="4891">
                  <c:v>0.97947574678346427</c:v>
                </c:pt>
                <c:pt idx="4892">
                  <c:v>0.98010973990221828</c:v>
                </c:pt>
                <c:pt idx="4893">
                  <c:v>0.98075352376872615</c:v>
                </c:pt>
                <c:pt idx="4894">
                  <c:v>0.98082481400888355</c:v>
                </c:pt>
                <c:pt idx="4895">
                  <c:v>0.98090174051776557</c:v>
                </c:pt>
                <c:pt idx="4896">
                  <c:v>0.98140132985827222</c:v>
                </c:pt>
                <c:pt idx="4897">
                  <c:v>0.98155189183671609</c:v>
                </c:pt>
                <c:pt idx="4898">
                  <c:v>0.98158748306650523</c:v>
                </c:pt>
                <c:pt idx="4899">
                  <c:v>0.98167831532464334</c:v>
                </c:pt>
                <c:pt idx="4900">
                  <c:v>0.98183069117931154</c:v>
                </c:pt>
                <c:pt idx="4901">
                  <c:v>0.98193184390038368</c:v>
                </c:pt>
                <c:pt idx="4902">
                  <c:v>0.98199585931342881</c:v>
                </c:pt>
                <c:pt idx="4903">
                  <c:v>0.98204618050112913</c:v>
                </c:pt>
                <c:pt idx="4904">
                  <c:v>0.98205514576147834</c:v>
                </c:pt>
                <c:pt idx="4905">
                  <c:v>0.98234530917397933</c:v>
                </c:pt>
                <c:pt idx="4906">
                  <c:v>0.98246662684505282</c:v>
                </c:pt>
                <c:pt idx="4907">
                  <c:v>0.98255967562909063</c:v>
                </c:pt>
                <c:pt idx="4908">
                  <c:v>0.9826202390868275</c:v>
                </c:pt>
                <c:pt idx="4909">
                  <c:v>0.98275966914297896</c:v>
                </c:pt>
                <c:pt idx="4910">
                  <c:v>0.98289822546212235</c:v>
                </c:pt>
                <c:pt idx="4911">
                  <c:v>0.98294902720317623</c:v>
                </c:pt>
                <c:pt idx="4912">
                  <c:v>0.98300444067808712</c:v>
                </c:pt>
                <c:pt idx="4913">
                  <c:v>0.98320821652214363</c:v>
                </c:pt>
                <c:pt idx="4914">
                  <c:v>0.98341220612928737</c:v>
                </c:pt>
                <c:pt idx="4915">
                  <c:v>0.98350996096633025</c:v>
                </c:pt>
                <c:pt idx="4916">
                  <c:v>0.98373605170127121</c:v>
                </c:pt>
                <c:pt idx="4917">
                  <c:v>0.98391156349225639</c:v>
                </c:pt>
                <c:pt idx="4918">
                  <c:v>0.98420486197846913</c:v>
                </c:pt>
                <c:pt idx="4919">
                  <c:v>0.98427310982606286</c:v>
                </c:pt>
                <c:pt idx="4920">
                  <c:v>0.98450472467993677</c:v>
                </c:pt>
                <c:pt idx="4921">
                  <c:v>0.98473346138689521</c:v>
                </c:pt>
                <c:pt idx="4922">
                  <c:v>0.98483198604481004</c:v>
                </c:pt>
                <c:pt idx="4923">
                  <c:v>0.98483405780734756</c:v>
                </c:pt>
                <c:pt idx="4924">
                  <c:v>0.98487984289295127</c:v>
                </c:pt>
                <c:pt idx="4925">
                  <c:v>0.98509852524421149</c:v>
                </c:pt>
                <c:pt idx="4926">
                  <c:v>0.98513015755088418</c:v>
                </c:pt>
                <c:pt idx="4927">
                  <c:v>0.98595136389212712</c:v>
                </c:pt>
                <c:pt idx="4928">
                  <c:v>0.98601047532883968</c:v>
                </c:pt>
                <c:pt idx="4929">
                  <c:v>0.98662640727343387</c:v>
                </c:pt>
                <c:pt idx="4930">
                  <c:v>0.98677954117283662</c:v>
                </c:pt>
                <c:pt idx="4931">
                  <c:v>0.98686925607944431</c:v>
                </c:pt>
                <c:pt idx="4932">
                  <c:v>0.98701648866699543</c:v>
                </c:pt>
                <c:pt idx="4933">
                  <c:v>0.98717277259220282</c:v>
                </c:pt>
                <c:pt idx="4934">
                  <c:v>0.98728901036702155</c:v>
                </c:pt>
                <c:pt idx="4935">
                  <c:v>0.98772860472581669</c:v>
                </c:pt>
                <c:pt idx="4936">
                  <c:v>0.9877724673042394</c:v>
                </c:pt>
                <c:pt idx="4937">
                  <c:v>0.98802454395536188</c:v>
                </c:pt>
                <c:pt idx="4938">
                  <c:v>0.98805214066396729</c:v>
                </c:pt>
                <c:pt idx="4939">
                  <c:v>0.98839763466003205</c:v>
                </c:pt>
                <c:pt idx="4940">
                  <c:v>0.98847988228953909</c:v>
                </c:pt>
                <c:pt idx="4941">
                  <c:v>0.98850650116219185</c:v>
                </c:pt>
                <c:pt idx="4942">
                  <c:v>0.98927417709546717</c:v>
                </c:pt>
                <c:pt idx="4943">
                  <c:v>0.98935863612406649</c:v>
                </c:pt>
                <c:pt idx="4944">
                  <c:v>0.98950322740438423</c:v>
                </c:pt>
                <c:pt idx="4945">
                  <c:v>0.9896224195308605</c:v>
                </c:pt>
                <c:pt idx="4946">
                  <c:v>0.98970061321688263</c:v>
                </c:pt>
                <c:pt idx="4947">
                  <c:v>0.98996549242929177</c:v>
                </c:pt>
                <c:pt idx="4948">
                  <c:v>0.98999118481970072</c:v>
                </c:pt>
                <c:pt idx="4949">
                  <c:v>0.99009342639783426</c:v>
                </c:pt>
                <c:pt idx="4950">
                  <c:v>0.99012456171567464</c:v>
                </c:pt>
                <c:pt idx="4951">
                  <c:v>0.99056241993730509</c:v>
                </c:pt>
                <c:pt idx="4952">
                  <c:v>0.99067082610145007</c:v>
                </c:pt>
                <c:pt idx="4953">
                  <c:v>0.99072362889637589</c:v>
                </c:pt>
                <c:pt idx="4954">
                  <c:v>0.99090584028454032</c:v>
                </c:pt>
                <c:pt idx="4955">
                  <c:v>0.99111219008409535</c:v>
                </c:pt>
                <c:pt idx="4956">
                  <c:v>0.99111842337879352</c:v>
                </c:pt>
                <c:pt idx="4957">
                  <c:v>0.99164536551506899</c:v>
                </c:pt>
                <c:pt idx="4958">
                  <c:v>0.99230389290636367</c:v>
                </c:pt>
                <c:pt idx="4959">
                  <c:v>0.99264510431294184</c:v>
                </c:pt>
                <c:pt idx="4960">
                  <c:v>0.99295588434779347</c:v>
                </c:pt>
                <c:pt idx="4961">
                  <c:v>0.99297622105314076</c:v>
                </c:pt>
                <c:pt idx="4962">
                  <c:v>0.99298906230342254</c:v>
                </c:pt>
                <c:pt idx="4963">
                  <c:v>0.9930647004448474</c:v>
                </c:pt>
                <c:pt idx="4964">
                  <c:v>0.99315684474368027</c:v>
                </c:pt>
                <c:pt idx="4965">
                  <c:v>0.99341890534014965</c:v>
                </c:pt>
                <c:pt idx="4966">
                  <c:v>0.99360741219970805</c:v>
                </c:pt>
                <c:pt idx="4967">
                  <c:v>0.99371958760002599</c:v>
                </c:pt>
                <c:pt idx="4968">
                  <c:v>0.99441296255918132</c:v>
                </c:pt>
                <c:pt idx="4969">
                  <c:v>0.99453024857393757</c:v>
                </c:pt>
                <c:pt idx="4970">
                  <c:v>0.99473949140428886</c:v>
                </c:pt>
                <c:pt idx="4971">
                  <c:v>0.99482575559250108</c:v>
                </c:pt>
                <c:pt idx="4972">
                  <c:v>0.99513181805468776</c:v>
                </c:pt>
                <c:pt idx="4973">
                  <c:v>0.99513812617806252</c:v>
                </c:pt>
                <c:pt idx="4974">
                  <c:v>0.99529070091375615</c:v>
                </c:pt>
                <c:pt idx="4975">
                  <c:v>0.99529474977407517</c:v>
                </c:pt>
                <c:pt idx="4976">
                  <c:v>0.99534035987471725</c:v>
                </c:pt>
                <c:pt idx="4977">
                  <c:v>0.99548419030088553</c:v>
                </c:pt>
                <c:pt idx="4978">
                  <c:v>0.99557943933450588</c:v>
                </c:pt>
                <c:pt idx="4979">
                  <c:v>0.99625313600699883</c:v>
                </c:pt>
                <c:pt idx="4980">
                  <c:v>0.99628631374616816</c:v>
                </c:pt>
                <c:pt idx="4981">
                  <c:v>0.99644675730905874</c:v>
                </c:pt>
                <c:pt idx="4982">
                  <c:v>0.99652301250807795</c:v>
                </c:pt>
                <c:pt idx="4983">
                  <c:v>0.99658700636427966</c:v>
                </c:pt>
                <c:pt idx="4984">
                  <c:v>0.99684677031473257</c:v>
                </c:pt>
                <c:pt idx="4985">
                  <c:v>0.99685734270772741</c:v>
                </c:pt>
                <c:pt idx="4986">
                  <c:v>0.99705149128476478</c:v>
                </c:pt>
                <c:pt idx="4987">
                  <c:v>0.99708491866113036</c:v>
                </c:pt>
                <c:pt idx="4988">
                  <c:v>0.99722340758853534</c:v>
                </c:pt>
                <c:pt idx="4989">
                  <c:v>0.99722364246918005</c:v>
                </c:pt>
                <c:pt idx="4990">
                  <c:v>0.997656373544487</c:v>
                </c:pt>
                <c:pt idx="4991">
                  <c:v>0.99811727657925076</c:v>
                </c:pt>
                <c:pt idx="4992">
                  <c:v>0.99820745901979535</c:v>
                </c:pt>
                <c:pt idx="4993">
                  <c:v>0.99870365610604495</c:v>
                </c:pt>
                <c:pt idx="4994">
                  <c:v>0.99878585352871596</c:v>
                </c:pt>
                <c:pt idx="4995">
                  <c:v>0.9989028612835682</c:v>
                </c:pt>
                <c:pt idx="4996">
                  <c:v>0.99896067874942673</c:v>
                </c:pt>
                <c:pt idx="4997">
                  <c:v>0.99910192900824768</c:v>
                </c:pt>
                <c:pt idx="4998">
                  <c:v>0.99976388053255505</c:v>
                </c:pt>
                <c:pt idx="4999">
                  <c:v>0.99991806140951667</c:v>
                </c:pt>
              </c:numCache>
            </c:numRef>
          </c:xVal>
          <c:yVal>
            <c:numRef>
              <c:f>SimData5000!$K$5009:$K$10008</c:f>
              <c:numCache>
                <c:formatCode>General</c:formatCode>
                <c:ptCount val="5000"/>
                <c:pt idx="0">
                  <c:v>0</c:v>
                </c:pt>
                <c:pt idx="1">
                  <c:v>2.0004000800160032E-4</c:v>
                </c:pt>
                <c:pt idx="2">
                  <c:v>4.0008001600320064E-4</c:v>
                </c:pt>
                <c:pt idx="3">
                  <c:v>6.0012002400480096E-4</c:v>
                </c:pt>
                <c:pt idx="4">
                  <c:v>8.0016003200640128E-4</c:v>
                </c:pt>
                <c:pt idx="5">
                  <c:v>1.0002000400080016E-3</c:v>
                </c:pt>
                <c:pt idx="6">
                  <c:v>1.2002400480096019E-3</c:v>
                </c:pt>
                <c:pt idx="7">
                  <c:v>1.4002800560112022E-3</c:v>
                </c:pt>
                <c:pt idx="8">
                  <c:v>1.6003200640128026E-3</c:v>
                </c:pt>
                <c:pt idx="9">
                  <c:v>1.8003600720144029E-3</c:v>
                </c:pt>
                <c:pt idx="10">
                  <c:v>2.0004000800160032E-3</c:v>
                </c:pt>
                <c:pt idx="11">
                  <c:v>2.2004400880176033E-3</c:v>
                </c:pt>
                <c:pt idx="12">
                  <c:v>2.4004800960192038E-3</c:v>
                </c:pt>
                <c:pt idx="13">
                  <c:v>2.6005201040208044E-3</c:v>
                </c:pt>
                <c:pt idx="14">
                  <c:v>2.8005601120224049E-3</c:v>
                </c:pt>
                <c:pt idx="15">
                  <c:v>3.0006001200240055E-3</c:v>
                </c:pt>
                <c:pt idx="16">
                  <c:v>3.200640128025606E-3</c:v>
                </c:pt>
                <c:pt idx="17">
                  <c:v>3.4006801360272065E-3</c:v>
                </c:pt>
                <c:pt idx="18">
                  <c:v>3.6007201440288071E-3</c:v>
                </c:pt>
                <c:pt idx="19">
                  <c:v>3.8007601520304076E-3</c:v>
                </c:pt>
                <c:pt idx="20">
                  <c:v>4.0008001600320081E-3</c:v>
                </c:pt>
                <c:pt idx="21">
                  <c:v>4.2008401680336087E-3</c:v>
                </c:pt>
                <c:pt idx="22">
                  <c:v>4.4008801760352092E-3</c:v>
                </c:pt>
                <c:pt idx="23">
                  <c:v>4.6009201840368098E-3</c:v>
                </c:pt>
                <c:pt idx="24">
                  <c:v>4.8009601920384103E-3</c:v>
                </c:pt>
                <c:pt idx="25">
                  <c:v>5.0010002000400108E-3</c:v>
                </c:pt>
                <c:pt idx="26">
                  <c:v>5.2010402080416114E-3</c:v>
                </c:pt>
                <c:pt idx="27">
                  <c:v>5.4010802160432119E-3</c:v>
                </c:pt>
                <c:pt idx="28">
                  <c:v>5.6011202240448124E-3</c:v>
                </c:pt>
                <c:pt idx="29">
                  <c:v>5.801160232046413E-3</c:v>
                </c:pt>
                <c:pt idx="30">
                  <c:v>6.0012002400480135E-3</c:v>
                </c:pt>
                <c:pt idx="31">
                  <c:v>6.2012402480496141E-3</c:v>
                </c:pt>
                <c:pt idx="32">
                  <c:v>6.4012802560512146E-3</c:v>
                </c:pt>
                <c:pt idx="33">
                  <c:v>6.6013202640528151E-3</c:v>
                </c:pt>
                <c:pt idx="34">
                  <c:v>6.8013602720544157E-3</c:v>
                </c:pt>
                <c:pt idx="35">
                  <c:v>7.0014002800560162E-3</c:v>
                </c:pt>
                <c:pt idx="36">
                  <c:v>7.2014402880576167E-3</c:v>
                </c:pt>
                <c:pt idx="37">
                  <c:v>7.4014802960592173E-3</c:v>
                </c:pt>
                <c:pt idx="38">
                  <c:v>7.6015203040608178E-3</c:v>
                </c:pt>
                <c:pt idx="39">
                  <c:v>7.8015603120624184E-3</c:v>
                </c:pt>
                <c:pt idx="40">
                  <c:v>8.001600320064018E-3</c:v>
                </c:pt>
                <c:pt idx="41">
                  <c:v>8.2016403280656177E-3</c:v>
                </c:pt>
                <c:pt idx="42">
                  <c:v>8.4016803360672174E-3</c:v>
                </c:pt>
                <c:pt idx="43">
                  <c:v>8.601720344068817E-3</c:v>
                </c:pt>
                <c:pt idx="44">
                  <c:v>8.8017603520704167E-3</c:v>
                </c:pt>
                <c:pt idx="45">
                  <c:v>9.0018003600720164E-3</c:v>
                </c:pt>
                <c:pt idx="46">
                  <c:v>9.201840368073616E-3</c:v>
                </c:pt>
                <c:pt idx="47">
                  <c:v>9.4018803760752157E-3</c:v>
                </c:pt>
                <c:pt idx="48">
                  <c:v>9.6019203840768154E-3</c:v>
                </c:pt>
                <c:pt idx="49">
                  <c:v>9.8019603920784151E-3</c:v>
                </c:pt>
                <c:pt idx="50">
                  <c:v>1.0002000400080015E-2</c:v>
                </c:pt>
                <c:pt idx="51">
                  <c:v>1.0202040408081614E-2</c:v>
                </c:pt>
                <c:pt idx="52">
                  <c:v>1.0402080416083214E-2</c:v>
                </c:pt>
                <c:pt idx="53">
                  <c:v>1.0602120424084814E-2</c:v>
                </c:pt>
                <c:pt idx="54">
                  <c:v>1.0802160432086413E-2</c:v>
                </c:pt>
                <c:pt idx="55">
                  <c:v>1.1002200440088013E-2</c:v>
                </c:pt>
                <c:pt idx="56">
                  <c:v>1.1202240448089613E-2</c:v>
                </c:pt>
                <c:pt idx="57">
                  <c:v>1.1402280456091212E-2</c:v>
                </c:pt>
                <c:pt idx="58">
                  <c:v>1.1602320464092812E-2</c:v>
                </c:pt>
                <c:pt idx="59">
                  <c:v>1.1802360472094412E-2</c:v>
                </c:pt>
                <c:pt idx="60">
                  <c:v>1.2002400480096011E-2</c:v>
                </c:pt>
                <c:pt idx="61">
                  <c:v>1.2202440488097611E-2</c:v>
                </c:pt>
                <c:pt idx="62">
                  <c:v>1.2402480496099211E-2</c:v>
                </c:pt>
                <c:pt idx="63">
                  <c:v>1.260252050410081E-2</c:v>
                </c:pt>
                <c:pt idx="64">
                  <c:v>1.280256051210241E-2</c:v>
                </c:pt>
                <c:pt idx="65">
                  <c:v>1.300260052010401E-2</c:v>
                </c:pt>
                <c:pt idx="66">
                  <c:v>1.3202640528105609E-2</c:v>
                </c:pt>
                <c:pt idx="67">
                  <c:v>1.3402680536107209E-2</c:v>
                </c:pt>
                <c:pt idx="68">
                  <c:v>1.3602720544108809E-2</c:v>
                </c:pt>
                <c:pt idx="69">
                  <c:v>1.3802760552110408E-2</c:v>
                </c:pt>
                <c:pt idx="70">
                  <c:v>1.4002800560112008E-2</c:v>
                </c:pt>
                <c:pt idx="71">
                  <c:v>1.4202840568113608E-2</c:v>
                </c:pt>
                <c:pt idx="72">
                  <c:v>1.4402880576115207E-2</c:v>
                </c:pt>
                <c:pt idx="73">
                  <c:v>1.4602920584116807E-2</c:v>
                </c:pt>
                <c:pt idx="74">
                  <c:v>1.4802960592118407E-2</c:v>
                </c:pt>
                <c:pt idx="75">
                  <c:v>1.5003000600120006E-2</c:v>
                </c:pt>
                <c:pt idx="76">
                  <c:v>1.5203040608121606E-2</c:v>
                </c:pt>
                <c:pt idx="77">
                  <c:v>1.5403080616123206E-2</c:v>
                </c:pt>
                <c:pt idx="78">
                  <c:v>1.5603120624124805E-2</c:v>
                </c:pt>
                <c:pt idx="79">
                  <c:v>1.5803160632126407E-2</c:v>
                </c:pt>
                <c:pt idx="80">
                  <c:v>1.6003200640128008E-2</c:v>
                </c:pt>
                <c:pt idx="81">
                  <c:v>1.620324064812961E-2</c:v>
                </c:pt>
                <c:pt idx="82">
                  <c:v>1.6403280656131211E-2</c:v>
                </c:pt>
                <c:pt idx="83">
                  <c:v>1.6603320664132813E-2</c:v>
                </c:pt>
                <c:pt idx="84">
                  <c:v>1.6803360672134414E-2</c:v>
                </c:pt>
                <c:pt idx="85">
                  <c:v>1.7003400680136015E-2</c:v>
                </c:pt>
                <c:pt idx="86">
                  <c:v>1.7203440688137617E-2</c:v>
                </c:pt>
                <c:pt idx="87">
                  <c:v>1.7403480696139218E-2</c:v>
                </c:pt>
                <c:pt idx="88">
                  <c:v>1.760352070414082E-2</c:v>
                </c:pt>
                <c:pt idx="89">
                  <c:v>1.7803560712142421E-2</c:v>
                </c:pt>
                <c:pt idx="90">
                  <c:v>1.8003600720144022E-2</c:v>
                </c:pt>
                <c:pt idx="91">
                  <c:v>1.8203640728145624E-2</c:v>
                </c:pt>
                <c:pt idx="92">
                  <c:v>1.8403680736147225E-2</c:v>
                </c:pt>
                <c:pt idx="93">
                  <c:v>1.8603720744148827E-2</c:v>
                </c:pt>
                <c:pt idx="94">
                  <c:v>1.8803760752150428E-2</c:v>
                </c:pt>
                <c:pt idx="95">
                  <c:v>1.9003800760152029E-2</c:v>
                </c:pt>
                <c:pt idx="96">
                  <c:v>1.9203840768153631E-2</c:v>
                </c:pt>
                <c:pt idx="97">
                  <c:v>1.9403880776155232E-2</c:v>
                </c:pt>
                <c:pt idx="98">
                  <c:v>1.9603920784156834E-2</c:v>
                </c:pt>
                <c:pt idx="99">
                  <c:v>1.9803960792158435E-2</c:v>
                </c:pt>
                <c:pt idx="100">
                  <c:v>2.0004000800160036E-2</c:v>
                </c:pt>
                <c:pt idx="101">
                  <c:v>2.0204040808161638E-2</c:v>
                </c:pt>
                <c:pt idx="102">
                  <c:v>2.0404080816163239E-2</c:v>
                </c:pt>
                <c:pt idx="103">
                  <c:v>2.0604120824164841E-2</c:v>
                </c:pt>
                <c:pt idx="104">
                  <c:v>2.0804160832166442E-2</c:v>
                </c:pt>
                <c:pt idx="105">
                  <c:v>2.1004200840168043E-2</c:v>
                </c:pt>
                <c:pt idx="106">
                  <c:v>2.1204240848169645E-2</c:v>
                </c:pt>
                <c:pt idx="107">
                  <c:v>2.1404280856171246E-2</c:v>
                </c:pt>
                <c:pt idx="108">
                  <c:v>2.1604320864172848E-2</c:v>
                </c:pt>
                <c:pt idx="109">
                  <c:v>2.1804360872174449E-2</c:v>
                </c:pt>
                <c:pt idx="110">
                  <c:v>2.200440088017605E-2</c:v>
                </c:pt>
                <c:pt idx="111">
                  <c:v>2.2204440888177652E-2</c:v>
                </c:pt>
                <c:pt idx="112">
                  <c:v>2.2404480896179253E-2</c:v>
                </c:pt>
                <c:pt idx="113">
                  <c:v>2.2604520904180855E-2</c:v>
                </c:pt>
                <c:pt idx="114">
                  <c:v>2.2804560912182456E-2</c:v>
                </c:pt>
                <c:pt idx="115">
                  <c:v>2.3004600920184057E-2</c:v>
                </c:pt>
                <c:pt idx="116">
                  <c:v>2.3204640928185659E-2</c:v>
                </c:pt>
                <c:pt idx="117">
                  <c:v>2.340468093618726E-2</c:v>
                </c:pt>
                <c:pt idx="118">
                  <c:v>2.3604720944188862E-2</c:v>
                </c:pt>
                <c:pt idx="119">
                  <c:v>2.3804760952190463E-2</c:v>
                </c:pt>
                <c:pt idx="120">
                  <c:v>2.4004800960192064E-2</c:v>
                </c:pt>
                <c:pt idx="121">
                  <c:v>2.4204840968193666E-2</c:v>
                </c:pt>
                <c:pt idx="122">
                  <c:v>2.4404880976195267E-2</c:v>
                </c:pt>
                <c:pt idx="123">
                  <c:v>2.4604920984196869E-2</c:v>
                </c:pt>
                <c:pt idx="124">
                  <c:v>2.480496099219847E-2</c:v>
                </c:pt>
                <c:pt idx="125">
                  <c:v>2.5005001000200072E-2</c:v>
                </c:pt>
                <c:pt idx="126">
                  <c:v>2.5205041008201673E-2</c:v>
                </c:pt>
                <c:pt idx="127">
                  <c:v>2.5405081016203274E-2</c:v>
                </c:pt>
                <c:pt idx="128">
                  <c:v>2.5605121024204876E-2</c:v>
                </c:pt>
                <c:pt idx="129">
                  <c:v>2.5805161032206477E-2</c:v>
                </c:pt>
                <c:pt idx="130">
                  <c:v>2.6005201040208079E-2</c:v>
                </c:pt>
                <c:pt idx="131">
                  <c:v>2.620524104820968E-2</c:v>
                </c:pt>
                <c:pt idx="132">
                  <c:v>2.6405281056211281E-2</c:v>
                </c:pt>
                <c:pt idx="133">
                  <c:v>2.6605321064212883E-2</c:v>
                </c:pt>
                <c:pt idx="134">
                  <c:v>2.6805361072214484E-2</c:v>
                </c:pt>
                <c:pt idx="135">
                  <c:v>2.7005401080216086E-2</c:v>
                </c:pt>
                <c:pt idx="136">
                  <c:v>2.7205441088217687E-2</c:v>
                </c:pt>
                <c:pt idx="137">
                  <c:v>2.7405481096219288E-2</c:v>
                </c:pt>
                <c:pt idx="138">
                  <c:v>2.760552110422089E-2</c:v>
                </c:pt>
                <c:pt idx="139">
                  <c:v>2.7805561112222491E-2</c:v>
                </c:pt>
                <c:pt idx="140">
                  <c:v>2.8005601120224093E-2</c:v>
                </c:pt>
                <c:pt idx="141">
                  <c:v>2.8205641128225694E-2</c:v>
                </c:pt>
                <c:pt idx="142">
                  <c:v>2.8405681136227295E-2</c:v>
                </c:pt>
                <c:pt idx="143">
                  <c:v>2.8605721144228897E-2</c:v>
                </c:pt>
                <c:pt idx="144">
                  <c:v>2.8805761152230498E-2</c:v>
                </c:pt>
                <c:pt idx="145">
                  <c:v>2.90058011602321E-2</c:v>
                </c:pt>
                <c:pt idx="146">
                  <c:v>2.9205841168233701E-2</c:v>
                </c:pt>
                <c:pt idx="147">
                  <c:v>2.9405881176235302E-2</c:v>
                </c:pt>
                <c:pt idx="148">
                  <c:v>2.9605921184236904E-2</c:v>
                </c:pt>
                <c:pt idx="149">
                  <c:v>2.9805961192238505E-2</c:v>
                </c:pt>
                <c:pt idx="150">
                  <c:v>3.0006001200240107E-2</c:v>
                </c:pt>
                <c:pt idx="151">
                  <c:v>3.0206041208241708E-2</c:v>
                </c:pt>
                <c:pt idx="152">
                  <c:v>3.0406081216243309E-2</c:v>
                </c:pt>
                <c:pt idx="153">
                  <c:v>3.0606121224244911E-2</c:v>
                </c:pt>
                <c:pt idx="154">
                  <c:v>3.0806161232246512E-2</c:v>
                </c:pt>
                <c:pt idx="155">
                  <c:v>3.1006201240248114E-2</c:v>
                </c:pt>
                <c:pt idx="156">
                  <c:v>3.1206241248249715E-2</c:v>
                </c:pt>
                <c:pt idx="157">
                  <c:v>3.1406281256251313E-2</c:v>
                </c:pt>
                <c:pt idx="158">
                  <c:v>3.1606321264252911E-2</c:v>
                </c:pt>
                <c:pt idx="159">
                  <c:v>3.1806361272254509E-2</c:v>
                </c:pt>
                <c:pt idx="160">
                  <c:v>3.2006401280256107E-2</c:v>
                </c:pt>
                <c:pt idx="161">
                  <c:v>3.2206441288257705E-2</c:v>
                </c:pt>
                <c:pt idx="162">
                  <c:v>3.2406481296259303E-2</c:v>
                </c:pt>
                <c:pt idx="163">
                  <c:v>3.2606521304260901E-2</c:v>
                </c:pt>
                <c:pt idx="164">
                  <c:v>3.2806561312262499E-2</c:v>
                </c:pt>
                <c:pt idx="165">
                  <c:v>3.3006601320264096E-2</c:v>
                </c:pt>
                <c:pt idx="166">
                  <c:v>3.3206641328265694E-2</c:v>
                </c:pt>
                <c:pt idx="167">
                  <c:v>3.3406681336267292E-2</c:v>
                </c:pt>
                <c:pt idx="168">
                  <c:v>3.360672134426889E-2</c:v>
                </c:pt>
                <c:pt idx="169">
                  <c:v>3.3806761352270488E-2</c:v>
                </c:pt>
                <c:pt idx="170">
                  <c:v>3.4006801360272086E-2</c:v>
                </c:pt>
                <c:pt idx="171">
                  <c:v>3.4206841368273684E-2</c:v>
                </c:pt>
                <c:pt idx="172">
                  <c:v>3.4406881376275282E-2</c:v>
                </c:pt>
                <c:pt idx="173">
                  <c:v>3.460692138427688E-2</c:v>
                </c:pt>
                <c:pt idx="174">
                  <c:v>3.4806961392278478E-2</c:v>
                </c:pt>
                <c:pt idx="175">
                  <c:v>3.5007001400280076E-2</c:v>
                </c:pt>
                <c:pt idx="176">
                  <c:v>3.5207041408281674E-2</c:v>
                </c:pt>
                <c:pt idx="177">
                  <c:v>3.5407081416283272E-2</c:v>
                </c:pt>
                <c:pt idx="178">
                  <c:v>3.560712142428487E-2</c:v>
                </c:pt>
                <c:pt idx="179">
                  <c:v>3.5807161432286468E-2</c:v>
                </c:pt>
                <c:pt idx="180">
                  <c:v>3.6007201440288066E-2</c:v>
                </c:pt>
                <c:pt idx="181">
                  <c:v>3.6207241448289663E-2</c:v>
                </c:pt>
                <c:pt idx="182">
                  <c:v>3.6407281456291261E-2</c:v>
                </c:pt>
                <c:pt idx="183">
                  <c:v>3.6607321464292859E-2</c:v>
                </c:pt>
                <c:pt idx="184">
                  <c:v>3.6807361472294457E-2</c:v>
                </c:pt>
                <c:pt idx="185">
                  <c:v>3.7007401480296055E-2</c:v>
                </c:pt>
                <c:pt idx="186">
                  <c:v>3.7207441488297653E-2</c:v>
                </c:pt>
                <c:pt idx="187">
                  <c:v>3.7407481496299251E-2</c:v>
                </c:pt>
                <c:pt idx="188">
                  <c:v>3.7607521504300849E-2</c:v>
                </c:pt>
                <c:pt idx="189">
                  <c:v>3.7807561512302447E-2</c:v>
                </c:pt>
                <c:pt idx="190">
                  <c:v>3.8007601520304045E-2</c:v>
                </c:pt>
                <c:pt idx="191">
                  <c:v>3.8207641528305643E-2</c:v>
                </c:pt>
                <c:pt idx="192">
                  <c:v>3.8407681536307241E-2</c:v>
                </c:pt>
                <c:pt idx="193">
                  <c:v>3.8607721544308839E-2</c:v>
                </c:pt>
                <c:pt idx="194">
                  <c:v>3.8807761552310437E-2</c:v>
                </c:pt>
                <c:pt idx="195">
                  <c:v>3.9007801560312035E-2</c:v>
                </c:pt>
                <c:pt idx="196">
                  <c:v>3.9207841568313632E-2</c:v>
                </c:pt>
                <c:pt idx="197">
                  <c:v>3.940788157631523E-2</c:v>
                </c:pt>
                <c:pt idx="198">
                  <c:v>3.9607921584316828E-2</c:v>
                </c:pt>
                <c:pt idx="199">
                  <c:v>3.9807961592318426E-2</c:v>
                </c:pt>
                <c:pt idx="200">
                  <c:v>4.0008001600320024E-2</c:v>
                </c:pt>
                <c:pt idx="201">
                  <c:v>4.0208041608321622E-2</c:v>
                </c:pt>
                <c:pt idx="202">
                  <c:v>4.040808161632322E-2</c:v>
                </c:pt>
                <c:pt idx="203">
                  <c:v>4.0608121624324818E-2</c:v>
                </c:pt>
                <c:pt idx="204">
                  <c:v>4.0808161632326416E-2</c:v>
                </c:pt>
                <c:pt idx="205">
                  <c:v>4.1008201640328014E-2</c:v>
                </c:pt>
                <c:pt idx="206">
                  <c:v>4.1208241648329612E-2</c:v>
                </c:pt>
                <c:pt idx="207">
                  <c:v>4.140828165633121E-2</c:v>
                </c:pt>
                <c:pt idx="208">
                  <c:v>4.1608321664332808E-2</c:v>
                </c:pt>
                <c:pt idx="209">
                  <c:v>4.1808361672334406E-2</c:v>
                </c:pt>
                <c:pt idx="210">
                  <c:v>4.2008401680336004E-2</c:v>
                </c:pt>
                <c:pt idx="211">
                  <c:v>4.2208441688337602E-2</c:v>
                </c:pt>
                <c:pt idx="212">
                  <c:v>4.2408481696339199E-2</c:v>
                </c:pt>
                <c:pt idx="213">
                  <c:v>4.2608521704340797E-2</c:v>
                </c:pt>
                <c:pt idx="214">
                  <c:v>4.2808561712342395E-2</c:v>
                </c:pt>
                <c:pt idx="215">
                  <c:v>4.3008601720343993E-2</c:v>
                </c:pt>
                <c:pt idx="216">
                  <c:v>4.3208641728345591E-2</c:v>
                </c:pt>
                <c:pt idx="217">
                  <c:v>4.3408681736347189E-2</c:v>
                </c:pt>
                <c:pt idx="218">
                  <c:v>4.3608721744348787E-2</c:v>
                </c:pt>
                <c:pt idx="219">
                  <c:v>4.3808761752350385E-2</c:v>
                </c:pt>
                <c:pt idx="220">
                  <c:v>4.4008801760351983E-2</c:v>
                </c:pt>
                <c:pt idx="221">
                  <c:v>4.4208841768353581E-2</c:v>
                </c:pt>
                <c:pt idx="222">
                  <c:v>4.4408881776355179E-2</c:v>
                </c:pt>
                <c:pt idx="223">
                  <c:v>4.4608921784356777E-2</c:v>
                </c:pt>
                <c:pt idx="224">
                  <c:v>4.4808961792358375E-2</c:v>
                </c:pt>
                <c:pt idx="225">
                  <c:v>4.5009001800359973E-2</c:v>
                </c:pt>
                <c:pt idx="226">
                  <c:v>4.5209041808361571E-2</c:v>
                </c:pt>
                <c:pt idx="227">
                  <c:v>4.5409081816363168E-2</c:v>
                </c:pt>
                <c:pt idx="228">
                  <c:v>4.5609121824364766E-2</c:v>
                </c:pt>
                <c:pt idx="229">
                  <c:v>4.5809161832366364E-2</c:v>
                </c:pt>
                <c:pt idx="230">
                  <c:v>4.6009201840367962E-2</c:v>
                </c:pt>
                <c:pt idx="231">
                  <c:v>4.620924184836956E-2</c:v>
                </c:pt>
                <c:pt idx="232">
                  <c:v>4.6409281856371158E-2</c:v>
                </c:pt>
                <c:pt idx="233">
                  <c:v>4.6609321864372756E-2</c:v>
                </c:pt>
                <c:pt idx="234">
                  <c:v>4.6809361872374354E-2</c:v>
                </c:pt>
                <c:pt idx="235">
                  <c:v>4.7009401880375952E-2</c:v>
                </c:pt>
                <c:pt idx="236">
                  <c:v>4.720944188837755E-2</c:v>
                </c:pt>
                <c:pt idx="237">
                  <c:v>4.7409481896379148E-2</c:v>
                </c:pt>
                <c:pt idx="238">
                  <c:v>4.7609521904380746E-2</c:v>
                </c:pt>
                <c:pt idx="239">
                  <c:v>4.7809561912382344E-2</c:v>
                </c:pt>
                <c:pt idx="240">
                  <c:v>4.8009601920383942E-2</c:v>
                </c:pt>
                <c:pt idx="241">
                  <c:v>4.820964192838554E-2</c:v>
                </c:pt>
                <c:pt idx="242">
                  <c:v>4.8409681936387138E-2</c:v>
                </c:pt>
                <c:pt idx="243">
                  <c:v>4.8609721944388735E-2</c:v>
                </c:pt>
                <c:pt idx="244">
                  <c:v>4.8809761952390333E-2</c:v>
                </c:pt>
                <c:pt idx="245">
                  <c:v>4.9009801960391931E-2</c:v>
                </c:pt>
                <c:pt idx="246">
                  <c:v>4.9209841968393529E-2</c:v>
                </c:pt>
                <c:pt idx="247">
                  <c:v>4.9409881976395127E-2</c:v>
                </c:pt>
                <c:pt idx="248">
                  <c:v>4.9609921984396725E-2</c:v>
                </c:pt>
                <c:pt idx="249">
                  <c:v>4.9809961992398323E-2</c:v>
                </c:pt>
                <c:pt idx="250">
                  <c:v>5.0010002000399921E-2</c:v>
                </c:pt>
                <c:pt idx="251">
                  <c:v>5.0210042008401519E-2</c:v>
                </c:pt>
                <c:pt idx="252">
                  <c:v>5.0410082016403117E-2</c:v>
                </c:pt>
                <c:pt idx="253">
                  <c:v>5.0610122024404715E-2</c:v>
                </c:pt>
                <c:pt idx="254">
                  <c:v>5.0810162032406313E-2</c:v>
                </c:pt>
                <c:pt idx="255">
                  <c:v>5.1010202040407911E-2</c:v>
                </c:pt>
                <c:pt idx="256">
                  <c:v>5.1210242048409509E-2</c:v>
                </c:pt>
                <c:pt idx="257">
                  <c:v>5.1410282056411107E-2</c:v>
                </c:pt>
                <c:pt idx="258">
                  <c:v>5.1610322064412704E-2</c:v>
                </c:pt>
                <c:pt idx="259">
                  <c:v>5.1810362072414302E-2</c:v>
                </c:pt>
                <c:pt idx="260">
                  <c:v>5.20104020804159E-2</c:v>
                </c:pt>
                <c:pt idx="261">
                  <c:v>5.2210442088417498E-2</c:v>
                </c:pt>
                <c:pt idx="262">
                  <c:v>5.2410482096419096E-2</c:v>
                </c:pt>
                <c:pt idx="263">
                  <c:v>5.2610522104420694E-2</c:v>
                </c:pt>
                <c:pt idx="264">
                  <c:v>5.2810562112422292E-2</c:v>
                </c:pt>
                <c:pt idx="265">
                  <c:v>5.301060212042389E-2</c:v>
                </c:pt>
                <c:pt idx="266">
                  <c:v>5.3210642128425488E-2</c:v>
                </c:pt>
                <c:pt idx="267">
                  <c:v>5.3410682136427086E-2</c:v>
                </c:pt>
                <c:pt idx="268">
                  <c:v>5.3610722144428684E-2</c:v>
                </c:pt>
                <c:pt idx="269">
                  <c:v>5.3810762152430282E-2</c:v>
                </c:pt>
                <c:pt idx="270">
                  <c:v>5.401080216043188E-2</c:v>
                </c:pt>
                <c:pt idx="271">
                  <c:v>5.4210842168433478E-2</c:v>
                </c:pt>
                <c:pt idx="272">
                  <c:v>5.4410882176435076E-2</c:v>
                </c:pt>
                <c:pt idx="273">
                  <c:v>5.4610922184436674E-2</c:v>
                </c:pt>
                <c:pt idx="274">
                  <c:v>5.4810962192438271E-2</c:v>
                </c:pt>
                <c:pt idx="275">
                  <c:v>5.5011002200439869E-2</c:v>
                </c:pt>
                <c:pt idx="276">
                  <c:v>5.5211042208441467E-2</c:v>
                </c:pt>
                <c:pt idx="277">
                  <c:v>5.5411082216443065E-2</c:v>
                </c:pt>
                <c:pt idx="278">
                  <c:v>5.5611122224444663E-2</c:v>
                </c:pt>
                <c:pt idx="279">
                  <c:v>5.5811162232446261E-2</c:v>
                </c:pt>
                <c:pt idx="280">
                  <c:v>5.6011202240447859E-2</c:v>
                </c:pt>
                <c:pt idx="281">
                  <c:v>5.6211242248449457E-2</c:v>
                </c:pt>
                <c:pt idx="282">
                  <c:v>5.6411282256451055E-2</c:v>
                </c:pt>
                <c:pt idx="283">
                  <c:v>5.6611322264452653E-2</c:v>
                </c:pt>
                <c:pt idx="284">
                  <c:v>5.6811362272454251E-2</c:v>
                </c:pt>
                <c:pt idx="285">
                  <c:v>5.7011402280455849E-2</c:v>
                </c:pt>
                <c:pt idx="286">
                  <c:v>5.7211442288457447E-2</c:v>
                </c:pt>
                <c:pt idx="287">
                  <c:v>5.7411482296459045E-2</c:v>
                </c:pt>
                <c:pt idx="288">
                  <c:v>5.7611522304460643E-2</c:v>
                </c:pt>
                <c:pt idx="289">
                  <c:v>5.781156231246224E-2</c:v>
                </c:pt>
                <c:pt idx="290">
                  <c:v>5.8011602320463838E-2</c:v>
                </c:pt>
                <c:pt idx="291">
                  <c:v>5.8211642328465436E-2</c:v>
                </c:pt>
                <c:pt idx="292">
                  <c:v>5.8411682336467034E-2</c:v>
                </c:pt>
                <c:pt idx="293">
                  <c:v>5.8611722344468632E-2</c:v>
                </c:pt>
                <c:pt idx="294">
                  <c:v>5.881176235247023E-2</c:v>
                </c:pt>
                <c:pt idx="295">
                  <c:v>5.9011802360471828E-2</c:v>
                </c:pt>
                <c:pt idx="296">
                  <c:v>5.9211842368473426E-2</c:v>
                </c:pt>
                <c:pt idx="297">
                  <c:v>5.9411882376475024E-2</c:v>
                </c:pt>
                <c:pt idx="298">
                  <c:v>5.9611922384476622E-2</c:v>
                </c:pt>
                <c:pt idx="299">
                  <c:v>5.981196239247822E-2</c:v>
                </c:pt>
                <c:pt idx="300">
                  <c:v>6.0012002400479818E-2</c:v>
                </c:pt>
                <c:pt idx="301">
                  <c:v>6.0212042408481416E-2</c:v>
                </c:pt>
                <c:pt idx="302">
                  <c:v>6.0412082416483014E-2</c:v>
                </c:pt>
                <c:pt idx="303">
                  <c:v>6.0612122424484612E-2</c:v>
                </c:pt>
                <c:pt idx="304">
                  <c:v>6.081216243248621E-2</c:v>
                </c:pt>
                <c:pt idx="305">
                  <c:v>6.1012202440487807E-2</c:v>
                </c:pt>
                <c:pt idx="306">
                  <c:v>6.1212242448489405E-2</c:v>
                </c:pt>
                <c:pt idx="307">
                  <c:v>6.1412282456491003E-2</c:v>
                </c:pt>
                <c:pt idx="308">
                  <c:v>6.1612322464492601E-2</c:v>
                </c:pt>
                <c:pt idx="309">
                  <c:v>6.1812362472494199E-2</c:v>
                </c:pt>
                <c:pt idx="310">
                  <c:v>6.2012402480495797E-2</c:v>
                </c:pt>
                <c:pt idx="311">
                  <c:v>6.2212442488497395E-2</c:v>
                </c:pt>
                <c:pt idx="312">
                  <c:v>6.2412482496498993E-2</c:v>
                </c:pt>
                <c:pt idx="313">
                  <c:v>6.2612522504500598E-2</c:v>
                </c:pt>
                <c:pt idx="314">
                  <c:v>6.2812562512502196E-2</c:v>
                </c:pt>
                <c:pt idx="315">
                  <c:v>6.3012602520503794E-2</c:v>
                </c:pt>
                <c:pt idx="316">
                  <c:v>6.3212642528505392E-2</c:v>
                </c:pt>
                <c:pt idx="317">
                  <c:v>6.341268253650699E-2</c:v>
                </c:pt>
                <c:pt idx="318">
                  <c:v>6.3612722544508588E-2</c:v>
                </c:pt>
                <c:pt idx="319">
                  <c:v>6.3812762552510185E-2</c:v>
                </c:pt>
                <c:pt idx="320">
                  <c:v>6.4012802560511783E-2</c:v>
                </c:pt>
                <c:pt idx="321">
                  <c:v>6.4212842568513381E-2</c:v>
                </c:pt>
                <c:pt idx="322">
                  <c:v>6.4412882576514979E-2</c:v>
                </c:pt>
                <c:pt idx="323">
                  <c:v>6.4612922584516577E-2</c:v>
                </c:pt>
                <c:pt idx="324">
                  <c:v>6.4812962592518175E-2</c:v>
                </c:pt>
                <c:pt idx="325">
                  <c:v>6.5013002600519773E-2</c:v>
                </c:pt>
                <c:pt idx="326">
                  <c:v>6.5213042608521371E-2</c:v>
                </c:pt>
                <c:pt idx="327">
                  <c:v>6.5413082616522969E-2</c:v>
                </c:pt>
                <c:pt idx="328">
                  <c:v>6.5613122624524567E-2</c:v>
                </c:pt>
                <c:pt idx="329">
                  <c:v>6.5813162632526165E-2</c:v>
                </c:pt>
                <c:pt idx="330">
                  <c:v>6.6013202640527763E-2</c:v>
                </c:pt>
                <c:pt idx="331">
                  <c:v>6.6213242648529361E-2</c:v>
                </c:pt>
                <c:pt idx="332">
                  <c:v>6.6413282656530959E-2</c:v>
                </c:pt>
                <c:pt idx="333">
                  <c:v>6.6613322664532557E-2</c:v>
                </c:pt>
                <c:pt idx="334">
                  <c:v>6.6813362672534155E-2</c:v>
                </c:pt>
                <c:pt idx="335">
                  <c:v>6.7013402680535752E-2</c:v>
                </c:pt>
                <c:pt idx="336">
                  <c:v>6.721344268853735E-2</c:v>
                </c:pt>
                <c:pt idx="337">
                  <c:v>6.7413482696538948E-2</c:v>
                </c:pt>
                <c:pt idx="338">
                  <c:v>6.7613522704540546E-2</c:v>
                </c:pt>
                <c:pt idx="339">
                  <c:v>6.7813562712542144E-2</c:v>
                </c:pt>
                <c:pt idx="340">
                  <c:v>6.8013602720543742E-2</c:v>
                </c:pt>
                <c:pt idx="341">
                  <c:v>6.821364272854534E-2</c:v>
                </c:pt>
                <c:pt idx="342">
                  <c:v>6.8413682736546938E-2</c:v>
                </c:pt>
                <c:pt idx="343">
                  <c:v>6.8613722744548536E-2</c:v>
                </c:pt>
                <c:pt idx="344">
                  <c:v>6.8813762752550134E-2</c:v>
                </c:pt>
                <c:pt idx="345">
                  <c:v>6.9013802760551732E-2</c:v>
                </c:pt>
                <c:pt idx="346">
                  <c:v>6.921384276855333E-2</c:v>
                </c:pt>
                <c:pt idx="347">
                  <c:v>6.9413882776554928E-2</c:v>
                </c:pt>
                <c:pt idx="348">
                  <c:v>6.9613922784556526E-2</c:v>
                </c:pt>
                <c:pt idx="349">
                  <c:v>6.9813962792558124E-2</c:v>
                </c:pt>
                <c:pt idx="350">
                  <c:v>7.0014002800559721E-2</c:v>
                </c:pt>
                <c:pt idx="351">
                  <c:v>7.0214042808561319E-2</c:v>
                </c:pt>
                <c:pt idx="352">
                  <c:v>7.0414082816562917E-2</c:v>
                </c:pt>
                <c:pt idx="353">
                  <c:v>7.0614122824564515E-2</c:v>
                </c:pt>
                <c:pt idx="354">
                  <c:v>7.0814162832566113E-2</c:v>
                </c:pt>
                <c:pt idx="355">
                  <c:v>7.1014202840567711E-2</c:v>
                </c:pt>
                <c:pt idx="356">
                  <c:v>7.1214242848569309E-2</c:v>
                </c:pt>
                <c:pt idx="357">
                  <c:v>7.1414282856570907E-2</c:v>
                </c:pt>
                <c:pt idx="358">
                  <c:v>7.1614322864572505E-2</c:v>
                </c:pt>
                <c:pt idx="359">
                  <c:v>7.1814362872574103E-2</c:v>
                </c:pt>
                <c:pt idx="360">
                  <c:v>7.2014402880575701E-2</c:v>
                </c:pt>
                <c:pt idx="361">
                  <c:v>7.2214442888577299E-2</c:v>
                </c:pt>
                <c:pt idx="362">
                  <c:v>7.2414482896578897E-2</c:v>
                </c:pt>
                <c:pt idx="363">
                  <c:v>7.2614522904580495E-2</c:v>
                </c:pt>
                <c:pt idx="364">
                  <c:v>7.2814562912582093E-2</c:v>
                </c:pt>
                <c:pt idx="365">
                  <c:v>7.3014602920583691E-2</c:v>
                </c:pt>
                <c:pt idx="366">
                  <c:v>7.3214642928585288E-2</c:v>
                </c:pt>
                <c:pt idx="367">
                  <c:v>7.3414682936586886E-2</c:v>
                </c:pt>
                <c:pt idx="368">
                  <c:v>7.3614722944588484E-2</c:v>
                </c:pt>
                <c:pt idx="369">
                  <c:v>7.3814762952590082E-2</c:v>
                </c:pt>
                <c:pt idx="370">
                  <c:v>7.401480296059168E-2</c:v>
                </c:pt>
                <c:pt idx="371">
                  <c:v>7.4214842968593278E-2</c:v>
                </c:pt>
                <c:pt idx="372">
                  <c:v>7.4414882976594876E-2</c:v>
                </c:pt>
                <c:pt idx="373">
                  <c:v>7.4614922984596474E-2</c:v>
                </c:pt>
                <c:pt idx="374">
                  <c:v>7.4814962992598072E-2</c:v>
                </c:pt>
                <c:pt idx="375">
                  <c:v>7.501500300059967E-2</c:v>
                </c:pt>
                <c:pt idx="376">
                  <c:v>7.5215043008601268E-2</c:v>
                </c:pt>
                <c:pt idx="377">
                  <c:v>7.5415083016602866E-2</c:v>
                </c:pt>
                <c:pt idx="378">
                  <c:v>7.5615123024604464E-2</c:v>
                </c:pt>
                <c:pt idx="379">
                  <c:v>7.5815163032606062E-2</c:v>
                </c:pt>
                <c:pt idx="380">
                  <c:v>7.601520304060766E-2</c:v>
                </c:pt>
                <c:pt idx="381">
                  <c:v>7.6215243048609257E-2</c:v>
                </c:pt>
                <c:pt idx="382">
                  <c:v>7.6415283056610855E-2</c:v>
                </c:pt>
                <c:pt idx="383">
                  <c:v>7.6615323064612453E-2</c:v>
                </c:pt>
                <c:pt idx="384">
                  <c:v>7.6815363072614051E-2</c:v>
                </c:pt>
                <c:pt idx="385">
                  <c:v>7.7015403080615649E-2</c:v>
                </c:pt>
                <c:pt idx="386">
                  <c:v>7.7215443088617247E-2</c:v>
                </c:pt>
                <c:pt idx="387">
                  <c:v>7.7415483096618845E-2</c:v>
                </c:pt>
                <c:pt idx="388">
                  <c:v>7.7615523104620443E-2</c:v>
                </c:pt>
                <c:pt idx="389">
                  <c:v>7.7815563112622041E-2</c:v>
                </c:pt>
                <c:pt idx="390">
                  <c:v>7.8015603120623639E-2</c:v>
                </c:pt>
                <c:pt idx="391">
                  <c:v>7.8215643128625237E-2</c:v>
                </c:pt>
                <c:pt idx="392">
                  <c:v>7.8415683136626835E-2</c:v>
                </c:pt>
                <c:pt idx="393">
                  <c:v>7.8615723144628433E-2</c:v>
                </c:pt>
                <c:pt idx="394">
                  <c:v>7.8815763152630031E-2</c:v>
                </c:pt>
                <c:pt idx="395">
                  <c:v>7.9015803160631629E-2</c:v>
                </c:pt>
                <c:pt idx="396">
                  <c:v>7.9215843168633227E-2</c:v>
                </c:pt>
                <c:pt idx="397">
                  <c:v>7.9415883176634824E-2</c:v>
                </c:pt>
                <c:pt idx="398">
                  <c:v>7.9615923184636422E-2</c:v>
                </c:pt>
                <c:pt idx="399">
                  <c:v>7.981596319263802E-2</c:v>
                </c:pt>
                <c:pt idx="400">
                  <c:v>8.0016003200639618E-2</c:v>
                </c:pt>
                <c:pt idx="401">
                  <c:v>8.0216043208641216E-2</c:v>
                </c:pt>
                <c:pt idx="402">
                  <c:v>8.0416083216642814E-2</c:v>
                </c:pt>
                <c:pt idx="403">
                  <c:v>8.0616123224644412E-2</c:v>
                </c:pt>
                <c:pt idx="404">
                  <c:v>8.081616323264601E-2</c:v>
                </c:pt>
                <c:pt idx="405">
                  <c:v>8.1016203240647608E-2</c:v>
                </c:pt>
                <c:pt idx="406">
                  <c:v>8.1216243248649206E-2</c:v>
                </c:pt>
                <c:pt idx="407">
                  <c:v>8.1416283256650804E-2</c:v>
                </c:pt>
                <c:pt idx="408">
                  <c:v>8.1616323264652402E-2</c:v>
                </c:pt>
                <c:pt idx="409">
                  <c:v>8.1816363272654E-2</c:v>
                </c:pt>
                <c:pt idx="410">
                  <c:v>8.2016403280655598E-2</c:v>
                </c:pt>
                <c:pt idx="411">
                  <c:v>8.2216443288657196E-2</c:v>
                </c:pt>
                <c:pt idx="412">
                  <c:v>8.2416483296658793E-2</c:v>
                </c:pt>
                <c:pt idx="413">
                  <c:v>8.2616523304660391E-2</c:v>
                </c:pt>
                <c:pt idx="414">
                  <c:v>8.2816563312661989E-2</c:v>
                </c:pt>
                <c:pt idx="415">
                  <c:v>8.3016603320663587E-2</c:v>
                </c:pt>
                <c:pt idx="416">
                  <c:v>8.3216643328665185E-2</c:v>
                </c:pt>
                <c:pt idx="417">
                  <c:v>8.3416683336666783E-2</c:v>
                </c:pt>
                <c:pt idx="418">
                  <c:v>8.3616723344668381E-2</c:v>
                </c:pt>
                <c:pt idx="419">
                  <c:v>8.3816763352669979E-2</c:v>
                </c:pt>
                <c:pt idx="420">
                  <c:v>8.4016803360671577E-2</c:v>
                </c:pt>
                <c:pt idx="421">
                  <c:v>8.4216843368673175E-2</c:v>
                </c:pt>
                <c:pt idx="422">
                  <c:v>8.4416883376674773E-2</c:v>
                </c:pt>
                <c:pt idx="423">
                  <c:v>8.4616923384676371E-2</c:v>
                </c:pt>
                <c:pt idx="424">
                  <c:v>8.4816963392677969E-2</c:v>
                </c:pt>
                <c:pt idx="425">
                  <c:v>8.5017003400679567E-2</c:v>
                </c:pt>
                <c:pt idx="426">
                  <c:v>8.5217043408681165E-2</c:v>
                </c:pt>
                <c:pt idx="427">
                  <c:v>8.5417083416682762E-2</c:v>
                </c:pt>
                <c:pt idx="428">
                  <c:v>8.561712342468436E-2</c:v>
                </c:pt>
                <c:pt idx="429">
                  <c:v>8.5817163432685958E-2</c:v>
                </c:pt>
                <c:pt idx="430">
                  <c:v>8.6017203440687556E-2</c:v>
                </c:pt>
                <c:pt idx="431">
                  <c:v>8.6217243448689154E-2</c:v>
                </c:pt>
                <c:pt idx="432">
                  <c:v>8.6417283456690752E-2</c:v>
                </c:pt>
                <c:pt idx="433">
                  <c:v>8.661732346469235E-2</c:v>
                </c:pt>
                <c:pt idx="434">
                  <c:v>8.6817363472693948E-2</c:v>
                </c:pt>
                <c:pt idx="435">
                  <c:v>8.7017403480695546E-2</c:v>
                </c:pt>
                <c:pt idx="436">
                  <c:v>8.7217443488697144E-2</c:v>
                </c:pt>
                <c:pt idx="437">
                  <c:v>8.7417483496698742E-2</c:v>
                </c:pt>
                <c:pt idx="438">
                  <c:v>8.761752350470034E-2</c:v>
                </c:pt>
                <c:pt idx="439">
                  <c:v>8.7817563512701938E-2</c:v>
                </c:pt>
                <c:pt idx="440">
                  <c:v>8.8017603520703536E-2</c:v>
                </c:pt>
                <c:pt idx="441">
                  <c:v>8.8217643528705134E-2</c:v>
                </c:pt>
                <c:pt idx="442">
                  <c:v>8.8417683536706732E-2</c:v>
                </c:pt>
                <c:pt idx="443">
                  <c:v>8.8617723544708329E-2</c:v>
                </c:pt>
                <c:pt idx="444">
                  <c:v>8.8817763552709927E-2</c:v>
                </c:pt>
                <c:pt idx="445">
                  <c:v>8.9017803560711525E-2</c:v>
                </c:pt>
                <c:pt idx="446">
                  <c:v>8.9217843568713123E-2</c:v>
                </c:pt>
                <c:pt idx="447">
                  <c:v>8.9417883576714721E-2</c:v>
                </c:pt>
                <c:pt idx="448">
                  <c:v>8.9617923584716319E-2</c:v>
                </c:pt>
                <c:pt idx="449">
                  <c:v>8.9817963592717917E-2</c:v>
                </c:pt>
                <c:pt idx="450">
                  <c:v>9.0018003600719515E-2</c:v>
                </c:pt>
                <c:pt idx="451">
                  <c:v>9.0218043608721113E-2</c:v>
                </c:pt>
                <c:pt idx="452">
                  <c:v>9.0418083616722711E-2</c:v>
                </c:pt>
                <c:pt idx="453">
                  <c:v>9.0618123624724309E-2</c:v>
                </c:pt>
                <c:pt idx="454">
                  <c:v>9.0818163632725907E-2</c:v>
                </c:pt>
                <c:pt idx="455">
                  <c:v>9.1018203640727505E-2</c:v>
                </c:pt>
                <c:pt idx="456">
                  <c:v>9.1218243648729103E-2</c:v>
                </c:pt>
                <c:pt idx="457">
                  <c:v>9.1418283656730701E-2</c:v>
                </c:pt>
                <c:pt idx="458">
                  <c:v>9.1618323664732298E-2</c:v>
                </c:pt>
                <c:pt idx="459">
                  <c:v>9.1818363672733896E-2</c:v>
                </c:pt>
                <c:pt idx="460">
                  <c:v>9.2018403680735494E-2</c:v>
                </c:pt>
                <c:pt idx="461">
                  <c:v>9.2218443688737092E-2</c:v>
                </c:pt>
                <c:pt idx="462">
                  <c:v>9.241848369673869E-2</c:v>
                </c:pt>
                <c:pt idx="463">
                  <c:v>9.2618523704740288E-2</c:v>
                </c:pt>
                <c:pt idx="464">
                  <c:v>9.2818563712741886E-2</c:v>
                </c:pt>
                <c:pt idx="465">
                  <c:v>9.3018603720743484E-2</c:v>
                </c:pt>
                <c:pt idx="466">
                  <c:v>9.3218643728745082E-2</c:v>
                </c:pt>
                <c:pt idx="467">
                  <c:v>9.341868373674668E-2</c:v>
                </c:pt>
                <c:pt idx="468">
                  <c:v>9.3618723744748278E-2</c:v>
                </c:pt>
                <c:pt idx="469">
                  <c:v>9.3818763752749876E-2</c:v>
                </c:pt>
                <c:pt idx="470">
                  <c:v>9.4018803760751474E-2</c:v>
                </c:pt>
                <c:pt idx="471">
                  <c:v>9.4218843768753072E-2</c:v>
                </c:pt>
                <c:pt idx="472">
                  <c:v>9.441888377675467E-2</c:v>
                </c:pt>
                <c:pt idx="473">
                  <c:v>9.4618923784756268E-2</c:v>
                </c:pt>
                <c:pt idx="474">
                  <c:v>9.4818963792757865E-2</c:v>
                </c:pt>
                <c:pt idx="475">
                  <c:v>9.5019003800759463E-2</c:v>
                </c:pt>
                <c:pt idx="476">
                  <c:v>9.5219043808761061E-2</c:v>
                </c:pt>
                <c:pt idx="477">
                  <c:v>9.5419083816762659E-2</c:v>
                </c:pt>
                <c:pt idx="478">
                  <c:v>9.5619123824764257E-2</c:v>
                </c:pt>
                <c:pt idx="479">
                  <c:v>9.5819163832765855E-2</c:v>
                </c:pt>
                <c:pt idx="480">
                  <c:v>9.6019203840767453E-2</c:v>
                </c:pt>
                <c:pt idx="481">
                  <c:v>9.6219243848769051E-2</c:v>
                </c:pt>
                <c:pt idx="482">
                  <c:v>9.6419283856770649E-2</c:v>
                </c:pt>
                <c:pt idx="483">
                  <c:v>9.6619323864772247E-2</c:v>
                </c:pt>
                <c:pt idx="484">
                  <c:v>9.6819363872773845E-2</c:v>
                </c:pt>
                <c:pt idx="485">
                  <c:v>9.7019403880775443E-2</c:v>
                </c:pt>
                <c:pt idx="486">
                  <c:v>9.7219443888777041E-2</c:v>
                </c:pt>
                <c:pt idx="487">
                  <c:v>9.7419483896778639E-2</c:v>
                </c:pt>
                <c:pt idx="488">
                  <c:v>9.7619523904780237E-2</c:v>
                </c:pt>
                <c:pt idx="489">
                  <c:v>9.7819563912781834E-2</c:v>
                </c:pt>
                <c:pt idx="490">
                  <c:v>9.8019603920783432E-2</c:v>
                </c:pt>
                <c:pt idx="491">
                  <c:v>9.821964392878503E-2</c:v>
                </c:pt>
                <c:pt idx="492">
                  <c:v>9.8419683936786628E-2</c:v>
                </c:pt>
                <c:pt idx="493">
                  <c:v>9.8619723944788226E-2</c:v>
                </c:pt>
                <c:pt idx="494">
                  <c:v>9.8819763952789824E-2</c:v>
                </c:pt>
                <c:pt idx="495">
                  <c:v>9.9019803960791422E-2</c:v>
                </c:pt>
                <c:pt idx="496">
                  <c:v>9.921984396879302E-2</c:v>
                </c:pt>
                <c:pt idx="497">
                  <c:v>9.9419883976794618E-2</c:v>
                </c:pt>
                <c:pt idx="498">
                  <c:v>9.9619923984796216E-2</c:v>
                </c:pt>
                <c:pt idx="499">
                  <c:v>9.9819963992797814E-2</c:v>
                </c:pt>
                <c:pt idx="500">
                  <c:v>0.10002000400079941</c:v>
                </c:pt>
                <c:pt idx="501">
                  <c:v>0.10022004400880101</c:v>
                </c:pt>
                <c:pt idx="502">
                  <c:v>0.10042008401680261</c:v>
                </c:pt>
                <c:pt idx="503">
                  <c:v>0.10062012402480421</c:v>
                </c:pt>
                <c:pt idx="504">
                  <c:v>0.1008201640328058</c:v>
                </c:pt>
                <c:pt idx="505">
                  <c:v>0.1010202040408074</c:v>
                </c:pt>
                <c:pt idx="506">
                  <c:v>0.101220244048809</c:v>
                </c:pt>
                <c:pt idx="507">
                  <c:v>0.1014202840568106</c:v>
                </c:pt>
                <c:pt idx="508">
                  <c:v>0.1016203240648122</c:v>
                </c:pt>
                <c:pt idx="509">
                  <c:v>0.10182036407281379</c:v>
                </c:pt>
                <c:pt idx="510">
                  <c:v>0.10202040408081539</c:v>
                </c:pt>
                <c:pt idx="511">
                  <c:v>0.10222044408881699</c:v>
                </c:pt>
                <c:pt idx="512">
                  <c:v>0.10242048409681859</c:v>
                </c:pt>
                <c:pt idx="513">
                  <c:v>0.10262052410482018</c:v>
                </c:pt>
                <c:pt idx="514">
                  <c:v>0.10282056411282178</c:v>
                </c:pt>
                <c:pt idx="515">
                  <c:v>0.10302060412082338</c:v>
                </c:pt>
                <c:pt idx="516">
                  <c:v>0.10322064412882498</c:v>
                </c:pt>
                <c:pt idx="517">
                  <c:v>0.10342068413682658</c:v>
                </c:pt>
                <c:pt idx="518">
                  <c:v>0.10362072414482817</c:v>
                </c:pt>
                <c:pt idx="519">
                  <c:v>0.10382076415282977</c:v>
                </c:pt>
                <c:pt idx="520">
                  <c:v>0.10402080416083137</c:v>
                </c:pt>
                <c:pt idx="521">
                  <c:v>0.10422084416883297</c:v>
                </c:pt>
                <c:pt idx="522">
                  <c:v>0.10442088417683457</c:v>
                </c:pt>
                <c:pt idx="523">
                  <c:v>0.10462092418483616</c:v>
                </c:pt>
                <c:pt idx="524">
                  <c:v>0.10482096419283776</c:v>
                </c:pt>
                <c:pt idx="525">
                  <c:v>0.10502100420083936</c:v>
                </c:pt>
                <c:pt idx="526">
                  <c:v>0.10522104420884096</c:v>
                </c:pt>
                <c:pt idx="527">
                  <c:v>0.10542108421684256</c:v>
                </c:pt>
                <c:pt idx="528">
                  <c:v>0.10562112422484415</c:v>
                </c:pt>
                <c:pt idx="529">
                  <c:v>0.10582116423284575</c:v>
                </c:pt>
                <c:pt idx="530">
                  <c:v>0.10602120424084735</c:v>
                </c:pt>
                <c:pt idx="531">
                  <c:v>0.10622124424884895</c:v>
                </c:pt>
                <c:pt idx="532">
                  <c:v>0.10642128425685055</c:v>
                </c:pt>
                <c:pt idx="533">
                  <c:v>0.10662132426485214</c:v>
                </c:pt>
                <c:pt idx="534">
                  <c:v>0.10682136427285374</c:v>
                </c:pt>
                <c:pt idx="535">
                  <c:v>0.10702140428085534</c:v>
                </c:pt>
                <c:pt idx="536">
                  <c:v>0.10722144428885694</c:v>
                </c:pt>
                <c:pt idx="537">
                  <c:v>0.10742148429685854</c:v>
                </c:pt>
                <c:pt idx="538">
                  <c:v>0.10762152430486013</c:v>
                </c:pt>
                <c:pt idx="539">
                  <c:v>0.10782156431286173</c:v>
                </c:pt>
                <c:pt idx="540">
                  <c:v>0.10802160432086333</c:v>
                </c:pt>
                <c:pt idx="541">
                  <c:v>0.10822164432886493</c:v>
                </c:pt>
                <c:pt idx="542">
                  <c:v>0.10842168433686653</c:v>
                </c:pt>
                <c:pt idx="543">
                  <c:v>0.10862172434486812</c:v>
                </c:pt>
                <c:pt idx="544">
                  <c:v>0.10882176435286972</c:v>
                </c:pt>
                <c:pt idx="545">
                  <c:v>0.10902180436087132</c:v>
                </c:pt>
                <c:pt idx="546">
                  <c:v>0.10922184436887292</c:v>
                </c:pt>
                <c:pt idx="547">
                  <c:v>0.10942188437687451</c:v>
                </c:pt>
                <c:pt idx="548">
                  <c:v>0.10962192438487611</c:v>
                </c:pt>
                <c:pt idx="549">
                  <c:v>0.10982196439287771</c:v>
                </c:pt>
                <c:pt idx="550">
                  <c:v>0.11002200440087931</c:v>
                </c:pt>
                <c:pt idx="551">
                  <c:v>0.11022204440888091</c:v>
                </c:pt>
                <c:pt idx="552">
                  <c:v>0.1104220844168825</c:v>
                </c:pt>
                <c:pt idx="553">
                  <c:v>0.1106221244248841</c:v>
                </c:pt>
                <c:pt idx="554">
                  <c:v>0.1108221644328857</c:v>
                </c:pt>
                <c:pt idx="555">
                  <c:v>0.1110222044408873</c:v>
                </c:pt>
                <c:pt idx="556">
                  <c:v>0.1112222444488889</c:v>
                </c:pt>
                <c:pt idx="557">
                  <c:v>0.11142228445689049</c:v>
                </c:pt>
                <c:pt idx="558">
                  <c:v>0.11162232446489209</c:v>
                </c:pt>
                <c:pt idx="559">
                  <c:v>0.11182236447289369</c:v>
                </c:pt>
                <c:pt idx="560">
                  <c:v>0.11202240448089529</c:v>
                </c:pt>
                <c:pt idx="561">
                  <c:v>0.11222244448889689</c:v>
                </c:pt>
                <c:pt idx="562">
                  <c:v>0.11242248449689848</c:v>
                </c:pt>
                <c:pt idx="563">
                  <c:v>0.11262252450490008</c:v>
                </c:pt>
                <c:pt idx="564">
                  <c:v>0.11282256451290168</c:v>
                </c:pt>
                <c:pt idx="565">
                  <c:v>0.11302260452090328</c:v>
                </c:pt>
                <c:pt idx="566">
                  <c:v>0.11322264452890488</c:v>
                </c:pt>
                <c:pt idx="567">
                  <c:v>0.11342268453690647</c:v>
                </c:pt>
                <c:pt idx="568">
                  <c:v>0.11362272454490807</c:v>
                </c:pt>
                <c:pt idx="569">
                  <c:v>0.11382276455290967</c:v>
                </c:pt>
                <c:pt idx="570">
                  <c:v>0.11402280456091127</c:v>
                </c:pt>
                <c:pt idx="571">
                  <c:v>0.11422284456891287</c:v>
                </c:pt>
                <c:pt idx="572">
                  <c:v>0.11442288457691446</c:v>
                </c:pt>
                <c:pt idx="573">
                  <c:v>0.11462292458491606</c:v>
                </c:pt>
                <c:pt idx="574">
                  <c:v>0.11482296459291766</c:v>
                </c:pt>
                <c:pt idx="575">
                  <c:v>0.11502300460091926</c:v>
                </c:pt>
                <c:pt idx="576">
                  <c:v>0.11522304460892085</c:v>
                </c:pt>
                <c:pt idx="577">
                  <c:v>0.11542308461692245</c:v>
                </c:pt>
                <c:pt idx="578">
                  <c:v>0.11562312462492405</c:v>
                </c:pt>
                <c:pt idx="579">
                  <c:v>0.11582316463292565</c:v>
                </c:pt>
                <c:pt idx="580">
                  <c:v>0.11602320464092725</c:v>
                </c:pt>
                <c:pt idx="581">
                  <c:v>0.11622324464892884</c:v>
                </c:pt>
                <c:pt idx="582">
                  <c:v>0.11642328465693044</c:v>
                </c:pt>
                <c:pt idx="583">
                  <c:v>0.11662332466493204</c:v>
                </c:pt>
                <c:pt idx="584">
                  <c:v>0.11682336467293364</c:v>
                </c:pt>
                <c:pt idx="585">
                  <c:v>0.11702340468093524</c:v>
                </c:pt>
                <c:pt idx="586">
                  <c:v>0.11722344468893683</c:v>
                </c:pt>
                <c:pt idx="587">
                  <c:v>0.11742348469693843</c:v>
                </c:pt>
                <c:pt idx="588">
                  <c:v>0.11762352470494003</c:v>
                </c:pt>
                <c:pt idx="589">
                  <c:v>0.11782356471294163</c:v>
                </c:pt>
                <c:pt idx="590">
                  <c:v>0.11802360472094323</c:v>
                </c:pt>
                <c:pt idx="591">
                  <c:v>0.11822364472894482</c:v>
                </c:pt>
                <c:pt idx="592">
                  <c:v>0.11842368473694642</c:v>
                </c:pt>
                <c:pt idx="593">
                  <c:v>0.11862372474494802</c:v>
                </c:pt>
                <c:pt idx="594">
                  <c:v>0.11882376475294962</c:v>
                </c:pt>
                <c:pt idx="595">
                  <c:v>0.11902380476095122</c:v>
                </c:pt>
                <c:pt idx="596">
                  <c:v>0.11922384476895281</c:v>
                </c:pt>
                <c:pt idx="597">
                  <c:v>0.11942388477695441</c:v>
                </c:pt>
                <c:pt idx="598">
                  <c:v>0.11962392478495601</c:v>
                </c:pt>
                <c:pt idx="599">
                  <c:v>0.11982396479295761</c:v>
                </c:pt>
                <c:pt idx="600">
                  <c:v>0.12002400480095921</c:v>
                </c:pt>
                <c:pt idx="601">
                  <c:v>0.1202240448089608</c:v>
                </c:pt>
                <c:pt idx="602">
                  <c:v>0.1204240848169624</c:v>
                </c:pt>
                <c:pt idx="603">
                  <c:v>0.120624124824964</c:v>
                </c:pt>
                <c:pt idx="604">
                  <c:v>0.1208241648329656</c:v>
                </c:pt>
                <c:pt idx="605">
                  <c:v>0.12102420484096719</c:v>
                </c:pt>
                <c:pt idx="606">
                  <c:v>0.12122424484896879</c:v>
                </c:pt>
                <c:pt idx="607">
                  <c:v>0.12142428485697039</c:v>
                </c:pt>
                <c:pt idx="608">
                  <c:v>0.12162432486497199</c:v>
                </c:pt>
                <c:pt idx="609">
                  <c:v>0.12182436487297359</c:v>
                </c:pt>
                <c:pt idx="610">
                  <c:v>0.12202440488097518</c:v>
                </c:pt>
                <c:pt idx="611">
                  <c:v>0.12222444488897678</c:v>
                </c:pt>
                <c:pt idx="612">
                  <c:v>0.12242448489697838</c:v>
                </c:pt>
                <c:pt idx="613">
                  <c:v>0.12262452490497998</c:v>
                </c:pt>
                <c:pt idx="614">
                  <c:v>0.12282456491298158</c:v>
                </c:pt>
                <c:pt idx="615">
                  <c:v>0.12302460492098317</c:v>
                </c:pt>
                <c:pt idx="616">
                  <c:v>0.12322464492898477</c:v>
                </c:pt>
                <c:pt idx="617">
                  <c:v>0.12342468493698637</c:v>
                </c:pt>
                <c:pt idx="618">
                  <c:v>0.12362472494498797</c:v>
                </c:pt>
                <c:pt idx="619">
                  <c:v>0.12382476495298957</c:v>
                </c:pt>
                <c:pt idx="620">
                  <c:v>0.12402480496099116</c:v>
                </c:pt>
                <c:pt idx="621">
                  <c:v>0.12422484496899276</c:v>
                </c:pt>
                <c:pt idx="622">
                  <c:v>0.12442488497699436</c:v>
                </c:pt>
                <c:pt idx="623">
                  <c:v>0.12462492498499596</c:v>
                </c:pt>
                <c:pt idx="624">
                  <c:v>0.12482496499299756</c:v>
                </c:pt>
                <c:pt idx="625">
                  <c:v>0.12502500500099917</c:v>
                </c:pt>
                <c:pt idx="626">
                  <c:v>0.12522504500900078</c:v>
                </c:pt>
                <c:pt idx="627">
                  <c:v>0.12542508501700239</c:v>
                </c:pt>
                <c:pt idx="628">
                  <c:v>0.125625125025004</c:v>
                </c:pt>
                <c:pt idx="629">
                  <c:v>0.12582516503300561</c:v>
                </c:pt>
                <c:pt idx="630">
                  <c:v>0.12602520504100723</c:v>
                </c:pt>
                <c:pt idx="631">
                  <c:v>0.12622524504900884</c:v>
                </c:pt>
                <c:pt idx="632">
                  <c:v>0.12642528505701045</c:v>
                </c:pt>
                <c:pt idx="633">
                  <c:v>0.12662532506501206</c:v>
                </c:pt>
                <c:pt idx="634">
                  <c:v>0.12682536507301367</c:v>
                </c:pt>
                <c:pt idx="635">
                  <c:v>0.12702540508101529</c:v>
                </c:pt>
                <c:pt idx="636">
                  <c:v>0.1272254450890169</c:v>
                </c:pt>
                <c:pt idx="637">
                  <c:v>0.12742548509701851</c:v>
                </c:pt>
                <c:pt idx="638">
                  <c:v>0.12762552510502012</c:v>
                </c:pt>
                <c:pt idx="639">
                  <c:v>0.12782556511302173</c:v>
                </c:pt>
                <c:pt idx="640">
                  <c:v>0.12802560512102334</c:v>
                </c:pt>
                <c:pt idx="641">
                  <c:v>0.12822564512902496</c:v>
                </c:pt>
                <c:pt idx="642">
                  <c:v>0.12842568513702657</c:v>
                </c:pt>
                <c:pt idx="643">
                  <c:v>0.12862572514502818</c:v>
                </c:pt>
                <c:pt idx="644">
                  <c:v>0.12882576515302979</c:v>
                </c:pt>
                <c:pt idx="645">
                  <c:v>0.1290258051610314</c:v>
                </c:pt>
                <c:pt idx="646">
                  <c:v>0.12922584516903302</c:v>
                </c:pt>
                <c:pt idx="647">
                  <c:v>0.12942588517703463</c:v>
                </c:pt>
                <c:pt idx="648">
                  <c:v>0.12962592518503624</c:v>
                </c:pt>
                <c:pt idx="649">
                  <c:v>0.12982596519303785</c:v>
                </c:pt>
                <c:pt idx="650">
                  <c:v>0.13002600520103946</c:v>
                </c:pt>
                <c:pt idx="651">
                  <c:v>0.13022604520904107</c:v>
                </c:pt>
                <c:pt idx="652">
                  <c:v>0.13042608521704269</c:v>
                </c:pt>
                <c:pt idx="653">
                  <c:v>0.1306261252250443</c:v>
                </c:pt>
                <c:pt idx="654">
                  <c:v>0.13082616523304591</c:v>
                </c:pt>
                <c:pt idx="655">
                  <c:v>0.13102620524104752</c:v>
                </c:pt>
                <c:pt idx="656">
                  <c:v>0.13122624524904913</c:v>
                </c:pt>
                <c:pt idx="657">
                  <c:v>0.13142628525705075</c:v>
                </c:pt>
                <c:pt idx="658">
                  <c:v>0.13162632526505236</c:v>
                </c:pt>
                <c:pt idx="659">
                  <c:v>0.13182636527305397</c:v>
                </c:pt>
                <c:pt idx="660">
                  <c:v>0.13202640528105558</c:v>
                </c:pt>
                <c:pt idx="661">
                  <c:v>0.13222644528905719</c:v>
                </c:pt>
                <c:pt idx="662">
                  <c:v>0.1324264852970588</c:v>
                </c:pt>
                <c:pt idx="663">
                  <c:v>0.13262652530506042</c:v>
                </c:pt>
                <c:pt idx="664">
                  <c:v>0.13282656531306203</c:v>
                </c:pt>
                <c:pt idx="665">
                  <c:v>0.13302660532106364</c:v>
                </c:pt>
                <c:pt idx="666">
                  <c:v>0.13322664532906525</c:v>
                </c:pt>
                <c:pt idx="667">
                  <c:v>0.13342668533706686</c:v>
                </c:pt>
                <c:pt idx="668">
                  <c:v>0.13362672534506848</c:v>
                </c:pt>
                <c:pt idx="669">
                  <c:v>0.13382676535307009</c:v>
                </c:pt>
                <c:pt idx="670">
                  <c:v>0.1340268053610717</c:v>
                </c:pt>
                <c:pt idx="671">
                  <c:v>0.13422684536907331</c:v>
                </c:pt>
                <c:pt idx="672">
                  <c:v>0.13442688537707492</c:v>
                </c:pt>
                <c:pt idx="673">
                  <c:v>0.13462692538507653</c:v>
                </c:pt>
                <c:pt idx="674">
                  <c:v>0.13482696539307815</c:v>
                </c:pt>
                <c:pt idx="675">
                  <c:v>0.13502700540107976</c:v>
                </c:pt>
                <c:pt idx="676">
                  <c:v>0.13522704540908137</c:v>
                </c:pt>
                <c:pt idx="677">
                  <c:v>0.13542708541708298</c:v>
                </c:pt>
                <c:pt idx="678">
                  <c:v>0.13562712542508459</c:v>
                </c:pt>
                <c:pt idx="679">
                  <c:v>0.13582716543308621</c:v>
                </c:pt>
                <c:pt idx="680">
                  <c:v>0.13602720544108782</c:v>
                </c:pt>
                <c:pt idx="681">
                  <c:v>0.13622724544908943</c:v>
                </c:pt>
                <c:pt idx="682">
                  <c:v>0.13642728545709104</c:v>
                </c:pt>
                <c:pt idx="683">
                  <c:v>0.13662732546509265</c:v>
                </c:pt>
                <c:pt idx="684">
                  <c:v>0.13682736547309426</c:v>
                </c:pt>
                <c:pt idx="685">
                  <c:v>0.13702740548109588</c:v>
                </c:pt>
                <c:pt idx="686">
                  <c:v>0.13722744548909749</c:v>
                </c:pt>
                <c:pt idx="687">
                  <c:v>0.1374274854970991</c:v>
                </c:pt>
                <c:pt idx="688">
                  <c:v>0.13762752550510071</c:v>
                </c:pt>
                <c:pt idx="689">
                  <c:v>0.13782756551310232</c:v>
                </c:pt>
                <c:pt idx="690">
                  <c:v>0.13802760552110394</c:v>
                </c:pt>
                <c:pt idx="691">
                  <c:v>0.13822764552910555</c:v>
                </c:pt>
                <c:pt idx="692">
                  <c:v>0.13842768553710716</c:v>
                </c:pt>
                <c:pt idx="693">
                  <c:v>0.13862772554510877</c:v>
                </c:pt>
                <c:pt idx="694">
                  <c:v>0.13882776555311038</c:v>
                </c:pt>
                <c:pt idx="695">
                  <c:v>0.13902780556111199</c:v>
                </c:pt>
                <c:pt idx="696">
                  <c:v>0.13922784556911361</c:v>
                </c:pt>
                <c:pt idx="697">
                  <c:v>0.13942788557711522</c:v>
                </c:pt>
                <c:pt idx="698">
                  <c:v>0.13962792558511683</c:v>
                </c:pt>
                <c:pt idx="699">
                  <c:v>0.13982796559311844</c:v>
                </c:pt>
                <c:pt idx="700">
                  <c:v>0.14002800560112005</c:v>
                </c:pt>
                <c:pt idx="701">
                  <c:v>0.14022804560912167</c:v>
                </c:pt>
                <c:pt idx="702">
                  <c:v>0.14042808561712328</c:v>
                </c:pt>
                <c:pt idx="703">
                  <c:v>0.14062812562512489</c:v>
                </c:pt>
                <c:pt idx="704">
                  <c:v>0.1408281656331265</c:v>
                </c:pt>
                <c:pt idx="705">
                  <c:v>0.14102820564112811</c:v>
                </c:pt>
                <c:pt idx="706">
                  <c:v>0.14122824564912972</c:v>
                </c:pt>
                <c:pt idx="707">
                  <c:v>0.14142828565713134</c:v>
                </c:pt>
                <c:pt idx="708">
                  <c:v>0.14162832566513295</c:v>
                </c:pt>
                <c:pt idx="709">
                  <c:v>0.14182836567313456</c:v>
                </c:pt>
                <c:pt idx="710">
                  <c:v>0.14202840568113617</c:v>
                </c:pt>
                <c:pt idx="711">
                  <c:v>0.14222844568913778</c:v>
                </c:pt>
                <c:pt idx="712">
                  <c:v>0.1424284856971394</c:v>
                </c:pt>
                <c:pt idx="713">
                  <c:v>0.14262852570514101</c:v>
                </c:pt>
                <c:pt idx="714">
                  <c:v>0.14282856571314262</c:v>
                </c:pt>
                <c:pt idx="715">
                  <c:v>0.14302860572114423</c:v>
                </c:pt>
                <c:pt idx="716">
                  <c:v>0.14322864572914584</c:v>
                </c:pt>
                <c:pt idx="717">
                  <c:v>0.14342868573714745</c:v>
                </c:pt>
                <c:pt idx="718">
                  <c:v>0.14362872574514907</c:v>
                </c:pt>
                <c:pt idx="719">
                  <c:v>0.14382876575315068</c:v>
                </c:pt>
                <c:pt idx="720">
                  <c:v>0.14402880576115229</c:v>
                </c:pt>
                <c:pt idx="721">
                  <c:v>0.1442288457691539</c:v>
                </c:pt>
                <c:pt idx="722">
                  <c:v>0.14442888577715551</c:v>
                </c:pt>
                <c:pt idx="723">
                  <c:v>0.14462892578515713</c:v>
                </c:pt>
                <c:pt idx="724">
                  <c:v>0.14482896579315874</c:v>
                </c:pt>
                <c:pt idx="725">
                  <c:v>0.14502900580116035</c:v>
                </c:pt>
                <c:pt idx="726">
                  <c:v>0.14522904580916196</c:v>
                </c:pt>
                <c:pt idx="727">
                  <c:v>0.14542908581716357</c:v>
                </c:pt>
                <c:pt idx="728">
                  <c:v>0.14562912582516518</c:v>
                </c:pt>
                <c:pt idx="729">
                  <c:v>0.1458291658331668</c:v>
                </c:pt>
                <c:pt idx="730">
                  <c:v>0.14602920584116841</c:v>
                </c:pt>
                <c:pt idx="731">
                  <c:v>0.14622924584917002</c:v>
                </c:pt>
                <c:pt idx="732">
                  <c:v>0.14642928585717163</c:v>
                </c:pt>
                <c:pt idx="733">
                  <c:v>0.14662932586517324</c:v>
                </c:pt>
                <c:pt idx="734">
                  <c:v>0.14682936587317486</c:v>
                </c:pt>
                <c:pt idx="735">
                  <c:v>0.14702940588117647</c:v>
                </c:pt>
                <c:pt idx="736">
                  <c:v>0.14722944588917808</c:v>
                </c:pt>
                <c:pt idx="737">
                  <c:v>0.14742948589717969</c:v>
                </c:pt>
                <c:pt idx="738">
                  <c:v>0.1476295259051813</c:v>
                </c:pt>
                <c:pt idx="739">
                  <c:v>0.14782956591318291</c:v>
                </c:pt>
                <c:pt idx="740">
                  <c:v>0.14802960592118453</c:v>
                </c:pt>
                <c:pt idx="741">
                  <c:v>0.14822964592918614</c:v>
                </c:pt>
                <c:pt idx="742">
                  <c:v>0.14842968593718775</c:v>
                </c:pt>
                <c:pt idx="743">
                  <c:v>0.14862972594518936</c:v>
                </c:pt>
                <c:pt idx="744">
                  <c:v>0.14882976595319097</c:v>
                </c:pt>
                <c:pt idx="745">
                  <c:v>0.14902980596119259</c:v>
                </c:pt>
                <c:pt idx="746">
                  <c:v>0.1492298459691942</c:v>
                </c:pt>
                <c:pt idx="747">
                  <c:v>0.14942988597719581</c:v>
                </c:pt>
                <c:pt idx="748">
                  <c:v>0.14962992598519742</c:v>
                </c:pt>
                <c:pt idx="749">
                  <c:v>0.14982996599319903</c:v>
                </c:pt>
                <c:pt idx="750">
                  <c:v>0.15003000600120064</c:v>
                </c:pt>
                <c:pt idx="751">
                  <c:v>0.15023004600920226</c:v>
                </c:pt>
                <c:pt idx="752">
                  <c:v>0.15043008601720387</c:v>
                </c:pt>
                <c:pt idx="753">
                  <c:v>0.15063012602520548</c:v>
                </c:pt>
                <c:pt idx="754">
                  <c:v>0.15083016603320709</c:v>
                </c:pt>
                <c:pt idx="755">
                  <c:v>0.1510302060412087</c:v>
                </c:pt>
                <c:pt idx="756">
                  <c:v>0.15123024604921032</c:v>
                </c:pt>
                <c:pt idx="757">
                  <c:v>0.15143028605721193</c:v>
                </c:pt>
                <c:pt idx="758">
                  <c:v>0.15163032606521354</c:v>
                </c:pt>
                <c:pt idx="759">
                  <c:v>0.15183036607321515</c:v>
                </c:pt>
                <c:pt idx="760">
                  <c:v>0.15203040608121676</c:v>
                </c:pt>
                <c:pt idx="761">
                  <c:v>0.15223044608921837</c:v>
                </c:pt>
                <c:pt idx="762">
                  <c:v>0.15243048609721999</c:v>
                </c:pt>
                <c:pt idx="763">
                  <c:v>0.1526305261052216</c:v>
                </c:pt>
                <c:pt idx="764">
                  <c:v>0.15283056611322321</c:v>
                </c:pt>
                <c:pt idx="765">
                  <c:v>0.15303060612122482</c:v>
                </c:pt>
                <c:pt idx="766">
                  <c:v>0.15323064612922643</c:v>
                </c:pt>
                <c:pt idx="767">
                  <c:v>0.15343068613722805</c:v>
                </c:pt>
                <c:pt idx="768">
                  <c:v>0.15363072614522966</c:v>
                </c:pt>
                <c:pt idx="769">
                  <c:v>0.15383076615323127</c:v>
                </c:pt>
                <c:pt idx="770">
                  <c:v>0.15403080616123288</c:v>
                </c:pt>
                <c:pt idx="771">
                  <c:v>0.15423084616923449</c:v>
                </c:pt>
                <c:pt idx="772">
                  <c:v>0.1544308861772361</c:v>
                </c:pt>
                <c:pt idx="773">
                  <c:v>0.15463092618523772</c:v>
                </c:pt>
                <c:pt idx="774">
                  <c:v>0.15483096619323933</c:v>
                </c:pt>
                <c:pt idx="775">
                  <c:v>0.15503100620124094</c:v>
                </c:pt>
                <c:pt idx="776">
                  <c:v>0.15523104620924255</c:v>
                </c:pt>
                <c:pt idx="777">
                  <c:v>0.15543108621724416</c:v>
                </c:pt>
                <c:pt idx="778">
                  <c:v>0.15563112622524577</c:v>
                </c:pt>
                <c:pt idx="779">
                  <c:v>0.15583116623324739</c:v>
                </c:pt>
                <c:pt idx="780">
                  <c:v>0.156031206241249</c:v>
                </c:pt>
                <c:pt idx="781">
                  <c:v>0.15623124624925061</c:v>
                </c:pt>
                <c:pt idx="782">
                  <c:v>0.15643128625725222</c:v>
                </c:pt>
                <c:pt idx="783">
                  <c:v>0.15663132626525383</c:v>
                </c:pt>
                <c:pt idx="784">
                  <c:v>0.15683136627325545</c:v>
                </c:pt>
                <c:pt idx="785">
                  <c:v>0.15703140628125706</c:v>
                </c:pt>
                <c:pt idx="786">
                  <c:v>0.15723144628925867</c:v>
                </c:pt>
                <c:pt idx="787">
                  <c:v>0.15743148629726028</c:v>
                </c:pt>
                <c:pt idx="788">
                  <c:v>0.15763152630526189</c:v>
                </c:pt>
                <c:pt idx="789">
                  <c:v>0.1578315663132635</c:v>
                </c:pt>
                <c:pt idx="790">
                  <c:v>0.15803160632126512</c:v>
                </c:pt>
                <c:pt idx="791">
                  <c:v>0.15823164632926673</c:v>
                </c:pt>
                <c:pt idx="792">
                  <c:v>0.15843168633726834</c:v>
                </c:pt>
                <c:pt idx="793">
                  <c:v>0.15863172634526995</c:v>
                </c:pt>
                <c:pt idx="794">
                  <c:v>0.15883176635327156</c:v>
                </c:pt>
                <c:pt idx="795">
                  <c:v>0.15903180636127318</c:v>
                </c:pt>
                <c:pt idx="796">
                  <c:v>0.15923184636927479</c:v>
                </c:pt>
                <c:pt idx="797">
                  <c:v>0.1594318863772764</c:v>
                </c:pt>
                <c:pt idx="798">
                  <c:v>0.15963192638527801</c:v>
                </c:pt>
                <c:pt idx="799">
                  <c:v>0.15983196639327962</c:v>
                </c:pt>
                <c:pt idx="800">
                  <c:v>0.16003200640128123</c:v>
                </c:pt>
                <c:pt idx="801">
                  <c:v>0.16023204640928285</c:v>
                </c:pt>
                <c:pt idx="802">
                  <c:v>0.16043208641728446</c:v>
                </c:pt>
                <c:pt idx="803">
                  <c:v>0.16063212642528607</c:v>
                </c:pt>
                <c:pt idx="804">
                  <c:v>0.16083216643328768</c:v>
                </c:pt>
                <c:pt idx="805">
                  <c:v>0.16103220644128929</c:v>
                </c:pt>
                <c:pt idx="806">
                  <c:v>0.16123224644929091</c:v>
                </c:pt>
                <c:pt idx="807">
                  <c:v>0.16143228645729252</c:v>
                </c:pt>
                <c:pt idx="808">
                  <c:v>0.16163232646529413</c:v>
                </c:pt>
                <c:pt idx="809">
                  <c:v>0.16183236647329574</c:v>
                </c:pt>
                <c:pt idx="810">
                  <c:v>0.16203240648129735</c:v>
                </c:pt>
                <c:pt idx="811">
                  <c:v>0.16223244648929896</c:v>
                </c:pt>
                <c:pt idx="812">
                  <c:v>0.16243248649730058</c:v>
                </c:pt>
                <c:pt idx="813">
                  <c:v>0.16263252650530219</c:v>
                </c:pt>
                <c:pt idx="814">
                  <c:v>0.1628325665133038</c:v>
                </c:pt>
                <c:pt idx="815">
                  <c:v>0.16303260652130541</c:v>
                </c:pt>
                <c:pt idx="816">
                  <c:v>0.16323264652930702</c:v>
                </c:pt>
                <c:pt idx="817">
                  <c:v>0.16343268653730864</c:v>
                </c:pt>
                <c:pt idx="818">
                  <c:v>0.16363272654531025</c:v>
                </c:pt>
                <c:pt idx="819">
                  <c:v>0.16383276655331186</c:v>
                </c:pt>
                <c:pt idx="820">
                  <c:v>0.16403280656131347</c:v>
                </c:pt>
                <c:pt idx="821">
                  <c:v>0.16423284656931508</c:v>
                </c:pt>
                <c:pt idx="822">
                  <c:v>0.16443288657731669</c:v>
                </c:pt>
                <c:pt idx="823">
                  <c:v>0.16463292658531831</c:v>
                </c:pt>
                <c:pt idx="824">
                  <c:v>0.16483296659331992</c:v>
                </c:pt>
                <c:pt idx="825">
                  <c:v>0.16503300660132153</c:v>
                </c:pt>
                <c:pt idx="826">
                  <c:v>0.16523304660932314</c:v>
                </c:pt>
                <c:pt idx="827">
                  <c:v>0.16543308661732475</c:v>
                </c:pt>
                <c:pt idx="828">
                  <c:v>0.16563312662532637</c:v>
                </c:pt>
                <c:pt idx="829">
                  <c:v>0.16583316663332798</c:v>
                </c:pt>
                <c:pt idx="830">
                  <c:v>0.16603320664132959</c:v>
                </c:pt>
                <c:pt idx="831">
                  <c:v>0.1662332466493312</c:v>
                </c:pt>
                <c:pt idx="832">
                  <c:v>0.16643328665733281</c:v>
                </c:pt>
                <c:pt idx="833">
                  <c:v>0.16663332666533442</c:v>
                </c:pt>
                <c:pt idx="834">
                  <c:v>0.16683336667333604</c:v>
                </c:pt>
                <c:pt idx="835">
                  <c:v>0.16703340668133765</c:v>
                </c:pt>
                <c:pt idx="836">
                  <c:v>0.16723344668933926</c:v>
                </c:pt>
                <c:pt idx="837">
                  <c:v>0.16743348669734087</c:v>
                </c:pt>
                <c:pt idx="838">
                  <c:v>0.16763352670534248</c:v>
                </c:pt>
                <c:pt idx="839">
                  <c:v>0.1678335667133441</c:v>
                </c:pt>
                <c:pt idx="840">
                  <c:v>0.16803360672134571</c:v>
                </c:pt>
                <c:pt idx="841">
                  <c:v>0.16823364672934732</c:v>
                </c:pt>
                <c:pt idx="842">
                  <c:v>0.16843368673734893</c:v>
                </c:pt>
                <c:pt idx="843">
                  <c:v>0.16863372674535054</c:v>
                </c:pt>
                <c:pt idx="844">
                  <c:v>0.16883376675335215</c:v>
                </c:pt>
                <c:pt idx="845">
                  <c:v>0.16903380676135377</c:v>
                </c:pt>
                <c:pt idx="846">
                  <c:v>0.16923384676935538</c:v>
                </c:pt>
                <c:pt idx="847">
                  <c:v>0.16943388677735699</c:v>
                </c:pt>
                <c:pt idx="848">
                  <c:v>0.1696339267853586</c:v>
                </c:pt>
                <c:pt idx="849">
                  <c:v>0.16983396679336021</c:v>
                </c:pt>
                <c:pt idx="850">
                  <c:v>0.17003400680136183</c:v>
                </c:pt>
                <c:pt idx="851">
                  <c:v>0.17023404680936344</c:v>
                </c:pt>
                <c:pt idx="852">
                  <c:v>0.17043408681736505</c:v>
                </c:pt>
                <c:pt idx="853">
                  <c:v>0.17063412682536666</c:v>
                </c:pt>
                <c:pt idx="854">
                  <c:v>0.17083416683336827</c:v>
                </c:pt>
                <c:pt idx="855">
                  <c:v>0.17103420684136988</c:v>
                </c:pt>
                <c:pt idx="856">
                  <c:v>0.1712342468493715</c:v>
                </c:pt>
                <c:pt idx="857">
                  <c:v>0.17143428685737311</c:v>
                </c:pt>
                <c:pt idx="858">
                  <c:v>0.17163432686537472</c:v>
                </c:pt>
                <c:pt idx="859">
                  <c:v>0.17183436687337633</c:v>
                </c:pt>
                <c:pt idx="860">
                  <c:v>0.17203440688137794</c:v>
                </c:pt>
                <c:pt idx="861">
                  <c:v>0.17223444688937956</c:v>
                </c:pt>
                <c:pt idx="862">
                  <c:v>0.17243448689738117</c:v>
                </c:pt>
                <c:pt idx="863">
                  <c:v>0.17263452690538278</c:v>
                </c:pt>
                <c:pt idx="864">
                  <c:v>0.17283456691338439</c:v>
                </c:pt>
                <c:pt idx="865">
                  <c:v>0.173034606921386</c:v>
                </c:pt>
                <c:pt idx="866">
                  <c:v>0.17323464692938761</c:v>
                </c:pt>
                <c:pt idx="867">
                  <c:v>0.17343468693738923</c:v>
                </c:pt>
                <c:pt idx="868">
                  <c:v>0.17363472694539084</c:v>
                </c:pt>
                <c:pt idx="869">
                  <c:v>0.17383476695339245</c:v>
                </c:pt>
                <c:pt idx="870">
                  <c:v>0.17403480696139406</c:v>
                </c:pt>
                <c:pt idx="871">
                  <c:v>0.17423484696939567</c:v>
                </c:pt>
                <c:pt idx="872">
                  <c:v>0.17443488697739729</c:v>
                </c:pt>
                <c:pt idx="873">
                  <c:v>0.1746349269853989</c:v>
                </c:pt>
                <c:pt idx="874">
                  <c:v>0.17483496699340051</c:v>
                </c:pt>
                <c:pt idx="875">
                  <c:v>0.17503500700140212</c:v>
                </c:pt>
                <c:pt idx="876">
                  <c:v>0.17523504700940373</c:v>
                </c:pt>
                <c:pt idx="877">
                  <c:v>0.17543508701740534</c:v>
                </c:pt>
                <c:pt idx="878">
                  <c:v>0.17563512702540696</c:v>
                </c:pt>
                <c:pt idx="879">
                  <c:v>0.17583516703340857</c:v>
                </c:pt>
                <c:pt idx="880">
                  <c:v>0.17603520704141018</c:v>
                </c:pt>
                <c:pt idx="881">
                  <c:v>0.17623524704941179</c:v>
                </c:pt>
                <c:pt idx="882">
                  <c:v>0.1764352870574134</c:v>
                </c:pt>
                <c:pt idx="883">
                  <c:v>0.17663532706541502</c:v>
                </c:pt>
                <c:pt idx="884">
                  <c:v>0.17683536707341663</c:v>
                </c:pt>
                <c:pt idx="885">
                  <c:v>0.17703540708141824</c:v>
                </c:pt>
                <c:pt idx="886">
                  <c:v>0.17723544708941985</c:v>
                </c:pt>
                <c:pt idx="887">
                  <c:v>0.17743548709742146</c:v>
                </c:pt>
                <c:pt idx="888">
                  <c:v>0.17763552710542307</c:v>
                </c:pt>
                <c:pt idx="889">
                  <c:v>0.17783556711342469</c:v>
                </c:pt>
                <c:pt idx="890">
                  <c:v>0.1780356071214263</c:v>
                </c:pt>
                <c:pt idx="891">
                  <c:v>0.17823564712942791</c:v>
                </c:pt>
                <c:pt idx="892">
                  <c:v>0.17843568713742952</c:v>
                </c:pt>
                <c:pt idx="893">
                  <c:v>0.17863572714543113</c:v>
                </c:pt>
                <c:pt idx="894">
                  <c:v>0.17883576715343275</c:v>
                </c:pt>
                <c:pt idx="895">
                  <c:v>0.17903580716143436</c:v>
                </c:pt>
                <c:pt idx="896">
                  <c:v>0.17923584716943597</c:v>
                </c:pt>
                <c:pt idx="897">
                  <c:v>0.17943588717743758</c:v>
                </c:pt>
                <c:pt idx="898">
                  <c:v>0.17963592718543919</c:v>
                </c:pt>
                <c:pt idx="899">
                  <c:v>0.1798359671934408</c:v>
                </c:pt>
                <c:pt idx="900">
                  <c:v>0.18003600720144242</c:v>
                </c:pt>
                <c:pt idx="901">
                  <c:v>0.18023604720944403</c:v>
                </c:pt>
                <c:pt idx="902">
                  <c:v>0.18043608721744564</c:v>
                </c:pt>
                <c:pt idx="903">
                  <c:v>0.18063612722544725</c:v>
                </c:pt>
                <c:pt idx="904">
                  <c:v>0.18083616723344886</c:v>
                </c:pt>
                <c:pt idx="905">
                  <c:v>0.18103620724145048</c:v>
                </c:pt>
                <c:pt idx="906">
                  <c:v>0.18123624724945209</c:v>
                </c:pt>
                <c:pt idx="907">
                  <c:v>0.1814362872574537</c:v>
                </c:pt>
                <c:pt idx="908">
                  <c:v>0.18163632726545531</c:v>
                </c:pt>
                <c:pt idx="909">
                  <c:v>0.18183636727345692</c:v>
                </c:pt>
                <c:pt idx="910">
                  <c:v>0.18203640728145853</c:v>
                </c:pt>
                <c:pt idx="911">
                  <c:v>0.18223644728946015</c:v>
                </c:pt>
                <c:pt idx="912">
                  <c:v>0.18243648729746176</c:v>
                </c:pt>
                <c:pt idx="913">
                  <c:v>0.18263652730546337</c:v>
                </c:pt>
                <c:pt idx="914">
                  <c:v>0.18283656731346498</c:v>
                </c:pt>
                <c:pt idx="915">
                  <c:v>0.18303660732146659</c:v>
                </c:pt>
                <c:pt idx="916">
                  <c:v>0.18323664732946821</c:v>
                </c:pt>
                <c:pt idx="917">
                  <c:v>0.18343668733746982</c:v>
                </c:pt>
                <c:pt idx="918">
                  <c:v>0.18363672734547143</c:v>
                </c:pt>
                <c:pt idx="919">
                  <c:v>0.18383676735347304</c:v>
                </c:pt>
                <c:pt idx="920">
                  <c:v>0.18403680736147465</c:v>
                </c:pt>
                <c:pt idx="921">
                  <c:v>0.18423684736947626</c:v>
                </c:pt>
                <c:pt idx="922">
                  <c:v>0.18443688737747788</c:v>
                </c:pt>
                <c:pt idx="923">
                  <c:v>0.18463692738547949</c:v>
                </c:pt>
                <c:pt idx="924">
                  <c:v>0.1848369673934811</c:v>
                </c:pt>
                <c:pt idx="925">
                  <c:v>0.18503700740148271</c:v>
                </c:pt>
                <c:pt idx="926">
                  <c:v>0.18523704740948432</c:v>
                </c:pt>
                <c:pt idx="927">
                  <c:v>0.18543708741748594</c:v>
                </c:pt>
                <c:pt idx="928">
                  <c:v>0.18563712742548755</c:v>
                </c:pt>
                <c:pt idx="929">
                  <c:v>0.18583716743348916</c:v>
                </c:pt>
                <c:pt idx="930">
                  <c:v>0.18603720744149077</c:v>
                </c:pt>
                <c:pt idx="931">
                  <c:v>0.18623724744949238</c:v>
                </c:pt>
                <c:pt idx="932">
                  <c:v>0.18643728745749399</c:v>
                </c:pt>
                <c:pt idx="933">
                  <c:v>0.18663732746549561</c:v>
                </c:pt>
                <c:pt idx="934">
                  <c:v>0.18683736747349722</c:v>
                </c:pt>
                <c:pt idx="935">
                  <c:v>0.18703740748149883</c:v>
                </c:pt>
                <c:pt idx="936">
                  <c:v>0.18723744748950044</c:v>
                </c:pt>
                <c:pt idx="937">
                  <c:v>0.18743748749750205</c:v>
                </c:pt>
                <c:pt idx="938">
                  <c:v>0.18763752750550367</c:v>
                </c:pt>
                <c:pt idx="939">
                  <c:v>0.18783756751350528</c:v>
                </c:pt>
                <c:pt idx="940">
                  <c:v>0.18803760752150689</c:v>
                </c:pt>
                <c:pt idx="941">
                  <c:v>0.1882376475295085</c:v>
                </c:pt>
                <c:pt idx="942">
                  <c:v>0.18843768753751011</c:v>
                </c:pt>
                <c:pt idx="943">
                  <c:v>0.18863772754551172</c:v>
                </c:pt>
                <c:pt idx="944">
                  <c:v>0.18883776755351334</c:v>
                </c:pt>
                <c:pt idx="945">
                  <c:v>0.18903780756151495</c:v>
                </c:pt>
                <c:pt idx="946">
                  <c:v>0.18923784756951656</c:v>
                </c:pt>
                <c:pt idx="947">
                  <c:v>0.18943788757751817</c:v>
                </c:pt>
                <c:pt idx="948">
                  <c:v>0.18963792758551978</c:v>
                </c:pt>
                <c:pt idx="949">
                  <c:v>0.1898379675935214</c:v>
                </c:pt>
                <c:pt idx="950">
                  <c:v>0.19003800760152301</c:v>
                </c:pt>
                <c:pt idx="951">
                  <c:v>0.19023804760952462</c:v>
                </c:pt>
                <c:pt idx="952">
                  <c:v>0.19043808761752623</c:v>
                </c:pt>
                <c:pt idx="953">
                  <c:v>0.19063812762552784</c:v>
                </c:pt>
                <c:pt idx="954">
                  <c:v>0.19083816763352945</c:v>
                </c:pt>
                <c:pt idx="955">
                  <c:v>0.19103820764153107</c:v>
                </c:pt>
                <c:pt idx="956">
                  <c:v>0.19123824764953268</c:v>
                </c:pt>
                <c:pt idx="957">
                  <c:v>0.19143828765753429</c:v>
                </c:pt>
                <c:pt idx="958">
                  <c:v>0.1916383276655359</c:v>
                </c:pt>
                <c:pt idx="959">
                  <c:v>0.19183836767353751</c:v>
                </c:pt>
                <c:pt idx="960">
                  <c:v>0.19203840768153912</c:v>
                </c:pt>
                <c:pt idx="961">
                  <c:v>0.19223844768954074</c:v>
                </c:pt>
                <c:pt idx="962">
                  <c:v>0.19243848769754235</c:v>
                </c:pt>
                <c:pt idx="963">
                  <c:v>0.19263852770554396</c:v>
                </c:pt>
                <c:pt idx="964">
                  <c:v>0.19283856771354557</c:v>
                </c:pt>
                <c:pt idx="965">
                  <c:v>0.19303860772154718</c:v>
                </c:pt>
                <c:pt idx="966">
                  <c:v>0.1932386477295488</c:v>
                </c:pt>
                <c:pt idx="967">
                  <c:v>0.19343868773755041</c:v>
                </c:pt>
                <c:pt idx="968">
                  <c:v>0.19363872774555202</c:v>
                </c:pt>
                <c:pt idx="969">
                  <c:v>0.19383876775355363</c:v>
                </c:pt>
                <c:pt idx="970">
                  <c:v>0.19403880776155524</c:v>
                </c:pt>
                <c:pt idx="971">
                  <c:v>0.19423884776955685</c:v>
                </c:pt>
                <c:pt idx="972">
                  <c:v>0.19443888777755847</c:v>
                </c:pt>
                <c:pt idx="973">
                  <c:v>0.19463892778556008</c:v>
                </c:pt>
                <c:pt idx="974">
                  <c:v>0.19483896779356169</c:v>
                </c:pt>
                <c:pt idx="975">
                  <c:v>0.1950390078015633</c:v>
                </c:pt>
                <c:pt idx="976">
                  <c:v>0.19523904780956491</c:v>
                </c:pt>
                <c:pt idx="977">
                  <c:v>0.19543908781756653</c:v>
                </c:pt>
                <c:pt idx="978">
                  <c:v>0.19563912782556814</c:v>
                </c:pt>
                <c:pt idx="979">
                  <c:v>0.19583916783356975</c:v>
                </c:pt>
                <c:pt idx="980">
                  <c:v>0.19603920784157136</c:v>
                </c:pt>
                <c:pt idx="981">
                  <c:v>0.19623924784957297</c:v>
                </c:pt>
                <c:pt idx="982">
                  <c:v>0.19643928785757458</c:v>
                </c:pt>
                <c:pt idx="983">
                  <c:v>0.1966393278655762</c:v>
                </c:pt>
                <c:pt idx="984">
                  <c:v>0.19683936787357781</c:v>
                </c:pt>
                <c:pt idx="985">
                  <c:v>0.19703940788157942</c:v>
                </c:pt>
                <c:pt idx="986">
                  <c:v>0.19723944788958103</c:v>
                </c:pt>
                <c:pt idx="987">
                  <c:v>0.19743948789758264</c:v>
                </c:pt>
                <c:pt idx="988">
                  <c:v>0.19763952790558426</c:v>
                </c:pt>
                <c:pt idx="989">
                  <c:v>0.19783956791358587</c:v>
                </c:pt>
                <c:pt idx="990">
                  <c:v>0.19803960792158748</c:v>
                </c:pt>
                <c:pt idx="991">
                  <c:v>0.19823964792958909</c:v>
                </c:pt>
                <c:pt idx="992">
                  <c:v>0.1984396879375907</c:v>
                </c:pt>
                <c:pt idx="993">
                  <c:v>0.19863972794559231</c:v>
                </c:pt>
                <c:pt idx="994">
                  <c:v>0.19883976795359393</c:v>
                </c:pt>
                <c:pt idx="995">
                  <c:v>0.19903980796159554</c:v>
                </c:pt>
                <c:pt idx="996">
                  <c:v>0.19923984796959715</c:v>
                </c:pt>
                <c:pt idx="997">
                  <c:v>0.19943988797759876</c:v>
                </c:pt>
                <c:pt idx="998">
                  <c:v>0.19963992798560037</c:v>
                </c:pt>
                <c:pt idx="999">
                  <c:v>0.19983996799360199</c:v>
                </c:pt>
                <c:pt idx="1000">
                  <c:v>0.2000400080016036</c:v>
                </c:pt>
                <c:pt idx="1001">
                  <c:v>0.20024004800960521</c:v>
                </c:pt>
                <c:pt idx="1002">
                  <c:v>0.20044008801760682</c:v>
                </c:pt>
                <c:pt idx="1003">
                  <c:v>0.20064012802560843</c:v>
                </c:pt>
                <c:pt idx="1004">
                  <c:v>0.20084016803361004</c:v>
                </c:pt>
                <c:pt idx="1005">
                  <c:v>0.20104020804161166</c:v>
                </c:pt>
                <c:pt idx="1006">
                  <c:v>0.20124024804961327</c:v>
                </c:pt>
                <c:pt idx="1007">
                  <c:v>0.20144028805761488</c:v>
                </c:pt>
                <c:pt idx="1008">
                  <c:v>0.20164032806561649</c:v>
                </c:pt>
                <c:pt idx="1009">
                  <c:v>0.2018403680736181</c:v>
                </c:pt>
                <c:pt idx="1010">
                  <c:v>0.20204040808161972</c:v>
                </c:pt>
                <c:pt idx="1011">
                  <c:v>0.20224044808962133</c:v>
                </c:pt>
                <c:pt idx="1012">
                  <c:v>0.20244048809762294</c:v>
                </c:pt>
                <c:pt idx="1013">
                  <c:v>0.20264052810562455</c:v>
                </c:pt>
                <c:pt idx="1014">
                  <c:v>0.20284056811362616</c:v>
                </c:pt>
                <c:pt idx="1015">
                  <c:v>0.20304060812162777</c:v>
                </c:pt>
                <c:pt idx="1016">
                  <c:v>0.20324064812962939</c:v>
                </c:pt>
                <c:pt idx="1017">
                  <c:v>0.203440688137631</c:v>
                </c:pt>
                <c:pt idx="1018">
                  <c:v>0.20364072814563261</c:v>
                </c:pt>
                <c:pt idx="1019">
                  <c:v>0.20384076815363422</c:v>
                </c:pt>
                <c:pt idx="1020">
                  <c:v>0.20404080816163583</c:v>
                </c:pt>
                <c:pt idx="1021">
                  <c:v>0.20424084816963745</c:v>
                </c:pt>
                <c:pt idx="1022">
                  <c:v>0.20444088817763906</c:v>
                </c:pt>
                <c:pt idx="1023">
                  <c:v>0.20464092818564067</c:v>
                </c:pt>
                <c:pt idx="1024">
                  <c:v>0.20484096819364228</c:v>
                </c:pt>
                <c:pt idx="1025">
                  <c:v>0.20504100820164389</c:v>
                </c:pt>
                <c:pt idx="1026">
                  <c:v>0.2052410482096455</c:v>
                </c:pt>
                <c:pt idx="1027">
                  <c:v>0.20544108821764712</c:v>
                </c:pt>
                <c:pt idx="1028">
                  <c:v>0.20564112822564873</c:v>
                </c:pt>
                <c:pt idx="1029">
                  <c:v>0.20584116823365034</c:v>
                </c:pt>
                <c:pt idx="1030">
                  <c:v>0.20604120824165195</c:v>
                </c:pt>
                <c:pt idx="1031">
                  <c:v>0.20624124824965356</c:v>
                </c:pt>
                <c:pt idx="1032">
                  <c:v>0.20644128825765518</c:v>
                </c:pt>
                <c:pt idx="1033">
                  <c:v>0.20664132826565679</c:v>
                </c:pt>
                <c:pt idx="1034">
                  <c:v>0.2068413682736584</c:v>
                </c:pt>
                <c:pt idx="1035">
                  <c:v>0.20704140828166001</c:v>
                </c:pt>
                <c:pt idx="1036">
                  <c:v>0.20724144828966162</c:v>
                </c:pt>
                <c:pt idx="1037">
                  <c:v>0.20744148829766323</c:v>
                </c:pt>
                <c:pt idx="1038">
                  <c:v>0.20764152830566485</c:v>
                </c:pt>
                <c:pt idx="1039">
                  <c:v>0.20784156831366646</c:v>
                </c:pt>
                <c:pt idx="1040">
                  <c:v>0.20804160832166807</c:v>
                </c:pt>
                <c:pt idx="1041">
                  <c:v>0.20824164832966968</c:v>
                </c:pt>
                <c:pt idx="1042">
                  <c:v>0.20844168833767129</c:v>
                </c:pt>
                <c:pt idx="1043">
                  <c:v>0.20864172834567291</c:v>
                </c:pt>
                <c:pt idx="1044">
                  <c:v>0.20884176835367452</c:v>
                </c:pt>
                <c:pt idx="1045">
                  <c:v>0.20904180836167613</c:v>
                </c:pt>
                <c:pt idx="1046">
                  <c:v>0.20924184836967774</c:v>
                </c:pt>
                <c:pt idx="1047">
                  <c:v>0.20944188837767935</c:v>
                </c:pt>
                <c:pt idx="1048">
                  <c:v>0.20964192838568096</c:v>
                </c:pt>
                <c:pt idx="1049">
                  <c:v>0.20984196839368258</c:v>
                </c:pt>
                <c:pt idx="1050">
                  <c:v>0.21004200840168419</c:v>
                </c:pt>
                <c:pt idx="1051">
                  <c:v>0.2102420484096858</c:v>
                </c:pt>
                <c:pt idx="1052">
                  <c:v>0.21044208841768741</c:v>
                </c:pt>
                <c:pt idx="1053">
                  <c:v>0.21064212842568902</c:v>
                </c:pt>
                <c:pt idx="1054">
                  <c:v>0.21084216843369064</c:v>
                </c:pt>
                <c:pt idx="1055">
                  <c:v>0.21104220844169225</c:v>
                </c:pt>
                <c:pt idx="1056">
                  <c:v>0.21124224844969386</c:v>
                </c:pt>
                <c:pt idx="1057">
                  <c:v>0.21144228845769547</c:v>
                </c:pt>
                <c:pt idx="1058">
                  <c:v>0.21164232846569708</c:v>
                </c:pt>
                <c:pt idx="1059">
                  <c:v>0.21184236847369869</c:v>
                </c:pt>
                <c:pt idx="1060">
                  <c:v>0.21204240848170031</c:v>
                </c:pt>
                <c:pt idx="1061">
                  <c:v>0.21224244848970192</c:v>
                </c:pt>
                <c:pt idx="1062">
                  <c:v>0.21244248849770353</c:v>
                </c:pt>
                <c:pt idx="1063">
                  <c:v>0.21264252850570514</c:v>
                </c:pt>
                <c:pt idx="1064">
                  <c:v>0.21284256851370675</c:v>
                </c:pt>
                <c:pt idx="1065">
                  <c:v>0.21304260852170837</c:v>
                </c:pt>
                <c:pt idx="1066">
                  <c:v>0.21324264852970998</c:v>
                </c:pt>
                <c:pt idx="1067">
                  <c:v>0.21344268853771159</c:v>
                </c:pt>
                <c:pt idx="1068">
                  <c:v>0.2136427285457132</c:v>
                </c:pt>
                <c:pt idx="1069">
                  <c:v>0.21384276855371481</c:v>
                </c:pt>
                <c:pt idx="1070">
                  <c:v>0.21404280856171642</c:v>
                </c:pt>
                <c:pt idx="1071">
                  <c:v>0.21424284856971804</c:v>
                </c:pt>
                <c:pt idx="1072">
                  <c:v>0.21444288857771965</c:v>
                </c:pt>
                <c:pt idx="1073">
                  <c:v>0.21464292858572126</c:v>
                </c:pt>
                <c:pt idx="1074">
                  <c:v>0.21484296859372287</c:v>
                </c:pt>
                <c:pt idx="1075">
                  <c:v>0.21504300860172448</c:v>
                </c:pt>
                <c:pt idx="1076">
                  <c:v>0.2152430486097261</c:v>
                </c:pt>
                <c:pt idx="1077">
                  <c:v>0.21544308861772771</c:v>
                </c:pt>
                <c:pt idx="1078">
                  <c:v>0.21564312862572932</c:v>
                </c:pt>
                <c:pt idx="1079">
                  <c:v>0.21584316863373093</c:v>
                </c:pt>
                <c:pt idx="1080">
                  <c:v>0.21604320864173254</c:v>
                </c:pt>
                <c:pt idx="1081">
                  <c:v>0.21624324864973415</c:v>
                </c:pt>
                <c:pt idx="1082">
                  <c:v>0.21644328865773577</c:v>
                </c:pt>
                <c:pt idx="1083">
                  <c:v>0.21664332866573738</c:v>
                </c:pt>
                <c:pt idx="1084">
                  <c:v>0.21684336867373899</c:v>
                </c:pt>
                <c:pt idx="1085">
                  <c:v>0.2170434086817406</c:v>
                </c:pt>
                <c:pt idx="1086">
                  <c:v>0.21724344868974221</c:v>
                </c:pt>
                <c:pt idx="1087">
                  <c:v>0.21744348869774383</c:v>
                </c:pt>
                <c:pt idx="1088">
                  <c:v>0.21764352870574544</c:v>
                </c:pt>
                <c:pt idx="1089">
                  <c:v>0.21784356871374705</c:v>
                </c:pt>
                <c:pt idx="1090">
                  <c:v>0.21804360872174866</c:v>
                </c:pt>
                <c:pt idx="1091">
                  <c:v>0.21824364872975027</c:v>
                </c:pt>
                <c:pt idx="1092">
                  <c:v>0.21844368873775188</c:v>
                </c:pt>
                <c:pt idx="1093">
                  <c:v>0.2186437287457535</c:v>
                </c:pt>
                <c:pt idx="1094">
                  <c:v>0.21884376875375511</c:v>
                </c:pt>
                <c:pt idx="1095">
                  <c:v>0.21904380876175672</c:v>
                </c:pt>
                <c:pt idx="1096">
                  <c:v>0.21924384876975833</c:v>
                </c:pt>
                <c:pt idx="1097">
                  <c:v>0.21944388877775994</c:v>
                </c:pt>
                <c:pt idx="1098">
                  <c:v>0.21964392878576156</c:v>
                </c:pt>
                <c:pt idx="1099">
                  <c:v>0.21984396879376317</c:v>
                </c:pt>
                <c:pt idx="1100">
                  <c:v>0.22004400880176478</c:v>
                </c:pt>
                <c:pt idx="1101">
                  <c:v>0.22024404880976639</c:v>
                </c:pt>
                <c:pt idx="1102">
                  <c:v>0.220444088817768</c:v>
                </c:pt>
                <c:pt idx="1103">
                  <c:v>0.22064412882576961</c:v>
                </c:pt>
                <c:pt idx="1104">
                  <c:v>0.22084416883377123</c:v>
                </c:pt>
                <c:pt idx="1105">
                  <c:v>0.22104420884177284</c:v>
                </c:pt>
                <c:pt idx="1106">
                  <c:v>0.22124424884977445</c:v>
                </c:pt>
                <c:pt idx="1107">
                  <c:v>0.22144428885777606</c:v>
                </c:pt>
                <c:pt idx="1108">
                  <c:v>0.22164432886577767</c:v>
                </c:pt>
                <c:pt idx="1109">
                  <c:v>0.22184436887377929</c:v>
                </c:pt>
                <c:pt idx="1110">
                  <c:v>0.2220444088817809</c:v>
                </c:pt>
                <c:pt idx="1111">
                  <c:v>0.22224444888978251</c:v>
                </c:pt>
                <c:pt idx="1112">
                  <c:v>0.22244448889778412</c:v>
                </c:pt>
                <c:pt idx="1113">
                  <c:v>0.22264452890578573</c:v>
                </c:pt>
                <c:pt idx="1114">
                  <c:v>0.22284456891378734</c:v>
                </c:pt>
                <c:pt idx="1115">
                  <c:v>0.22304460892178896</c:v>
                </c:pt>
                <c:pt idx="1116">
                  <c:v>0.22324464892979057</c:v>
                </c:pt>
                <c:pt idx="1117">
                  <c:v>0.22344468893779218</c:v>
                </c:pt>
                <c:pt idx="1118">
                  <c:v>0.22364472894579379</c:v>
                </c:pt>
                <c:pt idx="1119">
                  <c:v>0.2238447689537954</c:v>
                </c:pt>
                <c:pt idx="1120">
                  <c:v>0.22404480896179702</c:v>
                </c:pt>
                <c:pt idx="1121">
                  <c:v>0.22424484896979863</c:v>
                </c:pt>
                <c:pt idx="1122">
                  <c:v>0.22444488897780024</c:v>
                </c:pt>
                <c:pt idx="1123">
                  <c:v>0.22464492898580185</c:v>
                </c:pt>
                <c:pt idx="1124">
                  <c:v>0.22484496899380346</c:v>
                </c:pt>
                <c:pt idx="1125">
                  <c:v>0.22504500900180507</c:v>
                </c:pt>
                <c:pt idx="1126">
                  <c:v>0.22524504900980669</c:v>
                </c:pt>
                <c:pt idx="1127">
                  <c:v>0.2254450890178083</c:v>
                </c:pt>
                <c:pt idx="1128">
                  <c:v>0.22564512902580991</c:v>
                </c:pt>
                <c:pt idx="1129">
                  <c:v>0.22584516903381152</c:v>
                </c:pt>
                <c:pt idx="1130">
                  <c:v>0.22604520904181313</c:v>
                </c:pt>
                <c:pt idx="1131">
                  <c:v>0.22624524904981475</c:v>
                </c:pt>
                <c:pt idx="1132">
                  <c:v>0.22644528905781636</c:v>
                </c:pt>
                <c:pt idx="1133">
                  <c:v>0.22664532906581797</c:v>
                </c:pt>
                <c:pt idx="1134">
                  <c:v>0.22684536907381958</c:v>
                </c:pt>
                <c:pt idx="1135">
                  <c:v>0.22704540908182119</c:v>
                </c:pt>
                <c:pt idx="1136">
                  <c:v>0.2272454490898228</c:v>
                </c:pt>
                <c:pt idx="1137">
                  <c:v>0.22744548909782442</c:v>
                </c:pt>
                <c:pt idx="1138">
                  <c:v>0.22764552910582603</c:v>
                </c:pt>
                <c:pt idx="1139">
                  <c:v>0.22784556911382764</c:v>
                </c:pt>
                <c:pt idx="1140">
                  <c:v>0.22804560912182925</c:v>
                </c:pt>
                <c:pt idx="1141">
                  <c:v>0.22824564912983086</c:v>
                </c:pt>
                <c:pt idx="1142">
                  <c:v>0.22844568913783247</c:v>
                </c:pt>
                <c:pt idx="1143">
                  <c:v>0.22864572914583409</c:v>
                </c:pt>
                <c:pt idx="1144">
                  <c:v>0.2288457691538357</c:v>
                </c:pt>
                <c:pt idx="1145">
                  <c:v>0.22904580916183731</c:v>
                </c:pt>
                <c:pt idx="1146">
                  <c:v>0.22924584916983892</c:v>
                </c:pt>
                <c:pt idx="1147">
                  <c:v>0.22944588917784053</c:v>
                </c:pt>
                <c:pt idx="1148">
                  <c:v>0.22964592918584215</c:v>
                </c:pt>
                <c:pt idx="1149">
                  <c:v>0.22984596919384376</c:v>
                </c:pt>
                <c:pt idx="1150">
                  <c:v>0.23004600920184537</c:v>
                </c:pt>
                <c:pt idx="1151">
                  <c:v>0.23024604920984698</c:v>
                </c:pt>
                <c:pt idx="1152">
                  <c:v>0.23044608921784859</c:v>
                </c:pt>
                <c:pt idx="1153">
                  <c:v>0.2306461292258502</c:v>
                </c:pt>
                <c:pt idx="1154">
                  <c:v>0.23084616923385182</c:v>
                </c:pt>
                <c:pt idx="1155">
                  <c:v>0.23104620924185343</c:v>
                </c:pt>
                <c:pt idx="1156">
                  <c:v>0.23124624924985504</c:v>
                </c:pt>
                <c:pt idx="1157">
                  <c:v>0.23144628925785665</c:v>
                </c:pt>
                <c:pt idx="1158">
                  <c:v>0.23164632926585826</c:v>
                </c:pt>
                <c:pt idx="1159">
                  <c:v>0.23184636927385988</c:v>
                </c:pt>
                <c:pt idx="1160">
                  <c:v>0.23204640928186149</c:v>
                </c:pt>
                <c:pt idx="1161">
                  <c:v>0.2322464492898631</c:v>
                </c:pt>
                <c:pt idx="1162">
                  <c:v>0.23244648929786471</c:v>
                </c:pt>
                <c:pt idx="1163">
                  <c:v>0.23264652930586632</c:v>
                </c:pt>
                <c:pt idx="1164">
                  <c:v>0.23284656931386793</c:v>
                </c:pt>
                <c:pt idx="1165">
                  <c:v>0.23304660932186955</c:v>
                </c:pt>
                <c:pt idx="1166">
                  <c:v>0.23324664932987116</c:v>
                </c:pt>
                <c:pt idx="1167">
                  <c:v>0.23344668933787277</c:v>
                </c:pt>
                <c:pt idx="1168">
                  <c:v>0.23364672934587438</c:v>
                </c:pt>
                <c:pt idx="1169">
                  <c:v>0.23384676935387599</c:v>
                </c:pt>
                <c:pt idx="1170">
                  <c:v>0.23404680936187761</c:v>
                </c:pt>
                <c:pt idx="1171">
                  <c:v>0.23424684936987922</c:v>
                </c:pt>
                <c:pt idx="1172">
                  <c:v>0.23444688937788083</c:v>
                </c:pt>
                <c:pt idx="1173">
                  <c:v>0.23464692938588244</c:v>
                </c:pt>
                <c:pt idx="1174">
                  <c:v>0.23484696939388405</c:v>
                </c:pt>
                <c:pt idx="1175">
                  <c:v>0.23504700940188566</c:v>
                </c:pt>
                <c:pt idx="1176">
                  <c:v>0.23524704940988728</c:v>
                </c:pt>
                <c:pt idx="1177">
                  <c:v>0.23544708941788889</c:v>
                </c:pt>
                <c:pt idx="1178">
                  <c:v>0.2356471294258905</c:v>
                </c:pt>
                <c:pt idx="1179">
                  <c:v>0.23584716943389211</c:v>
                </c:pt>
                <c:pt idx="1180">
                  <c:v>0.23604720944189372</c:v>
                </c:pt>
                <c:pt idx="1181">
                  <c:v>0.23624724944989534</c:v>
                </c:pt>
                <c:pt idx="1182">
                  <c:v>0.23644728945789695</c:v>
                </c:pt>
                <c:pt idx="1183">
                  <c:v>0.23664732946589856</c:v>
                </c:pt>
                <c:pt idx="1184">
                  <c:v>0.23684736947390017</c:v>
                </c:pt>
                <c:pt idx="1185">
                  <c:v>0.23704740948190178</c:v>
                </c:pt>
                <c:pt idx="1186">
                  <c:v>0.23724744948990339</c:v>
                </c:pt>
                <c:pt idx="1187">
                  <c:v>0.23744748949790501</c:v>
                </c:pt>
                <c:pt idx="1188">
                  <c:v>0.23764752950590662</c:v>
                </c:pt>
                <c:pt idx="1189">
                  <c:v>0.23784756951390823</c:v>
                </c:pt>
                <c:pt idx="1190">
                  <c:v>0.23804760952190984</c:v>
                </c:pt>
                <c:pt idx="1191">
                  <c:v>0.23824764952991145</c:v>
                </c:pt>
                <c:pt idx="1192">
                  <c:v>0.23844768953791307</c:v>
                </c:pt>
                <c:pt idx="1193">
                  <c:v>0.23864772954591468</c:v>
                </c:pt>
                <c:pt idx="1194">
                  <c:v>0.23884776955391629</c:v>
                </c:pt>
                <c:pt idx="1195">
                  <c:v>0.2390478095619179</c:v>
                </c:pt>
                <c:pt idx="1196">
                  <c:v>0.23924784956991951</c:v>
                </c:pt>
                <c:pt idx="1197">
                  <c:v>0.23944788957792112</c:v>
                </c:pt>
                <c:pt idx="1198">
                  <c:v>0.23964792958592274</c:v>
                </c:pt>
                <c:pt idx="1199">
                  <c:v>0.23984796959392435</c:v>
                </c:pt>
                <c:pt idx="1200">
                  <c:v>0.24004800960192596</c:v>
                </c:pt>
                <c:pt idx="1201">
                  <c:v>0.24024804960992757</c:v>
                </c:pt>
                <c:pt idx="1202">
                  <c:v>0.24044808961792918</c:v>
                </c:pt>
                <c:pt idx="1203">
                  <c:v>0.2406481296259308</c:v>
                </c:pt>
                <c:pt idx="1204">
                  <c:v>0.24084816963393241</c:v>
                </c:pt>
                <c:pt idx="1205">
                  <c:v>0.24104820964193402</c:v>
                </c:pt>
                <c:pt idx="1206">
                  <c:v>0.24124824964993563</c:v>
                </c:pt>
                <c:pt idx="1207">
                  <c:v>0.24144828965793724</c:v>
                </c:pt>
                <c:pt idx="1208">
                  <c:v>0.24164832966593885</c:v>
                </c:pt>
                <c:pt idx="1209">
                  <c:v>0.24184836967394047</c:v>
                </c:pt>
                <c:pt idx="1210">
                  <c:v>0.24204840968194208</c:v>
                </c:pt>
                <c:pt idx="1211">
                  <c:v>0.24224844968994369</c:v>
                </c:pt>
                <c:pt idx="1212">
                  <c:v>0.2424484896979453</c:v>
                </c:pt>
                <c:pt idx="1213">
                  <c:v>0.24264852970594691</c:v>
                </c:pt>
                <c:pt idx="1214">
                  <c:v>0.24284856971394853</c:v>
                </c:pt>
                <c:pt idx="1215">
                  <c:v>0.24304860972195014</c:v>
                </c:pt>
                <c:pt idx="1216">
                  <c:v>0.24324864972995175</c:v>
                </c:pt>
                <c:pt idx="1217">
                  <c:v>0.24344868973795336</c:v>
                </c:pt>
                <c:pt idx="1218">
                  <c:v>0.24364872974595497</c:v>
                </c:pt>
                <c:pt idx="1219">
                  <c:v>0.24384876975395658</c:v>
                </c:pt>
                <c:pt idx="1220">
                  <c:v>0.2440488097619582</c:v>
                </c:pt>
                <c:pt idx="1221">
                  <c:v>0.24424884976995981</c:v>
                </c:pt>
                <c:pt idx="1222">
                  <c:v>0.24444888977796142</c:v>
                </c:pt>
                <c:pt idx="1223">
                  <c:v>0.24464892978596303</c:v>
                </c:pt>
                <c:pt idx="1224">
                  <c:v>0.24484896979396464</c:v>
                </c:pt>
                <c:pt idx="1225">
                  <c:v>0.24504900980196626</c:v>
                </c:pt>
                <c:pt idx="1226">
                  <c:v>0.24524904980996787</c:v>
                </c:pt>
                <c:pt idx="1227">
                  <c:v>0.24544908981796948</c:v>
                </c:pt>
                <c:pt idx="1228">
                  <c:v>0.24564912982597109</c:v>
                </c:pt>
                <c:pt idx="1229">
                  <c:v>0.2458491698339727</c:v>
                </c:pt>
                <c:pt idx="1230">
                  <c:v>0.24604920984197431</c:v>
                </c:pt>
                <c:pt idx="1231">
                  <c:v>0.24624924984997593</c:v>
                </c:pt>
                <c:pt idx="1232">
                  <c:v>0.24644928985797754</c:v>
                </c:pt>
                <c:pt idx="1233">
                  <c:v>0.24664932986597915</c:v>
                </c:pt>
                <c:pt idx="1234">
                  <c:v>0.24684936987398076</c:v>
                </c:pt>
                <c:pt idx="1235">
                  <c:v>0.24704940988198237</c:v>
                </c:pt>
                <c:pt idx="1236">
                  <c:v>0.24724944988998399</c:v>
                </c:pt>
                <c:pt idx="1237">
                  <c:v>0.2474494898979856</c:v>
                </c:pt>
                <c:pt idx="1238">
                  <c:v>0.24764952990598721</c:v>
                </c:pt>
                <c:pt idx="1239">
                  <c:v>0.24784956991398882</c:v>
                </c:pt>
                <c:pt idx="1240">
                  <c:v>0.24804960992199043</c:v>
                </c:pt>
                <c:pt idx="1241">
                  <c:v>0.24824964992999204</c:v>
                </c:pt>
                <c:pt idx="1242">
                  <c:v>0.24844968993799366</c:v>
                </c:pt>
                <c:pt idx="1243">
                  <c:v>0.24864972994599527</c:v>
                </c:pt>
                <c:pt idx="1244">
                  <c:v>0.24884976995399688</c:v>
                </c:pt>
                <c:pt idx="1245">
                  <c:v>0.24904980996199849</c:v>
                </c:pt>
                <c:pt idx="1246">
                  <c:v>0.2492498499700001</c:v>
                </c:pt>
                <c:pt idx="1247">
                  <c:v>0.24944988997800172</c:v>
                </c:pt>
                <c:pt idx="1248">
                  <c:v>0.24964992998600333</c:v>
                </c:pt>
                <c:pt idx="1249">
                  <c:v>0.24984996999400494</c:v>
                </c:pt>
                <c:pt idx="1250">
                  <c:v>0.25005001000200655</c:v>
                </c:pt>
                <c:pt idx="1251">
                  <c:v>0.25025005001000816</c:v>
                </c:pt>
                <c:pt idx="1252">
                  <c:v>0.25045009001800977</c:v>
                </c:pt>
                <c:pt idx="1253">
                  <c:v>0.25065013002601139</c:v>
                </c:pt>
                <c:pt idx="1254">
                  <c:v>0.250850170034013</c:v>
                </c:pt>
                <c:pt idx="1255">
                  <c:v>0.25105021004201461</c:v>
                </c:pt>
                <c:pt idx="1256">
                  <c:v>0.25125025005001622</c:v>
                </c:pt>
                <c:pt idx="1257">
                  <c:v>0.25145029005801783</c:v>
                </c:pt>
                <c:pt idx="1258">
                  <c:v>0.25165033006601945</c:v>
                </c:pt>
                <c:pt idx="1259">
                  <c:v>0.25185037007402106</c:v>
                </c:pt>
                <c:pt idx="1260">
                  <c:v>0.25205041008202267</c:v>
                </c:pt>
                <c:pt idx="1261">
                  <c:v>0.25225045009002428</c:v>
                </c:pt>
                <c:pt idx="1262">
                  <c:v>0.25245049009802589</c:v>
                </c:pt>
                <c:pt idx="1263">
                  <c:v>0.2526505301060275</c:v>
                </c:pt>
                <c:pt idx="1264">
                  <c:v>0.25285057011402912</c:v>
                </c:pt>
                <c:pt idx="1265">
                  <c:v>0.25305061012203073</c:v>
                </c:pt>
                <c:pt idx="1266">
                  <c:v>0.25325065013003234</c:v>
                </c:pt>
                <c:pt idx="1267">
                  <c:v>0.25345069013803395</c:v>
                </c:pt>
                <c:pt idx="1268">
                  <c:v>0.25365073014603556</c:v>
                </c:pt>
                <c:pt idx="1269">
                  <c:v>0.25385077015403718</c:v>
                </c:pt>
                <c:pt idx="1270">
                  <c:v>0.25405081016203879</c:v>
                </c:pt>
                <c:pt idx="1271">
                  <c:v>0.2542508501700404</c:v>
                </c:pt>
                <c:pt idx="1272">
                  <c:v>0.25445089017804201</c:v>
                </c:pt>
                <c:pt idx="1273">
                  <c:v>0.25465093018604362</c:v>
                </c:pt>
                <c:pt idx="1274">
                  <c:v>0.25485097019404523</c:v>
                </c:pt>
                <c:pt idx="1275">
                  <c:v>0.25505101020204685</c:v>
                </c:pt>
                <c:pt idx="1276">
                  <c:v>0.25525105021004846</c:v>
                </c:pt>
                <c:pt idx="1277">
                  <c:v>0.25545109021805007</c:v>
                </c:pt>
                <c:pt idx="1278">
                  <c:v>0.25565113022605168</c:v>
                </c:pt>
                <c:pt idx="1279">
                  <c:v>0.25585117023405329</c:v>
                </c:pt>
                <c:pt idx="1280">
                  <c:v>0.25605121024205491</c:v>
                </c:pt>
                <c:pt idx="1281">
                  <c:v>0.25625125025005652</c:v>
                </c:pt>
                <c:pt idx="1282">
                  <c:v>0.25645129025805813</c:v>
                </c:pt>
                <c:pt idx="1283">
                  <c:v>0.25665133026605974</c:v>
                </c:pt>
                <c:pt idx="1284">
                  <c:v>0.25685137027406135</c:v>
                </c:pt>
                <c:pt idx="1285">
                  <c:v>0.25705141028206296</c:v>
                </c:pt>
                <c:pt idx="1286">
                  <c:v>0.25725145029006458</c:v>
                </c:pt>
                <c:pt idx="1287">
                  <c:v>0.25745149029806619</c:v>
                </c:pt>
                <c:pt idx="1288">
                  <c:v>0.2576515303060678</c:v>
                </c:pt>
                <c:pt idx="1289">
                  <c:v>0.25785157031406941</c:v>
                </c:pt>
                <c:pt idx="1290">
                  <c:v>0.25805161032207102</c:v>
                </c:pt>
                <c:pt idx="1291">
                  <c:v>0.25825165033007264</c:v>
                </c:pt>
                <c:pt idx="1292">
                  <c:v>0.25845169033807425</c:v>
                </c:pt>
                <c:pt idx="1293">
                  <c:v>0.25865173034607586</c:v>
                </c:pt>
                <c:pt idx="1294">
                  <c:v>0.25885177035407747</c:v>
                </c:pt>
                <c:pt idx="1295">
                  <c:v>0.25905181036207908</c:v>
                </c:pt>
                <c:pt idx="1296">
                  <c:v>0.25925185037008069</c:v>
                </c:pt>
                <c:pt idx="1297">
                  <c:v>0.25945189037808231</c:v>
                </c:pt>
                <c:pt idx="1298">
                  <c:v>0.25965193038608392</c:v>
                </c:pt>
                <c:pt idx="1299">
                  <c:v>0.25985197039408553</c:v>
                </c:pt>
                <c:pt idx="1300">
                  <c:v>0.26005201040208714</c:v>
                </c:pt>
                <c:pt idx="1301">
                  <c:v>0.26025205041008875</c:v>
                </c:pt>
                <c:pt idx="1302">
                  <c:v>0.26045209041809037</c:v>
                </c:pt>
                <c:pt idx="1303">
                  <c:v>0.26065213042609198</c:v>
                </c:pt>
                <c:pt idx="1304">
                  <c:v>0.26085217043409359</c:v>
                </c:pt>
                <c:pt idx="1305">
                  <c:v>0.2610522104420952</c:v>
                </c:pt>
                <c:pt idx="1306">
                  <c:v>0.26125225045009681</c:v>
                </c:pt>
                <c:pt idx="1307">
                  <c:v>0.26145229045809842</c:v>
                </c:pt>
                <c:pt idx="1308">
                  <c:v>0.26165233046610004</c:v>
                </c:pt>
                <c:pt idx="1309">
                  <c:v>0.26185237047410165</c:v>
                </c:pt>
                <c:pt idx="1310">
                  <c:v>0.26205241048210326</c:v>
                </c:pt>
                <c:pt idx="1311">
                  <c:v>0.26225245049010487</c:v>
                </c:pt>
                <c:pt idx="1312">
                  <c:v>0.26245249049810648</c:v>
                </c:pt>
                <c:pt idx="1313">
                  <c:v>0.2626525305061081</c:v>
                </c:pt>
                <c:pt idx="1314">
                  <c:v>0.26285257051410971</c:v>
                </c:pt>
                <c:pt idx="1315">
                  <c:v>0.26305261052211132</c:v>
                </c:pt>
                <c:pt idx="1316">
                  <c:v>0.26325265053011293</c:v>
                </c:pt>
                <c:pt idx="1317">
                  <c:v>0.26345269053811454</c:v>
                </c:pt>
                <c:pt idx="1318">
                  <c:v>0.26365273054611615</c:v>
                </c:pt>
                <c:pt idx="1319">
                  <c:v>0.26385277055411777</c:v>
                </c:pt>
                <c:pt idx="1320">
                  <c:v>0.26405281056211938</c:v>
                </c:pt>
                <c:pt idx="1321">
                  <c:v>0.26425285057012099</c:v>
                </c:pt>
                <c:pt idx="1322">
                  <c:v>0.2644528905781226</c:v>
                </c:pt>
                <c:pt idx="1323">
                  <c:v>0.26465293058612421</c:v>
                </c:pt>
                <c:pt idx="1324">
                  <c:v>0.26485297059412582</c:v>
                </c:pt>
                <c:pt idx="1325">
                  <c:v>0.26505301060212744</c:v>
                </c:pt>
                <c:pt idx="1326">
                  <c:v>0.26525305061012905</c:v>
                </c:pt>
                <c:pt idx="1327">
                  <c:v>0.26545309061813066</c:v>
                </c:pt>
                <c:pt idx="1328">
                  <c:v>0.26565313062613227</c:v>
                </c:pt>
                <c:pt idx="1329">
                  <c:v>0.26585317063413388</c:v>
                </c:pt>
                <c:pt idx="1330">
                  <c:v>0.2660532106421355</c:v>
                </c:pt>
                <c:pt idx="1331">
                  <c:v>0.26625325065013711</c:v>
                </c:pt>
                <c:pt idx="1332">
                  <c:v>0.26645329065813872</c:v>
                </c:pt>
                <c:pt idx="1333">
                  <c:v>0.26665333066614033</c:v>
                </c:pt>
                <c:pt idx="1334">
                  <c:v>0.26685337067414194</c:v>
                </c:pt>
                <c:pt idx="1335">
                  <c:v>0.26705341068214355</c:v>
                </c:pt>
                <c:pt idx="1336">
                  <c:v>0.26725345069014517</c:v>
                </c:pt>
                <c:pt idx="1337">
                  <c:v>0.26745349069814678</c:v>
                </c:pt>
                <c:pt idx="1338">
                  <c:v>0.26765353070614839</c:v>
                </c:pt>
                <c:pt idx="1339">
                  <c:v>0.26785357071415</c:v>
                </c:pt>
                <c:pt idx="1340">
                  <c:v>0.26805361072215161</c:v>
                </c:pt>
                <c:pt idx="1341">
                  <c:v>0.26825365073015323</c:v>
                </c:pt>
                <c:pt idx="1342">
                  <c:v>0.26845369073815484</c:v>
                </c:pt>
                <c:pt idx="1343">
                  <c:v>0.26865373074615645</c:v>
                </c:pt>
                <c:pt idx="1344">
                  <c:v>0.26885377075415806</c:v>
                </c:pt>
                <c:pt idx="1345">
                  <c:v>0.26905381076215967</c:v>
                </c:pt>
                <c:pt idx="1346">
                  <c:v>0.26925385077016128</c:v>
                </c:pt>
                <c:pt idx="1347">
                  <c:v>0.2694538907781629</c:v>
                </c:pt>
                <c:pt idx="1348">
                  <c:v>0.26965393078616451</c:v>
                </c:pt>
                <c:pt idx="1349">
                  <c:v>0.26985397079416612</c:v>
                </c:pt>
                <c:pt idx="1350">
                  <c:v>0.27005401080216773</c:v>
                </c:pt>
                <c:pt idx="1351">
                  <c:v>0.27025405081016934</c:v>
                </c:pt>
                <c:pt idx="1352">
                  <c:v>0.27045409081817096</c:v>
                </c:pt>
                <c:pt idx="1353">
                  <c:v>0.27065413082617257</c:v>
                </c:pt>
                <c:pt idx="1354">
                  <c:v>0.27085417083417418</c:v>
                </c:pt>
                <c:pt idx="1355">
                  <c:v>0.27105421084217579</c:v>
                </c:pt>
                <c:pt idx="1356">
                  <c:v>0.2712542508501774</c:v>
                </c:pt>
                <c:pt idx="1357">
                  <c:v>0.27145429085817901</c:v>
                </c:pt>
                <c:pt idx="1358">
                  <c:v>0.27165433086618063</c:v>
                </c:pt>
                <c:pt idx="1359">
                  <c:v>0.27185437087418224</c:v>
                </c:pt>
                <c:pt idx="1360">
                  <c:v>0.27205441088218385</c:v>
                </c:pt>
                <c:pt idx="1361">
                  <c:v>0.27225445089018546</c:v>
                </c:pt>
                <c:pt idx="1362">
                  <c:v>0.27245449089818707</c:v>
                </c:pt>
                <c:pt idx="1363">
                  <c:v>0.27265453090618869</c:v>
                </c:pt>
                <c:pt idx="1364">
                  <c:v>0.2728545709141903</c:v>
                </c:pt>
                <c:pt idx="1365">
                  <c:v>0.27305461092219191</c:v>
                </c:pt>
                <c:pt idx="1366">
                  <c:v>0.27325465093019352</c:v>
                </c:pt>
                <c:pt idx="1367">
                  <c:v>0.27345469093819513</c:v>
                </c:pt>
                <c:pt idx="1368">
                  <c:v>0.27365473094619674</c:v>
                </c:pt>
                <c:pt idx="1369">
                  <c:v>0.27385477095419836</c:v>
                </c:pt>
                <c:pt idx="1370">
                  <c:v>0.27405481096219997</c:v>
                </c:pt>
                <c:pt idx="1371">
                  <c:v>0.27425485097020158</c:v>
                </c:pt>
                <c:pt idx="1372">
                  <c:v>0.27445489097820319</c:v>
                </c:pt>
                <c:pt idx="1373">
                  <c:v>0.2746549309862048</c:v>
                </c:pt>
                <c:pt idx="1374">
                  <c:v>0.27485497099420642</c:v>
                </c:pt>
                <c:pt idx="1375">
                  <c:v>0.27505501100220803</c:v>
                </c:pt>
                <c:pt idx="1376">
                  <c:v>0.27525505101020964</c:v>
                </c:pt>
                <c:pt idx="1377">
                  <c:v>0.27545509101821125</c:v>
                </c:pt>
                <c:pt idx="1378">
                  <c:v>0.27565513102621286</c:v>
                </c:pt>
                <c:pt idx="1379">
                  <c:v>0.27585517103421447</c:v>
                </c:pt>
                <c:pt idx="1380">
                  <c:v>0.27605521104221609</c:v>
                </c:pt>
                <c:pt idx="1381">
                  <c:v>0.2762552510502177</c:v>
                </c:pt>
                <c:pt idx="1382">
                  <c:v>0.27645529105821931</c:v>
                </c:pt>
                <c:pt idx="1383">
                  <c:v>0.27665533106622092</c:v>
                </c:pt>
                <c:pt idx="1384">
                  <c:v>0.27685537107422253</c:v>
                </c:pt>
                <c:pt idx="1385">
                  <c:v>0.27705541108222415</c:v>
                </c:pt>
                <c:pt idx="1386">
                  <c:v>0.27725545109022576</c:v>
                </c:pt>
                <c:pt idx="1387">
                  <c:v>0.27745549109822737</c:v>
                </c:pt>
                <c:pt idx="1388">
                  <c:v>0.27765553110622898</c:v>
                </c:pt>
                <c:pt idx="1389">
                  <c:v>0.27785557111423059</c:v>
                </c:pt>
                <c:pt idx="1390">
                  <c:v>0.2780556111222322</c:v>
                </c:pt>
                <c:pt idx="1391">
                  <c:v>0.27825565113023382</c:v>
                </c:pt>
                <c:pt idx="1392">
                  <c:v>0.27845569113823543</c:v>
                </c:pt>
                <c:pt idx="1393">
                  <c:v>0.27865573114623704</c:v>
                </c:pt>
                <c:pt idx="1394">
                  <c:v>0.27885577115423865</c:v>
                </c:pt>
                <c:pt idx="1395">
                  <c:v>0.27905581116224026</c:v>
                </c:pt>
                <c:pt idx="1396">
                  <c:v>0.27925585117024188</c:v>
                </c:pt>
                <c:pt idx="1397">
                  <c:v>0.27945589117824349</c:v>
                </c:pt>
                <c:pt idx="1398">
                  <c:v>0.2796559311862451</c:v>
                </c:pt>
                <c:pt idx="1399">
                  <c:v>0.27985597119424671</c:v>
                </c:pt>
                <c:pt idx="1400">
                  <c:v>0.28005601120224832</c:v>
                </c:pt>
                <c:pt idx="1401">
                  <c:v>0.28025605121024993</c:v>
                </c:pt>
                <c:pt idx="1402">
                  <c:v>0.28045609121825155</c:v>
                </c:pt>
                <c:pt idx="1403">
                  <c:v>0.28065613122625316</c:v>
                </c:pt>
                <c:pt idx="1404">
                  <c:v>0.28085617123425477</c:v>
                </c:pt>
                <c:pt idx="1405">
                  <c:v>0.28105621124225638</c:v>
                </c:pt>
                <c:pt idx="1406">
                  <c:v>0.28125625125025799</c:v>
                </c:pt>
                <c:pt idx="1407">
                  <c:v>0.28145629125825961</c:v>
                </c:pt>
                <c:pt idx="1408">
                  <c:v>0.28165633126626122</c:v>
                </c:pt>
                <c:pt idx="1409">
                  <c:v>0.28185637127426283</c:v>
                </c:pt>
                <c:pt idx="1410">
                  <c:v>0.28205641128226444</c:v>
                </c:pt>
                <c:pt idx="1411">
                  <c:v>0.28225645129026605</c:v>
                </c:pt>
                <c:pt idx="1412">
                  <c:v>0.28245649129826766</c:v>
                </c:pt>
                <c:pt idx="1413">
                  <c:v>0.28265653130626928</c:v>
                </c:pt>
                <c:pt idx="1414">
                  <c:v>0.28285657131427089</c:v>
                </c:pt>
                <c:pt idx="1415">
                  <c:v>0.2830566113222725</c:v>
                </c:pt>
                <c:pt idx="1416">
                  <c:v>0.28325665133027411</c:v>
                </c:pt>
                <c:pt idx="1417">
                  <c:v>0.28345669133827572</c:v>
                </c:pt>
                <c:pt idx="1418">
                  <c:v>0.28365673134627734</c:v>
                </c:pt>
                <c:pt idx="1419">
                  <c:v>0.28385677135427895</c:v>
                </c:pt>
                <c:pt idx="1420">
                  <c:v>0.28405681136228056</c:v>
                </c:pt>
                <c:pt idx="1421">
                  <c:v>0.28425685137028217</c:v>
                </c:pt>
                <c:pt idx="1422">
                  <c:v>0.28445689137828378</c:v>
                </c:pt>
                <c:pt idx="1423">
                  <c:v>0.28465693138628539</c:v>
                </c:pt>
                <c:pt idx="1424">
                  <c:v>0.28485697139428701</c:v>
                </c:pt>
                <c:pt idx="1425">
                  <c:v>0.28505701140228862</c:v>
                </c:pt>
                <c:pt idx="1426">
                  <c:v>0.28525705141029023</c:v>
                </c:pt>
                <c:pt idx="1427">
                  <c:v>0.28545709141829184</c:v>
                </c:pt>
                <c:pt idx="1428">
                  <c:v>0.28565713142629345</c:v>
                </c:pt>
                <c:pt idx="1429">
                  <c:v>0.28585717143429507</c:v>
                </c:pt>
                <c:pt idx="1430">
                  <c:v>0.28605721144229668</c:v>
                </c:pt>
                <c:pt idx="1431">
                  <c:v>0.28625725145029829</c:v>
                </c:pt>
                <c:pt idx="1432">
                  <c:v>0.2864572914582999</c:v>
                </c:pt>
                <c:pt idx="1433">
                  <c:v>0.28665733146630151</c:v>
                </c:pt>
                <c:pt idx="1434">
                  <c:v>0.28685737147430312</c:v>
                </c:pt>
                <c:pt idx="1435">
                  <c:v>0.28705741148230474</c:v>
                </c:pt>
                <c:pt idx="1436">
                  <c:v>0.28725745149030635</c:v>
                </c:pt>
                <c:pt idx="1437">
                  <c:v>0.28745749149830796</c:v>
                </c:pt>
                <c:pt idx="1438">
                  <c:v>0.28765753150630957</c:v>
                </c:pt>
                <c:pt idx="1439">
                  <c:v>0.28785757151431118</c:v>
                </c:pt>
                <c:pt idx="1440">
                  <c:v>0.2880576115223128</c:v>
                </c:pt>
                <c:pt idx="1441">
                  <c:v>0.28825765153031441</c:v>
                </c:pt>
                <c:pt idx="1442">
                  <c:v>0.28845769153831602</c:v>
                </c:pt>
                <c:pt idx="1443">
                  <c:v>0.28865773154631763</c:v>
                </c:pt>
                <c:pt idx="1444">
                  <c:v>0.28885777155431924</c:v>
                </c:pt>
                <c:pt idx="1445">
                  <c:v>0.28905781156232085</c:v>
                </c:pt>
                <c:pt idx="1446">
                  <c:v>0.28925785157032247</c:v>
                </c:pt>
                <c:pt idx="1447">
                  <c:v>0.28945789157832408</c:v>
                </c:pt>
                <c:pt idx="1448">
                  <c:v>0.28965793158632569</c:v>
                </c:pt>
                <c:pt idx="1449">
                  <c:v>0.2898579715943273</c:v>
                </c:pt>
                <c:pt idx="1450">
                  <c:v>0.29005801160232891</c:v>
                </c:pt>
                <c:pt idx="1451">
                  <c:v>0.29025805161033053</c:v>
                </c:pt>
                <c:pt idx="1452">
                  <c:v>0.29045809161833214</c:v>
                </c:pt>
                <c:pt idx="1453">
                  <c:v>0.29065813162633375</c:v>
                </c:pt>
                <c:pt idx="1454">
                  <c:v>0.29085817163433536</c:v>
                </c:pt>
                <c:pt idx="1455">
                  <c:v>0.29105821164233697</c:v>
                </c:pt>
                <c:pt idx="1456">
                  <c:v>0.29125825165033858</c:v>
                </c:pt>
                <c:pt idx="1457">
                  <c:v>0.2914582916583402</c:v>
                </c:pt>
                <c:pt idx="1458">
                  <c:v>0.29165833166634181</c:v>
                </c:pt>
                <c:pt idx="1459">
                  <c:v>0.29185837167434342</c:v>
                </c:pt>
                <c:pt idx="1460">
                  <c:v>0.29205841168234503</c:v>
                </c:pt>
                <c:pt idx="1461">
                  <c:v>0.29225845169034664</c:v>
                </c:pt>
                <c:pt idx="1462">
                  <c:v>0.29245849169834826</c:v>
                </c:pt>
                <c:pt idx="1463">
                  <c:v>0.29265853170634987</c:v>
                </c:pt>
                <c:pt idx="1464">
                  <c:v>0.29285857171435148</c:v>
                </c:pt>
                <c:pt idx="1465">
                  <c:v>0.29305861172235309</c:v>
                </c:pt>
                <c:pt idx="1466">
                  <c:v>0.2932586517303547</c:v>
                </c:pt>
                <c:pt idx="1467">
                  <c:v>0.29345869173835631</c:v>
                </c:pt>
                <c:pt idx="1468">
                  <c:v>0.29365873174635793</c:v>
                </c:pt>
                <c:pt idx="1469">
                  <c:v>0.29385877175435954</c:v>
                </c:pt>
                <c:pt idx="1470">
                  <c:v>0.29405881176236115</c:v>
                </c:pt>
                <c:pt idx="1471">
                  <c:v>0.29425885177036276</c:v>
                </c:pt>
                <c:pt idx="1472">
                  <c:v>0.29445889177836437</c:v>
                </c:pt>
                <c:pt idx="1473">
                  <c:v>0.29465893178636599</c:v>
                </c:pt>
                <c:pt idx="1474">
                  <c:v>0.2948589717943676</c:v>
                </c:pt>
                <c:pt idx="1475">
                  <c:v>0.29505901180236921</c:v>
                </c:pt>
                <c:pt idx="1476">
                  <c:v>0.29525905181037082</c:v>
                </c:pt>
                <c:pt idx="1477">
                  <c:v>0.29545909181837243</c:v>
                </c:pt>
                <c:pt idx="1478">
                  <c:v>0.29565913182637404</c:v>
                </c:pt>
                <c:pt idx="1479">
                  <c:v>0.29585917183437566</c:v>
                </c:pt>
                <c:pt idx="1480">
                  <c:v>0.29605921184237727</c:v>
                </c:pt>
                <c:pt idx="1481">
                  <c:v>0.29625925185037888</c:v>
                </c:pt>
                <c:pt idx="1482">
                  <c:v>0.29645929185838049</c:v>
                </c:pt>
                <c:pt idx="1483">
                  <c:v>0.2966593318663821</c:v>
                </c:pt>
                <c:pt idx="1484">
                  <c:v>0.29685937187438372</c:v>
                </c:pt>
                <c:pt idx="1485">
                  <c:v>0.29705941188238533</c:v>
                </c:pt>
                <c:pt idx="1486">
                  <c:v>0.29725945189038694</c:v>
                </c:pt>
                <c:pt idx="1487">
                  <c:v>0.29745949189838855</c:v>
                </c:pt>
                <c:pt idx="1488">
                  <c:v>0.29765953190639016</c:v>
                </c:pt>
                <c:pt idx="1489">
                  <c:v>0.29785957191439177</c:v>
                </c:pt>
                <c:pt idx="1490">
                  <c:v>0.29805961192239339</c:v>
                </c:pt>
                <c:pt idx="1491">
                  <c:v>0.298259651930395</c:v>
                </c:pt>
                <c:pt idx="1492">
                  <c:v>0.29845969193839661</c:v>
                </c:pt>
                <c:pt idx="1493">
                  <c:v>0.29865973194639822</c:v>
                </c:pt>
                <c:pt idx="1494">
                  <c:v>0.29885977195439983</c:v>
                </c:pt>
                <c:pt idx="1495">
                  <c:v>0.29905981196240145</c:v>
                </c:pt>
                <c:pt idx="1496">
                  <c:v>0.29925985197040306</c:v>
                </c:pt>
                <c:pt idx="1497">
                  <c:v>0.29945989197840467</c:v>
                </c:pt>
                <c:pt idx="1498">
                  <c:v>0.29965993198640628</c:v>
                </c:pt>
                <c:pt idx="1499">
                  <c:v>0.29985997199440789</c:v>
                </c:pt>
                <c:pt idx="1500">
                  <c:v>0.3000600120024095</c:v>
                </c:pt>
                <c:pt idx="1501">
                  <c:v>0.30026005201041112</c:v>
                </c:pt>
                <c:pt idx="1502">
                  <c:v>0.30046009201841273</c:v>
                </c:pt>
                <c:pt idx="1503">
                  <c:v>0.30066013202641434</c:v>
                </c:pt>
                <c:pt idx="1504">
                  <c:v>0.30086017203441595</c:v>
                </c:pt>
                <c:pt idx="1505">
                  <c:v>0.30106021204241756</c:v>
                </c:pt>
                <c:pt idx="1506">
                  <c:v>0.30126025205041917</c:v>
                </c:pt>
                <c:pt idx="1507">
                  <c:v>0.30146029205842079</c:v>
                </c:pt>
                <c:pt idx="1508">
                  <c:v>0.3016603320664224</c:v>
                </c:pt>
                <c:pt idx="1509">
                  <c:v>0.30186037207442401</c:v>
                </c:pt>
                <c:pt idx="1510">
                  <c:v>0.30206041208242562</c:v>
                </c:pt>
                <c:pt idx="1511">
                  <c:v>0.30226045209042723</c:v>
                </c:pt>
                <c:pt idx="1512">
                  <c:v>0.30246049209842885</c:v>
                </c:pt>
                <c:pt idx="1513">
                  <c:v>0.30266053210643046</c:v>
                </c:pt>
                <c:pt idx="1514">
                  <c:v>0.30286057211443207</c:v>
                </c:pt>
                <c:pt idx="1515">
                  <c:v>0.30306061212243368</c:v>
                </c:pt>
                <c:pt idx="1516">
                  <c:v>0.30326065213043529</c:v>
                </c:pt>
                <c:pt idx="1517">
                  <c:v>0.3034606921384369</c:v>
                </c:pt>
                <c:pt idx="1518">
                  <c:v>0.30366073214643852</c:v>
                </c:pt>
                <c:pt idx="1519">
                  <c:v>0.30386077215444013</c:v>
                </c:pt>
                <c:pt idx="1520">
                  <c:v>0.30406081216244174</c:v>
                </c:pt>
                <c:pt idx="1521">
                  <c:v>0.30426085217044335</c:v>
                </c:pt>
                <c:pt idx="1522">
                  <c:v>0.30446089217844496</c:v>
                </c:pt>
                <c:pt idx="1523">
                  <c:v>0.30466093218644658</c:v>
                </c:pt>
                <c:pt idx="1524">
                  <c:v>0.30486097219444819</c:v>
                </c:pt>
                <c:pt idx="1525">
                  <c:v>0.3050610122024498</c:v>
                </c:pt>
                <c:pt idx="1526">
                  <c:v>0.30526105221045141</c:v>
                </c:pt>
                <c:pt idx="1527">
                  <c:v>0.30546109221845302</c:v>
                </c:pt>
                <c:pt idx="1528">
                  <c:v>0.30566113222645463</c:v>
                </c:pt>
                <c:pt idx="1529">
                  <c:v>0.30586117223445625</c:v>
                </c:pt>
                <c:pt idx="1530">
                  <c:v>0.30606121224245786</c:v>
                </c:pt>
                <c:pt idx="1531">
                  <c:v>0.30626125225045947</c:v>
                </c:pt>
                <c:pt idx="1532">
                  <c:v>0.30646129225846108</c:v>
                </c:pt>
                <c:pt idx="1533">
                  <c:v>0.30666133226646269</c:v>
                </c:pt>
                <c:pt idx="1534">
                  <c:v>0.30686137227446431</c:v>
                </c:pt>
                <c:pt idx="1535">
                  <c:v>0.30706141228246592</c:v>
                </c:pt>
                <c:pt idx="1536">
                  <c:v>0.30726145229046753</c:v>
                </c:pt>
                <c:pt idx="1537">
                  <c:v>0.30746149229846914</c:v>
                </c:pt>
                <c:pt idx="1538">
                  <c:v>0.30766153230647075</c:v>
                </c:pt>
                <c:pt idx="1539">
                  <c:v>0.30786157231447236</c:v>
                </c:pt>
                <c:pt idx="1540">
                  <c:v>0.30806161232247398</c:v>
                </c:pt>
                <c:pt idx="1541">
                  <c:v>0.30826165233047559</c:v>
                </c:pt>
                <c:pt idx="1542">
                  <c:v>0.3084616923384772</c:v>
                </c:pt>
                <c:pt idx="1543">
                  <c:v>0.30866173234647881</c:v>
                </c:pt>
                <c:pt idx="1544">
                  <c:v>0.30886177235448042</c:v>
                </c:pt>
                <c:pt idx="1545">
                  <c:v>0.30906181236248204</c:v>
                </c:pt>
                <c:pt idx="1546">
                  <c:v>0.30926185237048365</c:v>
                </c:pt>
                <c:pt idx="1547">
                  <c:v>0.30946189237848526</c:v>
                </c:pt>
                <c:pt idx="1548">
                  <c:v>0.30966193238648687</c:v>
                </c:pt>
                <c:pt idx="1549">
                  <c:v>0.30986197239448848</c:v>
                </c:pt>
                <c:pt idx="1550">
                  <c:v>0.31006201240249009</c:v>
                </c:pt>
                <c:pt idx="1551">
                  <c:v>0.31026205241049171</c:v>
                </c:pt>
                <c:pt idx="1552">
                  <c:v>0.31046209241849332</c:v>
                </c:pt>
                <c:pt idx="1553">
                  <c:v>0.31066213242649493</c:v>
                </c:pt>
                <c:pt idx="1554">
                  <c:v>0.31086217243449654</c:v>
                </c:pt>
                <c:pt idx="1555">
                  <c:v>0.31106221244249815</c:v>
                </c:pt>
                <c:pt idx="1556">
                  <c:v>0.31126225245049977</c:v>
                </c:pt>
                <c:pt idx="1557">
                  <c:v>0.31146229245850138</c:v>
                </c:pt>
                <c:pt idx="1558">
                  <c:v>0.31166233246650299</c:v>
                </c:pt>
                <c:pt idx="1559">
                  <c:v>0.3118623724745046</c:v>
                </c:pt>
                <c:pt idx="1560">
                  <c:v>0.31206241248250621</c:v>
                </c:pt>
                <c:pt idx="1561">
                  <c:v>0.31226245249050782</c:v>
                </c:pt>
                <c:pt idx="1562">
                  <c:v>0.31246249249850944</c:v>
                </c:pt>
                <c:pt idx="1563">
                  <c:v>0.31266253250651105</c:v>
                </c:pt>
                <c:pt idx="1564">
                  <c:v>0.31286257251451266</c:v>
                </c:pt>
                <c:pt idx="1565">
                  <c:v>0.31306261252251427</c:v>
                </c:pt>
                <c:pt idx="1566">
                  <c:v>0.31326265253051588</c:v>
                </c:pt>
                <c:pt idx="1567">
                  <c:v>0.3134626925385175</c:v>
                </c:pt>
                <c:pt idx="1568">
                  <c:v>0.31366273254651911</c:v>
                </c:pt>
                <c:pt idx="1569">
                  <c:v>0.31386277255452072</c:v>
                </c:pt>
                <c:pt idx="1570">
                  <c:v>0.31406281256252233</c:v>
                </c:pt>
                <c:pt idx="1571">
                  <c:v>0.31426285257052394</c:v>
                </c:pt>
                <c:pt idx="1572">
                  <c:v>0.31446289257852555</c:v>
                </c:pt>
                <c:pt idx="1573">
                  <c:v>0.31466293258652717</c:v>
                </c:pt>
                <c:pt idx="1574">
                  <c:v>0.31486297259452878</c:v>
                </c:pt>
                <c:pt idx="1575">
                  <c:v>0.31506301260253039</c:v>
                </c:pt>
                <c:pt idx="1576">
                  <c:v>0.315263052610532</c:v>
                </c:pt>
                <c:pt idx="1577">
                  <c:v>0.31546309261853361</c:v>
                </c:pt>
                <c:pt idx="1578">
                  <c:v>0.31566313262653523</c:v>
                </c:pt>
                <c:pt idx="1579">
                  <c:v>0.31586317263453684</c:v>
                </c:pt>
                <c:pt idx="1580">
                  <c:v>0.31606321264253845</c:v>
                </c:pt>
                <c:pt idx="1581">
                  <c:v>0.31626325265054006</c:v>
                </c:pt>
                <c:pt idx="1582">
                  <c:v>0.31646329265854167</c:v>
                </c:pt>
                <c:pt idx="1583">
                  <c:v>0.31666333266654328</c:v>
                </c:pt>
                <c:pt idx="1584">
                  <c:v>0.3168633726745449</c:v>
                </c:pt>
                <c:pt idx="1585">
                  <c:v>0.31706341268254651</c:v>
                </c:pt>
                <c:pt idx="1586">
                  <c:v>0.31726345269054812</c:v>
                </c:pt>
                <c:pt idx="1587">
                  <c:v>0.31746349269854973</c:v>
                </c:pt>
                <c:pt idx="1588">
                  <c:v>0.31766353270655134</c:v>
                </c:pt>
                <c:pt idx="1589">
                  <c:v>0.31786357271455296</c:v>
                </c:pt>
                <c:pt idx="1590">
                  <c:v>0.31806361272255457</c:v>
                </c:pt>
                <c:pt idx="1591">
                  <c:v>0.31826365273055618</c:v>
                </c:pt>
                <c:pt idx="1592">
                  <c:v>0.31846369273855779</c:v>
                </c:pt>
                <c:pt idx="1593">
                  <c:v>0.3186637327465594</c:v>
                </c:pt>
                <c:pt idx="1594">
                  <c:v>0.31886377275456101</c:v>
                </c:pt>
                <c:pt idx="1595">
                  <c:v>0.31906381276256263</c:v>
                </c:pt>
                <c:pt idx="1596">
                  <c:v>0.31926385277056424</c:v>
                </c:pt>
                <c:pt idx="1597">
                  <c:v>0.31946389277856585</c:v>
                </c:pt>
                <c:pt idx="1598">
                  <c:v>0.31966393278656746</c:v>
                </c:pt>
                <c:pt idx="1599">
                  <c:v>0.31986397279456907</c:v>
                </c:pt>
                <c:pt idx="1600">
                  <c:v>0.32006401280257069</c:v>
                </c:pt>
                <c:pt idx="1601">
                  <c:v>0.3202640528105723</c:v>
                </c:pt>
                <c:pt idx="1602">
                  <c:v>0.32046409281857391</c:v>
                </c:pt>
                <c:pt idx="1603">
                  <c:v>0.32066413282657552</c:v>
                </c:pt>
                <c:pt idx="1604">
                  <c:v>0.32086417283457713</c:v>
                </c:pt>
                <c:pt idx="1605">
                  <c:v>0.32106421284257874</c:v>
                </c:pt>
                <c:pt idx="1606">
                  <c:v>0.32126425285058036</c:v>
                </c:pt>
                <c:pt idx="1607">
                  <c:v>0.32146429285858197</c:v>
                </c:pt>
                <c:pt idx="1608">
                  <c:v>0.32166433286658358</c:v>
                </c:pt>
                <c:pt idx="1609">
                  <c:v>0.32186437287458519</c:v>
                </c:pt>
                <c:pt idx="1610">
                  <c:v>0.3220644128825868</c:v>
                </c:pt>
                <c:pt idx="1611">
                  <c:v>0.32226445289058842</c:v>
                </c:pt>
                <c:pt idx="1612">
                  <c:v>0.32246449289859003</c:v>
                </c:pt>
                <c:pt idx="1613">
                  <c:v>0.32266453290659164</c:v>
                </c:pt>
                <c:pt idx="1614">
                  <c:v>0.32286457291459325</c:v>
                </c:pt>
                <c:pt idx="1615">
                  <c:v>0.32306461292259486</c:v>
                </c:pt>
                <c:pt idx="1616">
                  <c:v>0.32326465293059647</c:v>
                </c:pt>
                <c:pt idx="1617">
                  <c:v>0.32346469293859809</c:v>
                </c:pt>
                <c:pt idx="1618">
                  <c:v>0.3236647329465997</c:v>
                </c:pt>
                <c:pt idx="1619">
                  <c:v>0.32386477295460131</c:v>
                </c:pt>
                <c:pt idx="1620">
                  <c:v>0.32406481296260292</c:v>
                </c:pt>
                <c:pt idx="1621">
                  <c:v>0.32426485297060453</c:v>
                </c:pt>
                <c:pt idx="1622">
                  <c:v>0.32446489297860615</c:v>
                </c:pt>
                <c:pt idx="1623">
                  <c:v>0.32466493298660776</c:v>
                </c:pt>
                <c:pt idx="1624">
                  <c:v>0.32486497299460937</c:v>
                </c:pt>
                <c:pt idx="1625">
                  <c:v>0.32506501300261098</c:v>
                </c:pt>
                <c:pt idx="1626">
                  <c:v>0.32526505301061259</c:v>
                </c:pt>
                <c:pt idx="1627">
                  <c:v>0.3254650930186142</c:v>
                </c:pt>
                <c:pt idx="1628">
                  <c:v>0.32566513302661582</c:v>
                </c:pt>
                <c:pt idx="1629">
                  <c:v>0.32586517303461743</c:v>
                </c:pt>
                <c:pt idx="1630">
                  <c:v>0.32606521304261904</c:v>
                </c:pt>
                <c:pt idx="1631">
                  <c:v>0.32626525305062065</c:v>
                </c:pt>
                <c:pt idx="1632">
                  <c:v>0.32646529305862226</c:v>
                </c:pt>
                <c:pt idx="1633">
                  <c:v>0.32666533306662388</c:v>
                </c:pt>
                <c:pt idx="1634">
                  <c:v>0.32686537307462549</c:v>
                </c:pt>
                <c:pt idx="1635">
                  <c:v>0.3270654130826271</c:v>
                </c:pt>
                <c:pt idx="1636">
                  <c:v>0.32726545309062871</c:v>
                </c:pt>
                <c:pt idx="1637">
                  <c:v>0.32746549309863032</c:v>
                </c:pt>
                <c:pt idx="1638">
                  <c:v>0.32766553310663193</c:v>
                </c:pt>
                <c:pt idx="1639">
                  <c:v>0.32786557311463355</c:v>
                </c:pt>
                <c:pt idx="1640">
                  <c:v>0.32806561312263516</c:v>
                </c:pt>
                <c:pt idx="1641">
                  <c:v>0.32826565313063677</c:v>
                </c:pt>
                <c:pt idx="1642">
                  <c:v>0.32846569313863838</c:v>
                </c:pt>
                <c:pt idx="1643">
                  <c:v>0.32866573314663999</c:v>
                </c:pt>
                <c:pt idx="1644">
                  <c:v>0.32886577315464161</c:v>
                </c:pt>
                <c:pt idx="1645">
                  <c:v>0.32906581316264322</c:v>
                </c:pt>
                <c:pt idx="1646">
                  <c:v>0.32926585317064483</c:v>
                </c:pt>
                <c:pt idx="1647">
                  <c:v>0.32946589317864644</c:v>
                </c:pt>
                <c:pt idx="1648">
                  <c:v>0.32966593318664805</c:v>
                </c:pt>
                <c:pt idx="1649">
                  <c:v>0.32986597319464966</c:v>
                </c:pt>
                <c:pt idx="1650">
                  <c:v>0.33006601320265128</c:v>
                </c:pt>
                <c:pt idx="1651">
                  <c:v>0.33026605321065289</c:v>
                </c:pt>
                <c:pt idx="1652">
                  <c:v>0.3304660932186545</c:v>
                </c:pt>
                <c:pt idx="1653">
                  <c:v>0.33066613322665611</c:v>
                </c:pt>
                <c:pt idx="1654">
                  <c:v>0.33086617323465772</c:v>
                </c:pt>
                <c:pt idx="1655">
                  <c:v>0.33106621324265934</c:v>
                </c:pt>
                <c:pt idx="1656">
                  <c:v>0.33126625325066095</c:v>
                </c:pt>
                <c:pt idx="1657">
                  <c:v>0.33146629325866256</c:v>
                </c:pt>
                <c:pt idx="1658">
                  <c:v>0.33166633326666417</c:v>
                </c:pt>
                <c:pt idx="1659">
                  <c:v>0.33186637327466578</c:v>
                </c:pt>
                <c:pt idx="1660">
                  <c:v>0.33206641328266739</c:v>
                </c:pt>
                <c:pt idx="1661">
                  <c:v>0.33226645329066901</c:v>
                </c:pt>
                <c:pt idx="1662">
                  <c:v>0.33246649329867062</c:v>
                </c:pt>
                <c:pt idx="1663">
                  <c:v>0.33266653330667223</c:v>
                </c:pt>
                <c:pt idx="1664">
                  <c:v>0.33286657331467384</c:v>
                </c:pt>
                <c:pt idx="1665">
                  <c:v>0.33306661332267545</c:v>
                </c:pt>
                <c:pt idx="1666">
                  <c:v>0.33326665333067707</c:v>
                </c:pt>
                <c:pt idx="1667">
                  <c:v>0.33346669333867868</c:v>
                </c:pt>
                <c:pt idx="1668">
                  <c:v>0.33366673334668029</c:v>
                </c:pt>
                <c:pt idx="1669">
                  <c:v>0.3338667733546819</c:v>
                </c:pt>
                <c:pt idx="1670">
                  <c:v>0.33406681336268351</c:v>
                </c:pt>
                <c:pt idx="1671">
                  <c:v>0.33426685337068512</c:v>
                </c:pt>
                <c:pt idx="1672">
                  <c:v>0.33446689337868674</c:v>
                </c:pt>
                <c:pt idx="1673">
                  <c:v>0.33466693338668835</c:v>
                </c:pt>
                <c:pt idx="1674">
                  <c:v>0.33486697339468996</c:v>
                </c:pt>
                <c:pt idx="1675">
                  <c:v>0.33506701340269157</c:v>
                </c:pt>
                <c:pt idx="1676">
                  <c:v>0.33526705341069318</c:v>
                </c:pt>
                <c:pt idx="1677">
                  <c:v>0.3354670934186948</c:v>
                </c:pt>
                <c:pt idx="1678">
                  <c:v>0.33566713342669641</c:v>
                </c:pt>
                <c:pt idx="1679">
                  <c:v>0.33586717343469802</c:v>
                </c:pt>
                <c:pt idx="1680">
                  <c:v>0.33606721344269963</c:v>
                </c:pt>
                <c:pt idx="1681">
                  <c:v>0.33626725345070124</c:v>
                </c:pt>
                <c:pt idx="1682">
                  <c:v>0.33646729345870285</c:v>
                </c:pt>
                <c:pt idx="1683">
                  <c:v>0.33666733346670447</c:v>
                </c:pt>
                <c:pt idx="1684">
                  <c:v>0.33686737347470608</c:v>
                </c:pt>
                <c:pt idx="1685">
                  <c:v>0.33706741348270769</c:v>
                </c:pt>
                <c:pt idx="1686">
                  <c:v>0.3372674534907093</c:v>
                </c:pt>
                <c:pt idx="1687">
                  <c:v>0.33746749349871091</c:v>
                </c:pt>
                <c:pt idx="1688">
                  <c:v>0.33766753350671252</c:v>
                </c:pt>
                <c:pt idx="1689">
                  <c:v>0.33786757351471414</c:v>
                </c:pt>
                <c:pt idx="1690">
                  <c:v>0.33806761352271575</c:v>
                </c:pt>
                <c:pt idx="1691">
                  <c:v>0.33826765353071736</c:v>
                </c:pt>
                <c:pt idx="1692">
                  <c:v>0.33846769353871897</c:v>
                </c:pt>
                <c:pt idx="1693">
                  <c:v>0.33866773354672058</c:v>
                </c:pt>
                <c:pt idx="1694">
                  <c:v>0.3388677735547222</c:v>
                </c:pt>
                <c:pt idx="1695">
                  <c:v>0.33906781356272381</c:v>
                </c:pt>
                <c:pt idx="1696">
                  <c:v>0.33926785357072542</c:v>
                </c:pt>
                <c:pt idx="1697">
                  <c:v>0.33946789357872703</c:v>
                </c:pt>
                <c:pt idx="1698">
                  <c:v>0.33966793358672864</c:v>
                </c:pt>
                <c:pt idx="1699">
                  <c:v>0.33986797359473025</c:v>
                </c:pt>
                <c:pt idx="1700">
                  <c:v>0.34006801360273187</c:v>
                </c:pt>
                <c:pt idx="1701">
                  <c:v>0.34026805361073348</c:v>
                </c:pt>
                <c:pt idx="1702">
                  <c:v>0.34046809361873509</c:v>
                </c:pt>
                <c:pt idx="1703">
                  <c:v>0.3406681336267367</c:v>
                </c:pt>
                <c:pt idx="1704">
                  <c:v>0.34086817363473831</c:v>
                </c:pt>
                <c:pt idx="1705">
                  <c:v>0.34106821364273993</c:v>
                </c:pt>
                <c:pt idx="1706">
                  <c:v>0.34126825365074154</c:v>
                </c:pt>
                <c:pt idx="1707">
                  <c:v>0.34146829365874315</c:v>
                </c:pt>
                <c:pt idx="1708">
                  <c:v>0.34166833366674476</c:v>
                </c:pt>
                <c:pt idx="1709">
                  <c:v>0.34186837367474637</c:v>
                </c:pt>
                <c:pt idx="1710">
                  <c:v>0.34206841368274798</c:v>
                </c:pt>
                <c:pt idx="1711">
                  <c:v>0.3422684536907496</c:v>
                </c:pt>
                <c:pt idx="1712">
                  <c:v>0.34246849369875121</c:v>
                </c:pt>
                <c:pt idx="1713">
                  <c:v>0.34266853370675282</c:v>
                </c:pt>
                <c:pt idx="1714">
                  <c:v>0.34286857371475443</c:v>
                </c:pt>
                <c:pt idx="1715">
                  <c:v>0.34306861372275604</c:v>
                </c:pt>
                <c:pt idx="1716">
                  <c:v>0.34326865373075766</c:v>
                </c:pt>
                <c:pt idx="1717">
                  <c:v>0.34346869373875927</c:v>
                </c:pt>
                <c:pt idx="1718">
                  <c:v>0.34366873374676088</c:v>
                </c:pt>
                <c:pt idx="1719">
                  <c:v>0.34386877375476249</c:v>
                </c:pt>
                <c:pt idx="1720">
                  <c:v>0.3440688137627641</c:v>
                </c:pt>
                <c:pt idx="1721">
                  <c:v>0.34426885377076571</c:v>
                </c:pt>
                <c:pt idx="1722">
                  <c:v>0.34446889377876733</c:v>
                </c:pt>
                <c:pt idx="1723">
                  <c:v>0.34466893378676894</c:v>
                </c:pt>
                <c:pt idx="1724">
                  <c:v>0.34486897379477055</c:v>
                </c:pt>
                <c:pt idx="1725">
                  <c:v>0.34506901380277216</c:v>
                </c:pt>
                <c:pt idx="1726">
                  <c:v>0.34526905381077377</c:v>
                </c:pt>
                <c:pt idx="1727">
                  <c:v>0.34546909381877539</c:v>
                </c:pt>
                <c:pt idx="1728">
                  <c:v>0.345669133826777</c:v>
                </c:pt>
                <c:pt idx="1729">
                  <c:v>0.34586917383477861</c:v>
                </c:pt>
                <c:pt idx="1730">
                  <c:v>0.34606921384278022</c:v>
                </c:pt>
                <c:pt idx="1731">
                  <c:v>0.34626925385078183</c:v>
                </c:pt>
                <c:pt idx="1732">
                  <c:v>0.34646929385878344</c:v>
                </c:pt>
                <c:pt idx="1733">
                  <c:v>0.34666933386678506</c:v>
                </c:pt>
                <c:pt idx="1734">
                  <c:v>0.34686937387478667</c:v>
                </c:pt>
                <c:pt idx="1735">
                  <c:v>0.34706941388278828</c:v>
                </c:pt>
                <c:pt idx="1736">
                  <c:v>0.34726945389078989</c:v>
                </c:pt>
                <c:pt idx="1737">
                  <c:v>0.3474694938987915</c:v>
                </c:pt>
                <c:pt idx="1738">
                  <c:v>0.34766953390679312</c:v>
                </c:pt>
                <c:pt idx="1739">
                  <c:v>0.34786957391479473</c:v>
                </c:pt>
                <c:pt idx="1740">
                  <c:v>0.34806961392279634</c:v>
                </c:pt>
                <c:pt idx="1741">
                  <c:v>0.34826965393079795</c:v>
                </c:pt>
                <c:pt idx="1742">
                  <c:v>0.34846969393879956</c:v>
                </c:pt>
                <c:pt idx="1743">
                  <c:v>0.34866973394680117</c:v>
                </c:pt>
                <c:pt idx="1744">
                  <c:v>0.34886977395480279</c:v>
                </c:pt>
                <c:pt idx="1745">
                  <c:v>0.3490698139628044</c:v>
                </c:pt>
                <c:pt idx="1746">
                  <c:v>0.34926985397080601</c:v>
                </c:pt>
                <c:pt idx="1747">
                  <c:v>0.34946989397880762</c:v>
                </c:pt>
                <c:pt idx="1748">
                  <c:v>0.34966993398680923</c:v>
                </c:pt>
                <c:pt idx="1749">
                  <c:v>0.34986997399481085</c:v>
                </c:pt>
                <c:pt idx="1750">
                  <c:v>0.35007001400281246</c:v>
                </c:pt>
                <c:pt idx="1751">
                  <c:v>0.35027005401081407</c:v>
                </c:pt>
                <c:pt idx="1752">
                  <c:v>0.35047009401881568</c:v>
                </c:pt>
                <c:pt idx="1753">
                  <c:v>0.35067013402681729</c:v>
                </c:pt>
                <c:pt idx="1754">
                  <c:v>0.3508701740348189</c:v>
                </c:pt>
                <c:pt idx="1755">
                  <c:v>0.35107021404282052</c:v>
                </c:pt>
                <c:pt idx="1756">
                  <c:v>0.35127025405082213</c:v>
                </c:pt>
                <c:pt idx="1757">
                  <c:v>0.35147029405882374</c:v>
                </c:pt>
                <c:pt idx="1758">
                  <c:v>0.35167033406682535</c:v>
                </c:pt>
                <c:pt idx="1759">
                  <c:v>0.35187037407482696</c:v>
                </c:pt>
                <c:pt idx="1760">
                  <c:v>0.35207041408282858</c:v>
                </c:pt>
                <c:pt idx="1761">
                  <c:v>0.35227045409083019</c:v>
                </c:pt>
                <c:pt idx="1762">
                  <c:v>0.3524704940988318</c:v>
                </c:pt>
                <c:pt idx="1763">
                  <c:v>0.35267053410683341</c:v>
                </c:pt>
                <c:pt idx="1764">
                  <c:v>0.35287057411483502</c:v>
                </c:pt>
                <c:pt idx="1765">
                  <c:v>0.35307061412283663</c:v>
                </c:pt>
                <c:pt idx="1766">
                  <c:v>0.35327065413083825</c:v>
                </c:pt>
                <c:pt idx="1767">
                  <c:v>0.35347069413883986</c:v>
                </c:pt>
                <c:pt idx="1768">
                  <c:v>0.35367073414684147</c:v>
                </c:pt>
                <c:pt idx="1769">
                  <c:v>0.35387077415484308</c:v>
                </c:pt>
                <c:pt idx="1770">
                  <c:v>0.35407081416284469</c:v>
                </c:pt>
                <c:pt idx="1771">
                  <c:v>0.35427085417084631</c:v>
                </c:pt>
                <c:pt idx="1772">
                  <c:v>0.35447089417884792</c:v>
                </c:pt>
                <c:pt idx="1773">
                  <c:v>0.35467093418684953</c:v>
                </c:pt>
                <c:pt idx="1774">
                  <c:v>0.35487097419485114</c:v>
                </c:pt>
                <c:pt idx="1775">
                  <c:v>0.35507101420285275</c:v>
                </c:pt>
                <c:pt idx="1776">
                  <c:v>0.35527105421085436</c:v>
                </c:pt>
                <c:pt idx="1777">
                  <c:v>0.35547109421885598</c:v>
                </c:pt>
                <c:pt idx="1778">
                  <c:v>0.35567113422685759</c:v>
                </c:pt>
                <c:pt idx="1779">
                  <c:v>0.3558711742348592</c:v>
                </c:pt>
                <c:pt idx="1780">
                  <c:v>0.35607121424286081</c:v>
                </c:pt>
                <c:pt idx="1781">
                  <c:v>0.35627125425086242</c:v>
                </c:pt>
                <c:pt idx="1782">
                  <c:v>0.35647129425886404</c:v>
                </c:pt>
                <c:pt idx="1783">
                  <c:v>0.35667133426686565</c:v>
                </c:pt>
                <c:pt idx="1784">
                  <c:v>0.35687137427486726</c:v>
                </c:pt>
                <c:pt idx="1785">
                  <c:v>0.35707141428286887</c:v>
                </c:pt>
                <c:pt idx="1786">
                  <c:v>0.35727145429087048</c:v>
                </c:pt>
                <c:pt idx="1787">
                  <c:v>0.35747149429887209</c:v>
                </c:pt>
                <c:pt idx="1788">
                  <c:v>0.35767153430687371</c:v>
                </c:pt>
                <c:pt idx="1789">
                  <c:v>0.35787157431487532</c:v>
                </c:pt>
                <c:pt idx="1790">
                  <c:v>0.35807161432287693</c:v>
                </c:pt>
                <c:pt idx="1791">
                  <c:v>0.35827165433087854</c:v>
                </c:pt>
                <c:pt idx="1792">
                  <c:v>0.35847169433888015</c:v>
                </c:pt>
                <c:pt idx="1793">
                  <c:v>0.35867173434688177</c:v>
                </c:pt>
                <c:pt idx="1794">
                  <c:v>0.35887177435488338</c:v>
                </c:pt>
                <c:pt idx="1795">
                  <c:v>0.35907181436288499</c:v>
                </c:pt>
                <c:pt idx="1796">
                  <c:v>0.3592718543708866</c:v>
                </c:pt>
                <c:pt idx="1797">
                  <c:v>0.35947189437888821</c:v>
                </c:pt>
                <c:pt idx="1798">
                  <c:v>0.35967193438688982</c:v>
                </c:pt>
                <c:pt idx="1799">
                  <c:v>0.35987197439489144</c:v>
                </c:pt>
                <c:pt idx="1800">
                  <c:v>0.36007201440289305</c:v>
                </c:pt>
                <c:pt idx="1801">
                  <c:v>0.36027205441089466</c:v>
                </c:pt>
                <c:pt idx="1802">
                  <c:v>0.36047209441889627</c:v>
                </c:pt>
                <c:pt idx="1803">
                  <c:v>0.36067213442689788</c:v>
                </c:pt>
                <c:pt idx="1804">
                  <c:v>0.3608721744348995</c:v>
                </c:pt>
                <c:pt idx="1805">
                  <c:v>0.36107221444290111</c:v>
                </c:pt>
                <c:pt idx="1806">
                  <c:v>0.36127225445090272</c:v>
                </c:pt>
                <c:pt idx="1807">
                  <c:v>0.36147229445890433</c:v>
                </c:pt>
                <c:pt idx="1808">
                  <c:v>0.36167233446690594</c:v>
                </c:pt>
                <c:pt idx="1809">
                  <c:v>0.36187237447490755</c:v>
                </c:pt>
                <c:pt idx="1810">
                  <c:v>0.36207241448290917</c:v>
                </c:pt>
                <c:pt idx="1811">
                  <c:v>0.36227245449091078</c:v>
                </c:pt>
                <c:pt idx="1812">
                  <c:v>0.36247249449891239</c:v>
                </c:pt>
                <c:pt idx="1813">
                  <c:v>0.362672534506914</c:v>
                </c:pt>
                <c:pt idx="1814">
                  <c:v>0.36287257451491561</c:v>
                </c:pt>
                <c:pt idx="1815">
                  <c:v>0.36307261452291723</c:v>
                </c:pt>
                <c:pt idx="1816">
                  <c:v>0.36327265453091884</c:v>
                </c:pt>
                <c:pt idx="1817">
                  <c:v>0.36347269453892045</c:v>
                </c:pt>
                <c:pt idx="1818">
                  <c:v>0.36367273454692206</c:v>
                </c:pt>
                <c:pt idx="1819">
                  <c:v>0.36387277455492367</c:v>
                </c:pt>
                <c:pt idx="1820">
                  <c:v>0.36407281456292528</c:v>
                </c:pt>
                <c:pt idx="1821">
                  <c:v>0.3642728545709269</c:v>
                </c:pt>
                <c:pt idx="1822">
                  <c:v>0.36447289457892851</c:v>
                </c:pt>
                <c:pt idx="1823">
                  <c:v>0.36467293458693012</c:v>
                </c:pt>
                <c:pt idx="1824">
                  <c:v>0.36487297459493173</c:v>
                </c:pt>
                <c:pt idx="1825">
                  <c:v>0.36507301460293334</c:v>
                </c:pt>
                <c:pt idx="1826">
                  <c:v>0.36527305461093496</c:v>
                </c:pt>
                <c:pt idx="1827">
                  <c:v>0.36547309461893657</c:v>
                </c:pt>
                <c:pt idx="1828">
                  <c:v>0.36567313462693818</c:v>
                </c:pt>
                <c:pt idx="1829">
                  <c:v>0.36587317463493979</c:v>
                </c:pt>
                <c:pt idx="1830">
                  <c:v>0.3660732146429414</c:v>
                </c:pt>
                <c:pt idx="1831">
                  <c:v>0.36627325465094301</c:v>
                </c:pt>
                <c:pt idx="1832">
                  <c:v>0.36647329465894463</c:v>
                </c:pt>
                <c:pt idx="1833">
                  <c:v>0.36667333466694624</c:v>
                </c:pt>
                <c:pt idx="1834">
                  <c:v>0.36687337467494785</c:v>
                </c:pt>
                <c:pt idx="1835">
                  <c:v>0.36707341468294946</c:v>
                </c:pt>
                <c:pt idx="1836">
                  <c:v>0.36727345469095107</c:v>
                </c:pt>
                <c:pt idx="1837">
                  <c:v>0.36747349469895269</c:v>
                </c:pt>
                <c:pt idx="1838">
                  <c:v>0.3676735347069543</c:v>
                </c:pt>
                <c:pt idx="1839">
                  <c:v>0.36787357471495591</c:v>
                </c:pt>
                <c:pt idx="1840">
                  <c:v>0.36807361472295752</c:v>
                </c:pt>
                <c:pt idx="1841">
                  <c:v>0.36827365473095913</c:v>
                </c:pt>
                <c:pt idx="1842">
                  <c:v>0.36847369473896074</c:v>
                </c:pt>
                <c:pt idx="1843">
                  <c:v>0.36867373474696236</c:v>
                </c:pt>
                <c:pt idx="1844">
                  <c:v>0.36887377475496397</c:v>
                </c:pt>
                <c:pt idx="1845">
                  <c:v>0.36907381476296558</c:v>
                </c:pt>
                <c:pt idx="1846">
                  <c:v>0.36927385477096719</c:v>
                </c:pt>
                <c:pt idx="1847">
                  <c:v>0.3694738947789688</c:v>
                </c:pt>
                <c:pt idx="1848">
                  <c:v>0.36967393478697042</c:v>
                </c:pt>
                <c:pt idx="1849">
                  <c:v>0.36987397479497203</c:v>
                </c:pt>
                <c:pt idx="1850">
                  <c:v>0.37007401480297364</c:v>
                </c:pt>
                <c:pt idx="1851">
                  <c:v>0.37027405481097525</c:v>
                </c:pt>
                <c:pt idx="1852">
                  <c:v>0.37047409481897686</c:v>
                </c:pt>
                <c:pt idx="1853">
                  <c:v>0.37067413482697847</c:v>
                </c:pt>
                <c:pt idx="1854">
                  <c:v>0.37087417483498009</c:v>
                </c:pt>
                <c:pt idx="1855">
                  <c:v>0.3710742148429817</c:v>
                </c:pt>
                <c:pt idx="1856">
                  <c:v>0.37127425485098331</c:v>
                </c:pt>
                <c:pt idx="1857">
                  <c:v>0.37147429485898492</c:v>
                </c:pt>
                <c:pt idx="1858">
                  <c:v>0.37167433486698653</c:v>
                </c:pt>
                <c:pt idx="1859">
                  <c:v>0.37187437487498815</c:v>
                </c:pt>
                <c:pt idx="1860">
                  <c:v>0.37207441488298976</c:v>
                </c:pt>
                <c:pt idx="1861">
                  <c:v>0.37227445489099137</c:v>
                </c:pt>
                <c:pt idx="1862">
                  <c:v>0.37247449489899298</c:v>
                </c:pt>
                <c:pt idx="1863">
                  <c:v>0.37267453490699459</c:v>
                </c:pt>
                <c:pt idx="1864">
                  <c:v>0.3728745749149962</c:v>
                </c:pt>
                <c:pt idx="1865">
                  <c:v>0.37307461492299782</c:v>
                </c:pt>
                <c:pt idx="1866">
                  <c:v>0.37327465493099943</c:v>
                </c:pt>
                <c:pt idx="1867">
                  <c:v>0.37347469493900104</c:v>
                </c:pt>
                <c:pt idx="1868">
                  <c:v>0.37367473494700265</c:v>
                </c:pt>
                <c:pt idx="1869">
                  <c:v>0.37387477495500426</c:v>
                </c:pt>
                <c:pt idx="1870">
                  <c:v>0.37407481496300587</c:v>
                </c:pt>
                <c:pt idx="1871">
                  <c:v>0.37427485497100749</c:v>
                </c:pt>
                <c:pt idx="1872">
                  <c:v>0.3744748949790091</c:v>
                </c:pt>
                <c:pt idx="1873">
                  <c:v>0.37467493498701071</c:v>
                </c:pt>
                <c:pt idx="1874">
                  <c:v>0.37487497499501232</c:v>
                </c:pt>
                <c:pt idx="1875">
                  <c:v>0.37507501500301393</c:v>
                </c:pt>
                <c:pt idx="1876">
                  <c:v>0.37527505501101555</c:v>
                </c:pt>
                <c:pt idx="1877">
                  <c:v>0.37547509501901716</c:v>
                </c:pt>
                <c:pt idx="1878">
                  <c:v>0.37567513502701877</c:v>
                </c:pt>
                <c:pt idx="1879">
                  <c:v>0.37587517503502038</c:v>
                </c:pt>
                <c:pt idx="1880">
                  <c:v>0.37607521504302199</c:v>
                </c:pt>
                <c:pt idx="1881">
                  <c:v>0.3762752550510236</c:v>
                </c:pt>
                <c:pt idx="1882">
                  <c:v>0.37647529505902522</c:v>
                </c:pt>
                <c:pt idx="1883">
                  <c:v>0.37667533506702683</c:v>
                </c:pt>
                <c:pt idx="1884">
                  <c:v>0.37687537507502844</c:v>
                </c:pt>
                <c:pt idx="1885">
                  <c:v>0.37707541508303005</c:v>
                </c:pt>
                <c:pt idx="1886">
                  <c:v>0.37727545509103166</c:v>
                </c:pt>
                <c:pt idx="1887">
                  <c:v>0.37747549509903328</c:v>
                </c:pt>
                <c:pt idx="1888">
                  <c:v>0.37767553510703489</c:v>
                </c:pt>
                <c:pt idx="1889">
                  <c:v>0.3778755751150365</c:v>
                </c:pt>
                <c:pt idx="1890">
                  <c:v>0.37807561512303811</c:v>
                </c:pt>
                <c:pt idx="1891">
                  <c:v>0.37827565513103972</c:v>
                </c:pt>
                <c:pt idx="1892">
                  <c:v>0.37847569513904133</c:v>
                </c:pt>
                <c:pt idx="1893">
                  <c:v>0.37867573514704295</c:v>
                </c:pt>
                <c:pt idx="1894">
                  <c:v>0.37887577515504456</c:v>
                </c:pt>
                <c:pt idx="1895">
                  <c:v>0.37907581516304617</c:v>
                </c:pt>
                <c:pt idx="1896">
                  <c:v>0.37927585517104778</c:v>
                </c:pt>
                <c:pt idx="1897">
                  <c:v>0.37947589517904939</c:v>
                </c:pt>
                <c:pt idx="1898">
                  <c:v>0.37967593518705101</c:v>
                </c:pt>
                <c:pt idx="1899">
                  <c:v>0.37987597519505262</c:v>
                </c:pt>
                <c:pt idx="1900">
                  <c:v>0.38007601520305423</c:v>
                </c:pt>
                <c:pt idx="1901">
                  <c:v>0.38027605521105584</c:v>
                </c:pt>
                <c:pt idx="1902">
                  <c:v>0.38047609521905745</c:v>
                </c:pt>
                <c:pt idx="1903">
                  <c:v>0.38067613522705906</c:v>
                </c:pt>
                <c:pt idx="1904">
                  <c:v>0.38087617523506068</c:v>
                </c:pt>
                <c:pt idx="1905">
                  <c:v>0.38107621524306229</c:v>
                </c:pt>
                <c:pt idx="1906">
                  <c:v>0.3812762552510639</c:v>
                </c:pt>
                <c:pt idx="1907">
                  <c:v>0.38147629525906551</c:v>
                </c:pt>
                <c:pt idx="1908">
                  <c:v>0.38167633526706712</c:v>
                </c:pt>
                <c:pt idx="1909">
                  <c:v>0.38187637527506874</c:v>
                </c:pt>
                <c:pt idx="1910">
                  <c:v>0.38207641528307035</c:v>
                </c:pt>
                <c:pt idx="1911">
                  <c:v>0.38227645529107196</c:v>
                </c:pt>
                <c:pt idx="1912">
                  <c:v>0.38247649529907357</c:v>
                </c:pt>
                <c:pt idx="1913">
                  <c:v>0.38267653530707518</c:v>
                </c:pt>
                <c:pt idx="1914">
                  <c:v>0.38287657531507679</c:v>
                </c:pt>
                <c:pt idx="1915">
                  <c:v>0.38307661532307841</c:v>
                </c:pt>
                <c:pt idx="1916">
                  <c:v>0.38327665533108002</c:v>
                </c:pt>
                <c:pt idx="1917">
                  <c:v>0.38347669533908163</c:v>
                </c:pt>
                <c:pt idx="1918">
                  <c:v>0.38367673534708324</c:v>
                </c:pt>
                <c:pt idx="1919">
                  <c:v>0.38387677535508485</c:v>
                </c:pt>
                <c:pt idx="1920">
                  <c:v>0.38407681536308647</c:v>
                </c:pt>
                <c:pt idx="1921">
                  <c:v>0.38427685537108808</c:v>
                </c:pt>
                <c:pt idx="1922">
                  <c:v>0.38447689537908969</c:v>
                </c:pt>
                <c:pt idx="1923">
                  <c:v>0.3846769353870913</c:v>
                </c:pt>
                <c:pt idx="1924">
                  <c:v>0.38487697539509291</c:v>
                </c:pt>
                <c:pt idx="1925">
                  <c:v>0.38507701540309452</c:v>
                </c:pt>
                <c:pt idx="1926">
                  <c:v>0.38527705541109614</c:v>
                </c:pt>
                <c:pt idx="1927">
                  <c:v>0.38547709541909775</c:v>
                </c:pt>
                <c:pt idx="1928">
                  <c:v>0.38567713542709936</c:v>
                </c:pt>
                <c:pt idx="1929">
                  <c:v>0.38587717543510097</c:v>
                </c:pt>
                <c:pt idx="1930">
                  <c:v>0.38607721544310258</c:v>
                </c:pt>
                <c:pt idx="1931">
                  <c:v>0.3862772554511042</c:v>
                </c:pt>
                <c:pt idx="1932">
                  <c:v>0.38647729545910581</c:v>
                </c:pt>
                <c:pt idx="1933">
                  <c:v>0.38667733546710742</c:v>
                </c:pt>
                <c:pt idx="1934">
                  <c:v>0.38687737547510903</c:v>
                </c:pt>
                <c:pt idx="1935">
                  <c:v>0.38707741548311064</c:v>
                </c:pt>
                <c:pt idx="1936">
                  <c:v>0.38727745549111225</c:v>
                </c:pt>
                <c:pt idx="1937">
                  <c:v>0.38747749549911387</c:v>
                </c:pt>
                <c:pt idx="1938">
                  <c:v>0.38767753550711548</c:v>
                </c:pt>
                <c:pt idx="1939">
                  <c:v>0.38787757551511709</c:v>
                </c:pt>
                <c:pt idx="1940">
                  <c:v>0.3880776155231187</c:v>
                </c:pt>
                <c:pt idx="1941">
                  <c:v>0.38827765553112031</c:v>
                </c:pt>
                <c:pt idx="1942">
                  <c:v>0.38847769553912193</c:v>
                </c:pt>
                <c:pt idx="1943">
                  <c:v>0.38867773554712354</c:v>
                </c:pt>
                <c:pt idx="1944">
                  <c:v>0.38887777555512515</c:v>
                </c:pt>
                <c:pt idx="1945">
                  <c:v>0.38907781556312676</c:v>
                </c:pt>
                <c:pt idx="1946">
                  <c:v>0.38927785557112837</c:v>
                </c:pt>
                <c:pt idx="1947">
                  <c:v>0.38947789557912998</c:v>
                </c:pt>
                <c:pt idx="1948">
                  <c:v>0.3896779355871316</c:v>
                </c:pt>
                <c:pt idx="1949">
                  <c:v>0.38987797559513321</c:v>
                </c:pt>
                <c:pt idx="1950">
                  <c:v>0.39007801560313482</c:v>
                </c:pt>
                <c:pt idx="1951">
                  <c:v>0.39027805561113643</c:v>
                </c:pt>
                <c:pt idx="1952">
                  <c:v>0.39047809561913804</c:v>
                </c:pt>
                <c:pt idx="1953">
                  <c:v>0.39067813562713966</c:v>
                </c:pt>
                <c:pt idx="1954">
                  <c:v>0.39087817563514127</c:v>
                </c:pt>
                <c:pt idx="1955">
                  <c:v>0.39107821564314288</c:v>
                </c:pt>
                <c:pt idx="1956">
                  <c:v>0.39127825565114449</c:v>
                </c:pt>
                <c:pt idx="1957">
                  <c:v>0.3914782956591461</c:v>
                </c:pt>
                <c:pt idx="1958">
                  <c:v>0.39167833566714771</c:v>
                </c:pt>
                <c:pt idx="1959">
                  <c:v>0.39187837567514933</c:v>
                </c:pt>
                <c:pt idx="1960">
                  <c:v>0.39207841568315094</c:v>
                </c:pt>
                <c:pt idx="1961">
                  <c:v>0.39227845569115255</c:v>
                </c:pt>
                <c:pt idx="1962">
                  <c:v>0.39247849569915416</c:v>
                </c:pt>
                <c:pt idx="1963">
                  <c:v>0.39267853570715577</c:v>
                </c:pt>
                <c:pt idx="1964">
                  <c:v>0.39287857571515739</c:v>
                </c:pt>
                <c:pt idx="1965">
                  <c:v>0.393078615723159</c:v>
                </c:pt>
                <c:pt idx="1966">
                  <c:v>0.39327865573116061</c:v>
                </c:pt>
                <c:pt idx="1967">
                  <c:v>0.39347869573916222</c:v>
                </c:pt>
                <c:pt idx="1968">
                  <c:v>0.39367873574716383</c:v>
                </c:pt>
                <c:pt idx="1969">
                  <c:v>0.39387877575516544</c:v>
                </c:pt>
                <c:pt idx="1970">
                  <c:v>0.39407881576316706</c:v>
                </c:pt>
                <c:pt idx="1971">
                  <c:v>0.39427885577116867</c:v>
                </c:pt>
                <c:pt idx="1972">
                  <c:v>0.39447889577917028</c:v>
                </c:pt>
                <c:pt idx="1973">
                  <c:v>0.39467893578717189</c:v>
                </c:pt>
                <c:pt idx="1974">
                  <c:v>0.3948789757951735</c:v>
                </c:pt>
                <c:pt idx="1975">
                  <c:v>0.39507901580317512</c:v>
                </c:pt>
                <c:pt idx="1976">
                  <c:v>0.39527905581117673</c:v>
                </c:pt>
                <c:pt idx="1977">
                  <c:v>0.39547909581917834</c:v>
                </c:pt>
                <c:pt idx="1978">
                  <c:v>0.39567913582717995</c:v>
                </c:pt>
                <c:pt idx="1979">
                  <c:v>0.39587917583518156</c:v>
                </c:pt>
                <c:pt idx="1980">
                  <c:v>0.39607921584318317</c:v>
                </c:pt>
                <c:pt idx="1981">
                  <c:v>0.39627925585118479</c:v>
                </c:pt>
                <c:pt idx="1982">
                  <c:v>0.3964792958591864</c:v>
                </c:pt>
                <c:pt idx="1983">
                  <c:v>0.39667933586718801</c:v>
                </c:pt>
                <c:pt idx="1984">
                  <c:v>0.39687937587518962</c:v>
                </c:pt>
                <c:pt idx="1985">
                  <c:v>0.39707941588319123</c:v>
                </c:pt>
                <c:pt idx="1986">
                  <c:v>0.39727945589119285</c:v>
                </c:pt>
                <c:pt idx="1987">
                  <c:v>0.39747949589919446</c:v>
                </c:pt>
                <c:pt idx="1988">
                  <c:v>0.39767953590719607</c:v>
                </c:pt>
                <c:pt idx="1989">
                  <c:v>0.39787957591519768</c:v>
                </c:pt>
                <c:pt idx="1990">
                  <c:v>0.39807961592319929</c:v>
                </c:pt>
                <c:pt idx="1991">
                  <c:v>0.3982796559312009</c:v>
                </c:pt>
                <c:pt idx="1992">
                  <c:v>0.39847969593920252</c:v>
                </c:pt>
                <c:pt idx="1993">
                  <c:v>0.39867973594720413</c:v>
                </c:pt>
                <c:pt idx="1994">
                  <c:v>0.39887977595520574</c:v>
                </c:pt>
                <c:pt idx="1995">
                  <c:v>0.39907981596320735</c:v>
                </c:pt>
                <c:pt idx="1996">
                  <c:v>0.39927985597120896</c:v>
                </c:pt>
                <c:pt idx="1997">
                  <c:v>0.39947989597921058</c:v>
                </c:pt>
                <c:pt idx="1998">
                  <c:v>0.39967993598721219</c:v>
                </c:pt>
                <c:pt idx="1999">
                  <c:v>0.3998799759952138</c:v>
                </c:pt>
                <c:pt idx="2000">
                  <c:v>0.40008001600321541</c:v>
                </c:pt>
                <c:pt idx="2001">
                  <c:v>0.40028005601121702</c:v>
                </c:pt>
                <c:pt idx="2002">
                  <c:v>0.40048009601921863</c:v>
                </c:pt>
                <c:pt idx="2003">
                  <c:v>0.40068013602722025</c:v>
                </c:pt>
                <c:pt idx="2004">
                  <c:v>0.40088017603522186</c:v>
                </c:pt>
                <c:pt idx="2005">
                  <c:v>0.40108021604322347</c:v>
                </c:pt>
                <c:pt idx="2006">
                  <c:v>0.40128025605122508</c:v>
                </c:pt>
                <c:pt idx="2007">
                  <c:v>0.40148029605922669</c:v>
                </c:pt>
                <c:pt idx="2008">
                  <c:v>0.40168033606722831</c:v>
                </c:pt>
                <c:pt idx="2009">
                  <c:v>0.40188037607522992</c:v>
                </c:pt>
                <c:pt idx="2010">
                  <c:v>0.40208041608323153</c:v>
                </c:pt>
                <c:pt idx="2011">
                  <c:v>0.40228045609123314</c:v>
                </c:pt>
                <c:pt idx="2012">
                  <c:v>0.40248049609923475</c:v>
                </c:pt>
                <c:pt idx="2013">
                  <c:v>0.40268053610723636</c:v>
                </c:pt>
                <c:pt idx="2014">
                  <c:v>0.40288057611523798</c:v>
                </c:pt>
                <c:pt idx="2015">
                  <c:v>0.40308061612323959</c:v>
                </c:pt>
                <c:pt idx="2016">
                  <c:v>0.4032806561312412</c:v>
                </c:pt>
                <c:pt idx="2017">
                  <c:v>0.40348069613924281</c:v>
                </c:pt>
                <c:pt idx="2018">
                  <c:v>0.40368073614724442</c:v>
                </c:pt>
                <c:pt idx="2019">
                  <c:v>0.40388077615524604</c:v>
                </c:pt>
                <c:pt idx="2020">
                  <c:v>0.40408081616324765</c:v>
                </c:pt>
                <c:pt idx="2021">
                  <c:v>0.40428085617124926</c:v>
                </c:pt>
                <c:pt idx="2022">
                  <c:v>0.40448089617925087</c:v>
                </c:pt>
                <c:pt idx="2023">
                  <c:v>0.40468093618725248</c:v>
                </c:pt>
                <c:pt idx="2024">
                  <c:v>0.40488097619525409</c:v>
                </c:pt>
                <c:pt idx="2025">
                  <c:v>0.40508101620325571</c:v>
                </c:pt>
                <c:pt idx="2026">
                  <c:v>0.40528105621125732</c:v>
                </c:pt>
                <c:pt idx="2027">
                  <c:v>0.40548109621925893</c:v>
                </c:pt>
                <c:pt idx="2028">
                  <c:v>0.40568113622726054</c:v>
                </c:pt>
                <c:pt idx="2029">
                  <c:v>0.40588117623526215</c:v>
                </c:pt>
                <c:pt idx="2030">
                  <c:v>0.40608121624326377</c:v>
                </c:pt>
                <c:pt idx="2031">
                  <c:v>0.40628125625126538</c:v>
                </c:pt>
                <c:pt idx="2032">
                  <c:v>0.40648129625926699</c:v>
                </c:pt>
                <c:pt idx="2033">
                  <c:v>0.4066813362672686</c:v>
                </c:pt>
                <c:pt idx="2034">
                  <c:v>0.40688137627527021</c:v>
                </c:pt>
                <c:pt idx="2035">
                  <c:v>0.40708141628327182</c:v>
                </c:pt>
                <c:pt idx="2036">
                  <c:v>0.40728145629127344</c:v>
                </c:pt>
                <c:pt idx="2037">
                  <c:v>0.40748149629927505</c:v>
                </c:pt>
                <c:pt idx="2038">
                  <c:v>0.40768153630727666</c:v>
                </c:pt>
                <c:pt idx="2039">
                  <c:v>0.40788157631527827</c:v>
                </c:pt>
                <c:pt idx="2040">
                  <c:v>0.40808161632327988</c:v>
                </c:pt>
                <c:pt idx="2041">
                  <c:v>0.4082816563312815</c:v>
                </c:pt>
                <c:pt idx="2042">
                  <c:v>0.40848169633928311</c:v>
                </c:pt>
                <c:pt idx="2043">
                  <c:v>0.40868173634728472</c:v>
                </c:pt>
                <c:pt idx="2044">
                  <c:v>0.40888177635528633</c:v>
                </c:pt>
                <c:pt idx="2045">
                  <c:v>0.40908181636328794</c:v>
                </c:pt>
                <c:pt idx="2046">
                  <c:v>0.40928185637128955</c:v>
                </c:pt>
                <c:pt idx="2047">
                  <c:v>0.40948189637929117</c:v>
                </c:pt>
                <c:pt idx="2048">
                  <c:v>0.40968193638729278</c:v>
                </c:pt>
                <c:pt idx="2049">
                  <c:v>0.40988197639529439</c:v>
                </c:pt>
                <c:pt idx="2050">
                  <c:v>0.410082016403296</c:v>
                </c:pt>
                <c:pt idx="2051">
                  <c:v>0.41028205641129761</c:v>
                </c:pt>
                <c:pt idx="2052">
                  <c:v>0.41048209641929922</c:v>
                </c:pt>
                <c:pt idx="2053">
                  <c:v>0.41068213642730084</c:v>
                </c:pt>
                <c:pt idx="2054">
                  <c:v>0.41088217643530245</c:v>
                </c:pt>
                <c:pt idx="2055">
                  <c:v>0.41108221644330406</c:v>
                </c:pt>
                <c:pt idx="2056">
                  <c:v>0.41128225645130567</c:v>
                </c:pt>
                <c:pt idx="2057">
                  <c:v>0.41148229645930728</c:v>
                </c:pt>
                <c:pt idx="2058">
                  <c:v>0.4116823364673089</c:v>
                </c:pt>
                <c:pt idx="2059">
                  <c:v>0.41188237647531051</c:v>
                </c:pt>
                <c:pt idx="2060">
                  <c:v>0.41208241648331212</c:v>
                </c:pt>
                <c:pt idx="2061">
                  <c:v>0.41228245649131373</c:v>
                </c:pt>
                <c:pt idx="2062">
                  <c:v>0.41248249649931534</c:v>
                </c:pt>
                <c:pt idx="2063">
                  <c:v>0.41268253650731695</c:v>
                </c:pt>
                <c:pt idx="2064">
                  <c:v>0.41288257651531857</c:v>
                </c:pt>
                <c:pt idx="2065">
                  <c:v>0.41308261652332018</c:v>
                </c:pt>
                <c:pt idx="2066">
                  <c:v>0.41328265653132179</c:v>
                </c:pt>
                <c:pt idx="2067">
                  <c:v>0.4134826965393234</c:v>
                </c:pt>
                <c:pt idx="2068">
                  <c:v>0.41368273654732501</c:v>
                </c:pt>
                <c:pt idx="2069">
                  <c:v>0.41388277655532663</c:v>
                </c:pt>
                <c:pt idx="2070">
                  <c:v>0.41408281656332824</c:v>
                </c:pt>
                <c:pt idx="2071">
                  <c:v>0.41428285657132985</c:v>
                </c:pt>
                <c:pt idx="2072">
                  <c:v>0.41448289657933146</c:v>
                </c:pt>
                <c:pt idx="2073">
                  <c:v>0.41468293658733307</c:v>
                </c:pt>
                <c:pt idx="2074">
                  <c:v>0.41488297659533468</c:v>
                </c:pt>
                <c:pt idx="2075">
                  <c:v>0.4150830166033363</c:v>
                </c:pt>
                <c:pt idx="2076">
                  <c:v>0.41528305661133791</c:v>
                </c:pt>
                <c:pt idx="2077">
                  <c:v>0.41548309661933952</c:v>
                </c:pt>
                <c:pt idx="2078">
                  <c:v>0.41568313662734113</c:v>
                </c:pt>
                <c:pt idx="2079">
                  <c:v>0.41588317663534274</c:v>
                </c:pt>
                <c:pt idx="2080">
                  <c:v>0.41608321664334436</c:v>
                </c:pt>
                <c:pt idx="2081">
                  <c:v>0.41628325665134597</c:v>
                </c:pt>
                <c:pt idx="2082">
                  <c:v>0.41648329665934758</c:v>
                </c:pt>
                <c:pt idx="2083">
                  <c:v>0.41668333666734919</c:v>
                </c:pt>
                <c:pt idx="2084">
                  <c:v>0.4168833766753508</c:v>
                </c:pt>
                <c:pt idx="2085">
                  <c:v>0.41708341668335241</c:v>
                </c:pt>
                <c:pt idx="2086">
                  <c:v>0.41728345669135403</c:v>
                </c:pt>
                <c:pt idx="2087">
                  <c:v>0.41748349669935564</c:v>
                </c:pt>
                <c:pt idx="2088">
                  <c:v>0.41768353670735725</c:v>
                </c:pt>
                <c:pt idx="2089">
                  <c:v>0.41788357671535886</c:v>
                </c:pt>
                <c:pt idx="2090">
                  <c:v>0.41808361672336047</c:v>
                </c:pt>
                <c:pt idx="2091">
                  <c:v>0.41828365673136209</c:v>
                </c:pt>
                <c:pt idx="2092">
                  <c:v>0.4184836967393637</c:v>
                </c:pt>
                <c:pt idx="2093">
                  <c:v>0.41868373674736531</c:v>
                </c:pt>
                <c:pt idx="2094">
                  <c:v>0.41888377675536692</c:v>
                </c:pt>
                <c:pt idx="2095">
                  <c:v>0.41908381676336853</c:v>
                </c:pt>
                <c:pt idx="2096">
                  <c:v>0.41928385677137014</c:v>
                </c:pt>
                <c:pt idx="2097">
                  <c:v>0.41948389677937176</c:v>
                </c:pt>
                <c:pt idx="2098">
                  <c:v>0.41968393678737337</c:v>
                </c:pt>
                <c:pt idx="2099">
                  <c:v>0.41988397679537498</c:v>
                </c:pt>
                <c:pt idx="2100">
                  <c:v>0.42008401680337659</c:v>
                </c:pt>
                <c:pt idx="2101">
                  <c:v>0.4202840568113782</c:v>
                </c:pt>
                <c:pt idx="2102">
                  <c:v>0.42048409681937982</c:v>
                </c:pt>
                <c:pt idx="2103">
                  <c:v>0.42068413682738143</c:v>
                </c:pt>
                <c:pt idx="2104">
                  <c:v>0.42088417683538304</c:v>
                </c:pt>
                <c:pt idx="2105">
                  <c:v>0.42108421684338465</c:v>
                </c:pt>
                <c:pt idx="2106">
                  <c:v>0.42128425685138626</c:v>
                </c:pt>
                <c:pt idx="2107">
                  <c:v>0.42148429685938787</c:v>
                </c:pt>
                <c:pt idx="2108">
                  <c:v>0.42168433686738949</c:v>
                </c:pt>
                <c:pt idx="2109">
                  <c:v>0.4218843768753911</c:v>
                </c:pt>
                <c:pt idx="2110">
                  <c:v>0.42208441688339271</c:v>
                </c:pt>
                <c:pt idx="2111">
                  <c:v>0.42228445689139432</c:v>
                </c:pt>
                <c:pt idx="2112">
                  <c:v>0.42248449689939593</c:v>
                </c:pt>
                <c:pt idx="2113">
                  <c:v>0.42268453690739755</c:v>
                </c:pt>
                <c:pt idx="2114">
                  <c:v>0.42288457691539916</c:v>
                </c:pt>
                <c:pt idx="2115">
                  <c:v>0.42308461692340077</c:v>
                </c:pt>
                <c:pt idx="2116">
                  <c:v>0.42328465693140238</c:v>
                </c:pt>
                <c:pt idx="2117">
                  <c:v>0.42348469693940399</c:v>
                </c:pt>
                <c:pt idx="2118">
                  <c:v>0.4236847369474056</c:v>
                </c:pt>
                <c:pt idx="2119">
                  <c:v>0.42388477695540722</c:v>
                </c:pt>
                <c:pt idx="2120">
                  <c:v>0.42408481696340883</c:v>
                </c:pt>
                <c:pt idx="2121">
                  <c:v>0.42428485697141044</c:v>
                </c:pt>
                <c:pt idx="2122">
                  <c:v>0.42448489697941205</c:v>
                </c:pt>
                <c:pt idx="2123">
                  <c:v>0.42468493698741366</c:v>
                </c:pt>
                <c:pt idx="2124">
                  <c:v>0.42488497699541528</c:v>
                </c:pt>
                <c:pt idx="2125">
                  <c:v>0.42508501700341689</c:v>
                </c:pt>
                <c:pt idx="2126">
                  <c:v>0.4252850570114185</c:v>
                </c:pt>
                <c:pt idx="2127">
                  <c:v>0.42548509701942011</c:v>
                </c:pt>
                <c:pt idx="2128">
                  <c:v>0.42568513702742172</c:v>
                </c:pt>
                <c:pt idx="2129">
                  <c:v>0.42588517703542333</c:v>
                </c:pt>
                <c:pt idx="2130">
                  <c:v>0.42608521704342495</c:v>
                </c:pt>
                <c:pt idx="2131">
                  <c:v>0.42628525705142656</c:v>
                </c:pt>
                <c:pt idx="2132">
                  <c:v>0.42648529705942817</c:v>
                </c:pt>
                <c:pt idx="2133">
                  <c:v>0.42668533706742978</c:v>
                </c:pt>
                <c:pt idx="2134">
                  <c:v>0.42688537707543139</c:v>
                </c:pt>
                <c:pt idx="2135">
                  <c:v>0.42708541708343301</c:v>
                </c:pt>
                <c:pt idx="2136">
                  <c:v>0.42728545709143462</c:v>
                </c:pt>
                <c:pt idx="2137">
                  <c:v>0.42748549709943623</c:v>
                </c:pt>
                <c:pt idx="2138">
                  <c:v>0.42768553710743784</c:v>
                </c:pt>
                <c:pt idx="2139">
                  <c:v>0.42788557711543945</c:v>
                </c:pt>
                <c:pt idx="2140">
                  <c:v>0.42808561712344106</c:v>
                </c:pt>
                <c:pt idx="2141">
                  <c:v>0.42828565713144268</c:v>
                </c:pt>
                <c:pt idx="2142">
                  <c:v>0.42848569713944429</c:v>
                </c:pt>
                <c:pt idx="2143">
                  <c:v>0.4286857371474459</c:v>
                </c:pt>
                <c:pt idx="2144">
                  <c:v>0.42888577715544751</c:v>
                </c:pt>
                <c:pt idx="2145">
                  <c:v>0.42908581716344912</c:v>
                </c:pt>
                <c:pt idx="2146">
                  <c:v>0.42928585717145074</c:v>
                </c:pt>
                <c:pt idx="2147">
                  <c:v>0.42948589717945235</c:v>
                </c:pt>
                <c:pt idx="2148">
                  <c:v>0.42968593718745396</c:v>
                </c:pt>
                <c:pt idx="2149">
                  <c:v>0.42988597719545557</c:v>
                </c:pt>
                <c:pt idx="2150">
                  <c:v>0.43008601720345718</c:v>
                </c:pt>
                <c:pt idx="2151">
                  <c:v>0.43028605721145879</c:v>
                </c:pt>
                <c:pt idx="2152">
                  <c:v>0.43048609721946041</c:v>
                </c:pt>
                <c:pt idx="2153">
                  <c:v>0.43068613722746202</c:v>
                </c:pt>
                <c:pt idx="2154">
                  <c:v>0.43088617723546363</c:v>
                </c:pt>
                <c:pt idx="2155">
                  <c:v>0.43108621724346524</c:v>
                </c:pt>
                <c:pt idx="2156">
                  <c:v>0.43128625725146685</c:v>
                </c:pt>
                <c:pt idx="2157">
                  <c:v>0.43148629725946847</c:v>
                </c:pt>
                <c:pt idx="2158">
                  <c:v>0.43168633726747008</c:v>
                </c:pt>
                <c:pt idx="2159">
                  <c:v>0.43188637727547169</c:v>
                </c:pt>
                <c:pt idx="2160">
                  <c:v>0.4320864172834733</c:v>
                </c:pt>
                <c:pt idx="2161">
                  <c:v>0.43228645729147491</c:v>
                </c:pt>
                <c:pt idx="2162">
                  <c:v>0.43248649729947652</c:v>
                </c:pt>
                <c:pt idx="2163">
                  <c:v>0.43268653730747814</c:v>
                </c:pt>
                <c:pt idx="2164">
                  <c:v>0.43288657731547975</c:v>
                </c:pt>
                <c:pt idx="2165">
                  <c:v>0.43308661732348136</c:v>
                </c:pt>
                <c:pt idx="2166">
                  <c:v>0.43328665733148297</c:v>
                </c:pt>
                <c:pt idx="2167">
                  <c:v>0.43348669733948458</c:v>
                </c:pt>
                <c:pt idx="2168">
                  <c:v>0.4336867373474862</c:v>
                </c:pt>
                <c:pt idx="2169">
                  <c:v>0.43388677735548781</c:v>
                </c:pt>
                <c:pt idx="2170">
                  <c:v>0.43408681736348942</c:v>
                </c:pt>
                <c:pt idx="2171">
                  <c:v>0.43428685737149103</c:v>
                </c:pt>
                <c:pt idx="2172">
                  <c:v>0.43448689737949264</c:v>
                </c:pt>
                <c:pt idx="2173">
                  <c:v>0.43468693738749425</c:v>
                </c:pt>
                <c:pt idx="2174">
                  <c:v>0.43488697739549587</c:v>
                </c:pt>
                <c:pt idx="2175">
                  <c:v>0.43508701740349748</c:v>
                </c:pt>
                <c:pt idx="2176">
                  <c:v>0.43528705741149909</c:v>
                </c:pt>
                <c:pt idx="2177">
                  <c:v>0.4354870974195007</c:v>
                </c:pt>
                <c:pt idx="2178">
                  <c:v>0.43568713742750231</c:v>
                </c:pt>
                <c:pt idx="2179">
                  <c:v>0.43588717743550393</c:v>
                </c:pt>
                <c:pt idx="2180">
                  <c:v>0.43608721744350554</c:v>
                </c:pt>
                <c:pt idx="2181">
                  <c:v>0.43628725745150715</c:v>
                </c:pt>
                <c:pt idx="2182">
                  <c:v>0.43648729745950876</c:v>
                </c:pt>
                <c:pt idx="2183">
                  <c:v>0.43668733746751037</c:v>
                </c:pt>
                <c:pt idx="2184">
                  <c:v>0.43688737747551198</c:v>
                </c:pt>
                <c:pt idx="2185">
                  <c:v>0.4370874174835136</c:v>
                </c:pt>
                <c:pt idx="2186">
                  <c:v>0.43728745749151521</c:v>
                </c:pt>
                <c:pt idx="2187">
                  <c:v>0.43748749749951682</c:v>
                </c:pt>
                <c:pt idx="2188">
                  <c:v>0.43768753750751843</c:v>
                </c:pt>
                <c:pt idx="2189">
                  <c:v>0.43788757751552004</c:v>
                </c:pt>
                <c:pt idx="2190">
                  <c:v>0.43808761752352166</c:v>
                </c:pt>
                <c:pt idx="2191">
                  <c:v>0.43828765753152327</c:v>
                </c:pt>
                <c:pt idx="2192">
                  <c:v>0.43848769753952488</c:v>
                </c:pt>
                <c:pt idx="2193">
                  <c:v>0.43868773754752649</c:v>
                </c:pt>
                <c:pt idx="2194">
                  <c:v>0.4388877775555281</c:v>
                </c:pt>
                <c:pt idx="2195">
                  <c:v>0.43908781756352971</c:v>
                </c:pt>
                <c:pt idx="2196">
                  <c:v>0.43928785757153133</c:v>
                </c:pt>
                <c:pt idx="2197">
                  <c:v>0.43948789757953294</c:v>
                </c:pt>
                <c:pt idx="2198">
                  <c:v>0.43968793758753455</c:v>
                </c:pt>
                <c:pt idx="2199">
                  <c:v>0.43988797759553616</c:v>
                </c:pt>
                <c:pt idx="2200">
                  <c:v>0.44008801760353777</c:v>
                </c:pt>
                <c:pt idx="2201">
                  <c:v>0.44028805761153939</c:v>
                </c:pt>
                <c:pt idx="2202">
                  <c:v>0.440488097619541</c:v>
                </c:pt>
                <c:pt idx="2203">
                  <c:v>0.44068813762754261</c:v>
                </c:pt>
                <c:pt idx="2204">
                  <c:v>0.44088817763554422</c:v>
                </c:pt>
                <c:pt idx="2205">
                  <c:v>0.44108821764354583</c:v>
                </c:pt>
                <c:pt idx="2206">
                  <c:v>0.44128825765154744</c:v>
                </c:pt>
                <c:pt idx="2207">
                  <c:v>0.44148829765954906</c:v>
                </c:pt>
                <c:pt idx="2208">
                  <c:v>0.44168833766755067</c:v>
                </c:pt>
                <c:pt idx="2209">
                  <c:v>0.44188837767555228</c:v>
                </c:pt>
                <c:pt idx="2210">
                  <c:v>0.44208841768355389</c:v>
                </c:pt>
                <c:pt idx="2211">
                  <c:v>0.4422884576915555</c:v>
                </c:pt>
                <c:pt idx="2212">
                  <c:v>0.44248849769955712</c:v>
                </c:pt>
                <c:pt idx="2213">
                  <c:v>0.44268853770755873</c:v>
                </c:pt>
                <c:pt idx="2214">
                  <c:v>0.44288857771556034</c:v>
                </c:pt>
                <c:pt idx="2215">
                  <c:v>0.44308861772356195</c:v>
                </c:pt>
                <c:pt idx="2216">
                  <c:v>0.44328865773156356</c:v>
                </c:pt>
                <c:pt idx="2217">
                  <c:v>0.44348869773956517</c:v>
                </c:pt>
                <c:pt idx="2218">
                  <c:v>0.44368873774756679</c:v>
                </c:pt>
                <c:pt idx="2219">
                  <c:v>0.4438887777555684</c:v>
                </c:pt>
                <c:pt idx="2220">
                  <c:v>0.44408881776357001</c:v>
                </c:pt>
                <c:pt idx="2221">
                  <c:v>0.44428885777157162</c:v>
                </c:pt>
                <c:pt idx="2222">
                  <c:v>0.44448889777957323</c:v>
                </c:pt>
                <c:pt idx="2223">
                  <c:v>0.44468893778757485</c:v>
                </c:pt>
                <c:pt idx="2224">
                  <c:v>0.44488897779557646</c:v>
                </c:pt>
                <c:pt idx="2225">
                  <c:v>0.44508901780357807</c:v>
                </c:pt>
                <c:pt idx="2226">
                  <c:v>0.44528905781157968</c:v>
                </c:pt>
                <c:pt idx="2227">
                  <c:v>0.44548909781958129</c:v>
                </c:pt>
                <c:pt idx="2228">
                  <c:v>0.4456891378275829</c:v>
                </c:pt>
                <c:pt idx="2229">
                  <c:v>0.44588917783558452</c:v>
                </c:pt>
                <c:pt idx="2230">
                  <c:v>0.44608921784358613</c:v>
                </c:pt>
                <c:pt idx="2231">
                  <c:v>0.44628925785158774</c:v>
                </c:pt>
                <c:pt idx="2232">
                  <c:v>0.44648929785958935</c:v>
                </c:pt>
                <c:pt idx="2233">
                  <c:v>0.44668933786759096</c:v>
                </c:pt>
                <c:pt idx="2234">
                  <c:v>0.44688937787559257</c:v>
                </c:pt>
                <c:pt idx="2235">
                  <c:v>0.44708941788359419</c:v>
                </c:pt>
                <c:pt idx="2236">
                  <c:v>0.4472894578915958</c:v>
                </c:pt>
                <c:pt idx="2237">
                  <c:v>0.44748949789959741</c:v>
                </c:pt>
                <c:pt idx="2238">
                  <c:v>0.44768953790759902</c:v>
                </c:pt>
                <c:pt idx="2239">
                  <c:v>0.44788957791560063</c:v>
                </c:pt>
                <c:pt idx="2240">
                  <c:v>0.44808961792360225</c:v>
                </c:pt>
                <c:pt idx="2241">
                  <c:v>0.44828965793160386</c:v>
                </c:pt>
                <c:pt idx="2242">
                  <c:v>0.44848969793960547</c:v>
                </c:pt>
                <c:pt idx="2243">
                  <c:v>0.44868973794760708</c:v>
                </c:pt>
                <c:pt idx="2244">
                  <c:v>0.44888977795560869</c:v>
                </c:pt>
                <c:pt idx="2245">
                  <c:v>0.4490898179636103</c:v>
                </c:pt>
                <c:pt idx="2246">
                  <c:v>0.44928985797161192</c:v>
                </c:pt>
                <c:pt idx="2247">
                  <c:v>0.44948989797961353</c:v>
                </c:pt>
                <c:pt idx="2248">
                  <c:v>0.44968993798761514</c:v>
                </c:pt>
                <c:pt idx="2249">
                  <c:v>0.44988997799561675</c:v>
                </c:pt>
                <c:pt idx="2250">
                  <c:v>0.45009001800361836</c:v>
                </c:pt>
                <c:pt idx="2251">
                  <c:v>0.45029005801161998</c:v>
                </c:pt>
                <c:pt idx="2252">
                  <c:v>0.45049009801962159</c:v>
                </c:pt>
                <c:pt idx="2253">
                  <c:v>0.4506901380276232</c:v>
                </c:pt>
                <c:pt idx="2254">
                  <c:v>0.45089017803562481</c:v>
                </c:pt>
                <c:pt idx="2255">
                  <c:v>0.45109021804362642</c:v>
                </c:pt>
                <c:pt idx="2256">
                  <c:v>0.45129025805162803</c:v>
                </c:pt>
                <c:pt idx="2257">
                  <c:v>0.45149029805962965</c:v>
                </c:pt>
                <c:pt idx="2258">
                  <c:v>0.45169033806763126</c:v>
                </c:pt>
                <c:pt idx="2259">
                  <c:v>0.45189037807563287</c:v>
                </c:pt>
                <c:pt idx="2260">
                  <c:v>0.45209041808363448</c:v>
                </c:pt>
                <c:pt idx="2261">
                  <c:v>0.45229045809163609</c:v>
                </c:pt>
                <c:pt idx="2262">
                  <c:v>0.45249049809963771</c:v>
                </c:pt>
                <c:pt idx="2263">
                  <c:v>0.45269053810763932</c:v>
                </c:pt>
                <c:pt idx="2264">
                  <c:v>0.45289057811564093</c:v>
                </c:pt>
                <c:pt idx="2265">
                  <c:v>0.45309061812364254</c:v>
                </c:pt>
                <c:pt idx="2266">
                  <c:v>0.45329065813164415</c:v>
                </c:pt>
                <c:pt idx="2267">
                  <c:v>0.45349069813964576</c:v>
                </c:pt>
                <c:pt idx="2268">
                  <c:v>0.45369073814764738</c:v>
                </c:pt>
                <c:pt idx="2269">
                  <c:v>0.45389077815564899</c:v>
                </c:pt>
                <c:pt idx="2270">
                  <c:v>0.4540908181636506</c:v>
                </c:pt>
                <c:pt idx="2271">
                  <c:v>0.45429085817165221</c:v>
                </c:pt>
                <c:pt idx="2272">
                  <c:v>0.45449089817965382</c:v>
                </c:pt>
                <c:pt idx="2273">
                  <c:v>0.45469093818765544</c:v>
                </c:pt>
                <c:pt idx="2274">
                  <c:v>0.45489097819565705</c:v>
                </c:pt>
                <c:pt idx="2275">
                  <c:v>0.45509101820365866</c:v>
                </c:pt>
                <c:pt idx="2276">
                  <c:v>0.45529105821166027</c:v>
                </c:pt>
                <c:pt idx="2277">
                  <c:v>0.45549109821966188</c:v>
                </c:pt>
                <c:pt idx="2278">
                  <c:v>0.45569113822766349</c:v>
                </c:pt>
                <c:pt idx="2279">
                  <c:v>0.45589117823566511</c:v>
                </c:pt>
                <c:pt idx="2280">
                  <c:v>0.45609121824366672</c:v>
                </c:pt>
                <c:pt idx="2281">
                  <c:v>0.45629125825166833</c:v>
                </c:pt>
                <c:pt idx="2282">
                  <c:v>0.45649129825966994</c:v>
                </c:pt>
                <c:pt idx="2283">
                  <c:v>0.45669133826767155</c:v>
                </c:pt>
                <c:pt idx="2284">
                  <c:v>0.45689137827567317</c:v>
                </c:pt>
                <c:pt idx="2285">
                  <c:v>0.45709141828367478</c:v>
                </c:pt>
                <c:pt idx="2286">
                  <c:v>0.45729145829167639</c:v>
                </c:pt>
                <c:pt idx="2287">
                  <c:v>0.457491498299678</c:v>
                </c:pt>
                <c:pt idx="2288">
                  <c:v>0.45769153830767961</c:v>
                </c:pt>
                <c:pt idx="2289">
                  <c:v>0.45789157831568122</c:v>
                </c:pt>
                <c:pt idx="2290">
                  <c:v>0.45809161832368284</c:v>
                </c:pt>
                <c:pt idx="2291">
                  <c:v>0.45829165833168445</c:v>
                </c:pt>
                <c:pt idx="2292">
                  <c:v>0.45849169833968606</c:v>
                </c:pt>
                <c:pt idx="2293">
                  <c:v>0.45869173834768767</c:v>
                </c:pt>
                <c:pt idx="2294">
                  <c:v>0.45889177835568928</c:v>
                </c:pt>
                <c:pt idx="2295">
                  <c:v>0.4590918183636909</c:v>
                </c:pt>
                <c:pt idx="2296">
                  <c:v>0.45929185837169251</c:v>
                </c:pt>
                <c:pt idx="2297">
                  <c:v>0.45949189837969412</c:v>
                </c:pt>
                <c:pt idx="2298">
                  <c:v>0.45969193838769573</c:v>
                </c:pt>
                <c:pt idx="2299">
                  <c:v>0.45989197839569734</c:v>
                </c:pt>
                <c:pt idx="2300">
                  <c:v>0.46009201840369895</c:v>
                </c:pt>
                <c:pt idx="2301">
                  <c:v>0.46029205841170057</c:v>
                </c:pt>
                <c:pt idx="2302">
                  <c:v>0.46049209841970218</c:v>
                </c:pt>
                <c:pt idx="2303">
                  <c:v>0.46069213842770379</c:v>
                </c:pt>
                <c:pt idx="2304">
                  <c:v>0.4608921784357054</c:v>
                </c:pt>
                <c:pt idx="2305">
                  <c:v>0.46109221844370701</c:v>
                </c:pt>
                <c:pt idx="2306">
                  <c:v>0.46129225845170863</c:v>
                </c:pt>
                <c:pt idx="2307">
                  <c:v>0.46149229845971024</c:v>
                </c:pt>
                <c:pt idx="2308">
                  <c:v>0.46169233846771185</c:v>
                </c:pt>
                <c:pt idx="2309">
                  <c:v>0.46189237847571346</c:v>
                </c:pt>
                <c:pt idx="2310">
                  <c:v>0.46209241848371507</c:v>
                </c:pt>
                <c:pt idx="2311">
                  <c:v>0.46229245849171668</c:v>
                </c:pt>
                <c:pt idx="2312">
                  <c:v>0.4624924984997183</c:v>
                </c:pt>
                <c:pt idx="2313">
                  <c:v>0.46269253850771991</c:v>
                </c:pt>
                <c:pt idx="2314">
                  <c:v>0.46289257851572152</c:v>
                </c:pt>
                <c:pt idx="2315">
                  <c:v>0.46309261852372313</c:v>
                </c:pt>
                <c:pt idx="2316">
                  <c:v>0.46329265853172474</c:v>
                </c:pt>
                <c:pt idx="2317">
                  <c:v>0.46349269853972636</c:v>
                </c:pt>
                <c:pt idx="2318">
                  <c:v>0.46369273854772797</c:v>
                </c:pt>
                <c:pt idx="2319">
                  <c:v>0.46389277855572958</c:v>
                </c:pt>
                <c:pt idx="2320">
                  <c:v>0.46409281856373119</c:v>
                </c:pt>
                <c:pt idx="2321">
                  <c:v>0.4642928585717328</c:v>
                </c:pt>
                <c:pt idx="2322">
                  <c:v>0.46449289857973441</c:v>
                </c:pt>
                <c:pt idx="2323">
                  <c:v>0.46469293858773603</c:v>
                </c:pt>
                <c:pt idx="2324">
                  <c:v>0.46489297859573764</c:v>
                </c:pt>
                <c:pt idx="2325">
                  <c:v>0.46509301860373925</c:v>
                </c:pt>
                <c:pt idx="2326">
                  <c:v>0.46529305861174086</c:v>
                </c:pt>
                <c:pt idx="2327">
                  <c:v>0.46549309861974247</c:v>
                </c:pt>
                <c:pt idx="2328">
                  <c:v>0.46569313862774409</c:v>
                </c:pt>
                <c:pt idx="2329">
                  <c:v>0.4658931786357457</c:v>
                </c:pt>
                <c:pt idx="2330">
                  <c:v>0.46609321864374731</c:v>
                </c:pt>
                <c:pt idx="2331">
                  <c:v>0.46629325865174892</c:v>
                </c:pt>
                <c:pt idx="2332">
                  <c:v>0.46649329865975053</c:v>
                </c:pt>
                <c:pt idx="2333">
                  <c:v>0.46669333866775214</c:v>
                </c:pt>
                <c:pt idx="2334">
                  <c:v>0.46689337867575376</c:v>
                </c:pt>
                <c:pt idx="2335">
                  <c:v>0.46709341868375537</c:v>
                </c:pt>
                <c:pt idx="2336">
                  <c:v>0.46729345869175698</c:v>
                </c:pt>
                <c:pt idx="2337">
                  <c:v>0.46749349869975859</c:v>
                </c:pt>
                <c:pt idx="2338">
                  <c:v>0.4676935387077602</c:v>
                </c:pt>
                <c:pt idx="2339">
                  <c:v>0.46789357871576182</c:v>
                </c:pt>
                <c:pt idx="2340">
                  <c:v>0.46809361872376343</c:v>
                </c:pt>
                <c:pt idx="2341">
                  <c:v>0.46829365873176504</c:v>
                </c:pt>
                <c:pt idx="2342">
                  <c:v>0.46849369873976665</c:v>
                </c:pt>
                <c:pt idx="2343">
                  <c:v>0.46869373874776826</c:v>
                </c:pt>
                <c:pt idx="2344">
                  <c:v>0.46889377875576987</c:v>
                </c:pt>
                <c:pt idx="2345">
                  <c:v>0.46909381876377149</c:v>
                </c:pt>
                <c:pt idx="2346">
                  <c:v>0.4692938587717731</c:v>
                </c:pt>
                <c:pt idx="2347">
                  <c:v>0.46949389877977471</c:v>
                </c:pt>
                <c:pt idx="2348">
                  <c:v>0.46969393878777632</c:v>
                </c:pt>
                <c:pt idx="2349">
                  <c:v>0.46989397879577793</c:v>
                </c:pt>
                <c:pt idx="2350">
                  <c:v>0.47009401880377955</c:v>
                </c:pt>
                <c:pt idx="2351">
                  <c:v>0.47029405881178116</c:v>
                </c:pt>
                <c:pt idx="2352">
                  <c:v>0.47049409881978277</c:v>
                </c:pt>
                <c:pt idx="2353">
                  <c:v>0.47069413882778438</c:v>
                </c:pt>
                <c:pt idx="2354">
                  <c:v>0.47089417883578599</c:v>
                </c:pt>
                <c:pt idx="2355">
                  <c:v>0.4710942188437876</c:v>
                </c:pt>
                <c:pt idx="2356">
                  <c:v>0.47129425885178922</c:v>
                </c:pt>
                <c:pt idx="2357">
                  <c:v>0.47149429885979083</c:v>
                </c:pt>
                <c:pt idx="2358">
                  <c:v>0.47169433886779244</c:v>
                </c:pt>
                <c:pt idx="2359">
                  <c:v>0.47189437887579405</c:v>
                </c:pt>
                <c:pt idx="2360">
                  <c:v>0.47209441888379566</c:v>
                </c:pt>
                <c:pt idx="2361">
                  <c:v>0.47229445889179728</c:v>
                </c:pt>
                <c:pt idx="2362">
                  <c:v>0.47249449889979889</c:v>
                </c:pt>
                <c:pt idx="2363">
                  <c:v>0.4726945389078005</c:v>
                </c:pt>
                <c:pt idx="2364">
                  <c:v>0.47289457891580211</c:v>
                </c:pt>
                <c:pt idx="2365">
                  <c:v>0.47309461892380372</c:v>
                </c:pt>
                <c:pt idx="2366">
                  <c:v>0.47329465893180533</c:v>
                </c:pt>
                <c:pt idx="2367">
                  <c:v>0.47349469893980695</c:v>
                </c:pt>
                <c:pt idx="2368">
                  <c:v>0.47369473894780856</c:v>
                </c:pt>
                <c:pt idx="2369">
                  <c:v>0.47389477895581017</c:v>
                </c:pt>
                <c:pt idx="2370">
                  <c:v>0.47409481896381178</c:v>
                </c:pt>
                <c:pt idx="2371">
                  <c:v>0.47429485897181339</c:v>
                </c:pt>
                <c:pt idx="2372">
                  <c:v>0.47449489897981501</c:v>
                </c:pt>
                <c:pt idx="2373">
                  <c:v>0.47469493898781662</c:v>
                </c:pt>
                <c:pt idx="2374">
                  <c:v>0.47489497899581823</c:v>
                </c:pt>
                <c:pt idx="2375">
                  <c:v>0.47509501900381984</c:v>
                </c:pt>
                <c:pt idx="2376">
                  <c:v>0.47529505901182145</c:v>
                </c:pt>
                <c:pt idx="2377">
                  <c:v>0.47549509901982306</c:v>
                </c:pt>
                <c:pt idx="2378">
                  <c:v>0.47569513902782468</c:v>
                </c:pt>
                <c:pt idx="2379">
                  <c:v>0.47589517903582629</c:v>
                </c:pt>
                <c:pt idx="2380">
                  <c:v>0.4760952190438279</c:v>
                </c:pt>
                <c:pt idx="2381">
                  <c:v>0.47629525905182951</c:v>
                </c:pt>
                <c:pt idx="2382">
                  <c:v>0.47649529905983112</c:v>
                </c:pt>
                <c:pt idx="2383">
                  <c:v>0.47669533906783274</c:v>
                </c:pt>
                <c:pt idx="2384">
                  <c:v>0.47689537907583435</c:v>
                </c:pt>
                <c:pt idx="2385">
                  <c:v>0.47709541908383596</c:v>
                </c:pt>
                <c:pt idx="2386">
                  <c:v>0.47729545909183757</c:v>
                </c:pt>
                <c:pt idx="2387">
                  <c:v>0.47749549909983918</c:v>
                </c:pt>
                <c:pt idx="2388">
                  <c:v>0.47769553910784079</c:v>
                </c:pt>
                <c:pt idx="2389">
                  <c:v>0.47789557911584241</c:v>
                </c:pt>
                <c:pt idx="2390">
                  <c:v>0.47809561912384402</c:v>
                </c:pt>
                <c:pt idx="2391">
                  <c:v>0.47829565913184563</c:v>
                </c:pt>
                <c:pt idx="2392">
                  <c:v>0.47849569913984724</c:v>
                </c:pt>
                <c:pt idx="2393">
                  <c:v>0.47869573914784885</c:v>
                </c:pt>
                <c:pt idx="2394">
                  <c:v>0.47889577915585047</c:v>
                </c:pt>
                <c:pt idx="2395">
                  <c:v>0.47909581916385208</c:v>
                </c:pt>
                <c:pt idx="2396">
                  <c:v>0.47929585917185369</c:v>
                </c:pt>
                <c:pt idx="2397">
                  <c:v>0.4794958991798553</c:v>
                </c:pt>
                <c:pt idx="2398">
                  <c:v>0.47969593918785691</c:v>
                </c:pt>
                <c:pt idx="2399">
                  <c:v>0.47989597919585852</c:v>
                </c:pt>
                <c:pt idx="2400">
                  <c:v>0.48009601920386014</c:v>
                </c:pt>
                <c:pt idx="2401">
                  <c:v>0.48029605921186175</c:v>
                </c:pt>
                <c:pt idx="2402">
                  <c:v>0.48049609921986336</c:v>
                </c:pt>
                <c:pt idx="2403">
                  <c:v>0.48069613922786497</c:v>
                </c:pt>
                <c:pt idx="2404">
                  <c:v>0.48089617923586658</c:v>
                </c:pt>
                <c:pt idx="2405">
                  <c:v>0.4810962192438682</c:v>
                </c:pt>
                <c:pt idx="2406">
                  <c:v>0.48129625925186981</c:v>
                </c:pt>
                <c:pt idx="2407">
                  <c:v>0.48149629925987142</c:v>
                </c:pt>
                <c:pt idx="2408">
                  <c:v>0.48169633926787303</c:v>
                </c:pt>
                <c:pt idx="2409">
                  <c:v>0.48189637927587464</c:v>
                </c:pt>
                <c:pt idx="2410">
                  <c:v>0.48209641928387625</c:v>
                </c:pt>
                <c:pt idx="2411">
                  <c:v>0.48229645929187787</c:v>
                </c:pt>
                <c:pt idx="2412">
                  <c:v>0.48249649929987948</c:v>
                </c:pt>
                <c:pt idx="2413">
                  <c:v>0.48269653930788109</c:v>
                </c:pt>
                <c:pt idx="2414">
                  <c:v>0.4828965793158827</c:v>
                </c:pt>
                <c:pt idx="2415">
                  <c:v>0.48309661932388431</c:v>
                </c:pt>
                <c:pt idx="2416">
                  <c:v>0.48329665933188592</c:v>
                </c:pt>
                <c:pt idx="2417">
                  <c:v>0.48349669933988754</c:v>
                </c:pt>
                <c:pt idx="2418">
                  <c:v>0.48369673934788915</c:v>
                </c:pt>
                <c:pt idx="2419">
                  <c:v>0.48389677935589076</c:v>
                </c:pt>
                <c:pt idx="2420">
                  <c:v>0.48409681936389237</c:v>
                </c:pt>
                <c:pt idx="2421">
                  <c:v>0.48429685937189398</c:v>
                </c:pt>
                <c:pt idx="2422">
                  <c:v>0.4844968993798956</c:v>
                </c:pt>
                <c:pt idx="2423">
                  <c:v>0.48469693938789721</c:v>
                </c:pt>
                <c:pt idx="2424">
                  <c:v>0.48489697939589882</c:v>
                </c:pt>
                <c:pt idx="2425">
                  <c:v>0.48509701940390043</c:v>
                </c:pt>
                <c:pt idx="2426">
                  <c:v>0.48529705941190204</c:v>
                </c:pt>
                <c:pt idx="2427">
                  <c:v>0.48549709941990365</c:v>
                </c:pt>
                <c:pt idx="2428">
                  <c:v>0.48569713942790527</c:v>
                </c:pt>
                <c:pt idx="2429">
                  <c:v>0.48589717943590688</c:v>
                </c:pt>
                <c:pt idx="2430">
                  <c:v>0.48609721944390849</c:v>
                </c:pt>
                <c:pt idx="2431">
                  <c:v>0.4862972594519101</c:v>
                </c:pt>
                <c:pt idx="2432">
                  <c:v>0.48649729945991171</c:v>
                </c:pt>
                <c:pt idx="2433">
                  <c:v>0.48669733946791333</c:v>
                </c:pt>
                <c:pt idx="2434">
                  <c:v>0.48689737947591494</c:v>
                </c:pt>
                <c:pt idx="2435">
                  <c:v>0.48709741948391655</c:v>
                </c:pt>
                <c:pt idx="2436">
                  <c:v>0.48729745949191816</c:v>
                </c:pt>
                <c:pt idx="2437">
                  <c:v>0.48749749949991977</c:v>
                </c:pt>
                <c:pt idx="2438">
                  <c:v>0.48769753950792138</c:v>
                </c:pt>
                <c:pt idx="2439">
                  <c:v>0.487897579515923</c:v>
                </c:pt>
                <c:pt idx="2440">
                  <c:v>0.48809761952392461</c:v>
                </c:pt>
                <c:pt idx="2441">
                  <c:v>0.48829765953192622</c:v>
                </c:pt>
                <c:pt idx="2442">
                  <c:v>0.48849769953992783</c:v>
                </c:pt>
                <c:pt idx="2443">
                  <c:v>0.48869773954792944</c:v>
                </c:pt>
                <c:pt idx="2444">
                  <c:v>0.48889777955593106</c:v>
                </c:pt>
                <c:pt idx="2445">
                  <c:v>0.48909781956393267</c:v>
                </c:pt>
                <c:pt idx="2446">
                  <c:v>0.48929785957193428</c:v>
                </c:pt>
                <c:pt idx="2447">
                  <c:v>0.48949789957993589</c:v>
                </c:pt>
                <c:pt idx="2448">
                  <c:v>0.4896979395879375</c:v>
                </c:pt>
                <c:pt idx="2449">
                  <c:v>0.48989797959593911</c:v>
                </c:pt>
                <c:pt idx="2450">
                  <c:v>0.49009801960394073</c:v>
                </c:pt>
                <c:pt idx="2451">
                  <c:v>0.49029805961194234</c:v>
                </c:pt>
                <c:pt idx="2452">
                  <c:v>0.49049809961994395</c:v>
                </c:pt>
                <c:pt idx="2453">
                  <c:v>0.49069813962794556</c:v>
                </c:pt>
                <c:pt idx="2454">
                  <c:v>0.49089817963594717</c:v>
                </c:pt>
                <c:pt idx="2455">
                  <c:v>0.49109821964394879</c:v>
                </c:pt>
                <c:pt idx="2456">
                  <c:v>0.4912982596519504</c:v>
                </c:pt>
                <c:pt idx="2457">
                  <c:v>0.49149829965995201</c:v>
                </c:pt>
                <c:pt idx="2458">
                  <c:v>0.49169833966795362</c:v>
                </c:pt>
                <c:pt idx="2459">
                  <c:v>0.49189837967595523</c:v>
                </c:pt>
                <c:pt idx="2460">
                  <c:v>0.49209841968395684</c:v>
                </c:pt>
                <c:pt idx="2461">
                  <c:v>0.49229845969195846</c:v>
                </c:pt>
                <c:pt idx="2462">
                  <c:v>0.49249849969996007</c:v>
                </c:pt>
                <c:pt idx="2463">
                  <c:v>0.49269853970796168</c:v>
                </c:pt>
                <c:pt idx="2464">
                  <c:v>0.49289857971596329</c:v>
                </c:pt>
                <c:pt idx="2465">
                  <c:v>0.4930986197239649</c:v>
                </c:pt>
                <c:pt idx="2466">
                  <c:v>0.49329865973196652</c:v>
                </c:pt>
                <c:pt idx="2467">
                  <c:v>0.49349869973996813</c:v>
                </c:pt>
                <c:pt idx="2468">
                  <c:v>0.49369873974796974</c:v>
                </c:pt>
                <c:pt idx="2469">
                  <c:v>0.49389877975597135</c:v>
                </c:pt>
                <c:pt idx="2470">
                  <c:v>0.49409881976397296</c:v>
                </c:pt>
                <c:pt idx="2471">
                  <c:v>0.49429885977197457</c:v>
                </c:pt>
                <c:pt idx="2472">
                  <c:v>0.49449889977997619</c:v>
                </c:pt>
                <c:pt idx="2473">
                  <c:v>0.4946989397879778</c:v>
                </c:pt>
                <c:pt idx="2474">
                  <c:v>0.49489897979597941</c:v>
                </c:pt>
                <c:pt idx="2475">
                  <c:v>0.49509901980398102</c:v>
                </c:pt>
                <c:pt idx="2476">
                  <c:v>0.49529905981198263</c:v>
                </c:pt>
                <c:pt idx="2477">
                  <c:v>0.49549909981998425</c:v>
                </c:pt>
                <c:pt idx="2478">
                  <c:v>0.49569913982798586</c:v>
                </c:pt>
                <c:pt idx="2479">
                  <c:v>0.49589917983598747</c:v>
                </c:pt>
                <c:pt idx="2480">
                  <c:v>0.49609921984398908</c:v>
                </c:pt>
                <c:pt idx="2481">
                  <c:v>0.49629925985199069</c:v>
                </c:pt>
                <c:pt idx="2482">
                  <c:v>0.4964992998599923</c:v>
                </c:pt>
                <c:pt idx="2483">
                  <c:v>0.49669933986799392</c:v>
                </c:pt>
                <c:pt idx="2484">
                  <c:v>0.49689937987599553</c:v>
                </c:pt>
                <c:pt idx="2485">
                  <c:v>0.49709941988399714</c:v>
                </c:pt>
                <c:pt idx="2486">
                  <c:v>0.49729945989199875</c:v>
                </c:pt>
                <c:pt idx="2487">
                  <c:v>0.49749949990000036</c:v>
                </c:pt>
                <c:pt idx="2488">
                  <c:v>0.49769953990800198</c:v>
                </c:pt>
                <c:pt idx="2489">
                  <c:v>0.49789957991600359</c:v>
                </c:pt>
                <c:pt idx="2490">
                  <c:v>0.4980996199240052</c:v>
                </c:pt>
                <c:pt idx="2491">
                  <c:v>0.49829965993200681</c:v>
                </c:pt>
                <c:pt idx="2492">
                  <c:v>0.49849969994000842</c:v>
                </c:pt>
                <c:pt idx="2493">
                  <c:v>0.49869973994801003</c:v>
                </c:pt>
                <c:pt idx="2494">
                  <c:v>0.49889977995601165</c:v>
                </c:pt>
                <c:pt idx="2495">
                  <c:v>0.49909981996401326</c:v>
                </c:pt>
                <c:pt idx="2496">
                  <c:v>0.49929985997201487</c:v>
                </c:pt>
                <c:pt idx="2497">
                  <c:v>0.49949989998001648</c:v>
                </c:pt>
                <c:pt idx="2498">
                  <c:v>0.49969993998801809</c:v>
                </c:pt>
                <c:pt idx="2499">
                  <c:v>0.49989997999601971</c:v>
                </c:pt>
                <c:pt idx="2500">
                  <c:v>0.50010002000402132</c:v>
                </c:pt>
                <c:pt idx="2501">
                  <c:v>0.50030006001202287</c:v>
                </c:pt>
                <c:pt idx="2502">
                  <c:v>0.50050010002002443</c:v>
                </c:pt>
                <c:pt idx="2503">
                  <c:v>0.50070014002802599</c:v>
                </c:pt>
                <c:pt idx="2504">
                  <c:v>0.50090018003602754</c:v>
                </c:pt>
                <c:pt idx="2505">
                  <c:v>0.5011002200440291</c:v>
                </c:pt>
                <c:pt idx="2506">
                  <c:v>0.50130026005203066</c:v>
                </c:pt>
                <c:pt idx="2507">
                  <c:v>0.50150030006003221</c:v>
                </c:pt>
                <c:pt idx="2508">
                  <c:v>0.50170034006803377</c:v>
                </c:pt>
                <c:pt idx="2509">
                  <c:v>0.50190038007603532</c:v>
                </c:pt>
                <c:pt idx="2510">
                  <c:v>0.50210042008403688</c:v>
                </c:pt>
                <c:pt idx="2511">
                  <c:v>0.50230046009203844</c:v>
                </c:pt>
                <c:pt idx="2512">
                  <c:v>0.50250050010003999</c:v>
                </c:pt>
                <c:pt idx="2513">
                  <c:v>0.50270054010804155</c:v>
                </c:pt>
                <c:pt idx="2514">
                  <c:v>0.50290058011604311</c:v>
                </c:pt>
                <c:pt idx="2515">
                  <c:v>0.50310062012404466</c:v>
                </c:pt>
                <c:pt idx="2516">
                  <c:v>0.50330066013204622</c:v>
                </c:pt>
                <c:pt idx="2517">
                  <c:v>0.50350070014004777</c:v>
                </c:pt>
                <c:pt idx="2518">
                  <c:v>0.50370074014804933</c:v>
                </c:pt>
                <c:pt idx="2519">
                  <c:v>0.50390078015605089</c:v>
                </c:pt>
                <c:pt idx="2520">
                  <c:v>0.50410082016405244</c:v>
                </c:pt>
                <c:pt idx="2521">
                  <c:v>0.504300860172054</c:v>
                </c:pt>
                <c:pt idx="2522">
                  <c:v>0.50450090018005556</c:v>
                </c:pt>
                <c:pt idx="2523">
                  <c:v>0.50470094018805711</c:v>
                </c:pt>
                <c:pt idx="2524">
                  <c:v>0.50490098019605867</c:v>
                </c:pt>
                <c:pt idx="2525">
                  <c:v>0.50510102020406022</c:v>
                </c:pt>
                <c:pt idx="2526">
                  <c:v>0.50530106021206178</c:v>
                </c:pt>
                <c:pt idx="2527">
                  <c:v>0.50550110022006334</c:v>
                </c:pt>
                <c:pt idx="2528">
                  <c:v>0.50570114022806489</c:v>
                </c:pt>
                <c:pt idx="2529">
                  <c:v>0.50590118023606645</c:v>
                </c:pt>
                <c:pt idx="2530">
                  <c:v>0.50610122024406801</c:v>
                </c:pt>
                <c:pt idx="2531">
                  <c:v>0.50630126025206956</c:v>
                </c:pt>
                <c:pt idx="2532">
                  <c:v>0.50650130026007112</c:v>
                </c:pt>
                <c:pt idx="2533">
                  <c:v>0.50670134026807268</c:v>
                </c:pt>
                <c:pt idx="2534">
                  <c:v>0.50690138027607423</c:v>
                </c:pt>
                <c:pt idx="2535">
                  <c:v>0.50710142028407579</c:v>
                </c:pt>
                <c:pt idx="2536">
                  <c:v>0.50730146029207734</c:v>
                </c:pt>
                <c:pt idx="2537">
                  <c:v>0.5075015003000789</c:v>
                </c:pt>
                <c:pt idx="2538">
                  <c:v>0.50770154030808046</c:v>
                </c:pt>
                <c:pt idx="2539">
                  <c:v>0.50790158031608201</c:v>
                </c:pt>
                <c:pt idx="2540">
                  <c:v>0.50810162032408357</c:v>
                </c:pt>
                <c:pt idx="2541">
                  <c:v>0.50830166033208513</c:v>
                </c:pt>
                <c:pt idx="2542">
                  <c:v>0.50850170034008668</c:v>
                </c:pt>
                <c:pt idx="2543">
                  <c:v>0.50870174034808824</c:v>
                </c:pt>
                <c:pt idx="2544">
                  <c:v>0.50890178035608979</c:v>
                </c:pt>
                <c:pt idx="2545">
                  <c:v>0.50910182036409135</c:v>
                </c:pt>
                <c:pt idx="2546">
                  <c:v>0.50930186037209291</c:v>
                </c:pt>
                <c:pt idx="2547">
                  <c:v>0.50950190038009446</c:v>
                </c:pt>
                <c:pt idx="2548">
                  <c:v>0.50970194038809602</c:v>
                </c:pt>
                <c:pt idx="2549">
                  <c:v>0.50990198039609758</c:v>
                </c:pt>
                <c:pt idx="2550">
                  <c:v>0.51010202040409913</c:v>
                </c:pt>
                <c:pt idx="2551">
                  <c:v>0.51030206041210069</c:v>
                </c:pt>
                <c:pt idx="2552">
                  <c:v>0.51050210042010224</c:v>
                </c:pt>
                <c:pt idx="2553">
                  <c:v>0.5107021404281038</c:v>
                </c:pt>
                <c:pt idx="2554">
                  <c:v>0.51090218043610536</c:v>
                </c:pt>
                <c:pt idx="2555">
                  <c:v>0.51110222044410691</c:v>
                </c:pt>
                <c:pt idx="2556">
                  <c:v>0.51130226045210847</c:v>
                </c:pt>
                <c:pt idx="2557">
                  <c:v>0.51150230046011003</c:v>
                </c:pt>
                <c:pt idx="2558">
                  <c:v>0.51170234046811158</c:v>
                </c:pt>
                <c:pt idx="2559">
                  <c:v>0.51190238047611314</c:v>
                </c:pt>
                <c:pt idx="2560">
                  <c:v>0.5121024204841147</c:v>
                </c:pt>
                <c:pt idx="2561">
                  <c:v>0.51230246049211625</c:v>
                </c:pt>
                <c:pt idx="2562">
                  <c:v>0.51250250050011781</c:v>
                </c:pt>
                <c:pt idx="2563">
                  <c:v>0.51270254050811936</c:v>
                </c:pt>
                <c:pt idx="2564">
                  <c:v>0.51290258051612092</c:v>
                </c:pt>
                <c:pt idx="2565">
                  <c:v>0.51310262052412248</c:v>
                </c:pt>
                <c:pt idx="2566">
                  <c:v>0.51330266053212403</c:v>
                </c:pt>
                <c:pt idx="2567">
                  <c:v>0.51350270054012559</c:v>
                </c:pt>
                <c:pt idx="2568">
                  <c:v>0.51370274054812715</c:v>
                </c:pt>
                <c:pt idx="2569">
                  <c:v>0.5139027805561287</c:v>
                </c:pt>
                <c:pt idx="2570">
                  <c:v>0.51410282056413026</c:v>
                </c:pt>
                <c:pt idx="2571">
                  <c:v>0.51430286057213181</c:v>
                </c:pt>
                <c:pt idx="2572">
                  <c:v>0.51450290058013337</c:v>
                </c:pt>
                <c:pt idx="2573">
                  <c:v>0.51470294058813493</c:v>
                </c:pt>
                <c:pt idx="2574">
                  <c:v>0.51490298059613648</c:v>
                </c:pt>
                <c:pt idx="2575">
                  <c:v>0.51510302060413804</c:v>
                </c:pt>
                <c:pt idx="2576">
                  <c:v>0.5153030606121396</c:v>
                </c:pt>
                <c:pt idx="2577">
                  <c:v>0.51550310062014115</c:v>
                </c:pt>
                <c:pt idx="2578">
                  <c:v>0.51570314062814271</c:v>
                </c:pt>
                <c:pt idx="2579">
                  <c:v>0.51590318063614427</c:v>
                </c:pt>
                <c:pt idx="2580">
                  <c:v>0.51610322064414582</c:v>
                </c:pt>
                <c:pt idx="2581">
                  <c:v>0.51630326065214738</c:v>
                </c:pt>
                <c:pt idx="2582">
                  <c:v>0.51650330066014893</c:v>
                </c:pt>
                <c:pt idx="2583">
                  <c:v>0.51670334066815049</c:v>
                </c:pt>
                <c:pt idx="2584">
                  <c:v>0.51690338067615205</c:v>
                </c:pt>
                <c:pt idx="2585">
                  <c:v>0.5171034206841536</c:v>
                </c:pt>
                <c:pt idx="2586">
                  <c:v>0.51730346069215516</c:v>
                </c:pt>
                <c:pt idx="2587">
                  <c:v>0.51750350070015672</c:v>
                </c:pt>
                <c:pt idx="2588">
                  <c:v>0.51770354070815827</c:v>
                </c:pt>
                <c:pt idx="2589">
                  <c:v>0.51790358071615983</c:v>
                </c:pt>
                <c:pt idx="2590">
                  <c:v>0.51810362072416138</c:v>
                </c:pt>
                <c:pt idx="2591">
                  <c:v>0.51830366073216294</c:v>
                </c:pt>
                <c:pt idx="2592">
                  <c:v>0.5185037007401645</c:v>
                </c:pt>
                <c:pt idx="2593">
                  <c:v>0.51870374074816605</c:v>
                </c:pt>
                <c:pt idx="2594">
                  <c:v>0.51890378075616761</c:v>
                </c:pt>
                <c:pt idx="2595">
                  <c:v>0.51910382076416917</c:v>
                </c:pt>
                <c:pt idx="2596">
                  <c:v>0.51930386077217072</c:v>
                </c:pt>
                <c:pt idx="2597">
                  <c:v>0.51950390078017228</c:v>
                </c:pt>
                <c:pt idx="2598">
                  <c:v>0.51970394078817383</c:v>
                </c:pt>
                <c:pt idx="2599">
                  <c:v>0.51990398079617539</c:v>
                </c:pt>
                <c:pt idx="2600">
                  <c:v>0.52010402080417695</c:v>
                </c:pt>
                <c:pt idx="2601">
                  <c:v>0.5203040608121785</c:v>
                </c:pt>
                <c:pt idx="2602">
                  <c:v>0.52050410082018006</c:v>
                </c:pt>
                <c:pt idx="2603">
                  <c:v>0.52070414082818162</c:v>
                </c:pt>
                <c:pt idx="2604">
                  <c:v>0.52090418083618317</c:v>
                </c:pt>
                <c:pt idx="2605">
                  <c:v>0.52110422084418473</c:v>
                </c:pt>
                <c:pt idx="2606">
                  <c:v>0.52130426085218629</c:v>
                </c:pt>
                <c:pt idx="2607">
                  <c:v>0.52150430086018784</c:v>
                </c:pt>
                <c:pt idx="2608">
                  <c:v>0.5217043408681894</c:v>
                </c:pt>
                <c:pt idx="2609">
                  <c:v>0.52190438087619095</c:v>
                </c:pt>
                <c:pt idx="2610">
                  <c:v>0.52210442088419251</c:v>
                </c:pt>
                <c:pt idx="2611">
                  <c:v>0.52230446089219407</c:v>
                </c:pt>
                <c:pt idx="2612">
                  <c:v>0.52250450090019562</c:v>
                </c:pt>
                <c:pt idx="2613">
                  <c:v>0.52270454090819718</c:v>
                </c:pt>
                <c:pt idx="2614">
                  <c:v>0.52290458091619874</c:v>
                </c:pt>
                <c:pt idx="2615">
                  <c:v>0.52310462092420029</c:v>
                </c:pt>
                <c:pt idx="2616">
                  <c:v>0.52330466093220185</c:v>
                </c:pt>
                <c:pt idx="2617">
                  <c:v>0.5235047009402034</c:v>
                </c:pt>
                <c:pt idx="2618">
                  <c:v>0.52370474094820496</c:v>
                </c:pt>
                <c:pt idx="2619">
                  <c:v>0.52390478095620652</c:v>
                </c:pt>
                <c:pt idx="2620">
                  <c:v>0.52410482096420807</c:v>
                </c:pt>
                <c:pt idx="2621">
                  <c:v>0.52430486097220963</c:v>
                </c:pt>
                <c:pt idx="2622">
                  <c:v>0.52450490098021119</c:v>
                </c:pt>
                <c:pt idx="2623">
                  <c:v>0.52470494098821274</c:v>
                </c:pt>
                <c:pt idx="2624">
                  <c:v>0.5249049809962143</c:v>
                </c:pt>
                <c:pt idx="2625">
                  <c:v>0.52510502100421586</c:v>
                </c:pt>
                <c:pt idx="2626">
                  <c:v>0.52530506101221741</c:v>
                </c:pt>
                <c:pt idx="2627">
                  <c:v>0.52550510102021897</c:v>
                </c:pt>
                <c:pt idx="2628">
                  <c:v>0.52570514102822052</c:v>
                </c:pt>
                <c:pt idx="2629">
                  <c:v>0.52590518103622208</c:v>
                </c:pt>
                <c:pt idx="2630">
                  <c:v>0.52610522104422364</c:v>
                </c:pt>
                <c:pt idx="2631">
                  <c:v>0.52630526105222519</c:v>
                </c:pt>
                <c:pt idx="2632">
                  <c:v>0.52650530106022675</c:v>
                </c:pt>
                <c:pt idx="2633">
                  <c:v>0.52670534106822831</c:v>
                </c:pt>
                <c:pt idx="2634">
                  <c:v>0.52690538107622986</c:v>
                </c:pt>
                <c:pt idx="2635">
                  <c:v>0.52710542108423142</c:v>
                </c:pt>
                <c:pt idx="2636">
                  <c:v>0.52730546109223297</c:v>
                </c:pt>
                <c:pt idx="2637">
                  <c:v>0.52750550110023453</c:v>
                </c:pt>
                <c:pt idx="2638">
                  <c:v>0.52770554110823609</c:v>
                </c:pt>
                <c:pt idx="2639">
                  <c:v>0.52790558111623764</c:v>
                </c:pt>
                <c:pt idx="2640">
                  <c:v>0.5281056211242392</c:v>
                </c:pt>
                <c:pt idx="2641">
                  <c:v>0.52830566113224076</c:v>
                </c:pt>
                <c:pt idx="2642">
                  <c:v>0.52850570114024231</c:v>
                </c:pt>
                <c:pt idx="2643">
                  <c:v>0.52870574114824387</c:v>
                </c:pt>
                <c:pt idx="2644">
                  <c:v>0.52890578115624542</c:v>
                </c:pt>
                <c:pt idx="2645">
                  <c:v>0.52910582116424698</c:v>
                </c:pt>
                <c:pt idx="2646">
                  <c:v>0.52930586117224854</c:v>
                </c:pt>
                <c:pt idx="2647">
                  <c:v>0.52950590118025009</c:v>
                </c:pt>
                <c:pt idx="2648">
                  <c:v>0.52970594118825165</c:v>
                </c:pt>
                <c:pt idx="2649">
                  <c:v>0.52990598119625321</c:v>
                </c:pt>
                <c:pt idx="2650">
                  <c:v>0.53010602120425476</c:v>
                </c:pt>
                <c:pt idx="2651">
                  <c:v>0.53030606121225632</c:v>
                </c:pt>
                <c:pt idx="2652">
                  <c:v>0.53050610122025788</c:v>
                </c:pt>
                <c:pt idx="2653">
                  <c:v>0.53070614122825943</c:v>
                </c:pt>
                <c:pt idx="2654">
                  <c:v>0.53090618123626099</c:v>
                </c:pt>
                <c:pt idx="2655">
                  <c:v>0.53110622124426254</c:v>
                </c:pt>
                <c:pt idx="2656">
                  <c:v>0.5313062612522641</c:v>
                </c:pt>
                <c:pt idx="2657">
                  <c:v>0.53150630126026566</c:v>
                </c:pt>
                <c:pt idx="2658">
                  <c:v>0.53170634126826721</c:v>
                </c:pt>
                <c:pt idx="2659">
                  <c:v>0.53190638127626877</c:v>
                </c:pt>
                <c:pt idx="2660">
                  <c:v>0.53210642128427033</c:v>
                </c:pt>
                <c:pt idx="2661">
                  <c:v>0.53230646129227188</c:v>
                </c:pt>
                <c:pt idx="2662">
                  <c:v>0.53250650130027344</c:v>
                </c:pt>
                <c:pt idx="2663">
                  <c:v>0.53270654130827499</c:v>
                </c:pt>
                <c:pt idx="2664">
                  <c:v>0.53290658131627655</c:v>
                </c:pt>
                <c:pt idx="2665">
                  <c:v>0.53310662132427811</c:v>
                </c:pt>
                <c:pt idx="2666">
                  <c:v>0.53330666133227966</c:v>
                </c:pt>
                <c:pt idx="2667">
                  <c:v>0.53350670134028122</c:v>
                </c:pt>
                <c:pt idx="2668">
                  <c:v>0.53370674134828278</c:v>
                </c:pt>
                <c:pt idx="2669">
                  <c:v>0.53390678135628433</c:v>
                </c:pt>
                <c:pt idx="2670">
                  <c:v>0.53410682136428589</c:v>
                </c:pt>
                <c:pt idx="2671">
                  <c:v>0.53430686137228744</c:v>
                </c:pt>
                <c:pt idx="2672">
                  <c:v>0.534506901380289</c:v>
                </c:pt>
                <c:pt idx="2673">
                  <c:v>0.53470694138829056</c:v>
                </c:pt>
                <c:pt idx="2674">
                  <c:v>0.53490698139629211</c:v>
                </c:pt>
                <c:pt idx="2675">
                  <c:v>0.53510702140429367</c:v>
                </c:pt>
                <c:pt idx="2676">
                  <c:v>0.53530706141229523</c:v>
                </c:pt>
                <c:pt idx="2677">
                  <c:v>0.53550710142029678</c:v>
                </c:pt>
                <c:pt idx="2678">
                  <c:v>0.53570714142829834</c:v>
                </c:pt>
                <c:pt idx="2679">
                  <c:v>0.5359071814362999</c:v>
                </c:pt>
                <c:pt idx="2680">
                  <c:v>0.53610722144430145</c:v>
                </c:pt>
                <c:pt idx="2681">
                  <c:v>0.53630726145230301</c:v>
                </c:pt>
                <c:pt idx="2682">
                  <c:v>0.53650730146030456</c:v>
                </c:pt>
                <c:pt idx="2683">
                  <c:v>0.53670734146830612</c:v>
                </c:pt>
                <c:pt idx="2684">
                  <c:v>0.53690738147630768</c:v>
                </c:pt>
                <c:pt idx="2685">
                  <c:v>0.53710742148430923</c:v>
                </c:pt>
                <c:pt idx="2686">
                  <c:v>0.53730746149231079</c:v>
                </c:pt>
                <c:pt idx="2687">
                  <c:v>0.53750750150031235</c:v>
                </c:pt>
                <c:pt idx="2688">
                  <c:v>0.5377075415083139</c:v>
                </c:pt>
                <c:pt idx="2689">
                  <c:v>0.53790758151631546</c:v>
                </c:pt>
                <c:pt idx="2690">
                  <c:v>0.53810762152431701</c:v>
                </c:pt>
                <c:pt idx="2691">
                  <c:v>0.53830766153231857</c:v>
                </c:pt>
                <c:pt idx="2692">
                  <c:v>0.53850770154032013</c:v>
                </c:pt>
                <c:pt idx="2693">
                  <c:v>0.53870774154832168</c:v>
                </c:pt>
                <c:pt idx="2694">
                  <c:v>0.53890778155632324</c:v>
                </c:pt>
                <c:pt idx="2695">
                  <c:v>0.5391078215643248</c:v>
                </c:pt>
                <c:pt idx="2696">
                  <c:v>0.53930786157232635</c:v>
                </c:pt>
                <c:pt idx="2697">
                  <c:v>0.53950790158032791</c:v>
                </c:pt>
                <c:pt idx="2698">
                  <c:v>0.53970794158832947</c:v>
                </c:pt>
                <c:pt idx="2699">
                  <c:v>0.53990798159633102</c:v>
                </c:pt>
                <c:pt idx="2700">
                  <c:v>0.54010802160433258</c:v>
                </c:pt>
                <c:pt idx="2701">
                  <c:v>0.54030806161233413</c:v>
                </c:pt>
                <c:pt idx="2702">
                  <c:v>0.54050810162033569</c:v>
                </c:pt>
                <c:pt idx="2703">
                  <c:v>0.54070814162833725</c:v>
                </c:pt>
                <c:pt idx="2704">
                  <c:v>0.5409081816363388</c:v>
                </c:pt>
                <c:pt idx="2705">
                  <c:v>0.54110822164434036</c:v>
                </c:pt>
                <c:pt idx="2706">
                  <c:v>0.54130826165234192</c:v>
                </c:pt>
                <c:pt idx="2707">
                  <c:v>0.54150830166034347</c:v>
                </c:pt>
                <c:pt idx="2708">
                  <c:v>0.54170834166834503</c:v>
                </c:pt>
                <c:pt idx="2709">
                  <c:v>0.54190838167634658</c:v>
                </c:pt>
                <c:pt idx="2710">
                  <c:v>0.54210842168434814</c:v>
                </c:pt>
                <c:pt idx="2711">
                  <c:v>0.5423084616923497</c:v>
                </c:pt>
                <c:pt idx="2712">
                  <c:v>0.54250850170035125</c:v>
                </c:pt>
                <c:pt idx="2713">
                  <c:v>0.54270854170835281</c:v>
                </c:pt>
                <c:pt idx="2714">
                  <c:v>0.54290858171635437</c:v>
                </c:pt>
                <c:pt idx="2715">
                  <c:v>0.54310862172435592</c:v>
                </c:pt>
                <c:pt idx="2716">
                  <c:v>0.54330866173235748</c:v>
                </c:pt>
                <c:pt idx="2717">
                  <c:v>0.54350870174035903</c:v>
                </c:pt>
                <c:pt idx="2718">
                  <c:v>0.54370874174836059</c:v>
                </c:pt>
                <c:pt idx="2719">
                  <c:v>0.54390878175636215</c:v>
                </c:pt>
                <c:pt idx="2720">
                  <c:v>0.5441088217643637</c:v>
                </c:pt>
                <c:pt idx="2721">
                  <c:v>0.54430886177236526</c:v>
                </c:pt>
                <c:pt idx="2722">
                  <c:v>0.54450890178036682</c:v>
                </c:pt>
                <c:pt idx="2723">
                  <c:v>0.54470894178836837</c:v>
                </c:pt>
                <c:pt idx="2724">
                  <c:v>0.54490898179636993</c:v>
                </c:pt>
                <c:pt idx="2725">
                  <c:v>0.54510902180437149</c:v>
                </c:pt>
                <c:pt idx="2726">
                  <c:v>0.54530906181237304</c:v>
                </c:pt>
                <c:pt idx="2727">
                  <c:v>0.5455091018203746</c:v>
                </c:pt>
                <c:pt idx="2728">
                  <c:v>0.54570914182837615</c:v>
                </c:pt>
                <c:pt idx="2729">
                  <c:v>0.54590918183637771</c:v>
                </c:pt>
                <c:pt idx="2730">
                  <c:v>0.54610922184437927</c:v>
                </c:pt>
                <c:pt idx="2731">
                  <c:v>0.54630926185238082</c:v>
                </c:pt>
                <c:pt idx="2732">
                  <c:v>0.54650930186038238</c:v>
                </c:pt>
                <c:pt idx="2733">
                  <c:v>0.54670934186838394</c:v>
                </c:pt>
                <c:pt idx="2734">
                  <c:v>0.54690938187638549</c:v>
                </c:pt>
                <c:pt idx="2735">
                  <c:v>0.54710942188438705</c:v>
                </c:pt>
                <c:pt idx="2736">
                  <c:v>0.5473094618923886</c:v>
                </c:pt>
                <c:pt idx="2737">
                  <c:v>0.54750950190039016</c:v>
                </c:pt>
                <c:pt idx="2738">
                  <c:v>0.54770954190839172</c:v>
                </c:pt>
                <c:pt idx="2739">
                  <c:v>0.54790958191639327</c:v>
                </c:pt>
                <c:pt idx="2740">
                  <c:v>0.54810962192439483</c:v>
                </c:pt>
                <c:pt idx="2741">
                  <c:v>0.54830966193239639</c:v>
                </c:pt>
                <c:pt idx="2742">
                  <c:v>0.54850970194039794</c:v>
                </c:pt>
                <c:pt idx="2743">
                  <c:v>0.5487097419483995</c:v>
                </c:pt>
                <c:pt idx="2744">
                  <c:v>0.54890978195640105</c:v>
                </c:pt>
                <c:pt idx="2745">
                  <c:v>0.54910982196440261</c:v>
                </c:pt>
                <c:pt idx="2746">
                  <c:v>0.54930986197240417</c:v>
                </c:pt>
                <c:pt idx="2747">
                  <c:v>0.54950990198040572</c:v>
                </c:pt>
                <c:pt idx="2748">
                  <c:v>0.54970994198840728</c:v>
                </c:pt>
                <c:pt idx="2749">
                  <c:v>0.54990998199640884</c:v>
                </c:pt>
                <c:pt idx="2750">
                  <c:v>0.55011002200441039</c:v>
                </c:pt>
                <c:pt idx="2751">
                  <c:v>0.55031006201241195</c:v>
                </c:pt>
                <c:pt idx="2752">
                  <c:v>0.55051010202041351</c:v>
                </c:pt>
                <c:pt idx="2753">
                  <c:v>0.55071014202841506</c:v>
                </c:pt>
                <c:pt idx="2754">
                  <c:v>0.55091018203641662</c:v>
                </c:pt>
                <c:pt idx="2755">
                  <c:v>0.55111022204441817</c:v>
                </c:pt>
                <c:pt idx="2756">
                  <c:v>0.55131026205241973</c:v>
                </c:pt>
                <c:pt idx="2757">
                  <c:v>0.55151030206042129</c:v>
                </c:pt>
                <c:pt idx="2758">
                  <c:v>0.55171034206842284</c:v>
                </c:pt>
                <c:pt idx="2759">
                  <c:v>0.5519103820764244</c:v>
                </c:pt>
                <c:pt idx="2760">
                  <c:v>0.55211042208442596</c:v>
                </c:pt>
                <c:pt idx="2761">
                  <c:v>0.55231046209242751</c:v>
                </c:pt>
                <c:pt idx="2762">
                  <c:v>0.55251050210042907</c:v>
                </c:pt>
                <c:pt idx="2763">
                  <c:v>0.55271054210843062</c:v>
                </c:pt>
                <c:pt idx="2764">
                  <c:v>0.55291058211643218</c:v>
                </c:pt>
                <c:pt idx="2765">
                  <c:v>0.55311062212443374</c:v>
                </c:pt>
                <c:pt idx="2766">
                  <c:v>0.55331066213243529</c:v>
                </c:pt>
                <c:pt idx="2767">
                  <c:v>0.55351070214043685</c:v>
                </c:pt>
                <c:pt idx="2768">
                  <c:v>0.55371074214843841</c:v>
                </c:pt>
                <c:pt idx="2769">
                  <c:v>0.55391078215643996</c:v>
                </c:pt>
                <c:pt idx="2770">
                  <c:v>0.55411082216444152</c:v>
                </c:pt>
                <c:pt idx="2771">
                  <c:v>0.55431086217244308</c:v>
                </c:pt>
                <c:pt idx="2772">
                  <c:v>0.55451090218044463</c:v>
                </c:pt>
                <c:pt idx="2773">
                  <c:v>0.55471094218844619</c:v>
                </c:pt>
                <c:pt idx="2774">
                  <c:v>0.55491098219644774</c:v>
                </c:pt>
                <c:pt idx="2775">
                  <c:v>0.5551110222044493</c:v>
                </c:pt>
                <c:pt idx="2776">
                  <c:v>0.55531106221245086</c:v>
                </c:pt>
                <c:pt idx="2777">
                  <c:v>0.55551110222045241</c:v>
                </c:pt>
                <c:pt idx="2778">
                  <c:v>0.55571114222845397</c:v>
                </c:pt>
                <c:pt idx="2779">
                  <c:v>0.55591118223645553</c:v>
                </c:pt>
                <c:pt idx="2780">
                  <c:v>0.55611122224445708</c:v>
                </c:pt>
                <c:pt idx="2781">
                  <c:v>0.55631126225245864</c:v>
                </c:pt>
                <c:pt idx="2782">
                  <c:v>0.55651130226046019</c:v>
                </c:pt>
                <c:pt idx="2783">
                  <c:v>0.55671134226846175</c:v>
                </c:pt>
                <c:pt idx="2784">
                  <c:v>0.55691138227646331</c:v>
                </c:pt>
                <c:pt idx="2785">
                  <c:v>0.55711142228446486</c:v>
                </c:pt>
                <c:pt idx="2786">
                  <c:v>0.55731146229246642</c:v>
                </c:pt>
                <c:pt idx="2787">
                  <c:v>0.55751150230046798</c:v>
                </c:pt>
                <c:pt idx="2788">
                  <c:v>0.55771154230846953</c:v>
                </c:pt>
                <c:pt idx="2789">
                  <c:v>0.55791158231647109</c:v>
                </c:pt>
                <c:pt idx="2790">
                  <c:v>0.55811162232447264</c:v>
                </c:pt>
                <c:pt idx="2791">
                  <c:v>0.5583116623324742</c:v>
                </c:pt>
                <c:pt idx="2792">
                  <c:v>0.55851170234047576</c:v>
                </c:pt>
                <c:pt idx="2793">
                  <c:v>0.55871174234847731</c:v>
                </c:pt>
                <c:pt idx="2794">
                  <c:v>0.55891178235647887</c:v>
                </c:pt>
                <c:pt idx="2795">
                  <c:v>0.55911182236448043</c:v>
                </c:pt>
                <c:pt idx="2796">
                  <c:v>0.55931186237248198</c:v>
                </c:pt>
                <c:pt idx="2797">
                  <c:v>0.55951190238048354</c:v>
                </c:pt>
                <c:pt idx="2798">
                  <c:v>0.5597119423884851</c:v>
                </c:pt>
                <c:pt idx="2799">
                  <c:v>0.55991198239648665</c:v>
                </c:pt>
                <c:pt idx="2800">
                  <c:v>0.56011202240448821</c:v>
                </c:pt>
                <c:pt idx="2801">
                  <c:v>0.56031206241248976</c:v>
                </c:pt>
                <c:pt idx="2802">
                  <c:v>0.56051210242049132</c:v>
                </c:pt>
                <c:pt idx="2803">
                  <c:v>0.56071214242849288</c:v>
                </c:pt>
                <c:pt idx="2804">
                  <c:v>0.56091218243649443</c:v>
                </c:pt>
                <c:pt idx="2805">
                  <c:v>0.56111222244449599</c:v>
                </c:pt>
                <c:pt idx="2806">
                  <c:v>0.56131226245249755</c:v>
                </c:pt>
                <c:pt idx="2807">
                  <c:v>0.5615123024604991</c:v>
                </c:pt>
                <c:pt idx="2808">
                  <c:v>0.56171234246850066</c:v>
                </c:pt>
                <c:pt idx="2809">
                  <c:v>0.56191238247650221</c:v>
                </c:pt>
                <c:pt idx="2810">
                  <c:v>0.56211242248450377</c:v>
                </c:pt>
                <c:pt idx="2811">
                  <c:v>0.56231246249250533</c:v>
                </c:pt>
                <c:pt idx="2812">
                  <c:v>0.56251250250050688</c:v>
                </c:pt>
                <c:pt idx="2813">
                  <c:v>0.56271254250850844</c:v>
                </c:pt>
                <c:pt idx="2814">
                  <c:v>0.56291258251651</c:v>
                </c:pt>
                <c:pt idx="2815">
                  <c:v>0.56311262252451155</c:v>
                </c:pt>
                <c:pt idx="2816">
                  <c:v>0.56331266253251311</c:v>
                </c:pt>
                <c:pt idx="2817">
                  <c:v>0.56351270254051467</c:v>
                </c:pt>
                <c:pt idx="2818">
                  <c:v>0.56371274254851622</c:v>
                </c:pt>
                <c:pt idx="2819">
                  <c:v>0.56391278255651778</c:v>
                </c:pt>
                <c:pt idx="2820">
                  <c:v>0.56411282256451933</c:v>
                </c:pt>
                <c:pt idx="2821">
                  <c:v>0.56431286257252089</c:v>
                </c:pt>
                <c:pt idx="2822">
                  <c:v>0.56451290258052245</c:v>
                </c:pt>
                <c:pt idx="2823">
                  <c:v>0.564712942588524</c:v>
                </c:pt>
                <c:pt idx="2824">
                  <c:v>0.56491298259652556</c:v>
                </c:pt>
                <c:pt idx="2825">
                  <c:v>0.56511302260452712</c:v>
                </c:pt>
                <c:pt idx="2826">
                  <c:v>0.56531306261252867</c:v>
                </c:pt>
                <c:pt idx="2827">
                  <c:v>0.56551310262053023</c:v>
                </c:pt>
                <c:pt idx="2828">
                  <c:v>0.56571314262853178</c:v>
                </c:pt>
                <c:pt idx="2829">
                  <c:v>0.56591318263653334</c:v>
                </c:pt>
                <c:pt idx="2830">
                  <c:v>0.5661132226445349</c:v>
                </c:pt>
                <c:pt idx="2831">
                  <c:v>0.56631326265253645</c:v>
                </c:pt>
                <c:pt idx="2832">
                  <c:v>0.56651330266053801</c:v>
                </c:pt>
                <c:pt idx="2833">
                  <c:v>0.56671334266853957</c:v>
                </c:pt>
                <c:pt idx="2834">
                  <c:v>0.56691338267654112</c:v>
                </c:pt>
                <c:pt idx="2835">
                  <c:v>0.56711342268454268</c:v>
                </c:pt>
                <c:pt idx="2836">
                  <c:v>0.56731346269254423</c:v>
                </c:pt>
                <c:pt idx="2837">
                  <c:v>0.56751350270054579</c:v>
                </c:pt>
                <c:pt idx="2838">
                  <c:v>0.56771354270854735</c:v>
                </c:pt>
                <c:pt idx="2839">
                  <c:v>0.5679135827165489</c:v>
                </c:pt>
                <c:pt idx="2840">
                  <c:v>0.56811362272455046</c:v>
                </c:pt>
                <c:pt idx="2841">
                  <c:v>0.56831366273255202</c:v>
                </c:pt>
                <c:pt idx="2842">
                  <c:v>0.56851370274055357</c:v>
                </c:pt>
                <c:pt idx="2843">
                  <c:v>0.56871374274855513</c:v>
                </c:pt>
                <c:pt idx="2844">
                  <c:v>0.56891378275655669</c:v>
                </c:pt>
                <c:pt idx="2845">
                  <c:v>0.56911382276455824</c:v>
                </c:pt>
                <c:pt idx="2846">
                  <c:v>0.5693138627725598</c:v>
                </c:pt>
                <c:pt idx="2847">
                  <c:v>0.56951390278056135</c:v>
                </c:pt>
                <c:pt idx="2848">
                  <c:v>0.56971394278856291</c:v>
                </c:pt>
                <c:pt idx="2849">
                  <c:v>0.56991398279656447</c:v>
                </c:pt>
                <c:pt idx="2850">
                  <c:v>0.57011402280456602</c:v>
                </c:pt>
                <c:pt idx="2851">
                  <c:v>0.57031406281256758</c:v>
                </c:pt>
                <c:pt idx="2852">
                  <c:v>0.57051410282056914</c:v>
                </c:pt>
                <c:pt idx="2853">
                  <c:v>0.57071414282857069</c:v>
                </c:pt>
                <c:pt idx="2854">
                  <c:v>0.57091418283657225</c:v>
                </c:pt>
                <c:pt idx="2855">
                  <c:v>0.5711142228445738</c:v>
                </c:pt>
                <c:pt idx="2856">
                  <c:v>0.57131426285257536</c:v>
                </c:pt>
                <c:pt idx="2857">
                  <c:v>0.57151430286057692</c:v>
                </c:pt>
                <c:pt idx="2858">
                  <c:v>0.57171434286857847</c:v>
                </c:pt>
                <c:pt idx="2859">
                  <c:v>0.57191438287658003</c:v>
                </c:pt>
                <c:pt idx="2860">
                  <c:v>0.57211442288458159</c:v>
                </c:pt>
                <c:pt idx="2861">
                  <c:v>0.57231446289258314</c:v>
                </c:pt>
                <c:pt idx="2862">
                  <c:v>0.5725145029005847</c:v>
                </c:pt>
                <c:pt idx="2863">
                  <c:v>0.57271454290858625</c:v>
                </c:pt>
                <c:pt idx="2864">
                  <c:v>0.57291458291658781</c:v>
                </c:pt>
                <c:pt idx="2865">
                  <c:v>0.57311462292458937</c:v>
                </c:pt>
                <c:pt idx="2866">
                  <c:v>0.57331466293259092</c:v>
                </c:pt>
                <c:pt idx="2867">
                  <c:v>0.57351470294059248</c:v>
                </c:pt>
                <c:pt idx="2868">
                  <c:v>0.57371474294859404</c:v>
                </c:pt>
                <c:pt idx="2869">
                  <c:v>0.57391478295659559</c:v>
                </c:pt>
                <c:pt idx="2870">
                  <c:v>0.57411482296459715</c:v>
                </c:pt>
                <c:pt idx="2871">
                  <c:v>0.57431486297259871</c:v>
                </c:pt>
                <c:pt idx="2872">
                  <c:v>0.57451490298060026</c:v>
                </c:pt>
                <c:pt idx="2873">
                  <c:v>0.57471494298860182</c:v>
                </c:pt>
                <c:pt idx="2874">
                  <c:v>0.57491498299660337</c:v>
                </c:pt>
                <c:pt idx="2875">
                  <c:v>0.57511502300460493</c:v>
                </c:pt>
                <c:pt idx="2876">
                  <c:v>0.57531506301260649</c:v>
                </c:pt>
                <c:pt idx="2877">
                  <c:v>0.57551510302060804</c:v>
                </c:pt>
                <c:pt idx="2878">
                  <c:v>0.5757151430286096</c:v>
                </c:pt>
                <c:pt idx="2879">
                  <c:v>0.57591518303661116</c:v>
                </c:pt>
                <c:pt idx="2880">
                  <c:v>0.57611522304461271</c:v>
                </c:pt>
                <c:pt idx="2881">
                  <c:v>0.57631526305261427</c:v>
                </c:pt>
                <c:pt idx="2882">
                  <c:v>0.57651530306061582</c:v>
                </c:pt>
                <c:pt idx="2883">
                  <c:v>0.57671534306861738</c:v>
                </c:pt>
                <c:pt idx="2884">
                  <c:v>0.57691538307661894</c:v>
                </c:pt>
                <c:pt idx="2885">
                  <c:v>0.57711542308462049</c:v>
                </c:pt>
                <c:pt idx="2886">
                  <c:v>0.57731546309262205</c:v>
                </c:pt>
                <c:pt idx="2887">
                  <c:v>0.57751550310062361</c:v>
                </c:pt>
                <c:pt idx="2888">
                  <c:v>0.57771554310862516</c:v>
                </c:pt>
                <c:pt idx="2889">
                  <c:v>0.57791558311662672</c:v>
                </c:pt>
                <c:pt idx="2890">
                  <c:v>0.57811562312462828</c:v>
                </c:pt>
                <c:pt idx="2891">
                  <c:v>0.57831566313262983</c:v>
                </c:pt>
                <c:pt idx="2892">
                  <c:v>0.57851570314063139</c:v>
                </c:pt>
                <c:pt idx="2893">
                  <c:v>0.57871574314863294</c:v>
                </c:pt>
                <c:pt idx="2894">
                  <c:v>0.5789157831566345</c:v>
                </c:pt>
                <c:pt idx="2895">
                  <c:v>0.57911582316463606</c:v>
                </c:pt>
                <c:pt idx="2896">
                  <c:v>0.57931586317263761</c:v>
                </c:pt>
                <c:pt idx="2897">
                  <c:v>0.57951590318063917</c:v>
                </c:pt>
                <c:pt idx="2898">
                  <c:v>0.57971594318864073</c:v>
                </c:pt>
                <c:pt idx="2899">
                  <c:v>0.57991598319664228</c:v>
                </c:pt>
                <c:pt idx="2900">
                  <c:v>0.58011602320464384</c:v>
                </c:pt>
                <c:pt idx="2901">
                  <c:v>0.58031606321264539</c:v>
                </c:pt>
                <c:pt idx="2902">
                  <c:v>0.58051610322064695</c:v>
                </c:pt>
                <c:pt idx="2903">
                  <c:v>0.58071614322864851</c:v>
                </c:pt>
                <c:pt idx="2904">
                  <c:v>0.58091618323665006</c:v>
                </c:pt>
                <c:pt idx="2905">
                  <c:v>0.58111622324465162</c:v>
                </c:pt>
                <c:pt idx="2906">
                  <c:v>0.58131626325265318</c:v>
                </c:pt>
                <c:pt idx="2907">
                  <c:v>0.58151630326065473</c:v>
                </c:pt>
                <c:pt idx="2908">
                  <c:v>0.58171634326865629</c:v>
                </c:pt>
                <c:pt idx="2909">
                  <c:v>0.58191638327665784</c:v>
                </c:pt>
                <c:pt idx="2910">
                  <c:v>0.5821164232846594</c:v>
                </c:pt>
                <c:pt idx="2911">
                  <c:v>0.58231646329266096</c:v>
                </c:pt>
                <c:pt idx="2912">
                  <c:v>0.58251650330066251</c:v>
                </c:pt>
                <c:pt idx="2913">
                  <c:v>0.58271654330866407</c:v>
                </c:pt>
                <c:pt idx="2914">
                  <c:v>0.58291658331666563</c:v>
                </c:pt>
                <c:pt idx="2915">
                  <c:v>0.58311662332466718</c:v>
                </c:pt>
                <c:pt idx="2916">
                  <c:v>0.58331666333266874</c:v>
                </c:pt>
                <c:pt idx="2917">
                  <c:v>0.5835167033406703</c:v>
                </c:pt>
                <c:pt idx="2918">
                  <c:v>0.58371674334867185</c:v>
                </c:pt>
                <c:pt idx="2919">
                  <c:v>0.58391678335667341</c:v>
                </c:pt>
                <c:pt idx="2920">
                  <c:v>0.58411682336467496</c:v>
                </c:pt>
                <c:pt idx="2921">
                  <c:v>0.58431686337267652</c:v>
                </c:pt>
                <c:pt idx="2922">
                  <c:v>0.58451690338067808</c:v>
                </c:pt>
                <c:pt idx="2923">
                  <c:v>0.58471694338867963</c:v>
                </c:pt>
                <c:pt idx="2924">
                  <c:v>0.58491698339668119</c:v>
                </c:pt>
                <c:pt idx="2925">
                  <c:v>0.58511702340468275</c:v>
                </c:pt>
                <c:pt idx="2926">
                  <c:v>0.5853170634126843</c:v>
                </c:pt>
                <c:pt idx="2927">
                  <c:v>0.58551710342068586</c:v>
                </c:pt>
                <c:pt idx="2928">
                  <c:v>0.58571714342868741</c:v>
                </c:pt>
                <c:pt idx="2929">
                  <c:v>0.58591718343668897</c:v>
                </c:pt>
                <c:pt idx="2930">
                  <c:v>0.58611722344469053</c:v>
                </c:pt>
                <c:pt idx="2931">
                  <c:v>0.58631726345269208</c:v>
                </c:pt>
                <c:pt idx="2932">
                  <c:v>0.58651730346069364</c:v>
                </c:pt>
                <c:pt idx="2933">
                  <c:v>0.5867173434686952</c:v>
                </c:pt>
                <c:pt idx="2934">
                  <c:v>0.58691738347669675</c:v>
                </c:pt>
                <c:pt idx="2935">
                  <c:v>0.58711742348469831</c:v>
                </c:pt>
                <c:pt idx="2936">
                  <c:v>0.58731746349269986</c:v>
                </c:pt>
                <c:pt idx="2937">
                  <c:v>0.58751750350070142</c:v>
                </c:pt>
                <c:pt idx="2938">
                  <c:v>0.58771754350870298</c:v>
                </c:pt>
                <c:pt idx="2939">
                  <c:v>0.58791758351670453</c:v>
                </c:pt>
                <c:pt idx="2940">
                  <c:v>0.58811762352470609</c:v>
                </c:pt>
                <c:pt idx="2941">
                  <c:v>0.58831766353270765</c:v>
                </c:pt>
                <c:pt idx="2942">
                  <c:v>0.5885177035407092</c:v>
                </c:pt>
                <c:pt idx="2943">
                  <c:v>0.58871774354871076</c:v>
                </c:pt>
                <c:pt idx="2944">
                  <c:v>0.58891778355671232</c:v>
                </c:pt>
                <c:pt idx="2945">
                  <c:v>0.58911782356471387</c:v>
                </c:pt>
                <c:pt idx="2946">
                  <c:v>0.58931786357271543</c:v>
                </c:pt>
                <c:pt idx="2947">
                  <c:v>0.58951790358071698</c:v>
                </c:pt>
                <c:pt idx="2948">
                  <c:v>0.58971794358871854</c:v>
                </c:pt>
                <c:pt idx="2949">
                  <c:v>0.5899179835967201</c:v>
                </c:pt>
                <c:pt idx="2950">
                  <c:v>0.59011802360472165</c:v>
                </c:pt>
                <c:pt idx="2951">
                  <c:v>0.59031806361272321</c:v>
                </c:pt>
                <c:pt idx="2952">
                  <c:v>0.59051810362072477</c:v>
                </c:pt>
                <c:pt idx="2953">
                  <c:v>0.59071814362872632</c:v>
                </c:pt>
                <c:pt idx="2954">
                  <c:v>0.59091818363672788</c:v>
                </c:pt>
                <c:pt idx="2955">
                  <c:v>0.59111822364472943</c:v>
                </c:pt>
                <c:pt idx="2956">
                  <c:v>0.59131826365273099</c:v>
                </c:pt>
                <c:pt idx="2957">
                  <c:v>0.59151830366073255</c:v>
                </c:pt>
                <c:pt idx="2958">
                  <c:v>0.5917183436687341</c:v>
                </c:pt>
                <c:pt idx="2959">
                  <c:v>0.59191838367673566</c:v>
                </c:pt>
                <c:pt idx="2960">
                  <c:v>0.59211842368473722</c:v>
                </c:pt>
                <c:pt idx="2961">
                  <c:v>0.59231846369273877</c:v>
                </c:pt>
                <c:pt idx="2962">
                  <c:v>0.59251850370074033</c:v>
                </c:pt>
                <c:pt idx="2963">
                  <c:v>0.59271854370874189</c:v>
                </c:pt>
                <c:pt idx="2964">
                  <c:v>0.59291858371674344</c:v>
                </c:pt>
                <c:pt idx="2965">
                  <c:v>0.593118623724745</c:v>
                </c:pt>
                <c:pt idx="2966">
                  <c:v>0.59331866373274655</c:v>
                </c:pt>
                <c:pt idx="2967">
                  <c:v>0.59351870374074811</c:v>
                </c:pt>
                <c:pt idx="2968">
                  <c:v>0.59371874374874967</c:v>
                </c:pt>
                <c:pt idx="2969">
                  <c:v>0.59391878375675122</c:v>
                </c:pt>
                <c:pt idx="2970">
                  <c:v>0.59411882376475278</c:v>
                </c:pt>
                <c:pt idx="2971">
                  <c:v>0.59431886377275434</c:v>
                </c:pt>
                <c:pt idx="2972">
                  <c:v>0.59451890378075589</c:v>
                </c:pt>
                <c:pt idx="2973">
                  <c:v>0.59471894378875745</c:v>
                </c:pt>
                <c:pt idx="2974">
                  <c:v>0.594918983796759</c:v>
                </c:pt>
                <c:pt idx="2975">
                  <c:v>0.59511902380476056</c:v>
                </c:pt>
                <c:pt idx="2976">
                  <c:v>0.59531906381276212</c:v>
                </c:pt>
                <c:pt idx="2977">
                  <c:v>0.59551910382076367</c:v>
                </c:pt>
                <c:pt idx="2978">
                  <c:v>0.59571914382876523</c:v>
                </c:pt>
                <c:pt idx="2979">
                  <c:v>0.59591918383676679</c:v>
                </c:pt>
                <c:pt idx="2980">
                  <c:v>0.59611922384476834</c:v>
                </c:pt>
                <c:pt idx="2981">
                  <c:v>0.5963192638527699</c:v>
                </c:pt>
                <c:pt idx="2982">
                  <c:v>0.59651930386077145</c:v>
                </c:pt>
                <c:pt idx="2983">
                  <c:v>0.59671934386877301</c:v>
                </c:pt>
                <c:pt idx="2984">
                  <c:v>0.59691938387677457</c:v>
                </c:pt>
                <c:pt idx="2985">
                  <c:v>0.59711942388477612</c:v>
                </c:pt>
                <c:pt idx="2986">
                  <c:v>0.59731946389277768</c:v>
                </c:pt>
                <c:pt idx="2987">
                  <c:v>0.59751950390077924</c:v>
                </c:pt>
                <c:pt idx="2988">
                  <c:v>0.59771954390878079</c:v>
                </c:pt>
                <c:pt idx="2989">
                  <c:v>0.59791958391678235</c:v>
                </c:pt>
                <c:pt idx="2990">
                  <c:v>0.59811962392478391</c:v>
                </c:pt>
                <c:pt idx="2991">
                  <c:v>0.59831966393278546</c:v>
                </c:pt>
                <c:pt idx="2992">
                  <c:v>0.59851970394078702</c:v>
                </c:pt>
                <c:pt idx="2993">
                  <c:v>0.59871974394878857</c:v>
                </c:pt>
                <c:pt idx="2994">
                  <c:v>0.59891978395679013</c:v>
                </c:pt>
                <c:pt idx="2995">
                  <c:v>0.59911982396479169</c:v>
                </c:pt>
                <c:pt idx="2996">
                  <c:v>0.59931986397279324</c:v>
                </c:pt>
                <c:pt idx="2997">
                  <c:v>0.5995199039807948</c:v>
                </c:pt>
                <c:pt idx="2998">
                  <c:v>0.59971994398879636</c:v>
                </c:pt>
                <c:pt idx="2999">
                  <c:v>0.59991998399679791</c:v>
                </c:pt>
                <c:pt idx="3000">
                  <c:v>0.60012002400479947</c:v>
                </c:pt>
                <c:pt idx="3001">
                  <c:v>0.60032006401280102</c:v>
                </c:pt>
                <c:pt idx="3002">
                  <c:v>0.60052010402080258</c:v>
                </c:pt>
                <c:pt idx="3003">
                  <c:v>0.60072014402880414</c:v>
                </c:pt>
                <c:pt idx="3004">
                  <c:v>0.60092018403680569</c:v>
                </c:pt>
                <c:pt idx="3005">
                  <c:v>0.60112022404480725</c:v>
                </c:pt>
                <c:pt idx="3006">
                  <c:v>0.60132026405280881</c:v>
                </c:pt>
                <c:pt idx="3007">
                  <c:v>0.60152030406081036</c:v>
                </c:pt>
                <c:pt idx="3008">
                  <c:v>0.60172034406881192</c:v>
                </c:pt>
                <c:pt idx="3009">
                  <c:v>0.60192038407681348</c:v>
                </c:pt>
                <c:pt idx="3010">
                  <c:v>0.60212042408481503</c:v>
                </c:pt>
                <c:pt idx="3011">
                  <c:v>0.60232046409281659</c:v>
                </c:pt>
                <c:pt idx="3012">
                  <c:v>0.60252050410081814</c:v>
                </c:pt>
                <c:pt idx="3013">
                  <c:v>0.6027205441088197</c:v>
                </c:pt>
                <c:pt idx="3014">
                  <c:v>0.60292058411682126</c:v>
                </c:pt>
                <c:pt idx="3015">
                  <c:v>0.60312062412482281</c:v>
                </c:pt>
                <c:pt idx="3016">
                  <c:v>0.60332066413282437</c:v>
                </c:pt>
                <c:pt idx="3017">
                  <c:v>0.60352070414082593</c:v>
                </c:pt>
                <c:pt idx="3018">
                  <c:v>0.60372074414882748</c:v>
                </c:pt>
                <c:pt idx="3019">
                  <c:v>0.60392078415682904</c:v>
                </c:pt>
                <c:pt idx="3020">
                  <c:v>0.60412082416483059</c:v>
                </c:pt>
                <c:pt idx="3021">
                  <c:v>0.60432086417283215</c:v>
                </c:pt>
                <c:pt idx="3022">
                  <c:v>0.60452090418083371</c:v>
                </c:pt>
                <c:pt idx="3023">
                  <c:v>0.60472094418883526</c:v>
                </c:pt>
                <c:pt idx="3024">
                  <c:v>0.60492098419683682</c:v>
                </c:pt>
                <c:pt idx="3025">
                  <c:v>0.60512102420483838</c:v>
                </c:pt>
                <c:pt idx="3026">
                  <c:v>0.60532106421283993</c:v>
                </c:pt>
                <c:pt idx="3027">
                  <c:v>0.60552110422084149</c:v>
                </c:pt>
                <c:pt idx="3028">
                  <c:v>0.60572114422884304</c:v>
                </c:pt>
                <c:pt idx="3029">
                  <c:v>0.6059211842368446</c:v>
                </c:pt>
                <c:pt idx="3030">
                  <c:v>0.60612122424484616</c:v>
                </c:pt>
                <c:pt idx="3031">
                  <c:v>0.60632126425284771</c:v>
                </c:pt>
                <c:pt idx="3032">
                  <c:v>0.60652130426084927</c:v>
                </c:pt>
                <c:pt idx="3033">
                  <c:v>0.60672134426885083</c:v>
                </c:pt>
                <c:pt idx="3034">
                  <c:v>0.60692138427685238</c:v>
                </c:pt>
                <c:pt idx="3035">
                  <c:v>0.60712142428485394</c:v>
                </c:pt>
                <c:pt idx="3036">
                  <c:v>0.6073214642928555</c:v>
                </c:pt>
                <c:pt idx="3037">
                  <c:v>0.60752150430085705</c:v>
                </c:pt>
                <c:pt idx="3038">
                  <c:v>0.60772154430885861</c:v>
                </c:pt>
                <c:pt idx="3039">
                  <c:v>0.60792158431686016</c:v>
                </c:pt>
                <c:pt idx="3040">
                  <c:v>0.60812162432486172</c:v>
                </c:pt>
                <c:pt idx="3041">
                  <c:v>0.60832166433286328</c:v>
                </c:pt>
                <c:pt idx="3042">
                  <c:v>0.60852170434086483</c:v>
                </c:pt>
                <c:pt idx="3043">
                  <c:v>0.60872174434886639</c:v>
                </c:pt>
                <c:pt idx="3044">
                  <c:v>0.60892178435686795</c:v>
                </c:pt>
                <c:pt idx="3045">
                  <c:v>0.6091218243648695</c:v>
                </c:pt>
                <c:pt idx="3046">
                  <c:v>0.60932186437287106</c:v>
                </c:pt>
                <c:pt idx="3047">
                  <c:v>0.60952190438087261</c:v>
                </c:pt>
                <c:pt idx="3048">
                  <c:v>0.60972194438887417</c:v>
                </c:pt>
                <c:pt idx="3049">
                  <c:v>0.60992198439687573</c:v>
                </c:pt>
                <c:pt idx="3050">
                  <c:v>0.61012202440487728</c:v>
                </c:pt>
                <c:pt idx="3051">
                  <c:v>0.61032206441287884</c:v>
                </c:pt>
                <c:pt idx="3052">
                  <c:v>0.6105221044208804</c:v>
                </c:pt>
                <c:pt idx="3053">
                  <c:v>0.61072214442888195</c:v>
                </c:pt>
                <c:pt idx="3054">
                  <c:v>0.61092218443688351</c:v>
                </c:pt>
                <c:pt idx="3055">
                  <c:v>0.61112222444488506</c:v>
                </c:pt>
                <c:pt idx="3056">
                  <c:v>0.61132226445288662</c:v>
                </c:pt>
                <c:pt idx="3057">
                  <c:v>0.61152230446088818</c:v>
                </c:pt>
                <c:pt idx="3058">
                  <c:v>0.61172234446888973</c:v>
                </c:pt>
                <c:pt idx="3059">
                  <c:v>0.61192238447689129</c:v>
                </c:pt>
                <c:pt idx="3060">
                  <c:v>0.61212242448489285</c:v>
                </c:pt>
                <c:pt idx="3061">
                  <c:v>0.6123224644928944</c:v>
                </c:pt>
                <c:pt idx="3062">
                  <c:v>0.61252250450089596</c:v>
                </c:pt>
                <c:pt idx="3063">
                  <c:v>0.61272254450889752</c:v>
                </c:pt>
                <c:pt idx="3064">
                  <c:v>0.61292258451689907</c:v>
                </c:pt>
                <c:pt idx="3065">
                  <c:v>0.61312262452490063</c:v>
                </c:pt>
                <c:pt idx="3066">
                  <c:v>0.61332266453290218</c:v>
                </c:pt>
                <c:pt idx="3067">
                  <c:v>0.61352270454090374</c:v>
                </c:pt>
                <c:pt idx="3068">
                  <c:v>0.6137227445489053</c:v>
                </c:pt>
                <c:pt idx="3069">
                  <c:v>0.61392278455690685</c:v>
                </c:pt>
                <c:pt idx="3070">
                  <c:v>0.61412282456490841</c:v>
                </c:pt>
                <c:pt idx="3071">
                  <c:v>0.61432286457290997</c:v>
                </c:pt>
                <c:pt idx="3072">
                  <c:v>0.61452290458091152</c:v>
                </c:pt>
                <c:pt idx="3073">
                  <c:v>0.61472294458891308</c:v>
                </c:pt>
                <c:pt idx="3074">
                  <c:v>0.61492298459691463</c:v>
                </c:pt>
                <c:pt idx="3075">
                  <c:v>0.61512302460491619</c:v>
                </c:pt>
                <c:pt idx="3076">
                  <c:v>0.61532306461291775</c:v>
                </c:pt>
                <c:pt idx="3077">
                  <c:v>0.6155231046209193</c:v>
                </c:pt>
                <c:pt idx="3078">
                  <c:v>0.61572314462892086</c:v>
                </c:pt>
                <c:pt idx="3079">
                  <c:v>0.61592318463692242</c:v>
                </c:pt>
                <c:pt idx="3080">
                  <c:v>0.61612322464492397</c:v>
                </c:pt>
                <c:pt idx="3081">
                  <c:v>0.61632326465292553</c:v>
                </c:pt>
                <c:pt idx="3082">
                  <c:v>0.61652330466092709</c:v>
                </c:pt>
                <c:pt idx="3083">
                  <c:v>0.61672334466892864</c:v>
                </c:pt>
                <c:pt idx="3084">
                  <c:v>0.6169233846769302</c:v>
                </c:pt>
                <c:pt idx="3085">
                  <c:v>0.61712342468493175</c:v>
                </c:pt>
                <c:pt idx="3086">
                  <c:v>0.61732346469293331</c:v>
                </c:pt>
                <c:pt idx="3087">
                  <c:v>0.61752350470093487</c:v>
                </c:pt>
                <c:pt idx="3088">
                  <c:v>0.61772354470893642</c:v>
                </c:pt>
                <c:pt idx="3089">
                  <c:v>0.61792358471693798</c:v>
                </c:pt>
                <c:pt idx="3090">
                  <c:v>0.61812362472493954</c:v>
                </c:pt>
                <c:pt idx="3091">
                  <c:v>0.61832366473294109</c:v>
                </c:pt>
                <c:pt idx="3092">
                  <c:v>0.61852370474094265</c:v>
                </c:pt>
                <c:pt idx="3093">
                  <c:v>0.6187237447489442</c:v>
                </c:pt>
                <c:pt idx="3094">
                  <c:v>0.61892378475694576</c:v>
                </c:pt>
                <c:pt idx="3095">
                  <c:v>0.61912382476494732</c:v>
                </c:pt>
                <c:pt idx="3096">
                  <c:v>0.61932386477294887</c:v>
                </c:pt>
                <c:pt idx="3097">
                  <c:v>0.61952390478095043</c:v>
                </c:pt>
                <c:pt idx="3098">
                  <c:v>0.61972394478895199</c:v>
                </c:pt>
                <c:pt idx="3099">
                  <c:v>0.61992398479695354</c:v>
                </c:pt>
                <c:pt idx="3100">
                  <c:v>0.6201240248049551</c:v>
                </c:pt>
                <c:pt idx="3101">
                  <c:v>0.62032406481295665</c:v>
                </c:pt>
                <c:pt idx="3102">
                  <c:v>0.62052410482095821</c:v>
                </c:pt>
                <c:pt idx="3103">
                  <c:v>0.62072414482895977</c:v>
                </c:pt>
                <c:pt idx="3104">
                  <c:v>0.62092418483696132</c:v>
                </c:pt>
                <c:pt idx="3105">
                  <c:v>0.62112422484496288</c:v>
                </c:pt>
                <c:pt idx="3106">
                  <c:v>0.62132426485296444</c:v>
                </c:pt>
                <c:pt idx="3107">
                  <c:v>0.62152430486096599</c:v>
                </c:pt>
                <c:pt idx="3108">
                  <c:v>0.62172434486896755</c:v>
                </c:pt>
                <c:pt idx="3109">
                  <c:v>0.62192438487696911</c:v>
                </c:pt>
                <c:pt idx="3110">
                  <c:v>0.62212442488497066</c:v>
                </c:pt>
                <c:pt idx="3111">
                  <c:v>0.62232446489297222</c:v>
                </c:pt>
                <c:pt idx="3112">
                  <c:v>0.62252450490097377</c:v>
                </c:pt>
                <c:pt idx="3113">
                  <c:v>0.62272454490897533</c:v>
                </c:pt>
                <c:pt idx="3114">
                  <c:v>0.62292458491697689</c:v>
                </c:pt>
                <c:pt idx="3115">
                  <c:v>0.62312462492497844</c:v>
                </c:pt>
                <c:pt idx="3116">
                  <c:v>0.62332466493298</c:v>
                </c:pt>
                <c:pt idx="3117">
                  <c:v>0.62352470494098156</c:v>
                </c:pt>
                <c:pt idx="3118">
                  <c:v>0.62372474494898311</c:v>
                </c:pt>
                <c:pt idx="3119">
                  <c:v>0.62392478495698467</c:v>
                </c:pt>
                <c:pt idx="3120">
                  <c:v>0.62412482496498622</c:v>
                </c:pt>
                <c:pt idx="3121">
                  <c:v>0.62432486497298778</c:v>
                </c:pt>
                <c:pt idx="3122">
                  <c:v>0.62452490498098934</c:v>
                </c:pt>
                <c:pt idx="3123">
                  <c:v>0.62472494498899089</c:v>
                </c:pt>
                <c:pt idx="3124">
                  <c:v>0.62492498499699245</c:v>
                </c:pt>
                <c:pt idx="3125">
                  <c:v>0.62512502500499401</c:v>
                </c:pt>
                <c:pt idx="3126">
                  <c:v>0.62532506501299556</c:v>
                </c:pt>
                <c:pt idx="3127">
                  <c:v>0.62552510502099712</c:v>
                </c:pt>
                <c:pt idx="3128">
                  <c:v>0.62572514502899867</c:v>
                </c:pt>
                <c:pt idx="3129">
                  <c:v>0.62592518503700023</c:v>
                </c:pt>
                <c:pt idx="3130">
                  <c:v>0.62612522504500179</c:v>
                </c:pt>
                <c:pt idx="3131">
                  <c:v>0.62632526505300334</c:v>
                </c:pt>
                <c:pt idx="3132">
                  <c:v>0.6265253050610049</c:v>
                </c:pt>
                <c:pt idx="3133">
                  <c:v>0.62672534506900646</c:v>
                </c:pt>
                <c:pt idx="3134">
                  <c:v>0.62692538507700801</c:v>
                </c:pt>
                <c:pt idx="3135">
                  <c:v>0.62712542508500957</c:v>
                </c:pt>
                <c:pt idx="3136">
                  <c:v>0.62732546509301113</c:v>
                </c:pt>
                <c:pt idx="3137">
                  <c:v>0.62752550510101268</c:v>
                </c:pt>
                <c:pt idx="3138">
                  <c:v>0.62772554510901424</c:v>
                </c:pt>
                <c:pt idx="3139">
                  <c:v>0.62792558511701579</c:v>
                </c:pt>
                <c:pt idx="3140">
                  <c:v>0.62812562512501735</c:v>
                </c:pt>
                <c:pt idx="3141">
                  <c:v>0.62832566513301891</c:v>
                </c:pt>
                <c:pt idx="3142">
                  <c:v>0.62852570514102046</c:v>
                </c:pt>
                <c:pt idx="3143">
                  <c:v>0.62872574514902202</c:v>
                </c:pt>
                <c:pt idx="3144">
                  <c:v>0.62892578515702358</c:v>
                </c:pt>
                <c:pt idx="3145">
                  <c:v>0.62912582516502513</c:v>
                </c:pt>
                <c:pt idx="3146">
                  <c:v>0.62932586517302669</c:v>
                </c:pt>
                <c:pt idx="3147">
                  <c:v>0.62952590518102824</c:v>
                </c:pt>
                <c:pt idx="3148">
                  <c:v>0.6297259451890298</c:v>
                </c:pt>
                <c:pt idx="3149">
                  <c:v>0.62992598519703136</c:v>
                </c:pt>
                <c:pt idx="3150">
                  <c:v>0.63012602520503291</c:v>
                </c:pt>
                <c:pt idx="3151">
                  <c:v>0.63032606521303447</c:v>
                </c:pt>
                <c:pt idx="3152">
                  <c:v>0.63052610522103603</c:v>
                </c:pt>
                <c:pt idx="3153">
                  <c:v>0.63072614522903758</c:v>
                </c:pt>
                <c:pt idx="3154">
                  <c:v>0.63092618523703914</c:v>
                </c:pt>
                <c:pt idx="3155">
                  <c:v>0.6311262252450407</c:v>
                </c:pt>
                <c:pt idx="3156">
                  <c:v>0.63132626525304225</c:v>
                </c:pt>
                <c:pt idx="3157">
                  <c:v>0.63152630526104381</c:v>
                </c:pt>
                <c:pt idx="3158">
                  <c:v>0.63172634526904536</c:v>
                </c:pt>
                <c:pt idx="3159">
                  <c:v>0.63192638527704692</c:v>
                </c:pt>
                <c:pt idx="3160">
                  <c:v>0.63212642528504848</c:v>
                </c:pt>
                <c:pt idx="3161">
                  <c:v>0.63232646529305003</c:v>
                </c:pt>
                <c:pt idx="3162">
                  <c:v>0.63252650530105159</c:v>
                </c:pt>
                <c:pt idx="3163">
                  <c:v>0.63272654530905315</c:v>
                </c:pt>
                <c:pt idx="3164">
                  <c:v>0.6329265853170547</c:v>
                </c:pt>
                <c:pt idx="3165">
                  <c:v>0.63312662532505626</c:v>
                </c:pt>
                <c:pt idx="3166">
                  <c:v>0.63332666533305781</c:v>
                </c:pt>
                <c:pt idx="3167">
                  <c:v>0.63352670534105937</c:v>
                </c:pt>
                <c:pt idx="3168">
                  <c:v>0.63372674534906093</c:v>
                </c:pt>
                <c:pt idx="3169">
                  <c:v>0.63392678535706248</c:v>
                </c:pt>
                <c:pt idx="3170">
                  <c:v>0.63412682536506404</c:v>
                </c:pt>
                <c:pt idx="3171">
                  <c:v>0.6343268653730656</c:v>
                </c:pt>
                <c:pt idx="3172">
                  <c:v>0.63452690538106715</c:v>
                </c:pt>
                <c:pt idx="3173">
                  <c:v>0.63472694538906871</c:v>
                </c:pt>
                <c:pt idx="3174">
                  <c:v>0.63492698539707026</c:v>
                </c:pt>
                <c:pt idx="3175">
                  <c:v>0.63512702540507182</c:v>
                </c:pt>
                <c:pt idx="3176">
                  <c:v>0.63532706541307338</c:v>
                </c:pt>
                <c:pt idx="3177">
                  <c:v>0.63552710542107493</c:v>
                </c:pt>
                <c:pt idx="3178">
                  <c:v>0.63572714542907649</c:v>
                </c:pt>
                <c:pt idx="3179">
                  <c:v>0.63592718543707805</c:v>
                </c:pt>
                <c:pt idx="3180">
                  <c:v>0.6361272254450796</c:v>
                </c:pt>
                <c:pt idx="3181">
                  <c:v>0.63632726545308116</c:v>
                </c:pt>
                <c:pt idx="3182">
                  <c:v>0.63652730546108272</c:v>
                </c:pt>
                <c:pt idx="3183">
                  <c:v>0.63672734546908427</c:v>
                </c:pt>
                <c:pt idx="3184">
                  <c:v>0.63692738547708583</c:v>
                </c:pt>
                <c:pt idx="3185">
                  <c:v>0.63712742548508738</c:v>
                </c:pt>
                <c:pt idx="3186">
                  <c:v>0.63732746549308894</c:v>
                </c:pt>
                <c:pt idx="3187">
                  <c:v>0.6375275055010905</c:v>
                </c:pt>
                <c:pt idx="3188">
                  <c:v>0.63772754550909205</c:v>
                </c:pt>
                <c:pt idx="3189">
                  <c:v>0.63792758551709361</c:v>
                </c:pt>
                <c:pt idx="3190">
                  <c:v>0.63812762552509517</c:v>
                </c:pt>
                <c:pt idx="3191">
                  <c:v>0.63832766553309672</c:v>
                </c:pt>
                <c:pt idx="3192">
                  <c:v>0.63852770554109828</c:v>
                </c:pt>
                <c:pt idx="3193">
                  <c:v>0.63872774554909983</c:v>
                </c:pt>
                <c:pt idx="3194">
                  <c:v>0.63892778555710139</c:v>
                </c:pt>
                <c:pt idx="3195">
                  <c:v>0.63912782556510295</c:v>
                </c:pt>
                <c:pt idx="3196">
                  <c:v>0.6393278655731045</c:v>
                </c:pt>
                <c:pt idx="3197">
                  <c:v>0.63952790558110606</c:v>
                </c:pt>
                <c:pt idx="3198">
                  <c:v>0.63972794558910762</c:v>
                </c:pt>
                <c:pt idx="3199">
                  <c:v>0.63992798559710917</c:v>
                </c:pt>
                <c:pt idx="3200">
                  <c:v>0.64012802560511073</c:v>
                </c:pt>
                <c:pt idx="3201">
                  <c:v>0.64032806561311228</c:v>
                </c:pt>
                <c:pt idx="3202">
                  <c:v>0.64052810562111384</c:v>
                </c:pt>
                <c:pt idx="3203">
                  <c:v>0.6407281456291154</c:v>
                </c:pt>
                <c:pt idx="3204">
                  <c:v>0.64092818563711695</c:v>
                </c:pt>
                <c:pt idx="3205">
                  <c:v>0.64112822564511851</c:v>
                </c:pt>
                <c:pt idx="3206">
                  <c:v>0.64132826565312007</c:v>
                </c:pt>
                <c:pt idx="3207">
                  <c:v>0.64152830566112162</c:v>
                </c:pt>
                <c:pt idx="3208">
                  <c:v>0.64172834566912318</c:v>
                </c:pt>
                <c:pt idx="3209">
                  <c:v>0.64192838567712474</c:v>
                </c:pt>
                <c:pt idx="3210">
                  <c:v>0.64212842568512629</c:v>
                </c:pt>
                <c:pt idx="3211">
                  <c:v>0.64232846569312785</c:v>
                </c:pt>
                <c:pt idx="3212">
                  <c:v>0.6425285057011294</c:v>
                </c:pt>
                <c:pt idx="3213">
                  <c:v>0.64272854570913096</c:v>
                </c:pt>
                <c:pt idx="3214">
                  <c:v>0.64292858571713252</c:v>
                </c:pt>
                <c:pt idx="3215">
                  <c:v>0.64312862572513407</c:v>
                </c:pt>
                <c:pt idx="3216">
                  <c:v>0.64332866573313563</c:v>
                </c:pt>
                <c:pt idx="3217">
                  <c:v>0.64352870574113719</c:v>
                </c:pt>
                <c:pt idx="3218">
                  <c:v>0.64372874574913874</c:v>
                </c:pt>
                <c:pt idx="3219">
                  <c:v>0.6439287857571403</c:v>
                </c:pt>
                <c:pt idx="3220">
                  <c:v>0.64412882576514185</c:v>
                </c:pt>
                <c:pt idx="3221">
                  <c:v>0.64432886577314341</c:v>
                </c:pt>
                <c:pt idx="3222">
                  <c:v>0.64452890578114497</c:v>
                </c:pt>
                <c:pt idx="3223">
                  <c:v>0.64472894578914652</c:v>
                </c:pt>
                <c:pt idx="3224">
                  <c:v>0.64492898579714808</c:v>
                </c:pt>
                <c:pt idx="3225">
                  <c:v>0.64512902580514964</c:v>
                </c:pt>
                <c:pt idx="3226">
                  <c:v>0.64532906581315119</c:v>
                </c:pt>
                <c:pt idx="3227">
                  <c:v>0.64552910582115275</c:v>
                </c:pt>
                <c:pt idx="3228">
                  <c:v>0.64572914582915431</c:v>
                </c:pt>
                <c:pt idx="3229">
                  <c:v>0.64592918583715586</c:v>
                </c:pt>
                <c:pt idx="3230">
                  <c:v>0.64612922584515742</c:v>
                </c:pt>
                <c:pt idx="3231">
                  <c:v>0.64632926585315897</c:v>
                </c:pt>
                <c:pt idx="3232">
                  <c:v>0.64652930586116053</c:v>
                </c:pt>
                <c:pt idx="3233">
                  <c:v>0.64672934586916209</c:v>
                </c:pt>
                <c:pt idx="3234">
                  <c:v>0.64692938587716364</c:v>
                </c:pt>
                <c:pt idx="3235">
                  <c:v>0.6471294258851652</c:v>
                </c:pt>
                <c:pt idx="3236">
                  <c:v>0.64732946589316676</c:v>
                </c:pt>
                <c:pt idx="3237">
                  <c:v>0.64752950590116831</c:v>
                </c:pt>
                <c:pt idx="3238">
                  <c:v>0.64772954590916987</c:v>
                </c:pt>
                <c:pt idx="3239">
                  <c:v>0.64792958591717142</c:v>
                </c:pt>
                <c:pt idx="3240">
                  <c:v>0.64812962592517298</c:v>
                </c:pt>
                <c:pt idx="3241">
                  <c:v>0.64832966593317454</c:v>
                </c:pt>
                <c:pt idx="3242">
                  <c:v>0.64852970594117609</c:v>
                </c:pt>
                <c:pt idx="3243">
                  <c:v>0.64872974594917765</c:v>
                </c:pt>
                <c:pt idx="3244">
                  <c:v>0.64892978595717921</c:v>
                </c:pt>
                <c:pt idx="3245">
                  <c:v>0.64912982596518076</c:v>
                </c:pt>
                <c:pt idx="3246">
                  <c:v>0.64932986597318232</c:v>
                </c:pt>
                <c:pt idx="3247">
                  <c:v>0.64952990598118387</c:v>
                </c:pt>
                <c:pt idx="3248">
                  <c:v>0.64972994598918543</c:v>
                </c:pt>
                <c:pt idx="3249">
                  <c:v>0.64992998599718699</c:v>
                </c:pt>
                <c:pt idx="3250">
                  <c:v>0.65013002600518854</c:v>
                </c:pt>
                <c:pt idx="3251">
                  <c:v>0.6503300660131901</c:v>
                </c:pt>
                <c:pt idx="3252">
                  <c:v>0.65053010602119166</c:v>
                </c:pt>
                <c:pt idx="3253">
                  <c:v>0.65073014602919321</c:v>
                </c:pt>
                <c:pt idx="3254">
                  <c:v>0.65093018603719477</c:v>
                </c:pt>
                <c:pt idx="3255">
                  <c:v>0.65113022604519633</c:v>
                </c:pt>
                <c:pt idx="3256">
                  <c:v>0.65133026605319788</c:v>
                </c:pt>
                <c:pt idx="3257">
                  <c:v>0.65153030606119944</c:v>
                </c:pt>
                <c:pt idx="3258">
                  <c:v>0.65173034606920099</c:v>
                </c:pt>
                <c:pt idx="3259">
                  <c:v>0.65193038607720255</c:v>
                </c:pt>
                <c:pt idx="3260">
                  <c:v>0.65213042608520411</c:v>
                </c:pt>
                <c:pt idx="3261">
                  <c:v>0.65233046609320566</c:v>
                </c:pt>
                <c:pt idx="3262">
                  <c:v>0.65253050610120722</c:v>
                </c:pt>
                <c:pt idx="3263">
                  <c:v>0.65273054610920878</c:v>
                </c:pt>
                <c:pt idx="3264">
                  <c:v>0.65293058611721033</c:v>
                </c:pt>
                <c:pt idx="3265">
                  <c:v>0.65313062612521189</c:v>
                </c:pt>
                <c:pt idx="3266">
                  <c:v>0.65333066613321344</c:v>
                </c:pt>
                <c:pt idx="3267">
                  <c:v>0.653530706141215</c:v>
                </c:pt>
                <c:pt idx="3268">
                  <c:v>0.65373074614921656</c:v>
                </c:pt>
                <c:pt idx="3269">
                  <c:v>0.65393078615721811</c:v>
                </c:pt>
                <c:pt idx="3270">
                  <c:v>0.65413082616521967</c:v>
                </c:pt>
                <c:pt idx="3271">
                  <c:v>0.65433086617322123</c:v>
                </c:pt>
                <c:pt idx="3272">
                  <c:v>0.65453090618122278</c:v>
                </c:pt>
                <c:pt idx="3273">
                  <c:v>0.65473094618922434</c:v>
                </c:pt>
                <c:pt idx="3274">
                  <c:v>0.6549309861972259</c:v>
                </c:pt>
                <c:pt idx="3275">
                  <c:v>0.65513102620522745</c:v>
                </c:pt>
                <c:pt idx="3276">
                  <c:v>0.65533106621322901</c:v>
                </c:pt>
                <c:pt idx="3277">
                  <c:v>0.65553110622123056</c:v>
                </c:pt>
                <c:pt idx="3278">
                  <c:v>0.65573114622923212</c:v>
                </c:pt>
                <c:pt idx="3279">
                  <c:v>0.65593118623723368</c:v>
                </c:pt>
                <c:pt idx="3280">
                  <c:v>0.65613122624523523</c:v>
                </c:pt>
                <c:pt idx="3281">
                  <c:v>0.65633126625323679</c:v>
                </c:pt>
                <c:pt idx="3282">
                  <c:v>0.65653130626123835</c:v>
                </c:pt>
                <c:pt idx="3283">
                  <c:v>0.6567313462692399</c:v>
                </c:pt>
                <c:pt idx="3284">
                  <c:v>0.65693138627724146</c:v>
                </c:pt>
                <c:pt idx="3285">
                  <c:v>0.65713142628524301</c:v>
                </c:pt>
                <c:pt idx="3286">
                  <c:v>0.65733146629324457</c:v>
                </c:pt>
                <c:pt idx="3287">
                  <c:v>0.65753150630124613</c:v>
                </c:pt>
                <c:pt idx="3288">
                  <c:v>0.65773154630924768</c:v>
                </c:pt>
                <c:pt idx="3289">
                  <c:v>0.65793158631724924</c:v>
                </c:pt>
                <c:pt idx="3290">
                  <c:v>0.6581316263252508</c:v>
                </c:pt>
                <c:pt idx="3291">
                  <c:v>0.65833166633325235</c:v>
                </c:pt>
                <c:pt idx="3292">
                  <c:v>0.65853170634125391</c:v>
                </c:pt>
                <c:pt idx="3293">
                  <c:v>0.65873174634925546</c:v>
                </c:pt>
                <c:pt idx="3294">
                  <c:v>0.65893178635725702</c:v>
                </c:pt>
                <c:pt idx="3295">
                  <c:v>0.65913182636525858</c:v>
                </c:pt>
                <c:pt idx="3296">
                  <c:v>0.65933186637326013</c:v>
                </c:pt>
                <c:pt idx="3297">
                  <c:v>0.65953190638126169</c:v>
                </c:pt>
                <c:pt idx="3298">
                  <c:v>0.65973194638926325</c:v>
                </c:pt>
                <c:pt idx="3299">
                  <c:v>0.6599319863972648</c:v>
                </c:pt>
                <c:pt idx="3300">
                  <c:v>0.66013202640526636</c:v>
                </c:pt>
                <c:pt idx="3301">
                  <c:v>0.66033206641326792</c:v>
                </c:pt>
                <c:pt idx="3302">
                  <c:v>0.66053210642126947</c:v>
                </c:pt>
                <c:pt idx="3303">
                  <c:v>0.66073214642927103</c:v>
                </c:pt>
                <c:pt idx="3304">
                  <c:v>0.66093218643727258</c:v>
                </c:pt>
                <c:pt idx="3305">
                  <c:v>0.66113222644527414</c:v>
                </c:pt>
                <c:pt idx="3306">
                  <c:v>0.6613322664532757</c:v>
                </c:pt>
                <c:pt idx="3307">
                  <c:v>0.66153230646127725</c:v>
                </c:pt>
                <c:pt idx="3308">
                  <c:v>0.66173234646927881</c:v>
                </c:pt>
                <c:pt idx="3309">
                  <c:v>0.66193238647728037</c:v>
                </c:pt>
                <c:pt idx="3310">
                  <c:v>0.66213242648528192</c:v>
                </c:pt>
                <c:pt idx="3311">
                  <c:v>0.66233246649328348</c:v>
                </c:pt>
                <c:pt idx="3312">
                  <c:v>0.66253250650128503</c:v>
                </c:pt>
                <c:pt idx="3313">
                  <c:v>0.66273254650928659</c:v>
                </c:pt>
                <c:pt idx="3314">
                  <c:v>0.66293258651728815</c:v>
                </c:pt>
                <c:pt idx="3315">
                  <c:v>0.6631326265252897</c:v>
                </c:pt>
                <c:pt idx="3316">
                  <c:v>0.66333266653329126</c:v>
                </c:pt>
                <c:pt idx="3317">
                  <c:v>0.66353270654129282</c:v>
                </c:pt>
                <c:pt idx="3318">
                  <c:v>0.66373274654929437</c:v>
                </c:pt>
                <c:pt idx="3319">
                  <c:v>0.66393278655729593</c:v>
                </c:pt>
                <c:pt idx="3320">
                  <c:v>0.66413282656529748</c:v>
                </c:pt>
                <c:pt idx="3321">
                  <c:v>0.66433286657329904</c:v>
                </c:pt>
                <c:pt idx="3322">
                  <c:v>0.6645329065813006</c:v>
                </c:pt>
                <c:pt idx="3323">
                  <c:v>0.66473294658930215</c:v>
                </c:pt>
                <c:pt idx="3324">
                  <c:v>0.66493298659730371</c:v>
                </c:pt>
                <c:pt idx="3325">
                  <c:v>0.66513302660530527</c:v>
                </c:pt>
                <c:pt idx="3326">
                  <c:v>0.66533306661330682</c:v>
                </c:pt>
                <c:pt idx="3327">
                  <c:v>0.66553310662130838</c:v>
                </c:pt>
                <c:pt idx="3328">
                  <c:v>0.66573314662930994</c:v>
                </c:pt>
                <c:pt idx="3329">
                  <c:v>0.66593318663731149</c:v>
                </c:pt>
                <c:pt idx="3330">
                  <c:v>0.66613322664531305</c:v>
                </c:pt>
                <c:pt idx="3331">
                  <c:v>0.6663332666533146</c:v>
                </c:pt>
                <c:pt idx="3332">
                  <c:v>0.66653330666131616</c:v>
                </c:pt>
                <c:pt idx="3333">
                  <c:v>0.66673334666931772</c:v>
                </c:pt>
                <c:pt idx="3334">
                  <c:v>0.66693338667731927</c:v>
                </c:pt>
                <c:pt idx="3335">
                  <c:v>0.66713342668532083</c:v>
                </c:pt>
                <c:pt idx="3336">
                  <c:v>0.66733346669332239</c:v>
                </c:pt>
                <c:pt idx="3337">
                  <c:v>0.66753350670132394</c:v>
                </c:pt>
                <c:pt idx="3338">
                  <c:v>0.6677335467093255</c:v>
                </c:pt>
                <c:pt idx="3339">
                  <c:v>0.66793358671732705</c:v>
                </c:pt>
                <c:pt idx="3340">
                  <c:v>0.66813362672532861</c:v>
                </c:pt>
                <c:pt idx="3341">
                  <c:v>0.66833366673333017</c:v>
                </c:pt>
                <c:pt idx="3342">
                  <c:v>0.66853370674133172</c:v>
                </c:pt>
                <c:pt idx="3343">
                  <c:v>0.66873374674933328</c:v>
                </c:pt>
                <c:pt idx="3344">
                  <c:v>0.66893378675733484</c:v>
                </c:pt>
                <c:pt idx="3345">
                  <c:v>0.66913382676533639</c:v>
                </c:pt>
                <c:pt idx="3346">
                  <c:v>0.66933386677333795</c:v>
                </c:pt>
                <c:pt idx="3347">
                  <c:v>0.66953390678133951</c:v>
                </c:pt>
                <c:pt idx="3348">
                  <c:v>0.66973394678934106</c:v>
                </c:pt>
                <c:pt idx="3349">
                  <c:v>0.66993398679734262</c:v>
                </c:pt>
                <c:pt idx="3350">
                  <c:v>0.67013402680534417</c:v>
                </c:pt>
                <c:pt idx="3351">
                  <c:v>0.67033406681334573</c:v>
                </c:pt>
                <c:pt idx="3352">
                  <c:v>0.67053410682134729</c:v>
                </c:pt>
                <c:pt idx="3353">
                  <c:v>0.67073414682934884</c:v>
                </c:pt>
                <c:pt idx="3354">
                  <c:v>0.6709341868373504</c:v>
                </c:pt>
                <c:pt idx="3355">
                  <c:v>0.67113422684535196</c:v>
                </c:pt>
                <c:pt idx="3356">
                  <c:v>0.67133426685335351</c:v>
                </c:pt>
                <c:pt idx="3357">
                  <c:v>0.67153430686135507</c:v>
                </c:pt>
                <c:pt idx="3358">
                  <c:v>0.67173434686935662</c:v>
                </c:pt>
                <c:pt idx="3359">
                  <c:v>0.67193438687735818</c:v>
                </c:pt>
                <c:pt idx="3360">
                  <c:v>0.67213442688535974</c:v>
                </c:pt>
                <c:pt idx="3361">
                  <c:v>0.67233446689336129</c:v>
                </c:pt>
                <c:pt idx="3362">
                  <c:v>0.67253450690136285</c:v>
                </c:pt>
                <c:pt idx="3363">
                  <c:v>0.67273454690936441</c:v>
                </c:pt>
                <c:pt idx="3364">
                  <c:v>0.67293458691736596</c:v>
                </c:pt>
                <c:pt idx="3365">
                  <c:v>0.67313462692536752</c:v>
                </c:pt>
                <c:pt idx="3366">
                  <c:v>0.67333466693336907</c:v>
                </c:pt>
                <c:pt idx="3367">
                  <c:v>0.67353470694137063</c:v>
                </c:pt>
                <c:pt idx="3368">
                  <c:v>0.67373474694937219</c:v>
                </c:pt>
                <c:pt idx="3369">
                  <c:v>0.67393478695737374</c:v>
                </c:pt>
                <c:pt idx="3370">
                  <c:v>0.6741348269653753</c:v>
                </c:pt>
                <c:pt idx="3371">
                  <c:v>0.67433486697337686</c:v>
                </c:pt>
                <c:pt idx="3372">
                  <c:v>0.67453490698137841</c:v>
                </c:pt>
                <c:pt idx="3373">
                  <c:v>0.67473494698937997</c:v>
                </c:pt>
                <c:pt idx="3374">
                  <c:v>0.67493498699738153</c:v>
                </c:pt>
                <c:pt idx="3375">
                  <c:v>0.67513502700538308</c:v>
                </c:pt>
                <c:pt idx="3376">
                  <c:v>0.67533506701338464</c:v>
                </c:pt>
                <c:pt idx="3377">
                  <c:v>0.67553510702138619</c:v>
                </c:pt>
                <c:pt idx="3378">
                  <c:v>0.67573514702938775</c:v>
                </c:pt>
                <c:pt idx="3379">
                  <c:v>0.67593518703738931</c:v>
                </c:pt>
                <c:pt idx="3380">
                  <c:v>0.67613522704539086</c:v>
                </c:pt>
                <c:pt idx="3381">
                  <c:v>0.67633526705339242</c:v>
                </c:pt>
                <c:pt idx="3382">
                  <c:v>0.67653530706139398</c:v>
                </c:pt>
                <c:pt idx="3383">
                  <c:v>0.67673534706939553</c:v>
                </c:pt>
                <c:pt idx="3384">
                  <c:v>0.67693538707739709</c:v>
                </c:pt>
                <c:pt idx="3385">
                  <c:v>0.67713542708539864</c:v>
                </c:pt>
                <c:pt idx="3386">
                  <c:v>0.6773354670934002</c:v>
                </c:pt>
                <c:pt idx="3387">
                  <c:v>0.67753550710140176</c:v>
                </c:pt>
                <c:pt idx="3388">
                  <c:v>0.67773554710940331</c:v>
                </c:pt>
                <c:pt idx="3389">
                  <c:v>0.67793558711740487</c:v>
                </c:pt>
                <c:pt idx="3390">
                  <c:v>0.67813562712540643</c:v>
                </c:pt>
                <c:pt idx="3391">
                  <c:v>0.67833566713340798</c:v>
                </c:pt>
                <c:pt idx="3392">
                  <c:v>0.67853570714140954</c:v>
                </c:pt>
                <c:pt idx="3393">
                  <c:v>0.67873574714941109</c:v>
                </c:pt>
                <c:pt idx="3394">
                  <c:v>0.67893578715741265</c:v>
                </c:pt>
                <c:pt idx="3395">
                  <c:v>0.67913582716541421</c:v>
                </c:pt>
                <c:pt idx="3396">
                  <c:v>0.67933586717341576</c:v>
                </c:pt>
                <c:pt idx="3397">
                  <c:v>0.67953590718141732</c:v>
                </c:pt>
                <c:pt idx="3398">
                  <c:v>0.67973594718941888</c:v>
                </c:pt>
                <c:pt idx="3399">
                  <c:v>0.67993598719742043</c:v>
                </c:pt>
                <c:pt idx="3400">
                  <c:v>0.68013602720542199</c:v>
                </c:pt>
                <c:pt idx="3401">
                  <c:v>0.68033606721342355</c:v>
                </c:pt>
                <c:pt idx="3402">
                  <c:v>0.6805361072214251</c:v>
                </c:pt>
                <c:pt idx="3403">
                  <c:v>0.68073614722942666</c:v>
                </c:pt>
                <c:pt idx="3404">
                  <c:v>0.68093618723742821</c:v>
                </c:pt>
                <c:pt idx="3405">
                  <c:v>0.68113622724542977</c:v>
                </c:pt>
                <c:pt idx="3406">
                  <c:v>0.68133626725343133</c:v>
                </c:pt>
                <c:pt idx="3407">
                  <c:v>0.68153630726143288</c:v>
                </c:pt>
                <c:pt idx="3408">
                  <c:v>0.68173634726943444</c:v>
                </c:pt>
                <c:pt idx="3409">
                  <c:v>0.681936387277436</c:v>
                </c:pt>
                <c:pt idx="3410">
                  <c:v>0.68213642728543755</c:v>
                </c:pt>
                <c:pt idx="3411">
                  <c:v>0.68233646729343911</c:v>
                </c:pt>
                <c:pt idx="3412">
                  <c:v>0.68253650730144066</c:v>
                </c:pt>
                <c:pt idx="3413">
                  <c:v>0.68273654730944222</c:v>
                </c:pt>
                <c:pt idx="3414">
                  <c:v>0.68293658731744378</c:v>
                </c:pt>
                <c:pt idx="3415">
                  <c:v>0.68313662732544533</c:v>
                </c:pt>
                <c:pt idx="3416">
                  <c:v>0.68333666733344689</c:v>
                </c:pt>
                <c:pt idx="3417">
                  <c:v>0.68353670734144845</c:v>
                </c:pt>
                <c:pt idx="3418">
                  <c:v>0.68373674734945</c:v>
                </c:pt>
                <c:pt idx="3419">
                  <c:v>0.68393678735745156</c:v>
                </c:pt>
                <c:pt idx="3420">
                  <c:v>0.68413682736545312</c:v>
                </c:pt>
                <c:pt idx="3421">
                  <c:v>0.68433686737345467</c:v>
                </c:pt>
                <c:pt idx="3422">
                  <c:v>0.68453690738145623</c:v>
                </c:pt>
                <c:pt idx="3423">
                  <c:v>0.68473694738945778</c:v>
                </c:pt>
                <c:pt idx="3424">
                  <c:v>0.68493698739745934</c:v>
                </c:pt>
                <c:pt idx="3425">
                  <c:v>0.6851370274054609</c:v>
                </c:pt>
                <c:pt idx="3426">
                  <c:v>0.68533706741346245</c:v>
                </c:pt>
                <c:pt idx="3427">
                  <c:v>0.68553710742146401</c:v>
                </c:pt>
                <c:pt idx="3428">
                  <c:v>0.68573714742946557</c:v>
                </c:pt>
                <c:pt idx="3429">
                  <c:v>0.68593718743746712</c:v>
                </c:pt>
                <c:pt idx="3430">
                  <c:v>0.68613722744546868</c:v>
                </c:pt>
                <c:pt idx="3431">
                  <c:v>0.68633726745347023</c:v>
                </c:pt>
                <c:pt idx="3432">
                  <c:v>0.68653730746147179</c:v>
                </c:pt>
                <c:pt idx="3433">
                  <c:v>0.68673734746947335</c:v>
                </c:pt>
                <c:pt idx="3434">
                  <c:v>0.6869373874774749</c:v>
                </c:pt>
                <c:pt idx="3435">
                  <c:v>0.68713742748547646</c:v>
                </c:pt>
                <c:pt idx="3436">
                  <c:v>0.68733746749347802</c:v>
                </c:pt>
                <c:pt idx="3437">
                  <c:v>0.68753750750147957</c:v>
                </c:pt>
                <c:pt idx="3438">
                  <c:v>0.68773754750948113</c:v>
                </c:pt>
                <c:pt idx="3439">
                  <c:v>0.68793758751748268</c:v>
                </c:pt>
                <c:pt idx="3440">
                  <c:v>0.68813762752548424</c:v>
                </c:pt>
                <c:pt idx="3441">
                  <c:v>0.6883376675334858</c:v>
                </c:pt>
                <c:pt idx="3442">
                  <c:v>0.68853770754148735</c:v>
                </c:pt>
                <c:pt idx="3443">
                  <c:v>0.68873774754948891</c:v>
                </c:pt>
                <c:pt idx="3444">
                  <c:v>0.68893778755749047</c:v>
                </c:pt>
                <c:pt idx="3445">
                  <c:v>0.68913782756549202</c:v>
                </c:pt>
                <c:pt idx="3446">
                  <c:v>0.68933786757349358</c:v>
                </c:pt>
                <c:pt idx="3447">
                  <c:v>0.68953790758149514</c:v>
                </c:pt>
                <c:pt idx="3448">
                  <c:v>0.68973794758949669</c:v>
                </c:pt>
                <c:pt idx="3449">
                  <c:v>0.68993798759749825</c:v>
                </c:pt>
                <c:pt idx="3450">
                  <c:v>0.6901380276054998</c:v>
                </c:pt>
                <c:pt idx="3451">
                  <c:v>0.69033806761350136</c:v>
                </c:pt>
                <c:pt idx="3452">
                  <c:v>0.69053810762150292</c:v>
                </c:pt>
                <c:pt idx="3453">
                  <c:v>0.69073814762950447</c:v>
                </c:pt>
                <c:pt idx="3454">
                  <c:v>0.69093818763750603</c:v>
                </c:pt>
                <c:pt idx="3455">
                  <c:v>0.69113822764550759</c:v>
                </c:pt>
                <c:pt idx="3456">
                  <c:v>0.69133826765350914</c:v>
                </c:pt>
                <c:pt idx="3457">
                  <c:v>0.6915383076615107</c:v>
                </c:pt>
                <c:pt idx="3458">
                  <c:v>0.69173834766951225</c:v>
                </c:pt>
                <c:pt idx="3459">
                  <c:v>0.69193838767751381</c:v>
                </c:pt>
                <c:pt idx="3460">
                  <c:v>0.69213842768551537</c:v>
                </c:pt>
                <c:pt idx="3461">
                  <c:v>0.69233846769351692</c:v>
                </c:pt>
                <c:pt idx="3462">
                  <c:v>0.69253850770151848</c:v>
                </c:pt>
                <c:pt idx="3463">
                  <c:v>0.69273854770952004</c:v>
                </c:pt>
                <c:pt idx="3464">
                  <c:v>0.69293858771752159</c:v>
                </c:pt>
                <c:pt idx="3465">
                  <c:v>0.69313862772552315</c:v>
                </c:pt>
                <c:pt idx="3466">
                  <c:v>0.69333866773352471</c:v>
                </c:pt>
                <c:pt idx="3467">
                  <c:v>0.69353870774152626</c:v>
                </c:pt>
                <c:pt idx="3468">
                  <c:v>0.69373874774952782</c:v>
                </c:pt>
                <c:pt idx="3469">
                  <c:v>0.69393878775752937</c:v>
                </c:pt>
                <c:pt idx="3470">
                  <c:v>0.69413882776553093</c:v>
                </c:pt>
                <c:pt idx="3471">
                  <c:v>0.69433886777353249</c:v>
                </c:pt>
                <c:pt idx="3472">
                  <c:v>0.69453890778153404</c:v>
                </c:pt>
                <c:pt idx="3473">
                  <c:v>0.6947389477895356</c:v>
                </c:pt>
                <c:pt idx="3474">
                  <c:v>0.69493898779753716</c:v>
                </c:pt>
                <c:pt idx="3475">
                  <c:v>0.69513902780553871</c:v>
                </c:pt>
                <c:pt idx="3476">
                  <c:v>0.69533906781354027</c:v>
                </c:pt>
                <c:pt idx="3477">
                  <c:v>0.69553910782154182</c:v>
                </c:pt>
                <c:pt idx="3478">
                  <c:v>0.69573914782954338</c:v>
                </c:pt>
                <c:pt idx="3479">
                  <c:v>0.69593918783754494</c:v>
                </c:pt>
                <c:pt idx="3480">
                  <c:v>0.69613922784554649</c:v>
                </c:pt>
                <c:pt idx="3481">
                  <c:v>0.69633926785354805</c:v>
                </c:pt>
                <c:pt idx="3482">
                  <c:v>0.69653930786154961</c:v>
                </c:pt>
                <c:pt idx="3483">
                  <c:v>0.69673934786955116</c:v>
                </c:pt>
                <c:pt idx="3484">
                  <c:v>0.69693938787755272</c:v>
                </c:pt>
                <c:pt idx="3485">
                  <c:v>0.69713942788555427</c:v>
                </c:pt>
                <c:pt idx="3486">
                  <c:v>0.69733946789355583</c:v>
                </c:pt>
                <c:pt idx="3487">
                  <c:v>0.69753950790155739</c:v>
                </c:pt>
                <c:pt idx="3488">
                  <c:v>0.69773954790955894</c:v>
                </c:pt>
                <c:pt idx="3489">
                  <c:v>0.6979395879175605</c:v>
                </c:pt>
                <c:pt idx="3490">
                  <c:v>0.69813962792556206</c:v>
                </c:pt>
                <c:pt idx="3491">
                  <c:v>0.69833966793356361</c:v>
                </c:pt>
                <c:pt idx="3492">
                  <c:v>0.69853970794156517</c:v>
                </c:pt>
                <c:pt idx="3493">
                  <c:v>0.69873974794956673</c:v>
                </c:pt>
                <c:pt idx="3494">
                  <c:v>0.69893978795756828</c:v>
                </c:pt>
                <c:pt idx="3495">
                  <c:v>0.69913982796556984</c:v>
                </c:pt>
                <c:pt idx="3496">
                  <c:v>0.69933986797357139</c:v>
                </c:pt>
                <c:pt idx="3497">
                  <c:v>0.69953990798157295</c:v>
                </c:pt>
                <c:pt idx="3498">
                  <c:v>0.69973994798957451</c:v>
                </c:pt>
                <c:pt idx="3499">
                  <c:v>0.69993998799757606</c:v>
                </c:pt>
                <c:pt idx="3500">
                  <c:v>0.70014002800557762</c:v>
                </c:pt>
                <c:pt idx="3501">
                  <c:v>0.70034006801357918</c:v>
                </c:pt>
                <c:pt idx="3502">
                  <c:v>0.70054010802158073</c:v>
                </c:pt>
                <c:pt idx="3503">
                  <c:v>0.70074014802958229</c:v>
                </c:pt>
                <c:pt idx="3504">
                  <c:v>0.70094018803758384</c:v>
                </c:pt>
                <c:pt idx="3505">
                  <c:v>0.7011402280455854</c:v>
                </c:pt>
                <c:pt idx="3506">
                  <c:v>0.70134026805358696</c:v>
                </c:pt>
                <c:pt idx="3507">
                  <c:v>0.70154030806158851</c:v>
                </c:pt>
                <c:pt idx="3508">
                  <c:v>0.70174034806959007</c:v>
                </c:pt>
                <c:pt idx="3509">
                  <c:v>0.70194038807759163</c:v>
                </c:pt>
                <c:pt idx="3510">
                  <c:v>0.70214042808559318</c:v>
                </c:pt>
                <c:pt idx="3511">
                  <c:v>0.70234046809359474</c:v>
                </c:pt>
                <c:pt idx="3512">
                  <c:v>0.70254050810159629</c:v>
                </c:pt>
                <c:pt idx="3513">
                  <c:v>0.70274054810959785</c:v>
                </c:pt>
                <c:pt idx="3514">
                  <c:v>0.70294058811759941</c:v>
                </c:pt>
                <c:pt idx="3515">
                  <c:v>0.70314062812560096</c:v>
                </c:pt>
                <c:pt idx="3516">
                  <c:v>0.70334066813360252</c:v>
                </c:pt>
                <c:pt idx="3517">
                  <c:v>0.70354070814160408</c:v>
                </c:pt>
                <c:pt idx="3518">
                  <c:v>0.70374074814960563</c:v>
                </c:pt>
                <c:pt idx="3519">
                  <c:v>0.70394078815760719</c:v>
                </c:pt>
                <c:pt idx="3520">
                  <c:v>0.70414082816560875</c:v>
                </c:pt>
                <c:pt idx="3521">
                  <c:v>0.7043408681736103</c:v>
                </c:pt>
                <c:pt idx="3522">
                  <c:v>0.70454090818161186</c:v>
                </c:pt>
                <c:pt idx="3523">
                  <c:v>0.70474094818961341</c:v>
                </c:pt>
                <c:pt idx="3524">
                  <c:v>0.70494098819761497</c:v>
                </c:pt>
                <c:pt idx="3525">
                  <c:v>0.70514102820561653</c:v>
                </c:pt>
                <c:pt idx="3526">
                  <c:v>0.70534106821361808</c:v>
                </c:pt>
                <c:pt idx="3527">
                  <c:v>0.70554110822161964</c:v>
                </c:pt>
                <c:pt idx="3528">
                  <c:v>0.7057411482296212</c:v>
                </c:pt>
                <c:pt idx="3529">
                  <c:v>0.70594118823762275</c:v>
                </c:pt>
                <c:pt idx="3530">
                  <c:v>0.70614122824562431</c:v>
                </c:pt>
                <c:pt idx="3531">
                  <c:v>0.70634126825362586</c:v>
                </c:pt>
                <c:pt idx="3532">
                  <c:v>0.70654130826162742</c:v>
                </c:pt>
                <c:pt idx="3533">
                  <c:v>0.70674134826962898</c:v>
                </c:pt>
                <c:pt idx="3534">
                  <c:v>0.70694138827763053</c:v>
                </c:pt>
                <c:pt idx="3535">
                  <c:v>0.70714142828563209</c:v>
                </c:pt>
                <c:pt idx="3536">
                  <c:v>0.70734146829363365</c:v>
                </c:pt>
                <c:pt idx="3537">
                  <c:v>0.7075415083016352</c:v>
                </c:pt>
                <c:pt idx="3538">
                  <c:v>0.70774154830963676</c:v>
                </c:pt>
                <c:pt idx="3539">
                  <c:v>0.70794158831763832</c:v>
                </c:pt>
                <c:pt idx="3540">
                  <c:v>0.70814162832563987</c:v>
                </c:pt>
                <c:pt idx="3541">
                  <c:v>0.70834166833364143</c:v>
                </c:pt>
                <c:pt idx="3542">
                  <c:v>0.70854170834164298</c:v>
                </c:pt>
                <c:pt idx="3543">
                  <c:v>0.70874174834964454</c:v>
                </c:pt>
                <c:pt idx="3544">
                  <c:v>0.7089417883576461</c:v>
                </c:pt>
                <c:pt idx="3545">
                  <c:v>0.70914182836564765</c:v>
                </c:pt>
                <c:pt idx="3546">
                  <c:v>0.70934186837364921</c:v>
                </c:pt>
                <c:pt idx="3547">
                  <c:v>0.70954190838165077</c:v>
                </c:pt>
                <c:pt idx="3548">
                  <c:v>0.70974194838965232</c:v>
                </c:pt>
                <c:pt idx="3549">
                  <c:v>0.70994198839765388</c:v>
                </c:pt>
                <c:pt idx="3550">
                  <c:v>0.71014202840565543</c:v>
                </c:pt>
                <c:pt idx="3551">
                  <c:v>0.71034206841365699</c:v>
                </c:pt>
                <c:pt idx="3552">
                  <c:v>0.71054210842165855</c:v>
                </c:pt>
                <c:pt idx="3553">
                  <c:v>0.7107421484296601</c:v>
                </c:pt>
                <c:pt idx="3554">
                  <c:v>0.71094218843766166</c:v>
                </c:pt>
                <c:pt idx="3555">
                  <c:v>0.71114222844566322</c:v>
                </c:pt>
                <c:pt idx="3556">
                  <c:v>0.71134226845366477</c:v>
                </c:pt>
                <c:pt idx="3557">
                  <c:v>0.71154230846166633</c:v>
                </c:pt>
                <c:pt idx="3558">
                  <c:v>0.71174234846966788</c:v>
                </c:pt>
                <c:pt idx="3559">
                  <c:v>0.71194238847766944</c:v>
                </c:pt>
                <c:pt idx="3560">
                  <c:v>0.712142428485671</c:v>
                </c:pt>
                <c:pt idx="3561">
                  <c:v>0.71234246849367255</c:v>
                </c:pt>
                <c:pt idx="3562">
                  <c:v>0.71254250850167411</c:v>
                </c:pt>
                <c:pt idx="3563">
                  <c:v>0.71274254850967567</c:v>
                </c:pt>
                <c:pt idx="3564">
                  <c:v>0.71294258851767722</c:v>
                </c:pt>
                <c:pt idx="3565">
                  <c:v>0.71314262852567878</c:v>
                </c:pt>
                <c:pt idx="3566">
                  <c:v>0.71334266853368034</c:v>
                </c:pt>
                <c:pt idx="3567">
                  <c:v>0.71354270854168189</c:v>
                </c:pt>
                <c:pt idx="3568">
                  <c:v>0.71374274854968345</c:v>
                </c:pt>
                <c:pt idx="3569">
                  <c:v>0.713942788557685</c:v>
                </c:pt>
                <c:pt idx="3570">
                  <c:v>0.71414282856568656</c:v>
                </c:pt>
                <c:pt idx="3571">
                  <c:v>0.71434286857368812</c:v>
                </c:pt>
                <c:pt idx="3572">
                  <c:v>0.71454290858168967</c:v>
                </c:pt>
                <c:pt idx="3573">
                  <c:v>0.71474294858969123</c:v>
                </c:pt>
                <c:pt idx="3574">
                  <c:v>0.71494298859769279</c:v>
                </c:pt>
                <c:pt idx="3575">
                  <c:v>0.71514302860569434</c:v>
                </c:pt>
                <c:pt idx="3576">
                  <c:v>0.7153430686136959</c:v>
                </c:pt>
                <c:pt idx="3577">
                  <c:v>0.71554310862169745</c:v>
                </c:pt>
                <c:pt idx="3578">
                  <c:v>0.71574314862969901</c:v>
                </c:pt>
                <c:pt idx="3579">
                  <c:v>0.71594318863770057</c:v>
                </c:pt>
                <c:pt idx="3580">
                  <c:v>0.71614322864570212</c:v>
                </c:pt>
                <c:pt idx="3581">
                  <c:v>0.71634326865370368</c:v>
                </c:pt>
                <c:pt idx="3582">
                  <c:v>0.71654330866170524</c:v>
                </c:pt>
                <c:pt idx="3583">
                  <c:v>0.71674334866970679</c:v>
                </c:pt>
                <c:pt idx="3584">
                  <c:v>0.71694338867770835</c:v>
                </c:pt>
                <c:pt idx="3585">
                  <c:v>0.7171434286857099</c:v>
                </c:pt>
                <c:pt idx="3586">
                  <c:v>0.71734346869371146</c:v>
                </c:pt>
                <c:pt idx="3587">
                  <c:v>0.71754350870171302</c:v>
                </c:pt>
                <c:pt idx="3588">
                  <c:v>0.71774354870971457</c:v>
                </c:pt>
                <c:pt idx="3589">
                  <c:v>0.71794358871771613</c:v>
                </c:pt>
                <c:pt idx="3590">
                  <c:v>0.71814362872571769</c:v>
                </c:pt>
                <c:pt idx="3591">
                  <c:v>0.71834366873371924</c:v>
                </c:pt>
                <c:pt idx="3592">
                  <c:v>0.7185437087417208</c:v>
                </c:pt>
                <c:pt idx="3593">
                  <c:v>0.71874374874972236</c:v>
                </c:pt>
                <c:pt idx="3594">
                  <c:v>0.71894378875772391</c:v>
                </c:pt>
                <c:pt idx="3595">
                  <c:v>0.71914382876572547</c:v>
                </c:pt>
                <c:pt idx="3596">
                  <c:v>0.71934386877372702</c:v>
                </c:pt>
                <c:pt idx="3597">
                  <c:v>0.71954390878172858</c:v>
                </c:pt>
                <c:pt idx="3598">
                  <c:v>0.71974394878973014</c:v>
                </c:pt>
                <c:pt idx="3599">
                  <c:v>0.71994398879773169</c:v>
                </c:pt>
                <c:pt idx="3600">
                  <c:v>0.72014402880573325</c:v>
                </c:pt>
                <c:pt idx="3601">
                  <c:v>0.72034406881373481</c:v>
                </c:pt>
                <c:pt idx="3602">
                  <c:v>0.72054410882173636</c:v>
                </c:pt>
                <c:pt idx="3603">
                  <c:v>0.72074414882973792</c:v>
                </c:pt>
                <c:pt idx="3604">
                  <c:v>0.72094418883773947</c:v>
                </c:pt>
                <c:pt idx="3605">
                  <c:v>0.72114422884574103</c:v>
                </c:pt>
                <c:pt idx="3606">
                  <c:v>0.72134426885374259</c:v>
                </c:pt>
                <c:pt idx="3607">
                  <c:v>0.72154430886174414</c:v>
                </c:pt>
                <c:pt idx="3608">
                  <c:v>0.7217443488697457</c:v>
                </c:pt>
                <c:pt idx="3609">
                  <c:v>0.72194438887774726</c:v>
                </c:pt>
                <c:pt idx="3610">
                  <c:v>0.72214442888574881</c:v>
                </c:pt>
                <c:pt idx="3611">
                  <c:v>0.72234446889375037</c:v>
                </c:pt>
                <c:pt idx="3612">
                  <c:v>0.72254450890175193</c:v>
                </c:pt>
                <c:pt idx="3613">
                  <c:v>0.72274454890975348</c:v>
                </c:pt>
                <c:pt idx="3614">
                  <c:v>0.72294458891775504</c:v>
                </c:pt>
                <c:pt idx="3615">
                  <c:v>0.72314462892575659</c:v>
                </c:pt>
                <c:pt idx="3616">
                  <c:v>0.72334466893375815</c:v>
                </c:pt>
                <c:pt idx="3617">
                  <c:v>0.72354470894175971</c:v>
                </c:pt>
                <c:pt idx="3618">
                  <c:v>0.72374474894976126</c:v>
                </c:pt>
                <c:pt idx="3619">
                  <c:v>0.72394478895776282</c:v>
                </c:pt>
                <c:pt idx="3620">
                  <c:v>0.72414482896576438</c:v>
                </c:pt>
                <c:pt idx="3621">
                  <c:v>0.72434486897376593</c:v>
                </c:pt>
                <c:pt idx="3622">
                  <c:v>0.72454490898176749</c:v>
                </c:pt>
                <c:pt idx="3623">
                  <c:v>0.72474494898976904</c:v>
                </c:pt>
                <c:pt idx="3624">
                  <c:v>0.7249449889977706</c:v>
                </c:pt>
                <c:pt idx="3625">
                  <c:v>0.72514502900577216</c:v>
                </c:pt>
                <c:pt idx="3626">
                  <c:v>0.72534506901377371</c:v>
                </c:pt>
                <c:pt idx="3627">
                  <c:v>0.72554510902177527</c:v>
                </c:pt>
                <c:pt idx="3628">
                  <c:v>0.72574514902977683</c:v>
                </c:pt>
                <c:pt idx="3629">
                  <c:v>0.72594518903777838</c:v>
                </c:pt>
                <c:pt idx="3630">
                  <c:v>0.72614522904577994</c:v>
                </c:pt>
                <c:pt idx="3631">
                  <c:v>0.72634526905378149</c:v>
                </c:pt>
                <c:pt idx="3632">
                  <c:v>0.72654530906178305</c:v>
                </c:pt>
                <c:pt idx="3633">
                  <c:v>0.72674534906978461</c:v>
                </c:pt>
                <c:pt idx="3634">
                  <c:v>0.72694538907778616</c:v>
                </c:pt>
                <c:pt idx="3635">
                  <c:v>0.72714542908578772</c:v>
                </c:pt>
                <c:pt idx="3636">
                  <c:v>0.72734546909378928</c:v>
                </c:pt>
                <c:pt idx="3637">
                  <c:v>0.72754550910179083</c:v>
                </c:pt>
                <c:pt idx="3638">
                  <c:v>0.72774554910979239</c:v>
                </c:pt>
                <c:pt idx="3639">
                  <c:v>0.72794558911779395</c:v>
                </c:pt>
                <c:pt idx="3640">
                  <c:v>0.7281456291257955</c:v>
                </c:pt>
                <c:pt idx="3641">
                  <c:v>0.72834566913379706</c:v>
                </c:pt>
                <c:pt idx="3642">
                  <c:v>0.72854570914179861</c:v>
                </c:pt>
                <c:pt idx="3643">
                  <c:v>0.72874574914980017</c:v>
                </c:pt>
                <c:pt idx="3644">
                  <c:v>0.72894578915780173</c:v>
                </c:pt>
                <c:pt idx="3645">
                  <c:v>0.72914582916580328</c:v>
                </c:pt>
                <c:pt idx="3646">
                  <c:v>0.72934586917380484</c:v>
                </c:pt>
                <c:pt idx="3647">
                  <c:v>0.7295459091818064</c:v>
                </c:pt>
                <c:pt idx="3648">
                  <c:v>0.72974594918980795</c:v>
                </c:pt>
                <c:pt idx="3649">
                  <c:v>0.72994598919780951</c:v>
                </c:pt>
                <c:pt idx="3650">
                  <c:v>0.73014602920581106</c:v>
                </c:pt>
                <c:pt idx="3651">
                  <c:v>0.73034606921381262</c:v>
                </c:pt>
                <c:pt idx="3652">
                  <c:v>0.73054610922181418</c:v>
                </c:pt>
                <c:pt idx="3653">
                  <c:v>0.73074614922981573</c:v>
                </c:pt>
                <c:pt idx="3654">
                  <c:v>0.73094618923781729</c:v>
                </c:pt>
                <c:pt idx="3655">
                  <c:v>0.73114622924581885</c:v>
                </c:pt>
                <c:pt idx="3656">
                  <c:v>0.7313462692538204</c:v>
                </c:pt>
                <c:pt idx="3657">
                  <c:v>0.73154630926182196</c:v>
                </c:pt>
                <c:pt idx="3658">
                  <c:v>0.73174634926982352</c:v>
                </c:pt>
                <c:pt idx="3659">
                  <c:v>0.73194638927782507</c:v>
                </c:pt>
                <c:pt idx="3660">
                  <c:v>0.73214642928582663</c:v>
                </c:pt>
                <c:pt idx="3661">
                  <c:v>0.73234646929382818</c:v>
                </c:pt>
                <c:pt idx="3662">
                  <c:v>0.73254650930182974</c:v>
                </c:pt>
                <c:pt idx="3663">
                  <c:v>0.7327465493098313</c:v>
                </c:pt>
                <c:pt idx="3664">
                  <c:v>0.73294658931783285</c:v>
                </c:pt>
                <c:pt idx="3665">
                  <c:v>0.73314662932583441</c:v>
                </c:pt>
                <c:pt idx="3666">
                  <c:v>0.73334666933383597</c:v>
                </c:pt>
                <c:pt idx="3667">
                  <c:v>0.73354670934183752</c:v>
                </c:pt>
                <c:pt idx="3668">
                  <c:v>0.73374674934983908</c:v>
                </c:pt>
                <c:pt idx="3669">
                  <c:v>0.73394678935784063</c:v>
                </c:pt>
                <c:pt idx="3670">
                  <c:v>0.73414682936584219</c:v>
                </c:pt>
                <c:pt idx="3671">
                  <c:v>0.73434686937384375</c:v>
                </c:pt>
                <c:pt idx="3672">
                  <c:v>0.7345469093818453</c:v>
                </c:pt>
                <c:pt idx="3673">
                  <c:v>0.73474694938984686</c:v>
                </c:pt>
                <c:pt idx="3674">
                  <c:v>0.73494698939784842</c:v>
                </c:pt>
                <c:pt idx="3675">
                  <c:v>0.73514702940584997</c:v>
                </c:pt>
                <c:pt idx="3676">
                  <c:v>0.73534706941385153</c:v>
                </c:pt>
                <c:pt idx="3677">
                  <c:v>0.73554710942185308</c:v>
                </c:pt>
                <c:pt idx="3678">
                  <c:v>0.73574714942985464</c:v>
                </c:pt>
                <c:pt idx="3679">
                  <c:v>0.7359471894378562</c:v>
                </c:pt>
                <c:pt idx="3680">
                  <c:v>0.73614722944585775</c:v>
                </c:pt>
                <c:pt idx="3681">
                  <c:v>0.73634726945385931</c:v>
                </c:pt>
                <c:pt idx="3682">
                  <c:v>0.73654730946186087</c:v>
                </c:pt>
                <c:pt idx="3683">
                  <c:v>0.73674734946986242</c:v>
                </c:pt>
                <c:pt idx="3684">
                  <c:v>0.73694738947786398</c:v>
                </c:pt>
                <c:pt idx="3685">
                  <c:v>0.73714742948586554</c:v>
                </c:pt>
                <c:pt idx="3686">
                  <c:v>0.73734746949386709</c:v>
                </c:pt>
                <c:pt idx="3687">
                  <c:v>0.73754750950186865</c:v>
                </c:pt>
                <c:pt idx="3688">
                  <c:v>0.7377475495098702</c:v>
                </c:pt>
                <c:pt idx="3689">
                  <c:v>0.73794758951787176</c:v>
                </c:pt>
                <c:pt idx="3690">
                  <c:v>0.73814762952587332</c:v>
                </c:pt>
                <c:pt idx="3691">
                  <c:v>0.73834766953387487</c:v>
                </c:pt>
                <c:pt idx="3692">
                  <c:v>0.73854770954187643</c:v>
                </c:pt>
                <c:pt idx="3693">
                  <c:v>0.73874774954987799</c:v>
                </c:pt>
                <c:pt idx="3694">
                  <c:v>0.73894778955787954</c:v>
                </c:pt>
                <c:pt idx="3695">
                  <c:v>0.7391478295658811</c:v>
                </c:pt>
                <c:pt idx="3696">
                  <c:v>0.73934786957388265</c:v>
                </c:pt>
                <c:pt idx="3697">
                  <c:v>0.73954790958188421</c:v>
                </c:pt>
                <c:pt idx="3698">
                  <c:v>0.73974794958988577</c:v>
                </c:pt>
                <c:pt idx="3699">
                  <c:v>0.73994798959788732</c:v>
                </c:pt>
                <c:pt idx="3700">
                  <c:v>0.74014802960588888</c:v>
                </c:pt>
                <c:pt idx="3701">
                  <c:v>0.74034806961389044</c:v>
                </c:pt>
                <c:pt idx="3702">
                  <c:v>0.74054810962189199</c:v>
                </c:pt>
                <c:pt idx="3703">
                  <c:v>0.74074814962989355</c:v>
                </c:pt>
                <c:pt idx="3704">
                  <c:v>0.7409481896378951</c:v>
                </c:pt>
                <c:pt idx="3705">
                  <c:v>0.74114822964589666</c:v>
                </c:pt>
                <c:pt idx="3706">
                  <c:v>0.74134826965389822</c:v>
                </c:pt>
                <c:pt idx="3707">
                  <c:v>0.74154830966189977</c:v>
                </c:pt>
                <c:pt idx="3708">
                  <c:v>0.74174834966990133</c:v>
                </c:pt>
                <c:pt idx="3709">
                  <c:v>0.74194838967790289</c:v>
                </c:pt>
                <c:pt idx="3710">
                  <c:v>0.74214842968590444</c:v>
                </c:pt>
                <c:pt idx="3711">
                  <c:v>0.742348469693906</c:v>
                </c:pt>
                <c:pt idx="3712">
                  <c:v>0.74254850970190756</c:v>
                </c:pt>
                <c:pt idx="3713">
                  <c:v>0.74274854970990911</c:v>
                </c:pt>
                <c:pt idx="3714">
                  <c:v>0.74294858971791067</c:v>
                </c:pt>
                <c:pt idx="3715">
                  <c:v>0.74314862972591222</c:v>
                </c:pt>
                <c:pt idx="3716">
                  <c:v>0.74334866973391378</c:v>
                </c:pt>
                <c:pt idx="3717">
                  <c:v>0.74354870974191534</c:v>
                </c:pt>
                <c:pt idx="3718">
                  <c:v>0.74374874974991689</c:v>
                </c:pt>
                <c:pt idx="3719">
                  <c:v>0.74394878975791845</c:v>
                </c:pt>
                <c:pt idx="3720">
                  <c:v>0.74414882976592001</c:v>
                </c:pt>
                <c:pt idx="3721">
                  <c:v>0.74434886977392156</c:v>
                </c:pt>
                <c:pt idx="3722">
                  <c:v>0.74454890978192312</c:v>
                </c:pt>
                <c:pt idx="3723">
                  <c:v>0.74474894978992467</c:v>
                </c:pt>
                <c:pt idx="3724">
                  <c:v>0.74494898979792623</c:v>
                </c:pt>
                <c:pt idx="3725">
                  <c:v>0.74514902980592779</c:v>
                </c:pt>
                <c:pt idx="3726">
                  <c:v>0.74534906981392934</c:v>
                </c:pt>
                <c:pt idx="3727">
                  <c:v>0.7455491098219309</c:v>
                </c:pt>
                <c:pt idx="3728">
                  <c:v>0.74574914982993246</c:v>
                </c:pt>
                <c:pt idx="3729">
                  <c:v>0.74594918983793401</c:v>
                </c:pt>
                <c:pt idx="3730">
                  <c:v>0.74614922984593557</c:v>
                </c:pt>
                <c:pt idx="3731">
                  <c:v>0.74634926985393713</c:v>
                </c:pt>
                <c:pt idx="3732">
                  <c:v>0.74654930986193868</c:v>
                </c:pt>
                <c:pt idx="3733">
                  <c:v>0.74674934986994024</c:v>
                </c:pt>
                <c:pt idx="3734">
                  <c:v>0.74694938987794179</c:v>
                </c:pt>
                <c:pt idx="3735">
                  <c:v>0.74714942988594335</c:v>
                </c:pt>
                <c:pt idx="3736">
                  <c:v>0.74734946989394491</c:v>
                </c:pt>
                <c:pt idx="3737">
                  <c:v>0.74754950990194646</c:v>
                </c:pt>
                <c:pt idx="3738">
                  <c:v>0.74774954990994802</c:v>
                </c:pt>
                <c:pt idx="3739">
                  <c:v>0.74794958991794958</c:v>
                </c:pt>
                <c:pt idx="3740">
                  <c:v>0.74814962992595113</c:v>
                </c:pt>
                <c:pt idx="3741">
                  <c:v>0.74834966993395269</c:v>
                </c:pt>
                <c:pt idx="3742">
                  <c:v>0.74854970994195424</c:v>
                </c:pt>
                <c:pt idx="3743">
                  <c:v>0.7487497499499558</c:v>
                </c:pt>
                <c:pt idx="3744">
                  <c:v>0.74894978995795736</c:v>
                </c:pt>
                <c:pt idx="3745">
                  <c:v>0.74914982996595891</c:v>
                </c:pt>
                <c:pt idx="3746">
                  <c:v>0.74934986997396047</c:v>
                </c:pt>
                <c:pt idx="3747">
                  <c:v>0.74954990998196203</c:v>
                </c:pt>
                <c:pt idx="3748">
                  <c:v>0.74974994998996358</c:v>
                </c:pt>
                <c:pt idx="3749">
                  <c:v>0.74994998999796514</c:v>
                </c:pt>
                <c:pt idx="3750">
                  <c:v>0.75015003000596669</c:v>
                </c:pt>
                <c:pt idx="3751">
                  <c:v>0.75035007001396825</c:v>
                </c:pt>
                <c:pt idx="3752">
                  <c:v>0.75055011002196981</c:v>
                </c:pt>
                <c:pt idx="3753">
                  <c:v>0.75075015002997136</c:v>
                </c:pt>
                <c:pt idx="3754">
                  <c:v>0.75095019003797292</c:v>
                </c:pt>
                <c:pt idx="3755">
                  <c:v>0.75115023004597448</c:v>
                </c:pt>
                <c:pt idx="3756">
                  <c:v>0.75135027005397603</c:v>
                </c:pt>
                <c:pt idx="3757">
                  <c:v>0.75155031006197759</c:v>
                </c:pt>
                <c:pt idx="3758">
                  <c:v>0.75175035006997915</c:v>
                </c:pt>
                <c:pt idx="3759">
                  <c:v>0.7519503900779807</c:v>
                </c:pt>
                <c:pt idx="3760">
                  <c:v>0.75215043008598226</c:v>
                </c:pt>
                <c:pt idx="3761">
                  <c:v>0.75235047009398381</c:v>
                </c:pt>
                <c:pt idx="3762">
                  <c:v>0.75255051010198537</c:v>
                </c:pt>
                <c:pt idx="3763">
                  <c:v>0.75275055010998693</c:v>
                </c:pt>
                <c:pt idx="3764">
                  <c:v>0.75295059011798848</c:v>
                </c:pt>
                <c:pt idx="3765">
                  <c:v>0.75315063012599004</c:v>
                </c:pt>
                <c:pt idx="3766">
                  <c:v>0.7533506701339916</c:v>
                </c:pt>
                <c:pt idx="3767">
                  <c:v>0.75355071014199315</c:v>
                </c:pt>
                <c:pt idx="3768">
                  <c:v>0.75375075014999471</c:v>
                </c:pt>
                <c:pt idx="3769">
                  <c:v>0.75395079015799626</c:v>
                </c:pt>
                <c:pt idx="3770">
                  <c:v>0.75415083016599782</c:v>
                </c:pt>
                <c:pt idx="3771">
                  <c:v>0.75435087017399938</c:v>
                </c:pt>
                <c:pt idx="3772">
                  <c:v>0.75455091018200093</c:v>
                </c:pt>
                <c:pt idx="3773">
                  <c:v>0.75475095019000249</c:v>
                </c:pt>
                <c:pt idx="3774">
                  <c:v>0.75495099019800405</c:v>
                </c:pt>
                <c:pt idx="3775">
                  <c:v>0.7551510302060056</c:v>
                </c:pt>
                <c:pt idx="3776">
                  <c:v>0.75535107021400716</c:v>
                </c:pt>
                <c:pt idx="3777">
                  <c:v>0.75555111022200871</c:v>
                </c:pt>
                <c:pt idx="3778">
                  <c:v>0.75575115023001027</c:v>
                </c:pt>
                <c:pt idx="3779">
                  <c:v>0.75595119023801183</c:v>
                </c:pt>
                <c:pt idx="3780">
                  <c:v>0.75615123024601338</c:v>
                </c:pt>
                <c:pt idx="3781">
                  <c:v>0.75635127025401494</c:v>
                </c:pt>
                <c:pt idx="3782">
                  <c:v>0.7565513102620165</c:v>
                </c:pt>
                <c:pt idx="3783">
                  <c:v>0.75675135027001805</c:v>
                </c:pt>
                <c:pt idx="3784">
                  <c:v>0.75695139027801961</c:v>
                </c:pt>
                <c:pt idx="3785">
                  <c:v>0.75715143028602117</c:v>
                </c:pt>
                <c:pt idx="3786">
                  <c:v>0.75735147029402272</c:v>
                </c:pt>
                <c:pt idx="3787">
                  <c:v>0.75755151030202428</c:v>
                </c:pt>
                <c:pt idx="3788">
                  <c:v>0.75775155031002583</c:v>
                </c:pt>
                <c:pt idx="3789">
                  <c:v>0.75795159031802739</c:v>
                </c:pt>
                <c:pt idx="3790">
                  <c:v>0.75815163032602895</c:v>
                </c:pt>
                <c:pt idx="3791">
                  <c:v>0.7583516703340305</c:v>
                </c:pt>
                <c:pt idx="3792">
                  <c:v>0.75855171034203206</c:v>
                </c:pt>
                <c:pt idx="3793">
                  <c:v>0.75875175035003362</c:v>
                </c:pt>
                <c:pt idx="3794">
                  <c:v>0.75895179035803517</c:v>
                </c:pt>
                <c:pt idx="3795">
                  <c:v>0.75915183036603673</c:v>
                </c:pt>
                <c:pt idx="3796">
                  <c:v>0.75935187037403828</c:v>
                </c:pt>
                <c:pt idx="3797">
                  <c:v>0.75955191038203984</c:v>
                </c:pt>
                <c:pt idx="3798">
                  <c:v>0.7597519503900414</c:v>
                </c:pt>
                <c:pt idx="3799">
                  <c:v>0.75995199039804295</c:v>
                </c:pt>
                <c:pt idx="3800">
                  <c:v>0.76015203040604451</c:v>
                </c:pt>
                <c:pt idx="3801">
                  <c:v>0.76035207041404607</c:v>
                </c:pt>
                <c:pt idx="3802">
                  <c:v>0.76055211042204762</c:v>
                </c:pt>
                <c:pt idx="3803">
                  <c:v>0.76075215043004918</c:v>
                </c:pt>
                <c:pt idx="3804">
                  <c:v>0.76095219043805074</c:v>
                </c:pt>
                <c:pt idx="3805">
                  <c:v>0.76115223044605229</c:v>
                </c:pt>
                <c:pt idx="3806">
                  <c:v>0.76135227045405385</c:v>
                </c:pt>
                <c:pt idx="3807">
                  <c:v>0.7615523104620554</c:v>
                </c:pt>
                <c:pt idx="3808">
                  <c:v>0.76175235047005696</c:v>
                </c:pt>
                <c:pt idx="3809">
                  <c:v>0.76195239047805852</c:v>
                </c:pt>
                <c:pt idx="3810">
                  <c:v>0.76215243048606007</c:v>
                </c:pt>
                <c:pt idx="3811">
                  <c:v>0.76235247049406163</c:v>
                </c:pt>
                <c:pt idx="3812">
                  <c:v>0.76255251050206319</c:v>
                </c:pt>
                <c:pt idx="3813">
                  <c:v>0.76275255051006474</c:v>
                </c:pt>
                <c:pt idx="3814">
                  <c:v>0.7629525905180663</c:v>
                </c:pt>
                <c:pt idx="3815">
                  <c:v>0.76315263052606785</c:v>
                </c:pt>
                <c:pt idx="3816">
                  <c:v>0.76335267053406941</c:v>
                </c:pt>
                <c:pt idx="3817">
                  <c:v>0.76355271054207097</c:v>
                </c:pt>
                <c:pt idx="3818">
                  <c:v>0.76375275055007252</c:v>
                </c:pt>
                <c:pt idx="3819">
                  <c:v>0.76395279055807408</c:v>
                </c:pt>
                <c:pt idx="3820">
                  <c:v>0.76415283056607564</c:v>
                </c:pt>
                <c:pt idx="3821">
                  <c:v>0.76435287057407719</c:v>
                </c:pt>
                <c:pt idx="3822">
                  <c:v>0.76455291058207875</c:v>
                </c:pt>
                <c:pt idx="3823">
                  <c:v>0.7647529505900803</c:v>
                </c:pt>
                <c:pt idx="3824">
                  <c:v>0.76495299059808186</c:v>
                </c:pt>
                <c:pt idx="3825">
                  <c:v>0.76515303060608342</c:v>
                </c:pt>
                <c:pt idx="3826">
                  <c:v>0.76535307061408497</c:v>
                </c:pt>
                <c:pt idx="3827">
                  <c:v>0.76555311062208653</c:v>
                </c:pt>
                <c:pt idx="3828">
                  <c:v>0.76575315063008809</c:v>
                </c:pt>
                <c:pt idx="3829">
                  <c:v>0.76595319063808964</c:v>
                </c:pt>
                <c:pt idx="3830">
                  <c:v>0.7661532306460912</c:v>
                </c:pt>
                <c:pt idx="3831">
                  <c:v>0.76635327065409276</c:v>
                </c:pt>
                <c:pt idx="3832">
                  <c:v>0.76655331066209431</c:v>
                </c:pt>
                <c:pt idx="3833">
                  <c:v>0.76675335067009587</c:v>
                </c:pt>
                <c:pt idx="3834">
                  <c:v>0.76695339067809742</c:v>
                </c:pt>
                <c:pt idx="3835">
                  <c:v>0.76715343068609898</c:v>
                </c:pt>
                <c:pt idx="3836">
                  <c:v>0.76735347069410054</c:v>
                </c:pt>
                <c:pt idx="3837">
                  <c:v>0.76755351070210209</c:v>
                </c:pt>
                <c:pt idx="3838">
                  <c:v>0.76775355071010365</c:v>
                </c:pt>
                <c:pt idx="3839">
                  <c:v>0.76795359071810521</c:v>
                </c:pt>
                <c:pt idx="3840">
                  <c:v>0.76815363072610676</c:v>
                </c:pt>
                <c:pt idx="3841">
                  <c:v>0.76835367073410832</c:v>
                </c:pt>
                <c:pt idx="3842">
                  <c:v>0.76855371074210987</c:v>
                </c:pt>
                <c:pt idx="3843">
                  <c:v>0.76875375075011143</c:v>
                </c:pt>
                <c:pt idx="3844">
                  <c:v>0.76895379075811299</c:v>
                </c:pt>
                <c:pt idx="3845">
                  <c:v>0.76915383076611454</c:v>
                </c:pt>
                <c:pt idx="3846">
                  <c:v>0.7693538707741161</c:v>
                </c:pt>
                <c:pt idx="3847">
                  <c:v>0.76955391078211766</c:v>
                </c:pt>
                <c:pt idx="3848">
                  <c:v>0.76975395079011921</c:v>
                </c:pt>
                <c:pt idx="3849">
                  <c:v>0.76995399079812077</c:v>
                </c:pt>
                <c:pt idx="3850">
                  <c:v>0.77015403080612233</c:v>
                </c:pt>
                <c:pt idx="3851">
                  <c:v>0.77035407081412388</c:v>
                </c:pt>
                <c:pt idx="3852">
                  <c:v>0.77055411082212544</c:v>
                </c:pt>
                <c:pt idx="3853">
                  <c:v>0.77075415083012699</c:v>
                </c:pt>
                <c:pt idx="3854">
                  <c:v>0.77095419083812855</c:v>
                </c:pt>
                <c:pt idx="3855">
                  <c:v>0.77115423084613011</c:v>
                </c:pt>
                <c:pt idx="3856">
                  <c:v>0.77135427085413166</c:v>
                </c:pt>
                <c:pt idx="3857">
                  <c:v>0.77155431086213322</c:v>
                </c:pt>
                <c:pt idx="3858">
                  <c:v>0.77175435087013478</c:v>
                </c:pt>
                <c:pt idx="3859">
                  <c:v>0.77195439087813633</c:v>
                </c:pt>
                <c:pt idx="3860">
                  <c:v>0.77215443088613789</c:v>
                </c:pt>
                <c:pt idx="3861">
                  <c:v>0.77235447089413944</c:v>
                </c:pt>
                <c:pt idx="3862">
                  <c:v>0.772554510902141</c:v>
                </c:pt>
                <c:pt idx="3863">
                  <c:v>0.77275455091014256</c:v>
                </c:pt>
                <c:pt idx="3864">
                  <c:v>0.77295459091814411</c:v>
                </c:pt>
                <c:pt idx="3865">
                  <c:v>0.77315463092614567</c:v>
                </c:pt>
                <c:pt idx="3866">
                  <c:v>0.77335467093414723</c:v>
                </c:pt>
                <c:pt idx="3867">
                  <c:v>0.77355471094214878</c:v>
                </c:pt>
                <c:pt idx="3868">
                  <c:v>0.77375475095015034</c:v>
                </c:pt>
                <c:pt idx="3869">
                  <c:v>0.77395479095815189</c:v>
                </c:pt>
                <c:pt idx="3870">
                  <c:v>0.77415483096615345</c:v>
                </c:pt>
                <c:pt idx="3871">
                  <c:v>0.77435487097415501</c:v>
                </c:pt>
                <c:pt idx="3872">
                  <c:v>0.77455491098215656</c:v>
                </c:pt>
                <c:pt idx="3873">
                  <c:v>0.77475495099015812</c:v>
                </c:pt>
                <c:pt idx="3874">
                  <c:v>0.77495499099815968</c:v>
                </c:pt>
                <c:pt idx="3875">
                  <c:v>0.77515503100616123</c:v>
                </c:pt>
                <c:pt idx="3876">
                  <c:v>0.77535507101416279</c:v>
                </c:pt>
                <c:pt idx="3877">
                  <c:v>0.77555511102216435</c:v>
                </c:pt>
                <c:pt idx="3878">
                  <c:v>0.7757551510301659</c:v>
                </c:pt>
                <c:pt idx="3879">
                  <c:v>0.77595519103816746</c:v>
                </c:pt>
                <c:pt idx="3880">
                  <c:v>0.77615523104616901</c:v>
                </c:pt>
                <c:pt idx="3881">
                  <c:v>0.77635527105417057</c:v>
                </c:pt>
                <c:pt idx="3882">
                  <c:v>0.77655531106217213</c:v>
                </c:pt>
                <c:pt idx="3883">
                  <c:v>0.77675535107017368</c:v>
                </c:pt>
                <c:pt idx="3884">
                  <c:v>0.77695539107817524</c:v>
                </c:pt>
                <c:pt idx="3885">
                  <c:v>0.7771554310861768</c:v>
                </c:pt>
                <c:pt idx="3886">
                  <c:v>0.77735547109417835</c:v>
                </c:pt>
                <c:pt idx="3887">
                  <c:v>0.77755551110217991</c:v>
                </c:pt>
                <c:pt idx="3888">
                  <c:v>0.77775555111018146</c:v>
                </c:pt>
                <c:pt idx="3889">
                  <c:v>0.77795559111818302</c:v>
                </c:pt>
                <c:pt idx="3890">
                  <c:v>0.77815563112618458</c:v>
                </c:pt>
                <c:pt idx="3891">
                  <c:v>0.77835567113418613</c:v>
                </c:pt>
                <c:pt idx="3892">
                  <c:v>0.77855571114218769</c:v>
                </c:pt>
                <c:pt idx="3893">
                  <c:v>0.77875575115018925</c:v>
                </c:pt>
                <c:pt idx="3894">
                  <c:v>0.7789557911581908</c:v>
                </c:pt>
                <c:pt idx="3895">
                  <c:v>0.77915583116619236</c:v>
                </c:pt>
                <c:pt idx="3896">
                  <c:v>0.77935587117419391</c:v>
                </c:pt>
                <c:pt idx="3897">
                  <c:v>0.77955591118219547</c:v>
                </c:pt>
                <c:pt idx="3898">
                  <c:v>0.77975595119019703</c:v>
                </c:pt>
                <c:pt idx="3899">
                  <c:v>0.77995599119819858</c:v>
                </c:pt>
                <c:pt idx="3900">
                  <c:v>0.78015603120620014</c:v>
                </c:pt>
                <c:pt idx="3901">
                  <c:v>0.7803560712142017</c:v>
                </c:pt>
                <c:pt idx="3902">
                  <c:v>0.78055611122220325</c:v>
                </c:pt>
                <c:pt idx="3903">
                  <c:v>0.78075615123020481</c:v>
                </c:pt>
                <c:pt idx="3904">
                  <c:v>0.78095619123820637</c:v>
                </c:pt>
                <c:pt idx="3905">
                  <c:v>0.78115623124620792</c:v>
                </c:pt>
                <c:pt idx="3906">
                  <c:v>0.78135627125420948</c:v>
                </c:pt>
                <c:pt idx="3907">
                  <c:v>0.78155631126221103</c:v>
                </c:pt>
                <c:pt idx="3908">
                  <c:v>0.78175635127021259</c:v>
                </c:pt>
                <c:pt idx="3909">
                  <c:v>0.78195639127821415</c:v>
                </c:pt>
                <c:pt idx="3910">
                  <c:v>0.7821564312862157</c:v>
                </c:pt>
                <c:pt idx="3911">
                  <c:v>0.78235647129421726</c:v>
                </c:pt>
                <c:pt idx="3912">
                  <c:v>0.78255651130221882</c:v>
                </c:pt>
                <c:pt idx="3913">
                  <c:v>0.78275655131022037</c:v>
                </c:pt>
                <c:pt idx="3914">
                  <c:v>0.78295659131822193</c:v>
                </c:pt>
                <c:pt idx="3915">
                  <c:v>0.78315663132622348</c:v>
                </c:pt>
                <c:pt idx="3916">
                  <c:v>0.78335667133422504</c:v>
                </c:pt>
                <c:pt idx="3917">
                  <c:v>0.7835567113422266</c:v>
                </c:pt>
                <c:pt idx="3918">
                  <c:v>0.78375675135022815</c:v>
                </c:pt>
                <c:pt idx="3919">
                  <c:v>0.78395679135822971</c:v>
                </c:pt>
                <c:pt idx="3920">
                  <c:v>0.78415683136623127</c:v>
                </c:pt>
                <c:pt idx="3921">
                  <c:v>0.78435687137423282</c:v>
                </c:pt>
                <c:pt idx="3922">
                  <c:v>0.78455691138223438</c:v>
                </c:pt>
                <c:pt idx="3923">
                  <c:v>0.78475695139023594</c:v>
                </c:pt>
                <c:pt idx="3924">
                  <c:v>0.78495699139823749</c:v>
                </c:pt>
                <c:pt idx="3925">
                  <c:v>0.78515703140623905</c:v>
                </c:pt>
                <c:pt idx="3926">
                  <c:v>0.7853570714142406</c:v>
                </c:pt>
                <c:pt idx="3927">
                  <c:v>0.78555711142224216</c:v>
                </c:pt>
                <c:pt idx="3928">
                  <c:v>0.78575715143024372</c:v>
                </c:pt>
                <c:pt idx="3929">
                  <c:v>0.78595719143824527</c:v>
                </c:pt>
                <c:pt idx="3930">
                  <c:v>0.78615723144624683</c:v>
                </c:pt>
                <c:pt idx="3931">
                  <c:v>0.78635727145424839</c:v>
                </c:pt>
                <c:pt idx="3932">
                  <c:v>0.78655731146224994</c:v>
                </c:pt>
                <c:pt idx="3933">
                  <c:v>0.7867573514702515</c:v>
                </c:pt>
                <c:pt idx="3934">
                  <c:v>0.78695739147825305</c:v>
                </c:pt>
                <c:pt idx="3935">
                  <c:v>0.78715743148625461</c:v>
                </c:pt>
                <c:pt idx="3936">
                  <c:v>0.78735747149425617</c:v>
                </c:pt>
                <c:pt idx="3937">
                  <c:v>0.78755751150225772</c:v>
                </c:pt>
                <c:pt idx="3938">
                  <c:v>0.78775755151025928</c:v>
                </c:pt>
                <c:pt idx="3939">
                  <c:v>0.78795759151826084</c:v>
                </c:pt>
                <c:pt idx="3940">
                  <c:v>0.78815763152626239</c:v>
                </c:pt>
                <c:pt idx="3941">
                  <c:v>0.78835767153426395</c:v>
                </c:pt>
                <c:pt idx="3942">
                  <c:v>0.7885577115422655</c:v>
                </c:pt>
                <c:pt idx="3943">
                  <c:v>0.78875775155026706</c:v>
                </c:pt>
                <c:pt idx="3944">
                  <c:v>0.78895779155826862</c:v>
                </c:pt>
                <c:pt idx="3945">
                  <c:v>0.78915783156627017</c:v>
                </c:pt>
                <c:pt idx="3946">
                  <c:v>0.78935787157427173</c:v>
                </c:pt>
                <c:pt idx="3947">
                  <c:v>0.78955791158227329</c:v>
                </c:pt>
                <c:pt idx="3948">
                  <c:v>0.78975795159027484</c:v>
                </c:pt>
                <c:pt idx="3949">
                  <c:v>0.7899579915982764</c:v>
                </c:pt>
                <c:pt idx="3950">
                  <c:v>0.79015803160627796</c:v>
                </c:pt>
                <c:pt idx="3951">
                  <c:v>0.79035807161427951</c:v>
                </c:pt>
                <c:pt idx="3952">
                  <c:v>0.79055811162228107</c:v>
                </c:pt>
                <c:pt idx="3953">
                  <c:v>0.79075815163028262</c:v>
                </c:pt>
                <c:pt idx="3954">
                  <c:v>0.79095819163828418</c:v>
                </c:pt>
                <c:pt idx="3955">
                  <c:v>0.79115823164628574</c:v>
                </c:pt>
                <c:pt idx="3956">
                  <c:v>0.79135827165428729</c:v>
                </c:pt>
                <c:pt idx="3957">
                  <c:v>0.79155831166228885</c:v>
                </c:pt>
                <c:pt idx="3958">
                  <c:v>0.79175835167029041</c:v>
                </c:pt>
                <c:pt idx="3959">
                  <c:v>0.79195839167829196</c:v>
                </c:pt>
                <c:pt idx="3960">
                  <c:v>0.79215843168629352</c:v>
                </c:pt>
                <c:pt idx="3961">
                  <c:v>0.79235847169429507</c:v>
                </c:pt>
                <c:pt idx="3962">
                  <c:v>0.79255851170229663</c:v>
                </c:pt>
                <c:pt idx="3963">
                  <c:v>0.79275855171029819</c:v>
                </c:pt>
                <c:pt idx="3964">
                  <c:v>0.79295859171829974</c:v>
                </c:pt>
                <c:pt idx="3965">
                  <c:v>0.7931586317263013</c:v>
                </c:pt>
                <c:pt idx="3966">
                  <c:v>0.79335867173430286</c:v>
                </c:pt>
                <c:pt idx="3967">
                  <c:v>0.79355871174230441</c:v>
                </c:pt>
                <c:pt idx="3968">
                  <c:v>0.79375875175030597</c:v>
                </c:pt>
                <c:pt idx="3969">
                  <c:v>0.79395879175830752</c:v>
                </c:pt>
                <c:pt idx="3970">
                  <c:v>0.79415883176630908</c:v>
                </c:pt>
                <c:pt idx="3971">
                  <c:v>0.79435887177431064</c:v>
                </c:pt>
                <c:pt idx="3972">
                  <c:v>0.79455891178231219</c:v>
                </c:pt>
                <c:pt idx="3973">
                  <c:v>0.79475895179031375</c:v>
                </c:pt>
                <c:pt idx="3974">
                  <c:v>0.79495899179831531</c:v>
                </c:pt>
                <c:pt idx="3975">
                  <c:v>0.79515903180631686</c:v>
                </c:pt>
                <c:pt idx="3976">
                  <c:v>0.79535907181431842</c:v>
                </c:pt>
                <c:pt idx="3977">
                  <c:v>0.79555911182231998</c:v>
                </c:pt>
                <c:pt idx="3978">
                  <c:v>0.79575915183032153</c:v>
                </c:pt>
                <c:pt idx="3979">
                  <c:v>0.79595919183832309</c:v>
                </c:pt>
                <c:pt idx="3980">
                  <c:v>0.79615923184632464</c:v>
                </c:pt>
                <c:pt idx="3981">
                  <c:v>0.7963592718543262</c:v>
                </c:pt>
                <c:pt idx="3982">
                  <c:v>0.79655931186232776</c:v>
                </c:pt>
                <c:pt idx="3983">
                  <c:v>0.79675935187032931</c:v>
                </c:pt>
                <c:pt idx="3984">
                  <c:v>0.79695939187833087</c:v>
                </c:pt>
                <c:pt idx="3985">
                  <c:v>0.79715943188633243</c:v>
                </c:pt>
                <c:pt idx="3986">
                  <c:v>0.79735947189433398</c:v>
                </c:pt>
                <c:pt idx="3987">
                  <c:v>0.79755951190233554</c:v>
                </c:pt>
                <c:pt idx="3988">
                  <c:v>0.79775955191033709</c:v>
                </c:pt>
                <c:pt idx="3989">
                  <c:v>0.79795959191833865</c:v>
                </c:pt>
                <c:pt idx="3990">
                  <c:v>0.79815963192634021</c:v>
                </c:pt>
                <c:pt idx="3991">
                  <c:v>0.79835967193434176</c:v>
                </c:pt>
                <c:pt idx="3992">
                  <c:v>0.79855971194234332</c:v>
                </c:pt>
                <c:pt idx="3993">
                  <c:v>0.79875975195034488</c:v>
                </c:pt>
                <c:pt idx="3994">
                  <c:v>0.79895979195834643</c:v>
                </c:pt>
                <c:pt idx="3995">
                  <c:v>0.79915983196634799</c:v>
                </c:pt>
                <c:pt idx="3996">
                  <c:v>0.79935987197434955</c:v>
                </c:pt>
                <c:pt idx="3997">
                  <c:v>0.7995599119823511</c:v>
                </c:pt>
                <c:pt idx="3998">
                  <c:v>0.79975995199035266</c:v>
                </c:pt>
                <c:pt idx="3999">
                  <c:v>0.79995999199835421</c:v>
                </c:pt>
                <c:pt idx="4000">
                  <c:v>0.80016003200635577</c:v>
                </c:pt>
                <c:pt idx="4001">
                  <c:v>0.80036007201435733</c:v>
                </c:pt>
                <c:pt idx="4002">
                  <c:v>0.80056011202235888</c:v>
                </c:pt>
                <c:pt idx="4003">
                  <c:v>0.80076015203036044</c:v>
                </c:pt>
                <c:pt idx="4004">
                  <c:v>0.800960192038362</c:v>
                </c:pt>
                <c:pt idx="4005">
                  <c:v>0.80116023204636355</c:v>
                </c:pt>
                <c:pt idx="4006">
                  <c:v>0.80136027205436511</c:v>
                </c:pt>
                <c:pt idx="4007">
                  <c:v>0.80156031206236666</c:v>
                </c:pt>
                <c:pt idx="4008">
                  <c:v>0.80176035207036822</c:v>
                </c:pt>
                <c:pt idx="4009">
                  <c:v>0.80196039207836978</c:v>
                </c:pt>
                <c:pt idx="4010">
                  <c:v>0.80216043208637133</c:v>
                </c:pt>
                <c:pt idx="4011">
                  <c:v>0.80236047209437289</c:v>
                </c:pt>
                <c:pt idx="4012">
                  <c:v>0.80256051210237445</c:v>
                </c:pt>
                <c:pt idx="4013">
                  <c:v>0.802760552110376</c:v>
                </c:pt>
                <c:pt idx="4014">
                  <c:v>0.80296059211837756</c:v>
                </c:pt>
                <c:pt idx="4015">
                  <c:v>0.80316063212637911</c:v>
                </c:pt>
                <c:pt idx="4016">
                  <c:v>0.80336067213438067</c:v>
                </c:pt>
                <c:pt idx="4017">
                  <c:v>0.80356071214238223</c:v>
                </c:pt>
                <c:pt idx="4018">
                  <c:v>0.80376075215038378</c:v>
                </c:pt>
                <c:pt idx="4019">
                  <c:v>0.80396079215838534</c:v>
                </c:pt>
                <c:pt idx="4020">
                  <c:v>0.8041608321663869</c:v>
                </c:pt>
                <c:pt idx="4021">
                  <c:v>0.80436087217438845</c:v>
                </c:pt>
                <c:pt idx="4022">
                  <c:v>0.80456091218239001</c:v>
                </c:pt>
                <c:pt idx="4023">
                  <c:v>0.80476095219039157</c:v>
                </c:pt>
                <c:pt idx="4024">
                  <c:v>0.80496099219839312</c:v>
                </c:pt>
                <c:pt idx="4025">
                  <c:v>0.80516103220639468</c:v>
                </c:pt>
                <c:pt idx="4026">
                  <c:v>0.80536107221439623</c:v>
                </c:pt>
                <c:pt idx="4027">
                  <c:v>0.80556111222239779</c:v>
                </c:pt>
                <c:pt idx="4028">
                  <c:v>0.80576115223039935</c:v>
                </c:pt>
                <c:pt idx="4029">
                  <c:v>0.8059611922384009</c:v>
                </c:pt>
                <c:pt idx="4030">
                  <c:v>0.80616123224640246</c:v>
                </c:pt>
                <c:pt idx="4031">
                  <c:v>0.80636127225440402</c:v>
                </c:pt>
                <c:pt idx="4032">
                  <c:v>0.80656131226240557</c:v>
                </c:pt>
                <c:pt idx="4033">
                  <c:v>0.80676135227040713</c:v>
                </c:pt>
                <c:pt idx="4034">
                  <c:v>0.80696139227840868</c:v>
                </c:pt>
                <c:pt idx="4035">
                  <c:v>0.80716143228641024</c:v>
                </c:pt>
                <c:pt idx="4036">
                  <c:v>0.8073614722944118</c:v>
                </c:pt>
                <c:pt idx="4037">
                  <c:v>0.80756151230241335</c:v>
                </c:pt>
                <c:pt idx="4038">
                  <c:v>0.80776155231041491</c:v>
                </c:pt>
                <c:pt idx="4039">
                  <c:v>0.80796159231841647</c:v>
                </c:pt>
                <c:pt idx="4040">
                  <c:v>0.80816163232641802</c:v>
                </c:pt>
                <c:pt idx="4041">
                  <c:v>0.80836167233441958</c:v>
                </c:pt>
                <c:pt idx="4042">
                  <c:v>0.80856171234242113</c:v>
                </c:pt>
                <c:pt idx="4043">
                  <c:v>0.80876175235042269</c:v>
                </c:pt>
                <c:pt idx="4044">
                  <c:v>0.80896179235842425</c:v>
                </c:pt>
                <c:pt idx="4045">
                  <c:v>0.8091618323664258</c:v>
                </c:pt>
                <c:pt idx="4046">
                  <c:v>0.80936187237442736</c:v>
                </c:pt>
                <c:pt idx="4047">
                  <c:v>0.80956191238242892</c:v>
                </c:pt>
                <c:pt idx="4048">
                  <c:v>0.80976195239043047</c:v>
                </c:pt>
                <c:pt idx="4049">
                  <c:v>0.80996199239843203</c:v>
                </c:pt>
                <c:pt idx="4050">
                  <c:v>0.81016203240643359</c:v>
                </c:pt>
                <c:pt idx="4051">
                  <c:v>0.81036207241443514</c:v>
                </c:pt>
                <c:pt idx="4052">
                  <c:v>0.8105621124224367</c:v>
                </c:pt>
                <c:pt idx="4053">
                  <c:v>0.81076215243043825</c:v>
                </c:pt>
                <c:pt idx="4054">
                  <c:v>0.81096219243843981</c:v>
                </c:pt>
                <c:pt idx="4055">
                  <c:v>0.81116223244644137</c:v>
                </c:pt>
                <c:pt idx="4056">
                  <c:v>0.81136227245444292</c:v>
                </c:pt>
                <c:pt idx="4057">
                  <c:v>0.81156231246244448</c:v>
                </c:pt>
                <c:pt idx="4058">
                  <c:v>0.81176235247044604</c:v>
                </c:pt>
                <c:pt idx="4059">
                  <c:v>0.81196239247844759</c:v>
                </c:pt>
                <c:pt idx="4060">
                  <c:v>0.81216243248644915</c:v>
                </c:pt>
                <c:pt idx="4061">
                  <c:v>0.8123624724944507</c:v>
                </c:pt>
                <c:pt idx="4062">
                  <c:v>0.81256251250245226</c:v>
                </c:pt>
                <c:pt idx="4063">
                  <c:v>0.81276255251045382</c:v>
                </c:pt>
                <c:pt idx="4064">
                  <c:v>0.81296259251845537</c:v>
                </c:pt>
                <c:pt idx="4065">
                  <c:v>0.81316263252645693</c:v>
                </c:pt>
                <c:pt idx="4066">
                  <c:v>0.81336267253445849</c:v>
                </c:pt>
                <c:pt idx="4067">
                  <c:v>0.81356271254246004</c:v>
                </c:pt>
                <c:pt idx="4068">
                  <c:v>0.8137627525504616</c:v>
                </c:pt>
                <c:pt idx="4069">
                  <c:v>0.81396279255846316</c:v>
                </c:pt>
                <c:pt idx="4070">
                  <c:v>0.81416283256646471</c:v>
                </c:pt>
                <c:pt idx="4071">
                  <c:v>0.81436287257446627</c:v>
                </c:pt>
                <c:pt idx="4072">
                  <c:v>0.81456291258246782</c:v>
                </c:pt>
                <c:pt idx="4073">
                  <c:v>0.81476295259046938</c:v>
                </c:pt>
                <c:pt idx="4074">
                  <c:v>0.81496299259847094</c:v>
                </c:pt>
                <c:pt idx="4075">
                  <c:v>0.81516303260647249</c:v>
                </c:pt>
                <c:pt idx="4076">
                  <c:v>0.81536307261447405</c:v>
                </c:pt>
                <c:pt idx="4077">
                  <c:v>0.81556311262247561</c:v>
                </c:pt>
                <c:pt idx="4078">
                  <c:v>0.81576315263047716</c:v>
                </c:pt>
                <c:pt idx="4079">
                  <c:v>0.81596319263847872</c:v>
                </c:pt>
                <c:pt idx="4080">
                  <c:v>0.81616323264648027</c:v>
                </c:pt>
                <c:pt idx="4081">
                  <c:v>0.81636327265448183</c:v>
                </c:pt>
                <c:pt idx="4082">
                  <c:v>0.81656331266248339</c:v>
                </c:pt>
                <c:pt idx="4083">
                  <c:v>0.81676335267048494</c:v>
                </c:pt>
                <c:pt idx="4084">
                  <c:v>0.8169633926784865</c:v>
                </c:pt>
                <c:pt idx="4085">
                  <c:v>0.81716343268648806</c:v>
                </c:pt>
                <c:pt idx="4086">
                  <c:v>0.81736347269448961</c:v>
                </c:pt>
                <c:pt idx="4087">
                  <c:v>0.81756351270249117</c:v>
                </c:pt>
                <c:pt idx="4088">
                  <c:v>0.81776355271049272</c:v>
                </c:pt>
                <c:pt idx="4089">
                  <c:v>0.81796359271849428</c:v>
                </c:pt>
                <c:pt idx="4090">
                  <c:v>0.81816363272649584</c:v>
                </c:pt>
                <c:pt idx="4091">
                  <c:v>0.81836367273449739</c:v>
                </c:pt>
                <c:pt idx="4092">
                  <c:v>0.81856371274249895</c:v>
                </c:pt>
                <c:pt idx="4093">
                  <c:v>0.81876375275050051</c:v>
                </c:pt>
                <c:pt idx="4094">
                  <c:v>0.81896379275850206</c:v>
                </c:pt>
                <c:pt idx="4095">
                  <c:v>0.81916383276650362</c:v>
                </c:pt>
                <c:pt idx="4096">
                  <c:v>0.81936387277450518</c:v>
                </c:pt>
                <c:pt idx="4097">
                  <c:v>0.81956391278250673</c:v>
                </c:pt>
                <c:pt idx="4098">
                  <c:v>0.81976395279050829</c:v>
                </c:pt>
                <c:pt idx="4099">
                  <c:v>0.81996399279850984</c:v>
                </c:pt>
                <c:pt idx="4100">
                  <c:v>0.8201640328065114</c:v>
                </c:pt>
                <c:pt idx="4101">
                  <c:v>0.82036407281451296</c:v>
                </c:pt>
                <c:pt idx="4102">
                  <c:v>0.82056411282251451</c:v>
                </c:pt>
                <c:pt idx="4103">
                  <c:v>0.82076415283051607</c:v>
                </c:pt>
                <c:pt idx="4104">
                  <c:v>0.82096419283851763</c:v>
                </c:pt>
                <c:pt idx="4105">
                  <c:v>0.82116423284651918</c:v>
                </c:pt>
                <c:pt idx="4106">
                  <c:v>0.82136427285452074</c:v>
                </c:pt>
                <c:pt idx="4107">
                  <c:v>0.82156431286252229</c:v>
                </c:pt>
                <c:pt idx="4108">
                  <c:v>0.82176435287052385</c:v>
                </c:pt>
                <c:pt idx="4109">
                  <c:v>0.82196439287852541</c:v>
                </c:pt>
                <c:pt idx="4110">
                  <c:v>0.82216443288652696</c:v>
                </c:pt>
                <c:pt idx="4111">
                  <c:v>0.82236447289452852</c:v>
                </c:pt>
                <c:pt idx="4112">
                  <c:v>0.82256451290253008</c:v>
                </c:pt>
                <c:pt idx="4113">
                  <c:v>0.82276455291053163</c:v>
                </c:pt>
                <c:pt idx="4114">
                  <c:v>0.82296459291853319</c:v>
                </c:pt>
                <c:pt idx="4115">
                  <c:v>0.82316463292653475</c:v>
                </c:pt>
                <c:pt idx="4116">
                  <c:v>0.8233646729345363</c:v>
                </c:pt>
                <c:pt idx="4117">
                  <c:v>0.82356471294253786</c:v>
                </c:pt>
                <c:pt idx="4118">
                  <c:v>0.82376475295053941</c:v>
                </c:pt>
                <c:pt idx="4119">
                  <c:v>0.82396479295854097</c:v>
                </c:pt>
                <c:pt idx="4120">
                  <c:v>0.82416483296654253</c:v>
                </c:pt>
                <c:pt idx="4121">
                  <c:v>0.82436487297454408</c:v>
                </c:pt>
                <c:pt idx="4122">
                  <c:v>0.82456491298254564</c:v>
                </c:pt>
                <c:pt idx="4123">
                  <c:v>0.8247649529905472</c:v>
                </c:pt>
                <c:pt idx="4124">
                  <c:v>0.82496499299854875</c:v>
                </c:pt>
                <c:pt idx="4125">
                  <c:v>0.82516503300655031</c:v>
                </c:pt>
                <c:pt idx="4126">
                  <c:v>0.82536507301455186</c:v>
                </c:pt>
                <c:pt idx="4127">
                  <c:v>0.82556511302255342</c:v>
                </c:pt>
                <c:pt idx="4128">
                  <c:v>0.82576515303055498</c:v>
                </c:pt>
                <c:pt idx="4129">
                  <c:v>0.82596519303855653</c:v>
                </c:pt>
                <c:pt idx="4130">
                  <c:v>0.82616523304655809</c:v>
                </c:pt>
                <c:pt idx="4131">
                  <c:v>0.82636527305455965</c:v>
                </c:pt>
                <c:pt idx="4132">
                  <c:v>0.8265653130625612</c:v>
                </c:pt>
                <c:pt idx="4133">
                  <c:v>0.82676535307056276</c:v>
                </c:pt>
                <c:pt idx="4134">
                  <c:v>0.82696539307856431</c:v>
                </c:pt>
                <c:pt idx="4135">
                  <c:v>0.82716543308656587</c:v>
                </c:pt>
                <c:pt idx="4136">
                  <c:v>0.82736547309456743</c:v>
                </c:pt>
                <c:pt idx="4137">
                  <c:v>0.82756551310256898</c:v>
                </c:pt>
                <c:pt idx="4138">
                  <c:v>0.82776555311057054</c:v>
                </c:pt>
                <c:pt idx="4139">
                  <c:v>0.8279655931185721</c:v>
                </c:pt>
                <c:pt idx="4140">
                  <c:v>0.82816563312657365</c:v>
                </c:pt>
                <c:pt idx="4141">
                  <c:v>0.82836567313457521</c:v>
                </c:pt>
                <c:pt idx="4142">
                  <c:v>0.82856571314257677</c:v>
                </c:pt>
                <c:pt idx="4143">
                  <c:v>0.82876575315057832</c:v>
                </c:pt>
                <c:pt idx="4144">
                  <c:v>0.82896579315857988</c:v>
                </c:pt>
                <c:pt idx="4145">
                  <c:v>0.82916583316658143</c:v>
                </c:pt>
                <c:pt idx="4146">
                  <c:v>0.82936587317458299</c:v>
                </c:pt>
                <c:pt idx="4147">
                  <c:v>0.82956591318258455</c:v>
                </c:pt>
                <c:pt idx="4148">
                  <c:v>0.8297659531905861</c:v>
                </c:pt>
                <c:pt idx="4149">
                  <c:v>0.82996599319858766</c:v>
                </c:pt>
                <c:pt idx="4150">
                  <c:v>0.83016603320658922</c:v>
                </c:pt>
                <c:pt idx="4151">
                  <c:v>0.83036607321459077</c:v>
                </c:pt>
                <c:pt idx="4152">
                  <c:v>0.83056611322259233</c:v>
                </c:pt>
                <c:pt idx="4153">
                  <c:v>0.83076615323059388</c:v>
                </c:pt>
                <c:pt idx="4154">
                  <c:v>0.83096619323859544</c:v>
                </c:pt>
                <c:pt idx="4155">
                  <c:v>0.831166233246597</c:v>
                </c:pt>
                <c:pt idx="4156">
                  <c:v>0.83136627325459855</c:v>
                </c:pt>
                <c:pt idx="4157">
                  <c:v>0.83156631326260011</c:v>
                </c:pt>
                <c:pt idx="4158">
                  <c:v>0.83176635327060167</c:v>
                </c:pt>
                <c:pt idx="4159">
                  <c:v>0.83196639327860322</c:v>
                </c:pt>
                <c:pt idx="4160">
                  <c:v>0.83216643328660478</c:v>
                </c:pt>
                <c:pt idx="4161">
                  <c:v>0.83236647329460633</c:v>
                </c:pt>
                <c:pt idx="4162">
                  <c:v>0.83256651330260789</c:v>
                </c:pt>
                <c:pt idx="4163">
                  <c:v>0.83276655331060945</c:v>
                </c:pt>
                <c:pt idx="4164">
                  <c:v>0.832966593318611</c:v>
                </c:pt>
                <c:pt idx="4165">
                  <c:v>0.83316663332661256</c:v>
                </c:pt>
                <c:pt idx="4166">
                  <c:v>0.83336667333461412</c:v>
                </c:pt>
                <c:pt idx="4167">
                  <c:v>0.83356671334261567</c:v>
                </c:pt>
                <c:pt idx="4168">
                  <c:v>0.83376675335061723</c:v>
                </c:pt>
                <c:pt idx="4169">
                  <c:v>0.83396679335861879</c:v>
                </c:pt>
                <c:pt idx="4170">
                  <c:v>0.83416683336662034</c:v>
                </c:pt>
                <c:pt idx="4171">
                  <c:v>0.8343668733746219</c:v>
                </c:pt>
                <c:pt idx="4172">
                  <c:v>0.83456691338262345</c:v>
                </c:pt>
                <c:pt idx="4173">
                  <c:v>0.83476695339062501</c:v>
                </c:pt>
                <c:pt idx="4174">
                  <c:v>0.83496699339862657</c:v>
                </c:pt>
                <c:pt idx="4175">
                  <c:v>0.83516703340662812</c:v>
                </c:pt>
                <c:pt idx="4176">
                  <c:v>0.83536707341462968</c:v>
                </c:pt>
                <c:pt idx="4177">
                  <c:v>0.83556711342263124</c:v>
                </c:pt>
                <c:pt idx="4178">
                  <c:v>0.83576715343063279</c:v>
                </c:pt>
                <c:pt idx="4179">
                  <c:v>0.83596719343863435</c:v>
                </c:pt>
                <c:pt idx="4180">
                  <c:v>0.8361672334466359</c:v>
                </c:pt>
                <c:pt idx="4181">
                  <c:v>0.83636727345463746</c:v>
                </c:pt>
                <c:pt idx="4182">
                  <c:v>0.83656731346263902</c:v>
                </c:pt>
                <c:pt idx="4183">
                  <c:v>0.83676735347064057</c:v>
                </c:pt>
                <c:pt idx="4184">
                  <c:v>0.83696739347864213</c:v>
                </c:pt>
                <c:pt idx="4185">
                  <c:v>0.83716743348664369</c:v>
                </c:pt>
                <c:pt idx="4186">
                  <c:v>0.83736747349464524</c:v>
                </c:pt>
                <c:pt idx="4187">
                  <c:v>0.8375675135026468</c:v>
                </c:pt>
                <c:pt idx="4188">
                  <c:v>0.83776755351064836</c:v>
                </c:pt>
                <c:pt idx="4189">
                  <c:v>0.83796759351864991</c:v>
                </c:pt>
                <c:pt idx="4190">
                  <c:v>0.83816763352665147</c:v>
                </c:pt>
                <c:pt idx="4191">
                  <c:v>0.83836767353465302</c:v>
                </c:pt>
                <c:pt idx="4192">
                  <c:v>0.83856771354265458</c:v>
                </c:pt>
                <c:pt idx="4193">
                  <c:v>0.83876775355065614</c:v>
                </c:pt>
                <c:pt idx="4194">
                  <c:v>0.83896779355865769</c:v>
                </c:pt>
                <c:pt idx="4195">
                  <c:v>0.83916783356665925</c:v>
                </c:pt>
                <c:pt idx="4196">
                  <c:v>0.83936787357466081</c:v>
                </c:pt>
                <c:pt idx="4197">
                  <c:v>0.83956791358266236</c:v>
                </c:pt>
                <c:pt idx="4198">
                  <c:v>0.83976795359066392</c:v>
                </c:pt>
                <c:pt idx="4199">
                  <c:v>0.83996799359866547</c:v>
                </c:pt>
                <c:pt idx="4200">
                  <c:v>0.84016803360666703</c:v>
                </c:pt>
                <c:pt idx="4201">
                  <c:v>0.84036807361466859</c:v>
                </c:pt>
                <c:pt idx="4202">
                  <c:v>0.84056811362267014</c:v>
                </c:pt>
                <c:pt idx="4203">
                  <c:v>0.8407681536306717</c:v>
                </c:pt>
                <c:pt idx="4204">
                  <c:v>0.84096819363867326</c:v>
                </c:pt>
                <c:pt idx="4205">
                  <c:v>0.84116823364667481</c:v>
                </c:pt>
                <c:pt idx="4206">
                  <c:v>0.84136827365467637</c:v>
                </c:pt>
                <c:pt idx="4207">
                  <c:v>0.84156831366267792</c:v>
                </c:pt>
                <c:pt idx="4208">
                  <c:v>0.84176835367067948</c:v>
                </c:pt>
                <c:pt idx="4209">
                  <c:v>0.84196839367868104</c:v>
                </c:pt>
                <c:pt idx="4210">
                  <c:v>0.84216843368668259</c:v>
                </c:pt>
                <c:pt idx="4211">
                  <c:v>0.84236847369468415</c:v>
                </c:pt>
                <c:pt idx="4212">
                  <c:v>0.84256851370268571</c:v>
                </c:pt>
                <c:pt idx="4213">
                  <c:v>0.84276855371068726</c:v>
                </c:pt>
                <c:pt idx="4214">
                  <c:v>0.84296859371868882</c:v>
                </c:pt>
                <c:pt idx="4215">
                  <c:v>0.84316863372669038</c:v>
                </c:pt>
                <c:pt idx="4216">
                  <c:v>0.84336867373469193</c:v>
                </c:pt>
                <c:pt idx="4217">
                  <c:v>0.84356871374269349</c:v>
                </c:pt>
                <c:pt idx="4218">
                  <c:v>0.84376875375069504</c:v>
                </c:pt>
                <c:pt idx="4219">
                  <c:v>0.8439687937586966</c:v>
                </c:pt>
                <c:pt idx="4220">
                  <c:v>0.84416883376669816</c:v>
                </c:pt>
                <c:pt idx="4221">
                  <c:v>0.84436887377469971</c:v>
                </c:pt>
                <c:pt idx="4222">
                  <c:v>0.84456891378270127</c:v>
                </c:pt>
                <c:pt idx="4223">
                  <c:v>0.84476895379070283</c:v>
                </c:pt>
                <c:pt idx="4224">
                  <c:v>0.84496899379870438</c:v>
                </c:pt>
                <c:pt idx="4225">
                  <c:v>0.84516903380670594</c:v>
                </c:pt>
                <c:pt idx="4226">
                  <c:v>0.84536907381470749</c:v>
                </c:pt>
                <c:pt idx="4227">
                  <c:v>0.84556911382270905</c:v>
                </c:pt>
                <c:pt idx="4228">
                  <c:v>0.84576915383071061</c:v>
                </c:pt>
                <c:pt idx="4229">
                  <c:v>0.84596919383871216</c:v>
                </c:pt>
                <c:pt idx="4230">
                  <c:v>0.84616923384671372</c:v>
                </c:pt>
                <c:pt idx="4231">
                  <c:v>0.84636927385471528</c:v>
                </c:pt>
                <c:pt idx="4232">
                  <c:v>0.84656931386271683</c:v>
                </c:pt>
                <c:pt idx="4233">
                  <c:v>0.84676935387071839</c:v>
                </c:pt>
                <c:pt idx="4234">
                  <c:v>0.84696939387871994</c:v>
                </c:pt>
                <c:pt idx="4235">
                  <c:v>0.8471694338867215</c:v>
                </c:pt>
                <c:pt idx="4236">
                  <c:v>0.84736947389472306</c:v>
                </c:pt>
                <c:pt idx="4237">
                  <c:v>0.84756951390272461</c:v>
                </c:pt>
                <c:pt idx="4238">
                  <c:v>0.84776955391072617</c:v>
                </c:pt>
                <c:pt idx="4239">
                  <c:v>0.84796959391872773</c:v>
                </c:pt>
                <c:pt idx="4240">
                  <c:v>0.84816963392672928</c:v>
                </c:pt>
                <c:pt idx="4241">
                  <c:v>0.84836967393473084</c:v>
                </c:pt>
                <c:pt idx="4242">
                  <c:v>0.8485697139427324</c:v>
                </c:pt>
                <c:pt idx="4243">
                  <c:v>0.84876975395073395</c:v>
                </c:pt>
                <c:pt idx="4244">
                  <c:v>0.84896979395873551</c:v>
                </c:pt>
                <c:pt idx="4245">
                  <c:v>0.84916983396673706</c:v>
                </c:pt>
                <c:pt idx="4246">
                  <c:v>0.84936987397473862</c:v>
                </c:pt>
                <c:pt idx="4247">
                  <c:v>0.84956991398274018</c:v>
                </c:pt>
                <c:pt idx="4248">
                  <c:v>0.84976995399074173</c:v>
                </c:pt>
                <c:pt idx="4249">
                  <c:v>0.84996999399874329</c:v>
                </c:pt>
                <c:pt idx="4250">
                  <c:v>0.85017003400674485</c:v>
                </c:pt>
                <c:pt idx="4251">
                  <c:v>0.8503700740147464</c:v>
                </c:pt>
                <c:pt idx="4252">
                  <c:v>0.85057011402274796</c:v>
                </c:pt>
                <c:pt idx="4253">
                  <c:v>0.85077015403074951</c:v>
                </c:pt>
                <c:pt idx="4254">
                  <c:v>0.85097019403875107</c:v>
                </c:pt>
                <c:pt idx="4255">
                  <c:v>0.85117023404675263</c:v>
                </c:pt>
                <c:pt idx="4256">
                  <c:v>0.85137027405475418</c:v>
                </c:pt>
                <c:pt idx="4257">
                  <c:v>0.85157031406275574</c:v>
                </c:pt>
                <c:pt idx="4258">
                  <c:v>0.8517703540707573</c:v>
                </c:pt>
                <c:pt idx="4259">
                  <c:v>0.85197039407875885</c:v>
                </c:pt>
                <c:pt idx="4260">
                  <c:v>0.85217043408676041</c:v>
                </c:pt>
                <c:pt idx="4261">
                  <c:v>0.85237047409476197</c:v>
                </c:pt>
                <c:pt idx="4262">
                  <c:v>0.85257051410276352</c:v>
                </c:pt>
                <c:pt idx="4263">
                  <c:v>0.85277055411076508</c:v>
                </c:pt>
                <c:pt idx="4264">
                  <c:v>0.85297059411876663</c:v>
                </c:pt>
                <c:pt idx="4265">
                  <c:v>0.85317063412676819</c:v>
                </c:pt>
                <c:pt idx="4266">
                  <c:v>0.85337067413476975</c:v>
                </c:pt>
                <c:pt idx="4267">
                  <c:v>0.8535707141427713</c:v>
                </c:pt>
                <c:pt idx="4268">
                  <c:v>0.85377075415077286</c:v>
                </c:pt>
                <c:pt idx="4269">
                  <c:v>0.85397079415877442</c:v>
                </c:pt>
                <c:pt idx="4270">
                  <c:v>0.85417083416677597</c:v>
                </c:pt>
                <c:pt idx="4271">
                  <c:v>0.85437087417477753</c:v>
                </c:pt>
                <c:pt idx="4272">
                  <c:v>0.85457091418277908</c:v>
                </c:pt>
                <c:pt idx="4273">
                  <c:v>0.85477095419078064</c:v>
                </c:pt>
                <c:pt idx="4274">
                  <c:v>0.8549709941987822</c:v>
                </c:pt>
                <c:pt idx="4275">
                  <c:v>0.85517103420678375</c:v>
                </c:pt>
                <c:pt idx="4276">
                  <c:v>0.85537107421478531</c:v>
                </c:pt>
                <c:pt idx="4277">
                  <c:v>0.85557111422278687</c:v>
                </c:pt>
                <c:pt idx="4278">
                  <c:v>0.85577115423078842</c:v>
                </c:pt>
                <c:pt idx="4279">
                  <c:v>0.85597119423878998</c:v>
                </c:pt>
                <c:pt idx="4280">
                  <c:v>0.85617123424679153</c:v>
                </c:pt>
                <c:pt idx="4281">
                  <c:v>0.85637127425479309</c:v>
                </c:pt>
                <c:pt idx="4282">
                  <c:v>0.85657131426279465</c:v>
                </c:pt>
                <c:pt idx="4283">
                  <c:v>0.8567713542707962</c:v>
                </c:pt>
                <c:pt idx="4284">
                  <c:v>0.85697139427879776</c:v>
                </c:pt>
                <c:pt idx="4285">
                  <c:v>0.85717143428679932</c:v>
                </c:pt>
                <c:pt idx="4286">
                  <c:v>0.85737147429480087</c:v>
                </c:pt>
                <c:pt idx="4287">
                  <c:v>0.85757151430280243</c:v>
                </c:pt>
                <c:pt idx="4288">
                  <c:v>0.85777155431080399</c:v>
                </c:pt>
                <c:pt idx="4289">
                  <c:v>0.85797159431880554</c:v>
                </c:pt>
                <c:pt idx="4290">
                  <c:v>0.8581716343268071</c:v>
                </c:pt>
                <c:pt idx="4291">
                  <c:v>0.85837167433480865</c:v>
                </c:pt>
                <c:pt idx="4292">
                  <c:v>0.85857171434281021</c:v>
                </c:pt>
                <c:pt idx="4293">
                  <c:v>0.85877175435081177</c:v>
                </c:pt>
                <c:pt idx="4294">
                  <c:v>0.85897179435881332</c:v>
                </c:pt>
                <c:pt idx="4295">
                  <c:v>0.85917183436681488</c:v>
                </c:pt>
                <c:pt idx="4296">
                  <c:v>0.85937187437481644</c:v>
                </c:pt>
                <c:pt idx="4297">
                  <c:v>0.85957191438281799</c:v>
                </c:pt>
                <c:pt idx="4298">
                  <c:v>0.85977195439081955</c:v>
                </c:pt>
                <c:pt idx="4299">
                  <c:v>0.8599719943988211</c:v>
                </c:pt>
                <c:pt idx="4300">
                  <c:v>0.86017203440682266</c:v>
                </c:pt>
                <c:pt idx="4301">
                  <c:v>0.86037207441482422</c:v>
                </c:pt>
                <c:pt idx="4302">
                  <c:v>0.86057211442282577</c:v>
                </c:pt>
                <c:pt idx="4303">
                  <c:v>0.86077215443082733</c:v>
                </c:pt>
                <c:pt idx="4304">
                  <c:v>0.86097219443882889</c:v>
                </c:pt>
                <c:pt idx="4305">
                  <c:v>0.86117223444683044</c:v>
                </c:pt>
                <c:pt idx="4306">
                  <c:v>0.861372274454832</c:v>
                </c:pt>
                <c:pt idx="4307">
                  <c:v>0.86157231446283356</c:v>
                </c:pt>
                <c:pt idx="4308">
                  <c:v>0.86177235447083511</c:v>
                </c:pt>
                <c:pt idx="4309">
                  <c:v>0.86197239447883667</c:v>
                </c:pt>
                <c:pt idx="4310">
                  <c:v>0.86217243448683822</c:v>
                </c:pt>
                <c:pt idx="4311">
                  <c:v>0.86237247449483978</c:v>
                </c:pt>
                <c:pt idx="4312">
                  <c:v>0.86257251450284134</c:v>
                </c:pt>
                <c:pt idx="4313">
                  <c:v>0.86277255451084289</c:v>
                </c:pt>
                <c:pt idx="4314">
                  <c:v>0.86297259451884445</c:v>
                </c:pt>
                <c:pt idx="4315">
                  <c:v>0.86317263452684601</c:v>
                </c:pt>
                <c:pt idx="4316">
                  <c:v>0.86337267453484756</c:v>
                </c:pt>
                <c:pt idx="4317">
                  <c:v>0.86357271454284912</c:v>
                </c:pt>
                <c:pt idx="4318">
                  <c:v>0.86377275455085067</c:v>
                </c:pt>
                <c:pt idx="4319">
                  <c:v>0.86397279455885223</c:v>
                </c:pt>
                <c:pt idx="4320">
                  <c:v>0.86417283456685379</c:v>
                </c:pt>
                <c:pt idx="4321">
                  <c:v>0.86437287457485534</c:v>
                </c:pt>
                <c:pt idx="4322">
                  <c:v>0.8645729145828569</c:v>
                </c:pt>
                <c:pt idx="4323">
                  <c:v>0.86477295459085846</c:v>
                </c:pt>
                <c:pt idx="4324">
                  <c:v>0.86497299459886001</c:v>
                </c:pt>
                <c:pt idx="4325">
                  <c:v>0.86517303460686157</c:v>
                </c:pt>
                <c:pt idx="4326">
                  <c:v>0.86537307461486312</c:v>
                </c:pt>
                <c:pt idx="4327">
                  <c:v>0.86557311462286468</c:v>
                </c:pt>
                <c:pt idx="4328">
                  <c:v>0.86577315463086624</c:v>
                </c:pt>
                <c:pt idx="4329">
                  <c:v>0.86597319463886779</c:v>
                </c:pt>
                <c:pt idx="4330">
                  <c:v>0.86617323464686935</c:v>
                </c:pt>
                <c:pt idx="4331">
                  <c:v>0.86637327465487091</c:v>
                </c:pt>
                <c:pt idx="4332">
                  <c:v>0.86657331466287246</c:v>
                </c:pt>
                <c:pt idx="4333">
                  <c:v>0.86677335467087402</c:v>
                </c:pt>
                <c:pt idx="4334">
                  <c:v>0.86697339467887558</c:v>
                </c:pt>
                <c:pt idx="4335">
                  <c:v>0.86717343468687713</c:v>
                </c:pt>
                <c:pt idx="4336">
                  <c:v>0.86737347469487869</c:v>
                </c:pt>
                <c:pt idx="4337">
                  <c:v>0.86757351470288024</c:v>
                </c:pt>
                <c:pt idx="4338">
                  <c:v>0.8677735547108818</c:v>
                </c:pt>
                <c:pt idx="4339">
                  <c:v>0.86797359471888336</c:v>
                </c:pt>
                <c:pt idx="4340">
                  <c:v>0.86817363472688491</c:v>
                </c:pt>
                <c:pt idx="4341">
                  <c:v>0.86837367473488647</c:v>
                </c:pt>
                <c:pt idx="4342">
                  <c:v>0.86857371474288803</c:v>
                </c:pt>
                <c:pt idx="4343">
                  <c:v>0.86877375475088958</c:v>
                </c:pt>
                <c:pt idx="4344">
                  <c:v>0.86897379475889114</c:v>
                </c:pt>
                <c:pt idx="4345">
                  <c:v>0.86917383476689269</c:v>
                </c:pt>
                <c:pt idx="4346">
                  <c:v>0.86937387477489425</c:v>
                </c:pt>
                <c:pt idx="4347">
                  <c:v>0.86957391478289581</c:v>
                </c:pt>
                <c:pt idx="4348">
                  <c:v>0.86977395479089736</c:v>
                </c:pt>
                <c:pt idx="4349">
                  <c:v>0.86997399479889892</c:v>
                </c:pt>
                <c:pt idx="4350">
                  <c:v>0.87017403480690048</c:v>
                </c:pt>
                <c:pt idx="4351">
                  <c:v>0.87037407481490203</c:v>
                </c:pt>
                <c:pt idx="4352">
                  <c:v>0.87057411482290359</c:v>
                </c:pt>
                <c:pt idx="4353">
                  <c:v>0.87077415483090514</c:v>
                </c:pt>
                <c:pt idx="4354">
                  <c:v>0.8709741948389067</c:v>
                </c:pt>
                <c:pt idx="4355">
                  <c:v>0.87117423484690826</c:v>
                </c:pt>
                <c:pt idx="4356">
                  <c:v>0.87137427485490981</c:v>
                </c:pt>
                <c:pt idx="4357">
                  <c:v>0.87157431486291137</c:v>
                </c:pt>
                <c:pt idx="4358">
                  <c:v>0.87177435487091293</c:v>
                </c:pt>
                <c:pt idx="4359">
                  <c:v>0.87197439487891448</c:v>
                </c:pt>
                <c:pt idx="4360">
                  <c:v>0.87217443488691604</c:v>
                </c:pt>
                <c:pt idx="4361">
                  <c:v>0.8723744748949176</c:v>
                </c:pt>
                <c:pt idx="4362">
                  <c:v>0.87257451490291915</c:v>
                </c:pt>
                <c:pt idx="4363">
                  <c:v>0.87277455491092071</c:v>
                </c:pt>
                <c:pt idx="4364">
                  <c:v>0.87297459491892226</c:v>
                </c:pt>
                <c:pt idx="4365">
                  <c:v>0.87317463492692382</c:v>
                </c:pt>
                <c:pt idx="4366">
                  <c:v>0.87337467493492538</c:v>
                </c:pt>
                <c:pt idx="4367">
                  <c:v>0.87357471494292693</c:v>
                </c:pt>
                <c:pt idx="4368">
                  <c:v>0.87377475495092849</c:v>
                </c:pt>
                <c:pt idx="4369">
                  <c:v>0.87397479495893005</c:v>
                </c:pt>
                <c:pt idx="4370">
                  <c:v>0.8741748349669316</c:v>
                </c:pt>
                <c:pt idx="4371">
                  <c:v>0.87437487497493316</c:v>
                </c:pt>
                <c:pt idx="4372">
                  <c:v>0.87457491498293471</c:v>
                </c:pt>
                <c:pt idx="4373">
                  <c:v>0.87477495499093627</c:v>
                </c:pt>
                <c:pt idx="4374">
                  <c:v>0.87497499499893783</c:v>
                </c:pt>
                <c:pt idx="4375">
                  <c:v>0.87517503500693938</c:v>
                </c:pt>
                <c:pt idx="4376">
                  <c:v>0.87537507501494094</c:v>
                </c:pt>
                <c:pt idx="4377">
                  <c:v>0.8755751150229425</c:v>
                </c:pt>
                <c:pt idx="4378">
                  <c:v>0.87577515503094405</c:v>
                </c:pt>
                <c:pt idx="4379">
                  <c:v>0.87597519503894561</c:v>
                </c:pt>
                <c:pt idx="4380">
                  <c:v>0.87617523504694717</c:v>
                </c:pt>
                <c:pt idx="4381">
                  <c:v>0.87637527505494872</c:v>
                </c:pt>
                <c:pt idx="4382">
                  <c:v>0.87657531506295028</c:v>
                </c:pt>
                <c:pt idx="4383">
                  <c:v>0.87677535507095183</c:v>
                </c:pt>
                <c:pt idx="4384">
                  <c:v>0.87697539507895339</c:v>
                </c:pt>
                <c:pt idx="4385">
                  <c:v>0.87717543508695495</c:v>
                </c:pt>
                <c:pt idx="4386">
                  <c:v>0.8773754750949565</c:v>
                </c:pt>
                <c:pt idx="4387">
                  <c:v>0.87757551510295806</c:v>
                </c:pt>
                <c:pt idx="4388">
                  <c:v>0.87777555511095962</c:v>
                </c:pt>
                <c:pt idx="4389">
                  <c:v>0.87797559511896117</c:v>
                </c:pt>
                <c:pt idx="4390">
                  <c:v>0.87817563512696273</c:v>
                </c:pt>
                <c:pt idx="4391">
                  <c:v>0.87837567513496428</c:v>
                </c:pt>
                <c:pt idx="4392">
                  <c:v>0.87857571514296584</c:v>
                </c:pt>
                <c:pt idx="4393">
                  <c:v>0.8787757551509674</c:v>
                </c:pt>
                <c:pt idx="4394">
                  <c:v>0.87897579515896895</c:v>
                </c:pt>
                <c:pt idx="4395">
                  <c:v>0.87917583516697051</c:v>
                </c:pt>
                <c:pt idx="4396">
                  <c:v>0.87937587517497207</c:v>
                </c:pt>
                <c:pt idx="4397">
                  <c:v>0.87957591518297362</c:v>
                </c:pt>
                <c:pt idx="4398">
                  <c:v>0.87977595519097518</c:v>
                </c:pt>
                <c:pt idx="4399">
                  <c:v>0.87997599519897673</c:v>
                </c:pt>
                <c:pt idx="4400">
                  <c:v>0.88017603520697829</c:v>
                </c:pt>
                <c:pt idx="4401">
                  <c:v>0.88037607521497985</c:v>
                </c:pt>
                <c:pt idx="4402">
                  <c:v>0.8805761152229814</c:v>
                </c:pt>
                <c:pt idx="4403">
                  <c:v>0.88077615523098296</c:v>
                </c:pt>
                <c:pt idx="4404">
                  <c:v>0.88097619523898452</c:v>
                </c:pt>
                <c:pt idx="4405">
                  <c:v>0.88117623524698607</c:v>
                </c:pt>
                <c:pt idx="4406">
                  <c:v>0.88137627525498763</c:v>
                </c:pt>
                <c:pt idx="4407">
                  <c:v>0.88157631526298919</c:v>
                </c:pt>
                <c:pt idx="4408">
                  <c:v>0.88177635527099074</c:v>
                </c:pt>
                <c:pt idx="4409">
                  <c:v>0.8819763952789923</c:v>
                </c:pt>
                <c:pt idx="4410">
                  <c:v>0.88217643528699385</c:v>
                </c:pt>
                <c:pt idx="4411">
                  <c:v>0.88237647529499541</c:v>
                </c:pt>
                <c:pt idx="4412">
                  <c:v>0.88257651530299697</c:v>
                </c:pt>
                <c:pt idx="4413">
                  <c:v>0.88277655531099852</c:v>
                </c:pt>
                <c:pt idx="4414">
                  <c:v>0.88297659531900008</c:v>
                </c:pt>
                <c:pt idx="4415">
                  <c:v>0.88317663532700164</c:v>
                </c:pt>
                <c:pt idx="4416">
                  <c:v>0.88337667533500319</c:v>
                </c:pt>
                <c:pt idx="4417">
                  <c:v>0.88357671534300475</c:v>
                </c:pt>
                <c:pt idx="4418">
                  <c:v>0.8837767553510063</c:v>
                </c:pt>
                <c:pt idx="4419">
                  <c:v>0.88397679535900786</c:v>
                </c:pt>
                <c:pt idx="4420">
                  <c:v>0.88417683536700942</c:v>
                </c:pt>
                <c:pt idx="4421">
                  <c:v>0.88437687537501097</c:v>
                </c:pt>
                <c:pt idx="4422">
                  <c:v>0.88457691538301253</c:v>
                </c:pt>
                <c:pt idx="4423">
                  <c:v>0.88477695539101409</c:v>
                </c:pt>
                <c:pt idx="4424">
                  <c:v>0.88497699539901564</c:v>
                </c:pt>
                <c:pt idx="4425">
                  <c:v>0.8851770354070172</c:v>
                </c:pt>
                <c:pt idx="4426">
                  <c:v>0.88537707541501875</c:v>
                </c:pt>
                <c:pt idx="4427">
                  <c:v>0.88557711542302031</c:v>
                </c:pt>
                <c:pt idx="4428">
                  <c:v>0.88577715543102187</c:v>
                </c:pt>
                <c:pt idx="4429">
                  <c:v>0.88597719543902342</c:v>
                </c:pt>
                <c:pt idx="4430">
                  <c:v>0.88617723544702498</c:v>
                </c:pt>
                <c:pt idx="4431">
                  <c:v>0.88637727545502654</c:v>
                </c:pt>
                <c:pt idx="4432">
                  <c:v>0.88657731546302809</c:v>
                </c:pt>
                <c:pt idx="4433">
                  <c:v>0.88677735547102965</c:v>
                </c:pt>
                <c:pt idx="4434">
                  <c:v>0.88697739547903121</c:v>
                </c:pt>
                <c:pt idx="4435">
                  <c:v>0.88717743548703276</c:v>
                </c:pt>
                <c:pt idx="4436">
                  <c:v>0.88737747549503432</c:v>
                </c:pt>
                <c:pt idx="4437">
                  <c:v>0.88757751550303587</c:v>
                </c:pt>
                <c:pt idx="4438">
                  <c:v>0.88777755551103743</c:v>
                </c:pt>
                <c:pt idx="4439">
                  <c:v>0.88797759551903899</c:v>
                </c:pt>
                <c:pt idx="4440">
                  <c:v>0.88817763552704054</c:v>
                </c:pt>
                <c:pt idx="4441">
                  <c:v>0.8883776755350421</c:v>
                </c:pt>
                <c:pt idx="4442">
                  <c:v>0.88857771554304366</c:v>
                </c:pt>
                <c:pt idx="4443">
                  <c:v>0.88877775555104521</c:v>
                </c:pt>
                <c:pt idx="4444">
                  <c:v>0.88897779555904677</c:v>
                </c:pt>
                <c:pt idx="4445">
                  <c:v>0.88917783556704832</c:v>
                </c:pt>
                <c:pt idx="4446">
                  <c:v>0.88937787557504988</c:v>
                </c:pt>
                <c:pt idx="4447">
                  <c:v>0.88957791558305144</c:v>
                </c:pt>
                <c:pt idx="4448">
                  <c:v>0.88977795559105299</c:v>
                </c:pt>
                <c:pt idx="4449">
                  <c:v>0.88997799559905455</c:v>
                </c:pt>
                <c:pt idx="4450">
                  <c:v>0.89017803560705611</c:v>
                </c:pt>
                <c:pt idx="4451">
                  <c:v>0.89037807561505766</c:v>
                </c:pt>
                <c:pt idx="4452">
                  <c:v>0.89057811562305922</c:v>
                </c:pt>
                <c:pt idx="4453">
                  <c:v>0.89077815563106078</c:v>
                </c:pt>
                <c:pt idx="4454">
                  <c:v>0.89097819563906233</c:v>
                </c:pt>
                <c:pt idx="4455">
                  <c:v>0.89117823564706389</c:v>
                </c:pt>
                <c:pt idx="4456">
                  <c:v>0.89137827565506544</c:v>
                </c:pt>
                <c:pt idx="4457">
                  <c:v>0.891578315663067</c:v>
                </c:pt>
                <c:pt idx="4458">
                  <c:v>0.89177835567106856</c:v>
                </c:pt>
                <c:pt idx="4459">
                  <c:v>0.89197839567907011</c:v>
                </c:pt>
                <c:pt idx="4460">
                  <c:v>0.89217843568707167</c:v>
                </c:pt>
                <c:pt idx="4461">
                  <c:v>0.89237847569507323</c:v>
                </c:pt>
                <c:pt idx="4462">
                  <c:v>0.89257851570307478</c:v>
                </c:pt>
                <c:pt idx="4463">
                  <c:v>0.89277855571107634</c:v>
                </c:pt>
                <c:pt idx="4464">
                  <c:v>0.89297859571907789</c:v>
                </c:pt>
                <c:pt idx="4465">
                  <c:v>0.89317863572707945</c:v>
                </c:pt>
                <c:pt idx="4466">
                  <c:v>0.89337867573508101</c:v>
                </c:pt>
                <c:pt idx="4467">
                  <c:v>0.89357871574308256</c:v>
                </c:pt>
                <c:pt idx="4468">
                  <c:v>0.89377875575108412</c:v>
                </c:pt>
                <c:pt idx="4469">
                  <c:v>0.89397879575908568</c:v>
                </c:pt>
                <c:pt idx="4470">
                  <c:v>0.89417883576708723</c:v>
                </c:pt>
                <c:pt idx="4471">
                  <c:v>0.89437887577508879</c:v>
                </c:pt>
                <c:pt idx="4472">
                  <c:v>0.89457891578309034</c:v>
                </c:pt>
                <c:pt idx="4473">
                  <c:v>0.8947789557910919</c:v>
                </c:pt>
                <c:pt idx="4474">
                  <c:v>0.89497899579909346</c:v>
                </c:pt>
                <c:pt idx="4475">
                  <c:v>0.89517903580709501</c:v>
                </c:pt>
                <c:pt idx="4476">
                  <c:v>0.89537907581509657</c:v>
                </c:pt>
                <c:pt idx="4477">
                  <c:v>0.89557911582309813</c:v>
                </c:pt>
                <c:pt idx="4478">
                  <c:v>0.89577915583109968</c:v>
                </c:pt>
                <c:pt idx="4479">
                  <c:v>0.89597919583910124</c:v>
                </c:pt>
                <c:pt idx="4480">
                  <c:v>0.8961792358471028</c:v>
                </c:pt>
                <c:pt idx="4481">
                  <c:v>0.89637927585510435</c:v>
                </c:pt>
                <c:pt idx="4482">
                  <c:v>0.89657931586310591</c:v>
                </c:pt>
                <c:pt idx="4483">
                  <c:v>0.89677935587110746</c:v>
                </c:pt>
                <c:pt idx="4484">
                  <c:v>0.89697939587910902</c:v>
                </c:pt>
                <c:pt idx="4485">
                  <c:v>0.89717943588711058</c:v>
                </c:pt>
                <c:pt idx="4486">
                  <c:v>0.89737947589511213</c:v>
                </c:pt>
                <c:pt idx="4487">
                  <c:v>0.89757951590311369</c:v>
                </c:pt>
                <c:pt idx="4488">
                  <c:v>0.89777955591111525</c:v>
                </c:pt>
                <c:pt idx="4489">
                  <c:v>0.8979795959191168</c:v>
                </c:pt>
                <c:pt idx="4490">
                  <c:v>0.89817963592711836</c:v>
                </c:pt>
                <c:pt idx="4491">
                  <c:v>0.89837967593511991</c:v>
                </c:pt>
                <c:pt idx="4492">
                  <c:v>0.89857971594312147</c:v>
                </c:pt>
                <c:pt idx="4493">
                  <c:v>0.89877975595112303</c:v>
                </c:pt>
                <c:pt idx="4494">
                  <c:v>0.89897979595912458</c:v>
                </c:pt>
                <c:pt idx="4495">
                  <c:v>0.89917983596712614</c:v>
                </c:pt>
                <c:pt idx="4496">
                  <c:v>0.8993798759751277</c:v>
                </c:pt>
                <c:pt idx="4497">
                  <c:v>0.89957991598312925</c:v>
                </c:pt>
                <c:pt idx="4498">
                  <c:v>0.89977995599113081</c:v>
                </c:pt>
                <c:pt idx="4499">
                  <c:v>0.89997999599913237</c:v>
                </c:pt>
                <c:pt idx="4500">
                  <c:v>0.90018003600713392</c:v>
                </c:pt>
                <c:pt idx="4501">
                  <c:v>0.90038007601513548</c:v>
                </c:pt>
                <c:pt idx="4502">
                  <c:v>0.90058011602313703</c:v>
                </c:pt>
                <c:pt idx="4503">
                  <c:v>0.90078015603113859</c:v>
                </c:pt>
                <c:pt idx="4504">
                  <c:v>0.90098019603914015</c:v>
                </c:pt>
                <c:pt idx="4505">
                  <c:v>0.9011802360471417</c:v>
                </c:pt>
                <c:pt idx="4506">
                  <c:v>0.90138027605514326</c:v>
                </c:pt>
                <c:pt idx="4507">
                  <c:v>0.90158031606314482</c:v>
                </c:pt>
                <c:pt idx="4508">
                  <c:v>0.90178035607114637</c:v>
                </c:pt>
                <c:pt idx="4509">
                  <c:v>0.90198039607914793</c:v>
                </c:pt>
                <c:pt idx="4510">
                  <c:v>0.90218043608714948</c:v>
                </c:pt>
                <c:pt idx="4511">
                  <c:v>0.90238047609515104</c:v>
                </c:pt>
                <c:pt idx="4512">
                  <c:v>0.9025805161031526</c:v>
                </c:pt>
                <c:pt idx="4513">
                  <c:v>0.90278055611115415</c:v>
                </c:pt>
                <c:pt idx="4514">
                  <c:v>0.90298059611915571</c:v>
                </c:pt>
                <c:pt idx="4515">
                  <c:v>0.90318063612715727</c:v>
                </c:pt>
                <c:pt idx="4516">
                  <c:v>0.90338067613515882</c:v>
                </c:pt>
                <c:pt idx="4517">
                  <c:v>0.90358071614316038</c:v>
                </c:pt>
                <c:pt idx="4518">
                  <c:v>0.90378075615116193</c:v>
                </c:pt>
                <c:pt idx="4519">
                  <c:v>0.90398079615916349</c:v>
                </c:pt>
                <c:pt idx="4520">
                  <c:v>0.90418083616716505</c:v>
                </c:pt>
                <c:pt idx="4521">
                  <c:v>0.9043808761751666</c:v>
                </c:pt>
                <c:pt idx="4522">
                  <c:v>0.90458091618316816</c:v>
                </c:pt>
                <c:pt idx="4523">
                  <c:v>0.90478095619116972</c:v>
                </c:pt>
                <c:pt idx="4524">
                  <c:v>0.90498099619917127</c:v>
                </c:pt>
                <c:pt idx="4525">
                  <c:v>0.90518103620717283</c:v>
                </c:pt>
                <c:pt idx="4526">
                  <c:v>0.90538107621517439</c:v>
                </c:pt>
                <c:pt idx="4527">
                  <c:v>0.90558111622317594</c:v>
                </c:pt>
                <c:pt idx="4528">
                  <c:v>0.9057811562311775</c:v>
                </c:pt>
                <c:pt idx="4529">
                  <c:v>0.90598119623917905</c:v>
                </c:pt>
                <c:pt idx="4530">
                  <c:v>0.90618123624718061</c:v>
                </c:pt>
                <c:pt idx="4531">
                  <c:v>0.90638127625518217</c:v>
                </c:pt>
                <c:pt idx="4532">
                  <c:v>0.90658131626318372</c:v>
                </c:pt>
                <c:pt idx="4533">
                  <c:v>0.90678135627118528</c:v>
                </c:pt>
                <c:pt idx="4534">
                  <c:v>0.90698139627918684</c:v>
                </c:pt>
                <c:pt idx="4535">
                  <c:v>0.90718143628718839</c:v>
                </c:pt>
                <c:pt idx="4536">
                  <c:v>0.90738147629518995</c:v>
                </c:pt>
                <c:pt idx="4537">
                  <c:v>0.9075815163031915</c:v>
                </c:pt>
                <c:pt idx="4538">
                  <c:v>0.90778155631119306</c:v>
                </c:pt>
                <c:pt idx="4539">
                  <c:v>0.90798159631919462</c:v>
                </c:pt>
                <c:pt idx="4540">
                  <c:v>0.90818163632719617</c:v>
                </c:pt>
                <c:pt idx="4541">
                  <c:v>0.90838167633519773</c:v>
                </c:pt>
                <c:pt idx="4542">
                  <c:v>0.90858171634319929</c:v>
                </c:pt>
                <c:pt idx="4543">
                  <c:v>0.90878175635120084</c:v>
                </c:pt>
                <c:pt idx="4544">
                  <c:v>0.9089817963592024</c:v>
                </c:pt>
                <c:pt idx="4545">
                  <c:v>0.90918183636720395</c:v>
                </c:pt>
                <c:pt idx="4546">
                  <c:v>0.90938187637520551</c:v>
                </c:pt>
                <c:pt idx="4547">
                  <c:v>0.90958191638320707</c:v>
                </c:pt>
                <c:pt idx="4548">
                  <c:v>0.90978195639120862</c:v>
                </c:pt>
                <c:pt idx="4549">
                  <c:v>0.90998199639921018</c:v>
                </c:pt>
                <c:pt idx="4550">
                  <c:v>0.91018203640721174</c:v>
                </c:pt>
                <c:pt idx="4551">
                  <c:v>0.91038207641521329</c:v>
                </c:pt>
                <c:pt idx="4552">
                  <c:v>0.91058211642321485</c:v>
                </c:pt>
                <c:pt idx="4553">
                  <c:v>0.91078215643121641</c:v>
                </c:pt>
                <c:pt idx="4554">
                  <c:v>0.91098219643921796</c:v>
                </c:pt>
                <c:pt idx="4555">
                  <c:v>0.91118223644721952</c:v>
                </c:pt>
                <c:pt idx="4556">
                  <c:v>0.91138227645522107</c:v>
                </c:pt>
                <c:pt idx="4557">
                  <c:v>0.91158231646322263</c:v>
                </c:pt>
                <c:pt idx="4558">
                  <c:v>0.91178235647122419</c:v>
                </c:pt>
                <c:pt idx="4559">
                  <c:v>0.91198239647922574</c:v>
                </c:pt>
                <c:pt idx="4560">
                  <c:v>0.9121824364872273</c:v>
                </c:pt>
                <c:pt idx="4561">
                  <c:v>0.91238247649522886</c:v>
                </c:pt>
                <c:pt idx="4562">
                  <c:v>0.91258251650323041</c:v>
                </c:pt>
                <c:pt idx="4563">
                  <c:v>0.91278255651123197</c:v>
                </c:pt>
                <c:pt idx="4564">
                  <c:v>0.91298259651923352</c:v>
                </c:pt>
                <c:pt idx="4565">
                  <c:v>0.91318263652723508</c:v>
                </c:pt>
                <c:pt idx="4566">
                  <c:v>0.91338267653523664</c:v>
                </c:pt>
                <c:pt idx="4567">
                  <c:v>0.91358271654323819</c:v>
                </c:pt>
                <c:pt idx="4568">
                  <c:v>0.91378275655123975</c:v>
                </c:pt>
                <c:pt idx="4569">
                  <c:v>0.91398279655924131</c:v>
                </c:pt>
                <c:pt idx="4570">
                  <c:v>0.91418283656724286</c:v>
                </c:pt>
                <c:pt idx="4571">
                  <c:v>0.91438287657524442</c:v>
                </c:pt>
                <c:pt idx="4572">
                  <c:v>0.91458291658324598</c:v>
                </c:pt>
                <c:pt idx="4573">
                  <c:v>0.91478295659124753</c:v>
                </c:pt>
                <c:pt idx="4574">
                  <c:v>0.91498299659924909</c:v>
                </c:pt>
                <c:pt idx="4575">
                  <c:v>0.91518303660725064</c:v>
                </c:pt>
                <c:pt idx="4576">
                  <c:v>0.9153830766152522</c:v>
                </c:pt>
                <c:pt idx="4577">
                  <c:v>0.91558311662325376</c:v>
                </c:pt>
                <c:pt idx="4578">
                  <c:v>0.91578315663125531</c:v>
                </c:pt>
                <c:pt idx="4579">
                  <c:v>0.91598319663925687</c:v>
                </c:pt>
                <c:pt idx="4580">
                  <c:v>0.91618323664725843</c:v>
                </c:pt>
                <c:pt idx="4581">
                  <c:v>0.91638327665525998</c:v>
                </c:pt>
                <c:pt idx="4582">
                  <c:v>0.91658331666326154</c:v>
                </c:pt>
                <c:pt idx="4583">
                  <c:v>0.91678335667126309</c:v>
                </c:pt>
                <c:pt idx="4584">
                  <c:v>0.91698339667926465</c:v>
                </c:pt>
                <c:pt idx="4585">
                  <c:v>0.91718343668726621</c:v>
                </c:pt>
                <c:pt idx="4586">
                  <c:v>0.91738347669526776</c:v>
                </c:pt>
                <c:pt idx="4587">
                  <c:v>0.91758351670326932</c:v>
                </c:pt>
                <c:pt idx="4588">
                  <c:v>0.91778355671127088</c:v>
                </c:pt>
                <c:pt idx="4589">
                  <c:v>0.91798359671927243</c:v>
                </c:pt>
                <c:pt idx="4590">
                  <c:v>0.91818363672727399</c:v>
                </c:pt>
                <c:pt idx="4591">
                  <c:v>0.91838367673527554</c:v>
                </c:pt>
                <c:pt idx="4592">
                  <c:v>0.9185837167432771</c:v>
                </c:pt>
                <c:pt idx="4593">
                  <c:v>0.91878375675127866</c:v>
                </c:pt>
                <c:pt idx="4594">
                  <c:v>0.91898379675928021</c:v>
                </c:pt>
                <c:pt idx="4595">
                  <c:v>0.91918383676728177</c:v>
                </c:pt>
                <c:pt idx="4596">
                  <c:v>0.91938387677528333</c:v>
                </c:pt>
                <c:pt idx="4597">
                  <c:v>0.91958391678328488</c:v>
                </c:pt>
                <c:pt idx="4598">
                  <c:v>0.91978395679128644</c:v>
                </c:pt>
                <c:pt idx="4599">
                  <c:v>0.919983996799288</c:v>
                </c:pt>
                <c:pt idx="4600">
                  <c:v>0.92018403680728955</c:v>
                </c:pt>
                <c:pt idx="4601">
                  <c:v>0.92038407681529111</c:v>
                </c:pt>
                <c:pt idx="4602">
                  <c:v>0.92058411682329266</c:v>
                </c:pt>
                <c:pt idx="4603">
                  <c:v>0.92078415683129422</c:v>
                </c:pt>
                <c:pt idx="4604">
                  <c:v>0.92098419683929578</c:v>
                </c:pt>
                <c:pt idx="4605">
                  <c:v>0.92118423684729733</c:v>
                </c:pt>
                <c:pt idx="4606">
                  <c:v>0.92138427685529889</c:v>
                </c:pt>
                <c:pt idx="4607">
                  <c:v>0.92158431686330045</c:v>
                </c:pt>
                <c:pt idx="4608">
                  <c:v>0.921784356871302</c:v>
                </c:pt>
                <c:pt idx="4609">
                  <c:v>0.92198439687930356</c:v>
                </c:pt>
                <c:pt idx="4610">
                  <c:v>0.92218443688730511</c:v>
                </c:pt>
                <c:pt idx="4611">
                  <c:v>0.92238447689530667</c:v>
                </c:pt>
                <c:pt idx="4612">
                  <c:v>0.92258451690330823</c:v>
                </c:pt>
                <c:pt idx="4613">
                  <c:v>0.92278455691130978</c:v>
                </c:pt>
                <c:pt idx="4614">
                  <c:v>0.92298459691931134</c:v>
                </c:pt>
                <c:pt idx="4615">
                  <c:v>0.9231846369273129</c:v>
                </c:pt>
                <c:pt idx="4616">
                  <c:v>0.92338467693531445</c:v>
                </c:pt>
                <c:pt idx="4617">
                  <c:v>0.92358471694331601</c:v>
                </c:pt>
                <c:pt idx="4618">
                  <c:v>0.92378475695131756</c:v>
                </c:pt>
                <c:pt idx="4619">
                  <c:v>0.92398479695931912</c:v>
                </c:pt>
                <c:pt idx="4620">
                  <c:v>0.92418483696732068</c:v>
                </c:pt>
                <c:pt idx="4621">
                  <c:v>0.92438487697532223</c:v>
                </c:pt>
                <c:pt idx="4622">
                  <c:v>0.92458491698332379</c:v>
                </c:pt>
                <c:pt idx="4623">
                  <c:v>0.92478495699132535</c:v>
                </c:pt>
                <c:pt idx="4624">
                  <c:v>0.9249849969993269</c:v>
                </c:pt>
                <c:pt idx="4625">
                  <c:v>0.92518503700732846</c:v>
                </c:pt>
                <c:pt idx="4626">
                  <c:v>0.92538507701533002</c:v>
                </c:pt>
                <c:pt idx="4627">
                  <c:v>0.92558511702333157</c:v>
                </c:pt>
                <c:pt idx="4628">
                  <c:v>0.92578515703133313</c:v>
                </c:pt>
                <c:pt idx="4629">
                  <c:v>0.92598519703933468</c:v>
                </c:pt>
                <c:pt idx="4630">
                  <c:v>0.92618523704733624</c:v>
                </c:pt>
                <c:pt idx="4631">
                  <c:v>0.9263852770553378</c:v>
                </c:pt>
                <c:pt idx="4632">
                  <c:v>0.92658531706333935</c:v>
                </c:pt>
                <c:pt idx="4633">
                  <c:v>0.92678535707134091</c:v>
                </c:pt>
                <c:pt idx="4634">
                  <c:v>0.92698539707934247</c:v>
                </c:pt>
                <c:pt idx="4635">
                  <c:v>0.92718543708734402</c:v>
                </c:pt>
                <c:pt idx="4636">
                  <c:v>0.92738547709534558</c:v>
                </c:pt>
                <c:pt idx="4637">
                  <c:v>0.92758551710334713</c:v>
                </c:pt>
                <c:pt idx="4638">
                  <c:v>0.92778555711134869</c:v>
                </c:pt>
                <c:pt idx="4639">
                  <c:v>0.92798559711935025</c:v>
                </c:pt>
                <c:pt idx="4640">
                  <c:v>0.9281856371273518</c:v>
                </c:pt>
                <c:pt idx="4641">
                  <c:v>0.92838567713535336</c:v>
                </c:pt>
                <c:pt idx="4642">
                  <c:v>0.92858571714335492</c:v>
                </c:pt>
                <c:pt idx="4643">
                  <c:v>0.92878575715135647</c:v>
                </c:pt>
                <c:pt idx="4644">
                  <c:v>0.92898579715935803</c:v>
                </c:pt>
                <c:pt idx="4645">
                  <c:v>0.92918583716735959</c:v>
                </c:pt>
                <c:pt idx="4646">
                  <c:v>0.92938587717536114</c:v>
                </c:pt>
                <c:pt idx="4647">
                  <c:v>0.9295859171833627</c:v>
                </c:pt>
                <c:pt idx="4648">
                  <c:v>0.92978595719136425</c:v>
                </c:pt>
                <c:pt idx="4649">
                  <c:v>0.92998599719936581</c:v>
                </c:pt>
                <c:pt idx="4650">
                  <c:v>0.93018603720736737</c:v>
                </c:pt>
                <c:pt idx="4651">
                  <c:v>0.93038607721536892</c:v>
                </c:pt>
                <c:pt idx="4652">
                  <c:v>0.93058611722337048</c:v>
                </c:pt>
                <c:pt idx="4653">
                  <c:v>0.93078615723137204</c:v>
                </c:pt>
                <c:pt idx="4654">
                  <c:v>0.93098619723937359</c:v>
                </c:pt>
                <c:pt idx="4655">
                  <c:v>0.93118623724737515</c:v>
                </c:pt>
                <c:pt idx="4656">
                  <c:v>0.9313862772553767</c:v>
                </c:pt>
                <c:pt idx="4657">
                  <c:v>0.93158631726337826</c:v>
                </c:pt>
                <c:pt idx="4658">
                  <c:v>0.93178635727137982</c:v>
                </c:pt>
                <c:pt idx="4659">
                  <c:v>0.93198639727938137</c:v>
                </c:pt>
                <c:pt idx="4660">
                  <c:v>0.93218643728738293</c:v>
                </c:pt>
                <c:pt idx="4661">
                  <c:v>0.93238647729538449</c:v>
                </c:pt>
                <c:pt idx="4662">
                  <c:v>0.93258651730338604</c:v>
                </c:pt>
                <c:pt idx="4663">
                  <c:v>0.9327865573113876</c:v>
                </c:pt>
                <c:pt idx="4664">
                  <c:v>0.93298659731938915</c:v>
                </c:pt>
                <c:pt idx="4665">
                  <c:v>0.93318663732739071</c:v>
                </c:pt>
                <c:pt idx="4666">
                  <c:v>0.93338667733539227</c:v>
                </c:pt>
                <c:pt idx="4667">
                  <c:v>0.93358671734339382</c:v>
                </c:pt>
                <c:pt idx="4668">
                  <c:v>0.93378675735139538</c:v>
                </c:pt>
                <c:pt idx="4669">
                  <c:v>0.93398679735939694</c:v>
                </c:pt>
                <c:pt idx="4670">
                  <c:v>0.93418683736739849</c:v>
                </c:pt>
                <c:pt idx="4671">
                  <c:v>0.93438687737540005</c:v>
                </c:pt>
                <c:pt idx="4672">
                  <c:v>0.93458691738340161</c:v>
                </c:pt>
                <c:pt idx="4673">
                  <c:v>0.93478695739140316</c:v>
                </c:pt>
                <c:pt idx="4674">
                  <c:v>0.93498699739940472</c:v>
                </c:pt>
                <c:pt idx="4675">
                  <c:v>0.93518703740740627</c:v>
                </c:pt>
                <c:pt idx="4676">
                  <c:v>0.93538707741540783</c:v>
                </c:pt>
                <c:pt idx="4677">
                  <c:v>0.93558711742340939</c:v>
                </c:pt>
                <c:pt idx="4678">
                  <c:v>0.93578715743141094</c:v>
                </c:pt>
                <c:pt idx="4679">
                  <c:v>0.9359871974394125</c:v>
                </c:pt>
                <c:pt idx="4680">
                  <c:v>0.93618723744741406</c:v>
                </c:pt>
                <c:pt idx="4681">
                  <c:v>0.93638727745541561</c:v>
                </c:pt>
                <c:pt idx="4682">
                  <c:v>0.93658731746341717</c:v>
                </c:pt>
                <c:pt idx="4683">
                  <c:v>0.93678735747141872</c:v>
                </c:pt>
                <c:pt idx="4684">
                  <c:v>0.93698739747942028</c:v>
                </c:pt>
                <c:pt idx="4685">
                  <c:v>0.93718743748742184</c:v>
                </c:pt>
                <c:pt idx="4686">
                  <c:v>0.93738747749542339</c:v>
                </c:pt>
                <c:pt idx="4687">
                  <c:v>0.93758751750342495</c:v>
                </c:pt>
                <c:pt idx="4688">
                  <c:v>0.93778755751142651</c:v>
                </c:pt>
                <c:pt idx="4689">
                  <c:v>0.93798759751942806</c:v>
                </c:pt>
                <c:pt idx="4690">
                  <c:v>0.93818763752742962</c:v>
                </c:pt>
                <c:pt idx="4691">
                  <c:v>0.93838767753543118</c:v>
                </c:pt>
                <c:pt idx="4692">
                  <c:v>0.93858771754343273</c:v>
                </c:pt>
                <c:pt idx="4693">
                  <c:v>0.93878775755143429</c:v>
                </c:pt>
                <c:pt idx="4694">
                  <c:v>0.93898779755943584</c:v>
                </c:pt>
                <c:pt idx="4695">
                  <c:v>0.9391878375674374</c:v>
                </c:pt>
                <c:pt idx="4696">
                  <c:v>0.93938787757543896</c:v>
                </c:pt>
                <c:pt idx="4697">
                  <c:v>0.93958791758344051</c:v>
                </c:pt>
                <c:pt idx="4698">
                  <c:v>0.93978795759144207</c:v>
                </c:pt>
                <c:pt idx="4699">
                  <c:v>0.93998799759944363</c:v>
                </c:pt>
                <c:pt idx="4700">
                  <c:v>0.94018803760744518</c:v>
                </c:pt>
                <c:pt idx="4701">
                  <c:v>0.94038807761544674</c:v>
                </c:pt>
                <c:pt idx="4702">
                  <c:v>0.94058811762344829</c:v>
                </c:pt>
                <c:pt idx="4703">
                  <c:v>0.94078815763144985</c:v>
                </c:pt>
                <c:pt idx="4704">
                  <c:v>0.94098819763945141</c:v>
                </c:pt>
                <c:pt idx="4705">
                  <c:v>0.94118823764745296</c:v>
                </c:pt>
                <c:pt idx="4706">
                  <c:v>0.94138827765545452</c:v>
                </c:pt>
                <c:pt idx="4707">
                  <c:v>0.94158831766345608</c:v>
                </c:pt>
                <c:pt idx="4708">
                  <c:v>0.94178835767145763</c:v>
                </c:pt>
                <c:pt idx="4709">
                  <c:v>0.94198839767945919</c:v>
                </c:pt>
                <c:pt idx="4710">
                  <c:v>0.94218843768746074</c:v>
                </c:pt>
                <c:pt idx="4711">
                  <c:v>0.9423884776954623</c:v>
                </c:pt>
                <c:pt idx="4712">
                  <c:v>0.94258851770346386</c:v>
                </c:pt>
                <c:pt idx="4713">
                  <c:v>0.94278855771146541</c:v>
                </c:pt>
                <c:pt idx="4714">
                  <c:v>0.94298859771946697</c:v>
                </c:pt>
                <c:pt idx="4715">
                  <c:v>0.94318863772746853</c:v>
                </c:pt>
                <c:pt idx="4716">
                  <c:v>0.94338867773547008</c:v>
                </c:pt>
                <c:pt idx="4717">
                  <c:v>0.94358871774347164</c:v>
                </c:pt>
                <c:pt idx="4718">
                  <c:v>0.9437887577514732</c:v>
                </c:pt>
                <c:pt idx="4719">
                  <c:v>0.94398879775947475</c:v>
                </c:pt>
                <c:pt idx="4720">
                  <c:v>0.94418883776747631</c:v>
                </c:pt>
                <c:pt idx="4721">
                  <c:v>0.94438887777547786</c:v>
                </c:pt>
                <c:pt idx="4722">
                  <c:v>0.94458891778347942</c:v>
                </c:pt>
                <c:pt idx="4723">
                  <c:v>0.94478895779148098</c:v>
                </c:pt>
                <c:pt idx="4724">
                  <c:v>0.94498899779948253</c:v>
                </c:pt>
                <c:pt idx="4725">
                  <c:v>0.94518903780748409</c:v>
                </c:pt>
                <c:pt idx="4726">
                  <c:v>0.94538907781548565</c:v>
                </c:pt>
                <c:pt idx="4727">
                  <c:v>0.9455891178234872</c:v>
                </c:pt>
                <c:pt idx="4728">
                  <c:v>0.94578915783148876</c:v>
                </c:pt>
                <c:pt idx="4729">
                  <c:v>0.94598919783949031</c:v>
                </c:pt>
                <c:pt idx="4730">
                  <c:v>0.94618923784749187</c:v>
                </c:pt>
                <c:pt idx="4731">
                  <c:v>0.94638927785549343</c:v>
                </c:pt>
                <c:pt idx="4732">
                  <c:v>0.94658931786349498</c:v>
                </c:pt>
                <c:pt idx="4733">
                  <c:v>0.94678935787149654</c:v>
                </c:pt>
                <c:pt idx="4734">
                  <c:v>0.9469893978794981</c:v>
                </c:pt>
                <c:pt idx="4735">
                  <c:v>0.94718943788749965</c:v>
                </c:pt>
                <c:pt idx="4736">
                  <c:v>0.94738947789550121</c:v>
                </c:pt>
                <c:pt idx="4737">
                  <c:v>0.94758951790350276</c:v>
                </c:pt>
                <c:pt idx="4738">
                  <c:v>0.94778955791150432</c:v>
                </c:pt>
                <c:pt idx="4739">
                  <c:v>0.94798959791950588</c:v>
                </c:pt>
                <c:pt idx="4740">
                  <c:v>0.94818963792750743</c:v>
                </c:pt>
                <c:pt idx="4741">
                  <c:v>0.94838967793550899</c:v>
                </c:pt>
                <c:pt idx="4742">
                  <c:v>0.94858971794351055</c:v>
                </c:pt>
                <c:pt idx="4743">
                  <c:v>0.9487897579515121</c:v>
                </c:pt>
                <c:pt idx="4744">
                  <c:v>0.94898979795951366</c:v>
                </c:pt>
                <c:pt idx="4745">
                  <c:v>0.94918983796751522</c:v>
                </c:pt>
                <c:pt idx="4746">
                  <c:v>0.94938987797551677</c:v>
                </c:pt>
                <c:pt idx="4747">
                  <c:v>0.94958991798351833</c:v>
                </c:pt>
                <c:pt idx="4748">
                  <c:v>0.94978995799151988</c:v>
                </c:pt>
                <c:pt idx="4749">
                  <c:v>0.94998999799952144</c:v>
                </c:pt>
                <c:pt idx="4750">
                  <c:v>0.950190038007523</c:v>
                </c:pt>
                <c:pt idx="4751">
                  <c:v>0.95039007801552455</c:v>
                </c:pt>
                <c:pt idx="4752">
                  <c:v>0.95059011802352611</c:v>
                </c:pt>
                <c:pt idx="4753">
                  <c:v>0.95079015803152767</c:v>
                </c:pt>
                <c:pt idx="4754">
                  <c:v>0.95099019803952922</c:v>
                </c:pt>
                <c:pt idx="4755">
                  <c:v>0.95119023804753078</c:v>
                </c:pt>
                <c:pt idx="4756">
                  <c:v>0.95139027805553233</c:v>
                </c:pt>
                <c:pt idx="4757">
                  <c:v>0.95159031806353389</c:v>
                </c:pt>
                <c:pt idx="4758">
                  <c:v>0.95179035807153545</c:v>
                </c:pt>
                <c:pt idx="4759">
                  <c:v>0.951990398079537</c:v>
                </c:pt>
                <c:pt idx="4760">
                  <c:v>0.95219043808753856</c:v>
                </c:pt>
                <c:pt idx="4761">
                  <c:v>0.95239047809554012</c:v>
                </c:pt>
                <c:pt idx="4762">
                  <c:v>0.95259051810354167</c:v>
                </c:pt>
                <c:pt idx="4763">
                  <c:v>0.95279055811154323</c:v>
                </c:pt>
                <c:pt idx="4764">
                  <c:v>0.95299059811954479</c:v>
                </c:pt>
                <c:pt idx="4765">
                  <c:v>0.95319063812754634</c:v>
                </c:pt>
                <c:pt idx="4766">
                  <c:v>0.9533906781355479</c:v>
                </c:pt>
                <c:pt idx="4767">
                  <c:v>0.95359071814354945</c:v>
                </c:pt>
                <c:pt idx="4768">
                  <c:v>0.95379075815155101</c:v>
                </c:pt>
                <c:pt idx="4769">
                  <c:v>0.95399079815955257</c:v>
                </c:pt>
                <c:pt idx="4770">
                  <c:v>0.95419083816755412</c:v>
                </c:pt>
                <c:pt idx="4771">
                  <c:v>0.95439087817555568</c:v>
                </c:pt>
                <c:pt idx="4772">
                  <c:v>0.95459091818355724</c:v>
                </c:pt>
                <c:pt idx="4773">
                  <c:v>0.95479095819155879</c:v>
                </c:pt>
                <c:pt idx="4774">
                  <c:v>0.95499099819956035</c:v>
                </c:pt>
                <c:pt idx="4775">
                  <c:v>0.9551910382075619</c:v>
                </c:pt>
                <c:pt idx="4776">
                  <c:v>0.95539107821556346</c:v>
                </c:pt>
                <c:pt idx="4777">
                  <c:v>0.95559111822356502</c:v>
                </c:pt>
                <c:pt idx="4778">
                  <c:v>0.95579115823156657</c:v>
                </c:pt>
                <c:pt idx="4779">
                  <c:v>0.95599119823956813</c:v>
                </c:pt>
                <c:pt idx="4780">
                  <c:v>0.95619123824756969</c:v>
                </c:pt>
                <c:pt idx="4781">
                  <c:v>0.95639127825557124</c:v>
                </c:pt>
                <c:pt idx="4782">
                  <c:v>0.9565913182635728</c:v>
                </c:pt>
                <c:pt idx="4783">
                  <c:v>0.95679135827157435</c:v>
                </c:pt>
                <c:pt idx="4784">
                  <c:v>0.95699139827957591</c:v>
                </c:pt>
                <c:pt idx="4785">
                  <c:v>0.95719143828757747</c:v>
                </c:pt>
                <c:pt idx="4786">
                  <c:v>0.95739147829557902</c:v>
                </c:pt>
                <c:pt idx="4787">
                  <c:v>0.95759151830358058</c:v>
                </c:pt>
                <c:pt idx="4788">
                  <c:v>0.95779155831158214</c:v>
                </c:pt>
                <c:pt idx="4789">
                  <c:v>0.95799159831958369</c:v>
                </c:pt>
                <c:pt idx="4790">
                  <c:v>0.95819163832758525</c:v>
                </c:pt>
                <c:pt idx="4791">
                  <c:v>0.95839167833558681</c:v>
                </c:pt>
                <c:pt idx="4792">
                  <c:v>0.95859171834358836</c:v>
                </c:pt>
                <c:pt idx="4793">
                  <c:v>0.95879175835158992</c:v>
                </c:pt>
                <c:pt idx="4794">
                  <c:v>0.95899179835959147</c:v>
                </c:pt>
                <c:pt idx="4795">
                  <c:v>0.95919183836759303</c:v>
                </c:pt>
                <c:pt idx="4796">
                  <c:v>0.95939187837559459</c:v>
                </c:pt>
                <c:pt idx="4797">
                  <c:v>0.95959191838359614</c:v>
                </c:pt>
                <c:pt idx="4798">
                  <c:v>0.9597919583915977</c:v>
                </c:pt>
                <c:pt idx="4799">
                  <c:v>0.95999199839959926</c:v>
                </c:pt>
                <c:pt idx="4800">
                  <c:v>0.96019203840760081</c:v>
                </c:pt>
                <c:pt idx="4801">
                  <c:v>0.96039207841560237</c:v>
                </c:pt>
                <c:pt idx="4802">
                  <c:v>0.96059211842360392</c:v>
                </c:pt>
                <c:pt idx="4803">
                  <c:v>0.96079215843160548</c:v>
                </c:pt>
                <c:pt idx="4804">
                  <c:v>0.96099219843960704</c:v>
                </c:pt>
                <c:pt idx="4805">
                  <c:v>0.96119223844760859</c:v>
                </c:pt>
                <c:pt idx="4806">
                  <c:v>0.96139227845561015</c:v>
                </c:pt>
                <c:pt idx="4807">
                  <c:v>0.96159231846361171</c:v>
                </c:pt>
                <c:pt idx="4808">
                  <c:v>0.96179235847161326</c:v>
                </c:pt>
                <c:pt idx="4809">
                  <c:v>0.96199239847961482</c:v>
                </c:pt>
                <c:pt idx="4810">
                  <c:v>0.96219243848761637</c:v>
                </c:pt>
                <c:pt idx="4811">
                  <c:v>0.96239247849561793</c:v>
                </c:pt>
                <c:pt idx="4812">
                  <c:v>0.96259251850361949</c:v>
                </c:pt>
                <c:pt idx="4813">
                  <c:v>0.96279255851162104</c:v>
                </c:pt>
                <c:pt idx="4814">
                  <c:v>0.9629925985196226</c:v>
                </c:pt>
                <c:pt idx="4815">
                  <c:v>0.96319263852762416</c:v>
                </c:pt>
                <c:pt idx="4816">
                  <c:v>0.96339267853562571</c:v>
                </c:pt>
                <c:pt idx="4817">
                  <c:v>0.96359271854362727</c:v>
                </c:pt>
                <c:pt idx="4818">
                  <c:v>0.96379275855162883</c:v>
                </c:pt>
                <c:pt idx="4819">
                  <c:v>0.96399279855963038</c:v>
                </c:pt>
                <c:pt idx="4820">
                  <c:v>0.96419283856763194</c:v>
                </c:pt>
                <c:pt idx="4821">
                  <c:v>0.96439287857563349</c:v>
                </c:pt>
                <c:pt idx="4822">
                  <c:v>0.96459291858363505</c:v>
                </c:pt>
                <c:pt idx="4823">
                  <c:v>0.96479295859163661</c:v>
                </c:pt>
                <c:pt idx="4824">
                  <c:v>0.96499299859963816</c:v>
                </c:pt>
                <c:pt idx="4825">
                  <c:v>0.96519303860763972</c:v>
                </c:pt>
                <c:pt idx="4826">
                  <c:v>0.96539307861564128</c:v>
                </c:pt>
                <c:pt idx="4827">
                  <c:v>0.96559311862364283</c:v>
                </c:pt>
                <c:pt idx="4828">
                  <c:v>0.96579315863164439</c:v>
                </c:pt>
                <c:pt idx="4829">
                  <c:v>0.96599319863964594</c:v>
                </c:pt>
                <c:pt idx="4830">
                  <c:v>0.9661932386476475</c:v>
                </c:pt>
                <c:pt idx="4831">
                  <c:v>0.96639327865564906</c:v>
                </c:pt>
                <c:pt idx="4832">
                  <c:v>0.96659331866365061</c:v>
                </c:pt>
                <c:pt idx="4833">
                  <c:v>0.96679335867165217</c:v>
                </c:pt>
                <c:pt idx="4834">
                  <c:v>0.96699339867965373</c:v>
                </c:pt>
                <c:pt idx="4835">
                  <c:v>0.96719343868765528</c:v>
                </c:pt>
                <c:pt idx="4836">
                  <c:v>0.96739347869565684</c:v>
                </c:pt>
                <c:pt idx="4837">
                  <c:v>0.9675935187036584</c:v>
                </c:pt>
                <c:pt idx="4838">
                  <c:v>0.96779355871165995</c:v>
                </c:pt>
                <c:pt idx="4839">
                  <c:v>0.96799359871966151</c:v>
                </c:pt>
                <c:pt idx="4840">
                  <c:v>0.96819363872766306</c:v>
                </c:pt>
                <c:pt idx="4841">
                  <c:v>0.96839367873566462</c:v>
                </c:pt>
                <c:pt idx="4842">
                  <c:v>0.96859371874366618</c:v>
                </c:pt>
                <c:pt idx="4843">
                  <c:v>0.96879375875166773</c:v>
                </c:pt>
                <c:pt idx="4844">
                  <c:v>0.96899379875966929</c:v>
                </c:pt>
                <c:pt idx="4845">
                  <c:v>0.96919383876767085</c:v>
                </c:pt>
                <c:pt idx="4846">
                  <c:v>0.9693938787756724</c:v>
                </c:pt>
                <c:pt idx="4847">
                  <c:v>0.96959391878367396</c:v>
                </c:pt>
                <c:pt idx="4848">
                  <c:v>0.96979395879167551</c:v>
                </c:pt>
                <c:pt idx="4849">
                  <c:v>0.96999399879967707</c:v>
                </c:pt>
                <c:pt idx="4850">
                  <c:v>0.97019403880767863</c:v>
                </c:pt>
                <c:pt idx="4851">
                  <c:v>0.97039407881568018</c:v>
                </c:pt>
                <c:pt idx="4852">
                  <c:v>0.97059411882368174</c:v>
                </c:pt>
                <c:pt idx="4853">
                  <c:v>0.9707941588316833</c:v>
                </c:pt>
                <c:pt idx="4854">
                  <c:v>0.97099419883968485</c:v>
                </c:pt>
                <c:pt idx="4855">
                  <c:v>0.97119423884768641</c:v>
                </c:pt>
                <c:pt idx="4856">
                  <c:v>0.97139427885568796</c:v>
                </c:pt>
                <c:pt idx="4857">
                  <c:v>0.97159431886368952</c:v>
                </c:pt>
                <c:pt idx="4858">
                  <c:v>0.97179435887169108</c:v>
                </c:pt>
                <c:pt idx="4859">
                  <c:v>0.97199439887969263</c:v>
                </c:pt>
                <c:pt idx="4860">
                  <c:v>0.97219443888769419</c:v>
                </c:pt>
                <c:pt idx="4861">
                  <c:v>0.97239447889569575</c:v>
                </c:pt>
                <c:pt idx="4862">
                  <c:v>0.9725945189036973</c:v>
                </c:pt>
                <c:pt idx="4863">
                  <c:v>0.97279455891169886</c:v>
                </c:pt>
                <c:pt idx="4864">
                  <c:v>0.97299459891970042</c:v>
                </c:pt>
                <c:pt idx="4865">
                  <c:v>0.97319463892770197</c:v>
                </c:pt>
                <c:pt idx="4866">
                  <c:v>0.97339467893570353</c:v>
                </c:pt>
                <c:pt idx="4867">
                  <c:v>0.97359471894370508</c:v>
                </c:pt>
                <c:pt idx="4868">
                  <c:v>0.97379475895170664</c:v>
                </c:pt>
                <c:pt idx="4869">
                  <c:v>0.9739947989597082</c:v>
                </c:pt>
                <c:pt idx="4870">
                  <c:v>0.97419483896770975</c:v>
                </c:pt>
                <c:pt idx="4871">
                  <c:v>0.97439487897571131</c:v>
                </c:pt>
                <c:pt idx="4872">
                  <c:v>0.97459491898371287</c:v>
                </c:pt>
                <c:pt idx="4873">
                  <c:v>0.97479495899171442</c:v>
                </c:pt>
                <c:pt idx="4874">
                  <c:v>0.97499499899971598</c:v>
                </c:pt>
                <c:pt idx="4875">
                  <c:v>0.97519503900771753</c:v>
                </c:pt>
                <c:pt idx="4876">
                  <c:v>0.97539507901571909</c:v>
                </c:pt>
                <c:pt idx="4877">
                  <c:v>0.97559511902372065</c:v>
                </c:pt>
                <c:pt idx="4878">
                  <c:v>0.9757951590317222</c:v>
                </c:pt>
                <c:pt idx="4879">
                  <c:v>0.97599519903972376</c:v>
                </c:pt>
                <c:pt idx="4880">
                  <c:v>0.97619523904772532</c:v>
                </c:pt>
                <c:pt idx="4881">
                  <c:v>0.97639527905572687</c:v>
                </c:pt>
                <c:pt idx="4882">
                  <c:v>0.97659531906372843</c:v>
                </c:pt>
                <c:pt idx="4883">
                  <c:v>0.97679535907172998</c:v>
                </c:pt>
                <c:pt idx="4884">
                  <c:v>0.97699539907973154</c:v>
                </c:pt>
                <c:pt idx="4885">
                  <c:v>0.9771954390877331</c:v>
                </c:pt>
                <c:pt idx="4886">
                  <c:v>0.97739547909573465</c:v>
                </c:pt>
                <c:pt idx="4887">
                  <c:v>0.97759551910373621</c:v>
                </c:pt>
                <c:pt idx="4888">
                  <c:v>0.97779555911173777</c:v>
                </c:pt>
                <c:pt idx="4889">
                  <c:v>0.97799559911973932</c:v>
                </c:pt>
                <c:pt idx="4890">
                  <c:v>0.97819563912774088</c:v>
                </c:pt>
                <c:pt idx="4891">
                  <c:v>0.97839567913574244</c:v>
                </c:pt>
                <c:pt idx="4892">
                  <c:v>0.97859571914374399</c:v>
                </c:pt>
                <c:pt idx="4893">
                  <c:v>0.97879575915174555</c:v>
                </c:pt>
                <c:pt idx="4894">
                  <c:v>0.9789957991597471</c:v>
                </c:pt>
                <c:pt idx="4895">
                  <c:v>0.97919583916774866</c:v>
                </c:pt>
                <c:pt idx="4896">
                  <c:v>0.97939587917575022</c:v>
                </c:pt>
                <c:pt idx="4897">
                  <c:v>0.97959591918375177</c:v>
                </c:pt>
                <c:pt idx="4898">
                  <c:v>0.97979595919175333</c:v>
                </c:pt>
                <c:pt idx="4899">
                  <c:v>0.97999599919975489</c:v>
                </c:pt>
                <c:pt idx="4900">
                  <c:v>0.98019603920775644</c:v>
                </c:pt>
                <c:pt idx="4901">
                  <c:v>0.980396079215758</c:v>
                </c:pt>
                <c:pt idx="4902">
                  <c:v>0.98059611922375955</c:v>
                </c:pt>
                <c:pt idx="4903">
                  <c:v>0.98079615923176111</c:v>
                </c:pt>
                <c:pt idx="4904">
                  <c:v>0.98099619923976267</c:v>
                </c:pt>
                <c:pt idx="4905">
                  <c:v>0.98119623924776422</c:v>
                </c:pt>
                <c:pt idx="4906">
                  <c:v>0.98139627925576578</c:v>
                </c:pt>
                <c:pt idx="4907">
                  <c:v>0.98159631926376734</c:v>
                </c:pt>
                <c:pt idx="4908">
                  <c:v>0.98179635927176889</c:v>
                </c:pt>
                <c:pt idx="4909">
                  <c:v>0.98199639927977045</c:v>
                </c:pt>
                <c:pt idx="4910">
                  <c:v>0.98219643928777201</c:v>
                </c:pt>
                <c:pt idx="4911">
                  <c:v>0.98239647929577356</c:v>
                </c:pt>
                <c:pt idx="4912">
                  <c:v>0.98259651930377512</c:v>
                </c:pt>
                <c:pt idx="4913">
                  <c:v>0.98279655931177667</c:v>
                </c:pt>
                <c:pt idx="4914">
                  <c:v>0.98299659931977823</c:v>
                </c:pt>
                <c:pt idx="4915">
                  <c:v>0.98319663932777979</c:v>
                </c:pt>
                <c:pt idx="4916">
                  <c:v>0.98339667933578134</c:v>
                </c:pt>
                <c:pt idx="4917">
                  <c:v>0.9835967193437829</c:v>
                </c:pt>
                <c:pt idx="4918">
                  <c:v>0.98379675935178446</c:v>
                </c:pt>
                <c:pt idx="4919">
                  <c:v>0.98399679935978601</c:v>
                </c:pt>
                <c:pt idx="4920">
                  <c:v>0.98419683936778757</c:v>
                </c:pt>
                <c:pt idx="4921">
                  <c:v>0.98439687937578912</c:v>
                </c:pt>
                <c:pt idx="4922">
                  <c:v>0.98459691938379068</c:v>
                </c:pt>
                <c:pt idx="4923">
                  <c:v>0.98479695939179224</c:v>
                </c:pt>
                <c:pt idx="4924">
                  <c:v>0.98499699939979379</c:v>
                </c:pt>
                <c:pt idx="4925">
                  <c:v>0.98519703940779535</c:v>
                </c:pt>
                <c:pt idx="4926">
                  <c:v>0.98539707941579691</c:v>
                </c:pt>
                <c:pt idx="4927">
                  <c:v>0.98559711942379846</c:v>
                </c:pt>
                <c:pt idx="4928">
                  <c:v>0.98579715943180002</c:v>
                </c:pt>
                <c:pt idx="4929">
                  <c:v>0.98599719943980157</c:v>
                </c:pt>
                <c:pt idx="4930">
                  <c:v>0.98619723944780313</c:v>
                </c:pt>
                <c:pt idx="4931">
                  <c:v>0.98639727945580469</c:v>
                </c:pt>
                <c:pt idx="4932">
                  <c:v>0.98659731946380624</c:v>
                </c:pt>
                <c:pt idx="4933">
                  <c:v>0.9867973594718078</c:v>
                </c:pt>
                <c:pt idx="4934">
                  <c:v>0.98699739947980936</c:v>
                </c:pt>
                <c:pt idx="4935">
                  <c:v>0.98719743948781091</c:v>
                </c:pt>
                <c:pt idx="4936">
                  <c:v>0.98739747949581247</c:v>
                </c:pt>
                <c:pt idx="4937">
                  <c:v>0.98759751950381403</c:v>
                </c:pt>
                <c:pt idx="4938">
                  <c:v>0.98779755951181558</c:v>
                </c:pt>
                <c:pt idx="4939">
                  <c:v>0.98799759951981714</c:v>
                </c:pt>
                <c:pt idx="4940">
                  <c:v>0.98819763952781869</c:v>
                </c:pt>
                <c:pt idx="4941">
                  <c:v>0.98839767953582025</c:v>
                </c:pt>
                <c:pt idx="4942">
                  <c:v>0.98859771954382181</c:v>
                </c:pt>
                <c:pt idx="4943">
                  <c:v>0.98879775955182336</c:v>
                </c:pt>
                <c:pt idx="4944">
                  <c:v>0.98899779955982492</c:v>
                </c:pt>
                <c:pt idx="4945">
                  <c:v>0.98919783956782648</c:v>
                </c:pt>
                <c:pt idx="4946">
                  <c:v>0.98939787957582803</c:v>
                </c:pt>
                <c:pt idx="4947">
                  <c:v>0.98959791958382959</c:v>
                </c:pt>
                <c:pt idx="4948">
                  <c:v>0.98979795959183114</c:v>
                </c:pt>
                <c:pt idx="4949">
                  <c:v>0.9899979995998327</c:v>
                </c:pt>
                <c:pt idx="4950">
                  <c:v>0.99019803960783426</c:v>
                </c:pt>
                <c:pt idx="4951">
                  <c:v>0.99039807961583581</c:v>
                </c:pt>
                <c:pt idx="4952">
                  <c:v>0.99059811962383737</c:v>
                </c:pt>
                <c:pt idx="4953">
                  <c:v>0.99079815963183893</c:v>
                </c:pt>
                <c:pt idx="4954">
                  <c:v>0.99099819963984048</c:v>
                </c:pt>
                <c:pt idx="4955">
                  <c:v>0.99119823964784204</c:v>
                </c:pt>
                <c:pt idx="4956">
                  <c:v>0.9913982796558436</c:v>
                </c:pt>
                <c:pt idx="4957">
                  <c:v>0.99159831966384515</c:v>
                </c:pt>
                <c:pt idx="4958">
                  <c:v>0.99179835967184671</c:v>
                </c:pt>
                <c:pt idx="4959">
                  <c:v>0.99199839967984826</c:v>
                </c:pt>
                <c:pt idx="4960">
                  <c:v>0.99219843968784982</c:v>
                </c:pt>
                <c:pt idx="4961">
                  <c:v>0.99239847969585138</c:v>
                </c:pt>
                <c:pt idx="4962">
                  <c:v>0.99259851970385293</c:v>
                </c:pt>
                <c:pt idx="4963">
                  <c:v>0.99279855971185449</c:v>
                </c:pt>
                <c:pt idx="4964">
                  <c:v>0.99299859971985605</c:v>
                </c:pt>
                <c:pt idx="4965">
                  <c:v>0.9931986397278576</c:v>
                </c:pt>
                <c:pt idx="4966">
                  <c:v>0.99339867973585916</c:v>
                </c:pt>
                <c:pt idx="4967">
                  <c:v>0.99359871974386071</c:v>
                </c:pt>
                <c:pt idx="4968">
                  <c:v>0.99379875975186227</c:v>
                </c:pt>
                <c:pt idx="4969">
                  <c:v>0.99399879975986383</c:v>
                </c:pt>
                <c:pt idx="4970">
                  <c:v>0.99419883976786538</c:v>
                </c:pt>
                <c:pt idx="4971">
                  <c:v>0.99439887977586694</c:v>
                </c:pt>
                <c:pt idx="4972">
                  <c:v>0.9945989197838685</c:v>
                </c:pt>
                <c:pt idx="4973">
                  <c:v>0.99479895979187005</c:v>
                </c:pt>
                <c:pt idx="4974">
                  <c:v>0.99499899979987161</c:v>
                </c:pt>
                <c:pt idx="4975">
                  <c:v>0.99519903980787316</c:v>
                </c:pt>
                <c:pt idx="4976">
                  <c:v>0.99539907981587472</c:v>
                </c:pt>
                <c:pt idx="4977">
                  <c:v>0.99559911982387628</c:v>
                </c:pt>
                <c:pt idx="4978">
                  <c:v>0.99579915983187783</c:v>
                </c:pt>
                <c:pt idx="4979">
                  <c:v>0.99599919983987939</c:v>
                </c:pt>
                <c:pt idx="4980">
                  <c:v>0.99619923984788095</c:v>
                </c:pt>
                <c:pt idx="4981">
                  <c:v>0.9963992798558825</c:v>
                </c:pt>
                <c:pt idx="4982">
                  <c:v>0.99659931986388406</c:v>
                </c:pt>
                <c:pt idx="4983">
                  <c:v>0.99679935987188562</c:v>
                </c:pt>
                <c:pt idx="4984">
                  <c:v>0.99699939987988717</c:v>
                </c:pt>
                <c:pt idx="4985">
                  <c:v>0.99719943988788873</c:v>
                </c:pt>
                <c:pt idx="4986">
                  <c:v>0.99739947989589028</c:v>
                </c:pt>
                <c:pt idx="4987">
                  <c:v>0.99759951990389184</c:v>
                </c:pt>
                <c:pt idx="4988">
                  <c:v>0.9977995599118934</c:v>
                </c:pt>
                <c:pt idx="4989">
                  <c:v>0.99799959991989495</c:v>
                </c:pt>
                <c:pt idx="4990">
                  <c:v>0.99819963992789651</c:v>
                </c:pt>
                <c:pt idx="4991">
                  <c:v>0.99839967993589807</c:v>
                </c:pt>
                <c:pt idx="4992">
                  <c:v>0.99859971994389962</c:v>
                </c:pt>
                <c:pt idx="4993">
                  <c:v>0.99879975995190118</c:v>
                </c:pt>
                <c:pt idx="4994">
                  <c:v>0.99899979995990273</c:v>
                </c:pt>
                <c:pt idx="4995">
                  <c:v>0.99919983996790429</c:v>
                </c:pt>
                <c:pt idx="4996">
                  <c:v>0.99939987997590585</c:v>
                </c:pt>
                <c:pt idx="4997">
                  <c:v>0.9995999199839074</c:v>
                </c:pt>
                <c:pt idx="4998">
                  <c:v>0.99979995999190896</c:v>
                </c:pt>
                <c:pt idx="4999">
                  <c:v>0.99999999999991052</c:v>
                </c:pt>
              </c:numCache>
            </c:numRef>
          </c:yVal>
          <c:smooth val="1"/>
        </c:ser>
        <c:axId val="186385536"/>
        <c:axId val="186387072"/>
      </c:scatterChart>
      <c:valAx>
        <c:axId val="186385536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387072"/>
        <c:crosses val="autoZero"/>
        <c:crossBetween val="midCat"/>
      </c:valAx>
      <c:valAx>
        <c:axId val="18638707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76345840130505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385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39067702552721"/>
          <c:y val="0.9559543230016313"/>
          <c:w val="0.14983351831298558"/>
          <c:h val="3.915171288743882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100 Iterations with Excel's Added Linear Trend Line</a:t>
            </a:r>
          </a:p>
        </c:rich>
      </c:tx>
      <c:layout>
        <c:manualLayout>
          <c:xMode val="edge"/>
          <c:yMode val="edge"/>
          <c:x val="0.12945751303468359"/>
          <c:y val="2.77428937521116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04899994768686E-2"/>
          <c:y val="0.12892285920098936"/>
          <c:w val="0.89504246080876071"/>
          <c:h val="0.75232200116020376"/>
        </c:manualLayout>
      </c:layout>
      <c:scatterChart>
        <c:scatterStyle val="smoothMarker"/>
        <c:ser>
          <c:idx val="0"/>
          <c:order val="0"/>
          <c:tx>
            <c:strRef>
              <c:f>SimData100!$J$108</c:f>
              <c:strCache>
                <c:ptCount val="1"/>
                <c:pt idx="0">
                  <c:v>Monte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intercept val="0"/>
          </c:trendline>
          <c:xVal>
            <c:numRef>
              <c:f>SimData100!$J$109:$J$208</c:f>
              <c:numCache>
                <c:formatCode>General</c:formatCode>
                <c:ptCount val="100"/>
                <c:pt idx="0">
                  <c:v>3.7057290026496048E-2</c:v>
                </c:pt>
                <c:pt idx="1">
                  <c:v>3.741123523832357E-2</c:v>
                </c:pt>
                <c:pt idx="2">
                  <c:v>4.0046499791060342E-2</c:v>
                </c:pt>
                <c:pt idx="3">
                  <c:v>4.4691026901091391E-2</c:v>
                </c:pt>
                <c:pt idx="4">
                  <c:v>4.5059477801260073E-2</c:v>
                </c:pt>
                <c:pt idx="5">
                  <c:v>6.8192063064998365E-2</c:v>
                </c:pt>
                <c:pt idx="6">
                  <c:v>8.1165492179025023E-2</c:v>
                </c:pt>
                <c:pt idx="7">
                  <c:v>8.4028913494876178E-2</c:v>
                </c:pt>
                <c:pt idx="8">
                  <c:v>8.5957655508565267E-2</c:v>
                </c:pt>
                <c:pt idx="9">
                  <c:v>8.6523705808758677E-2</c:v>
                </c:pt>
                <c:pt idx="10">
                  <c:v>9.1904677829006687E-2</c:v>
                </c:pt>
                <c:pt idx="11">
                  <c:v>0.11146349749469664</c:v>
                </c:pt>
                <c:pt idx="12">
                  <c:v>0.1131104924261308</c:v>
                </c:pt>
                <c:pt idx="13">
                  <c:v>0.11600384051871515</c:v>
                </c:pt>
                <c:pt idx="14">
                  <c:v>0.13197296864836972</c:v>
                </c:pt>
                <c:pt idx="15">
                  <c:v>0.14332389346782293</c:v>
                </c:pt>
                <c:pt idx="16">
                  <c:v>0.16876830807086662</c:v>
                </c:pt>
                <c:pt idx="17">
                  <c:v>0.18255461192802613</c:v>
                </c:pt>
                <c:pt idx="18">
                  <c:v>0.19644183223135769</c:v>
                </c:pt>
                <c:pt idx="19">
                  <c:v>0.2012136498142354</c:v>
                </c:pt>
                <c:pt idx="20">
                  <c:v>0.21844277004493051</c:v>
                </c:pt>
                <c:pt idx="21">
                  <c:v>0.21909831080211006</c:v>
                </c:pt>
                <c:pt idx="22">
                  <c:v>0.24707249325001612</c:v>
                </c:pt>
                <c:pt idx="23">
                  <c:v>0.25139436590143305</c:v>
                </c:pt>
                <c:pt idx="24">
                  <c:v>0.25394716412938578</c:v>
                </c:pt>
                <c:pt idx="25">
                  <c:v>0.26635597733184113</c:v>
                </c:pt>
                <c:pt idx="26">
                  <c:v>0.27438373665609106</c:v>
                </c:pt>
                <c:pt idx="27">
                  <c:v>0.27930815175841417</c:v>
                </c:pt>
                <c:pt idx="28">
                  <c:v>0.28299876991604833</c:v>
                </c:pt>
                <c:pt idx="29">
                  <c:v>0.28901737346495793</c:v>
                </c:pt>
                <c:pt idx="30">
                  <c:v>0.31114239638827712</c:v>
                </c:pt>
                <c:pt idx="31">
                  <c:v>0.31451797147474281</c:v>
                </c:pt>
                <c:pt idx="32">
                  <c:v>0.3233544853856074</c:v>
                </c:pt>
                <c:pt idx="33">
                  <c:v>0.3273182973425719</c:v>
                </c:pt>
                <c:pt idx="34">
                  <c:v>0.3299242703606069</c:v>
                </c:pt>
                <c:pt idx="35">
                  <c:v>0.3357910099939545</c:v>
                </c:pt>
                <c:pt idx="36">
                  <c:v>0.34497463262050587</c:v>
                </c:pt>
                <c:pt idx="37">
                  <c:v>0.35188994273266871</c:v>
                </c:pt>
                <c:pt idx="38">
                  <c:v>0.35464542682984757</c:v>
                </c:pt>
                <c:pt idx="39">
                  <c:v>0.37183928260765242</c:v>
                </c:pt>
                <c:pt idx="40">
                  <c:v>0.37646724846126745</c:v>
                </c:pt>
                <c:pt idx="41">
                  <c:v>0.38774789456147118</c:v>
                </c:pt>
                <c:pt idx="42">
                  <c:v>0.40263515443075448</c:v>
                </c:pt>
                <c:pt idx="43">
                  <c:v>0.40593543534396304</c:v>
                </c:pt>
                <c:pt idx="44">
                  <c:v>0.4078295772196725</c:v>
                </c:pt>
                <c:pt idx="45">
                  <c:v>0.41015502452046348</c:v>
                </c:pt>
                <c:pt idx="46">
                  <c:v>0.41675514822600235</c:v>
                </c:pt>
                <c:pt idx="47">
                  <c:v>0.41684910248932283</c:v>
                </c:pt>
                <c:pt idx="48">
                  <c:v>0.41952152469639259</c:v>
                </c:pt>
                <c:pt idx="49">
                  <c:v>0.42314247678041284</c:v>
                </c:pt>
                <c:pt idx="50">
                  <c:v>0.42924162804683874</c:v>
                </c:pt>
                <c:pt idx="51">
                  <c:v>0.42961502010257391</c:v>
                </c:pt>
                <c:pt idx="52">
                  <c:v>0.43557826507731079</c:v>
                </c:pt>
                <c:pt idx="53">
                  <c:v>0.46087894283664355</c:v>
                </c:pt>
                <c:pt idx="54">
                  <c:v>0.46300430934297765</c:v>
                </c:pt>
                <c:pt idx="55">
                  <c:v>0.47192936575902422</c:v>
                </c:pt>
                <c:pt idx="56">
                  <c:v>0.47877497934950952</c:v>
                </c:pt>
                <c:pt idx="57">
                  <c:v>0.48386145851145557</c:v>
                </c:pt>
                <c:pt idx="58">
                  <c:v>0.51454019052471267</c:v>
                </c:pt>
                <c:pt idx="59">
                  <c:v>0.52907354821581976</c:v>
                </c:pt>
                <c:pt idx="60">
                  <c:v>0.54878723358706338</c:v>
                </c:pt>
                <c:pt idx="61">
                  <c:v>0.54919590909867111</c:v>
                </c:pt>
                <c:pt idx="62">
                  <c:v>0.55145869646275969</c:v>
                </c:pt>
                <c:pt idx="63">
                  <c:v>0.55626438916806364</c:v>
                </c:pt>
                <c:pt idx="64">
                  <c:v>0.56069664849565015</c:v>
                </c:pt>
                <c:pt idx="65">
                  <c:v>0.5661625116645439</c:v>
                </c:pt>
                <c:pt idx="66">
                  <c:v>0.57089796790296532</c:v>
                </c:pt>
                <c:pt idx="67">
                  <c:v>0.5743707519450254</c:v>
                </c:pt>
                <c:pt idx="68">
                  <c:v>0.58769023468994419</c:v>
                </c:pt>
                <c:pt idx="69">
                  <c:v>0.58972382949286839</c:v>
                </c:pt>
                <c:pt idx="70">
                  <c:v>0.59491115383116266</c:v>
                </c:pt>
                <c:pt idx="71">
                  <c:v>0.61978010134316719</c:v>
                </c:pt>
                <c:pt idx="72">
                  <c:v>0.64513029205045314</c:v>
                </c:pt>
                <c:pt idx="73">
                  <c:v>0.66041706534088007</c:v>
                </c:pt>
                <c:pt idx="74">
                  <c:v>0.67072098031803762</c:v>
                </c:pt>
                <c:pt idx="75">
                  <c:v>0.67261072867768235</c:v>
                </c:pt>
                <c:pt idx="76">
                  <c:v>0.68269403864361777</c:v>
                </c:pt>
                <c:pt idx="77">
                  <c:v>0.70741324741993594</c:v>
                </c:pt>
                <c:pt idx="78">
                  <c:v>0.71512393769444316</c:v>
                </c:pt>
                <c:pt idx="79">
                  <c:v>0.73410291901291203</c:v>
                </c:pt>
                <c:pt idx="80">
                  <c:v>0.74525308487591246</c:v>
                </c:pt>
                <c:pt idx="81">
                  <c:v>0.7452836899437898</c:v>
                </c:pt>
                <c:pt idx="82">
                  <c:v>0.75670305324456422</c:v>
                </c:pt>
                <c:pt idx="83">
                  <c:v>0.79157663515343302</c:v>
                </c:pt>
                <c:pt idx="84">
                  <c:v>0.81532596554461634</c:v>
                </c:pt>
                <c:pt idx="85">
                  <c:v>0.8174392304772482</c:v>
                </c:pt>
                <c:pt idx="86">
                  <c:v>0.85010564958611212</c:v>
                </c:pt>
                <c:pt idx="87">
                  <c:v>0.85045890859601059</c:v>
                </c:pt>
                <c:pt idx="88">
                  <c:v>0.85065433945641189</c:v>
                </c:pt>
                <c:pt idx="89">
                  <c:v>0.85699384261261002</c:v>
                </c:pt>
                <c:pt idx="90">
                  <c:v>0.87012371706441627</c:v>
                </c:pt>
                <c:pt idx="91">
                  <c:v>0.90564463885857549</c:v>
                </c:pt>
                <c:pt idx="92">
                  <c:v>0.9069003277209049</c:v>
                </c:pt>
                <c:pt idx="93">
                  <c:v>0.93449468091966992</c:v>
                </c:pt>
                <c:pt idx="94">
                  <c:v>0.94590818159122136</c:v>
                </c:pt>
                <c:pt idx="95">
                  <c:v>0.95764205656269041</c:v>
                </c:pt>
                <c:pt idx="96">
                  <c:v>0.96662732210916147</c:v>
                </c:pt>
                <c:pt idx="97">
                  <c:v>0.96947317003741773</c:v>
                </c:pt>
                <c:pt idx="98">
                  <c:v>0.97970081531184405</c:v>
                </c:pt>
                <c:pt idx="99">
                  <c:v>0.992566056825126</c:v>
                </c:pt>
              </c:numCache>
            </c:numRef>
          </c:xVal>
          <c:yVal>
            <c:numRef>
              <c:f>SimData100!$K$109:$K$208</c:f>
              <c:numCache>
                <c:formatCode>General</c:formatCode>
                <c:ptCount val="100"/>
                <c:pt idx="0">
                  <c:v>0</c:v>
                </c:pt>
                <c:pt idx="1">
                  <c:v>1.0101010101010102E-2</c:v>
                </c:pt>
                <c:pt idx="2">
                  <c:v>2.0202020202020204E-2</c:v>
                </c:pt>
                <c:pt idx="3">
                  <c:v>3.0303030303030304E-2</c:v>
                </c:pt>
                <c:pt idx="4">
                  <c:v>4.0404040404040407E-2</c:v>
                </c:pt>
                <c:pt idx="5">
                  <c:v>5.0505050505050511E-2</c:v>
                </c:pt>
                <c:pt idx="6">
                  <c:v>6.0606060606060615E-2</c:v>
                </c:pt>
                <c:pt idx="7">
                  <c:v>7.0707070707070718E-2</c:v>
                </c:pt>
                <c:pt idx="8">
                  <c:v>8.0808080808080815E-2</c:v>
                </c:pt>
                <c:pt idx="9">
                  <c:v>9.0909090909090912E-2</c:v>
                </c:pt>
                <c:pt idx="10">
                  <c:v>0.10101010101010101</c:v>
                </c:pt>
                <c:pt idx="11">
                  <c:v>0.1111111111111111</c:v>
                </c:pt>
                <c:pt idx="12">
                  <c:v>0.1212121212121212</c:v>
                </c:pt>
                <c:pt idx="13">
                  <c:v>0.1313131313131313</c:v>
                </c:pt>
                <c:pt idx="14">
                  <c:v>0.14141414141414141</c:v>
                </c:pt>
                <c:pt idx="15">
                  <c:v>0.15151515151515152</c:v>
                </c:pt>
                <c:pt idx="16">
                  <c:v>0.16161616161616163</c:v>
                </c:pt>
                <c:pt idx="17">
                  <c:v>0.17171717171717174</c:v>
                </c:pt>
                <c:pt idx="18">
                  <c:v>0.18181818181818185</c:v>
                </c:pt>
                <c:pt idx="19">
                  <c:v>0.19191919191919196</c:v>
                </c:pt>
                <c:pt idx="20">
                  <c:v>0.20202020202020207</c:v>
                </c:pt>
                <c:pt idx="21">
                  <c:v>0.21212121212121218</c:v>
                </c:pt>
                <c:pt idx="22">
                  <c:v>0.22222222222222229</c:v>
                </c:pt>
                <c:pt idx="23">
                  <c:v>0.2323232323232324</c:v>
                </c:pt>
                <c:pt idx="24">
                  <c:v>0.24242424242424251</c:v>
                </c:pt>
                <c:pt idx="25">
                  <c:v>0.2525252525252526</c:v>
                </c:pt>
                <c:pt idx="26">
                  <c:v>0.26262626262626271</c:v>
                </c:pt>
                <c:pt idx="27">
                  <c:v>0.27272727272727282</c:v>
                </c:pt>
                <c:pt idx="28">
                  <c:v>0.28282828282828293</c:v>
                </c:pt>
                <c:pt idx="29">
                  <c:v>0.29292929292929304</c:v>
                </c:pt>
                <c:pt idx="30">
                  <c:v>0.30303030303030315</c:v>
                </c:pt>
                <c:pt idx="31">
                  <c:v>0.31313131313131326</c:v>
                </c:pt>
                <c:pt idx="32">
                  <c:v>0.32323232323232337</c:v>
                </c:pt>
                <c:pt idx="33">
                  <c:v>0.33333333333333348</c:v>
                </c:pt>
                <c:pt idx="34">
                  <c:v>0.34343434343434359</c:v>
                </c:pt>
                <c:pt idx="35">
                  <c:v>0.3535353535353537</c:v>
                </c:pt>
                <c:pt idx="36">
                  <c:v>0.36363636363636381</c:v>
                </c:pt>
                <c:pt idx="37">
                  <c:v>0.37373737373737392</c:v>
                </c:pt>
                <c:pt idx="38">
                  <c:v>0.38383838383838403</c:v>
                </c:pt>
                <c:pt idx="39">
                  <c:v>0.39393939393939414</c:v>
                </c:pt>
                <c:pt idx="40">
                  <c:v>0.40404040404040426</c:v>
                </c:pt>
                <c:pt idx="41">
                  <c:v>0.41414141414141437</c:v>
                </c:pt>
                <c:pt idx="42">
                  <c:v>0.42424242424242448</c:v>
                </c:pt>
                <c:pt idx="43">
                  <c:v>0.43434343434343459</c:v>
                </c:pt>
                <c:pt idx="44">
                  <c:v>0.4444444444444447</c:v>
                </c:pt>
                <c:pt idx="45">
                  <c:v>0.45454545454545481</c:v>
                </c:pt>
                <c:pt idx="46">
                  <c:v>0.46464646464646492</c:v>
                </c:pt>
                <c:pt idx="47">
                  <c:v>0.47474747474747503</c:v>
                </c:pt>
                <c:pt idx="48">
                  <c:v>0.48484848484848514</c:v>
                </c:pt>
                <c:pt idx="49">
                  <c:v>0.49494949494949525</c:v>
                </c:pt>
                <c:pt idx="50">
                  <c:v>0.50505050505050531</c:v>
                </c:pt>
                <c:pt idx="51">
                  <c:v>0.51515151515151536</c:v>
                </c:pt>
                <c:pt idx="52">
                  <c:v>0.52525252525252542</c:v>
                </c:pt>
                <c:pt idx="53">
                  <c:v>0.53535353535353547</c:v>
                </c:pt>
                <c:pt idx="54">
                  <c:v>0.54545454545454553</c:v>
                </c:pt>
                <c:pt idx="55">
                  <c:v>0.55555555555555558</c:v>
                </c:pt>
                <c:pt idx="56">
                  <c:v>0.56565656565656564</c:v>
                </c:pt>
                <c:pt idx="57">
                  <c:v>0.57575757575757569</c:v>
                </c:pt>
                <c:pt idx="58">
                  <c:v>0.58585858585858575</c:v>
                </c:pt>
                <c:pt idx="59">
                  <c:v>0.5959595959595958</c:v>
                </c:pt>
                <c:pt idx="60">
                  <c:v>0.60606060606060586</c:v>
                </c:pt>
                <c:pt idx="61">
                  <c:v>0.61616161616161591</c:v>
                </c:pt>
                <c:pt idx="62">
                  <c:v>0.62626262626262597</c:v>
                </c:pt>
                <c:pt idx="63">
                  <c:v>0.63636363636363602</c:v>
                </c:pt>
                <c:pt idx="64">
                  <c:v>0.64646464646464608</c:v>
                </c:pt>
                <c:pt idx="65">
                  <c:v>0.65656565656565613</c:v>
                </c:pt>
                <c:pt idx="66">
                  <c:v>0.66666666666666619</c:v>
                </c:pt>
                <c:pt idx="67">
                  <c:v>0.67676767676767624</c:v>
                </c:pt>
                <c:pt idx="68">
                  <c:v>0.6868686868686863</c:v>
                </c:pt>
                <c:pt idx="69">
                  <c:v>0.69696969696969635</c:v>
                </c:pt>
                <c:pt idx="70">
                  <c:v>0.70707070707070641</c:v>
                </c:pt>
                <c:pt idx="71">
                  <c:v>0.71717171717171646</c:v>
                </c:pt>
                <c:pt idx="72">
                  <c:v>0.72727272727272652</c:v>
                </c:pt>
                <c:pt idx="73">
                  <c:v>0.73737373737373657</c:v>
                </c:pt>
                <c:pt idx="74">
                  <c:v>0.74747474747474663</c:v>
                </c:pt>
                <c:pt idx="75">
                  <c:v>0.75757575757575668</c:v>
                </c:pt>
                <c:pt idx="76">
                  <c:v>0.76767676767676674</c:v>
                </c:pt>
                <c:pt idx="77">
                  <c:v>0.77777777777777679</c:v>
                </c:pt>
                <c:pt idx="78">
                  <c:v>0.78787878787878685</c:v>
                </c:pt>
                <c:pt idx="79">
                  <c:v>0.7979797979797969</c:v>
                </c:pt>
                <c:pt idx="80">
                  <c:v>0.80808080808080696</c:v>
                </c:pt>
                <c:pt idx="81">
                  <c:v>0.81818181818181701</c:v>
                </c:pt>
                <c:pt idx="82">
                  <c:v>0.82828282828282707</c:v>
                </c:pt>
                <c:pt idx="83">
                  <c:v>0.83838383838383712</c:v>
                </c:pt>
                <c:pt idx="84">
                  <c:v>0.84848484848484718</c:v>
                </c:pt>
                <c:pt idx="85">
                  <c:v>0.85858585858585723</c:v>
                </c:pt>
                <c:pt idx="86">
                  <c:v>0.86868686868686729</c:v>
                </c:pt>
                <c:pt idx="87">
                  <c:v>0.87878787878787734</c:v>
                </c:pt>
                <c:pt idx="88">
                  <c:v>0.8888888888888874</c:v>
                </c:pt>
                <c:pt idx="89">
                  <c:v>0.89898989898989745</c:v>
                </c:pt>
                <c:pt idx="90">
                  <c:v>0.90909090909090751</c:v>
                </c:pt>
                <c:pt idx="91">
                  <c:v>0.91919191919191756</c:v>
                </c:pt>
                <c:pt idx="92">
                  <c:v>0.92929292929292762</c:v>
                </c:pt>
                <c:pt idx="93">
                  <c:v>0.93939393939393767</c:v>
                </c:pt>
                <c:pt idx="94">
                  <c:v>0.94949494949494773</c:v>
                </c:pt>
                <c:pt idx="95">
                  <c:v>0.95959595959595778</c:v>
                </c:pt>
                <c:pt idx="96">
                  <c:v>0.96969696969696784</c:v>
                </c:pt>
                <c:pt idx="97">
                  <c:v>0.97979797979797789</c:v>
                </c:pt>
                <c:pt idx="98">
                  <c:v>0.98989898989898795</c:v>
                </c:pt>
                <c:pt idx="99">
                  <c:v>0.999999999999998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SimData100!$L$108</c:f>
              <c:strCache>
                <c:ptCount val="1"/>
                <c:pt idx="0">
                  <c:v>Latin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SimData100!$L$109:$L$208</c:f>
              <c:numCache>
                <c:formatCode>General</c:formatCode>
                <c:ptCount val="100"/>
                <c:pt idx="0">
                  <c:v>5.8364386777012703E-3</c:v>
                </c:pt>
                <c:pt idx="1">
                  <c:v>1.1029519755632967E-2</c:v>
                </c:pt>
                <c:pt idx="2">
                  <c:v>2.7211397471188427E-2</c:v>
                </c:pt>
                <c:pt idx="3">
                  <c:v>3.6875671408343053E-2</c:v>
                </c:pt>
                <c:pt idx="4">
                  <c:v>4.3198358396347232E-2</c:v>
                </c:pt>
                <c:pt idx="5">
                  <c:v>5.8572716808079912E-2</c:v>
                </c:pt>
                <c:pt idx="6">
                  <c:v>6.0846113544154472E-2</c:v>
                </c:pt>
                <c:pt idx="7">
                  <c:v>7.640112944562015E-2</c:v>
                </c:pt>
                <c:pt idx="8">
                  <c:v>8.624309638660474E-2</c:v>
                </c:pt>
                <c:pt idx="9">
                  <c:v>9.2492334331034765E-2</c:v>
                </c:pt>
                <c:pt idx="10">
                  <c:v>0.10107154121414562</c:v>
                </c:pt>
                <c:pt idx="11">
                  <c:v>0.11522016191510953</c:v>
                </c:pt>
                <c:pt idx="12">
                  <c:v>0.12176168937277089</c:v>
                </c:pt>
                <c:pt idx="13">
                  <c:v>0.13363331270488754</c:v>
                </c:pt>
                <c:pt idx="14">
                  <c:v>0.14429611447832921</c:v>
                </c:pt>
                <c:pt idx="15">
                  <c:v>0.15064357486568475</c:v>
                </c:pt>
                <c:pt idx="16">
                  <c:v>0.16054625971721165</c:v>
                </c:pt>
                <c:pt idx="17">
                  <c:v>0.17785570437038684</c:v>
                </c:pt>
                <c:pt idx="18">
                  <c:v>0.18108673904582084</c:v>
                </c:pt>
                <c:pt idx="19">
                  <c:v>0.19684149779538657</c:v>
                </c:pt>
                <c:pt idx="20">
                  <c:v>0.20037947915270446</c:v>
                </c:pt>
                <c:pt idx="21">
                  <c:v>0.21189330433306594</c:v>
                </c:pt>
                <c:pt idx="22">
                  <c:v>0.223788491297464</c:v>
                </c:pt>
                <c:pt idx="23">
                  <c:v>0.23158280179174218</c:v>
                </c:pt>
                <c:pt idx="24">
                  <c:v>0.24444231474177033</c:v>
                </c:pt>
                <c:pt idx="25">
                  <c:v>0.25138206581151629</c:v>
                </c:pt>
                <c:pt idx="26">
                  <c:v>0.26570408656161837</c:v>
                </c:pt>
                <c:pt idx="27">
                  <c:v>0.27336321862725615</c:v>
                </c:pt>
                <c:pt idx="28">
                  <c:v>0.28899431797652375</c:v>
                </c:pt>
                <c:pt idx="29">
                  <c:v>0.29918596772690909</c:v>
                </c:pt>
                <c:pt idx="30">
                  <c:v>0.30939301431397742</c:v>
                </c:pt>
                <c:pt idx="31">
                  <c:v>0.31847798497846308</c:v>
                </c:pt>
                <c:pt idx="32">
                  <c:v>0.32804312526435664</c:v>
                </c:pt>
                <c:pt idx="33">
                  <c:v>0.33755382060249189</c:v>
                </c:pt>
                <c:pt idx="34">
                  <c:v>0.34503667930025528</c:v>
                </c:pt>
                <c:pt idx="35">
                  <c:v>0.35557704778750826</c:v>
                </c:pt>
                <c:pt idx="36">
                  <c:v>0.36720363544235091</c:v>
                </c:pt>
                <c:pt idx="37">
                  <c:v>0.37617190657560057</c:v>
                </c:pt>
                <c:pt idx="38">
                  <c:v>0.38022765080449816</c:v>
                </c:pt>
                <c:pt idx="39">
                  <c:v>0.39204179710988929</c:v>
                </c:pt>
                <c:pt idx="40">
                  <c:v>0.40872098709892507</c:v>
                </c:pt>
                <c:pt idx="41">
                  <c:v>0.41699107086215892</c:v>
                </c:pt>
                <c:pt idx="42">
                  <c:v>0.42869595140654032</c:v>
                </c:pt>
                <c:pt idx="43">
                  <c:v>0.43270966094515978</c:v>
                </c:pt>
                <c:pt idx="44">
                  <c:v>0.44171845062675852</c:v>
                </c:pt>
                <c:pt idx="45">
                  <c:v>0.45273968598636322</c:v>
                </c:pt>
                <c:pt idx="46">
                  <c:v>0.46506187083084649</c:v>
                </c:pt>
                <c:pt idx="47">
                  <c:v>0.4740555231748278</c:v>
                </c:pt>
                <c:pt idx="48">
                  <c:v>0.48241032336196171</c:v>
                </c:pt>
                <c:pt idx="49">
                  <c:v>0.49139455372500107</c:v>
                </c:pt>
                <c:pt idx="50">
                  <c:v>0.50837004595398205</c:v>
                </c:pt>
                <c:pt idx="51">
                  <c:v>0.51126916564564906</c:v>
                </c:pt>
                <c:pt idx="52">
                  <c:v>0.52989418409529465</c:v>
                </c:pt>
                <c:pt idx="53">
                  <c:v>0.5321845179568474</c:v>
                </c:pt>
                <c:pt idx="54">
                  <c:v>0.5498007313045209</c:v>
                </c:pt>
                <c:pt idx="55">
                  <c:v>0.55703279673751271</c:v>
                </c:pt>
                <c:pt idx="56">
                  <c:v>0.56314642947473248</c:v>
                </c:pt>
                <c:pt idx="57">
                  <c:v>0.57487135888190732</c:v>
                </c:pt>
                <c:pt idx="58">
                  <c:v>0.58609038374295697</c:v>
                </c:pt>
                <c:pt idx="59">
                  <c:v>0.59291024018612459</c:v>
                </c:pt>
                <c:pt idx="60">
                  <c:v>0.60545256825523741</c:v>
                </c:pt>
                <c:pt idx="61">
                  <c:v>0.61885989426142995</c:v>
                </c:pt>
                <c:pt idx="62">
                  <c:v>0.62188420463397265</c:v>
                </c:pt>
                <c:pt idx="63">
                  <c:v>0.63746610430708761</c:v>
                </c:pt>
                <c:pt idx="64">
                  <c:v>0.64467205576474595</c:v>
                </c:pt>
                <c:pt idx="65">
                  <c:v>0.65638662444110651</c:v>
                </c:pt>
                <c:pt idx="66">
                  <c:v>0.66164976006645004</c:v>
                </c:pt>
                <c:pt idx="67">
                  <c:v>0.67845584751070842</c:v>
                </c:pt>
                <c:pt idx="68">
                  <c:v>0.6832338133694682</c:v>
                </c:pt>
                <c:pt idx="69">
                  <c:v>0.69642252607420618</c:v>
                </c:pt>
                <c:pt idx="70">
                  <c:v>0.70529209907755541</c:v>
                </c:pt>
                <c:pt idx="71">
                  <c:v>0.71909695705377885</c:v>
                </c:pt>
                <c:pt idx="72">
                  <c:v>0.722169054649344</c:v>
                </c:pt>
                <c:pt idx="73">
                  <c:v>0.73893844328563163</c:v>
                </c:pt>
                <c:pt idx="74">
                  <c:v>0.74559180392548252</c:v>
                </c:pt>
                <c:pt idx="75">
                  <c:v>0.75004567238736097</c:v>
                </c:pt>
                <c:pt idx="76">
                  <c:v>0.76053269234963994</c:v>
                </c:pt>
                <c:pt idx="77">
                  <c:v>0.77626457763981649</c:v>
                </c:pt>
                <c:pt idx="78">
                  <c:v>0.78039708568956645</c:v>
                </c:pt>
                <c:pt idx="79">
                  <c:v>0.7955712200038999</c:v>
                </c:pt>
                <c:pt idx="80">
                  <c:v>0.80522122536441798</c:v>
                </c:pt>
                <c:pt idx="81">
                  <c:v>0.81864450740363548</c:v>
                </c:pt>
                <c:pt idx="82">
                  <c:v>0.82635747197930642</c:v>
                </c:pt>
                <c:pt idx="83">
                  <c:v>0.83827693247429025</c:v>
                </c:pt>
                <c:pt idx="84">
                  <c:v>0.84349910452810561</c:v>
                </c:pt>
                <c:pt idx="85">
                  <c:v>0.85469332843429724</c:v>
                </c:pt>
                <c:pt idx="86">
                  <c:v>0.86467567252569733</c:v>
                </c:pt>
                <c:pt idx="87">
                  <c:v>0.87208117881139768</c:v>
                </c:pt>
                <c:pt idx="88">
                  <c:v>0.8831880966930622</c:v>
                </c:pt>
                <c:pt idx="89">
                  <c:v>0.89596911148074299</c:v>
                </c:pt>
                <c:pt idx="90">
                  <c:v>0.90715699763669566</c:v>
                </c:pt>
                <c:pt idx="91">
                  <c:v>0.91257989430394493</c:v>
                </c:pt>
                <c:pt idx="92">
                  <c:v>0.92774711055395831</c:v>
                </c:pt>
                <c:pt idx="93">
                  <c:v>0.93947105472895098</c:v>
                </c:pt>
                <c:pt idx="94">
                  <c:v>0.94057658483054885</c:v>
                </c:pt>
                <c:pt idx="95">
                  <c:v>0.9543367437283361</c:v>
                </c:pt>
                <c:pt idx="96">
                  <c:v>0.96403672975814825</c:v>
                </c:pt>
                <c:pt idx="97">
                  <c:v>0.97979962397594933</c:v>
                </c:pt>
                <c:pt idx="98">
                  <c:v>0.98301842126134276</c:v>
                </c:pt>
                <c:pt idx="99">
                  <c:v>0.99803661999246951</c:v>
                </c:pt>
              </c:numCache>
            </c:numRef>
          </c:xVal>
          <c:yVal>
            <c:numRef>
              <c:f>SimData100!$M$109:$M$208</c:f>
              <c:numCache>
                <c:formatCode>General</c:formatCode>
                <c:ptCount val="100"/>
                <c:pt idx="0">
                  <c:v>0</c:v>
                </c:pt>
                <c:pt idx="1">
                  <c:v>1.0101010101010102E-2</c:v>
                </c:pt>
                <c:pt idx="2">
                  <c:v>2.0202020202020204E-2</c:v>
                </c:pt>
                <c:pt idx="3">
                  <c:v>3.0303030303030304E-2</c:v>
                </c:pt>
                <c:pt idx="4">
                  <c:v>4.0404040404040407E-2</c:v>
                </c:pt>
                <c:pt idx="5">
                  <c:v>5.0505050505050511E-2</c:v>
                </c:pt>
                <c:pt idx="6">
                  <c:v>6.0606060606060615E-2</c:v>
                </c:pt>
                <c:pt idx="7">
                  <c:v>7.0707070707070718E-2</c:v>
                </c:pt>
                <c:pt idx="8">
                  <c:v>8.0808080808080815E-2</c:v>
                </c:pt>
                <c:pt idx="9">
                  <c:v>9.0909090909090912E-2</c:v>
                </c:pt>
                <c:pt idx="10">
                  <c:v>0.10101010101010101</c:v>
                </c:pt>
                <c:pt idx="11">
                  <c:v>0.1111111111111111</c:v>
                </c:pt>
                <c:pt idx="12">
                  <c:v>0.1212121212121212</c:v>
                </c:pt>
                <c:pt idx="13">
                  <c:v>0.1313131313131313</c:v>
                </c:pt>
                <c:pt idx="14">
                  <c:v>0.14141414141414141</c:v>
                </c:pt>
                <c:pt idx="15">
                  <c:v>0.15151515151515152</c:v>
                </c:pt>
                <c:pt idx="16">
                  <c:v>0.16161616161616163</c:v>
                </c:pt>
                <c:pt idx="17">
                  <c:v>0.17171717171717174</c:v>
                </c:pt>
                <c:pt idx="18">
                  <c:v>0.18181818181818185</c:v>
                </c:pt>
                <c:pt idx="19">
                  <c:v>0.19191919191919196</c:v>
                </c:pt>
                <c:pt idx="20">
                  <c:v>0.20202020202020207</c:v>
                </c:pt>
                <c:pt idx="21">
                  <c:v>0.21212121212121218</c:v>
                </c:pt>
                <c:pt idx="22">
                  <c:v>0.22222222222222229</c:v>
                </c:pt>
                <c:pt idx="23">
                  <c:v>0.2323232323232324</c:v>
                </c:pt>
                <c:pt idx="24">
                  <c:v>0.24242424242424251</c:v>
                </c:pt>
                <c:pt idx="25">
                  <c:v>0.2525252525252526</c:v>
                </c:pt>
                <c:pt idx="26">
                  <c:v>0.26262626262626271</c:v>
                </c:pt>
                <c:pt idx="27">
                  <c:v>0.27272727272727282</c:v>
                </c:pt>
                <c:pt idx="28">
                  <c:v>0.28282828282828293</c:v>
                </c:pt>
                <c:pt idx="29">
                  <c:v>0.29292929292929304</c:v>
                </c:pt>
                <c:pt idx="30">
                  <c:v>0.30303030303030315</c:v>
                </c:pt>
                <c:pt idx="31">
                  <c:v>0.31313131313131326</c:v>
                </c:pt>
                <c:pt idx="32">
                  <c:v>0.32323232323232337</c:v>
                </c:pt>
                <c:pt idx="33">
                  <c:v>0.33333333333333348</c:v>
                </c:pt>
                <c:pt idx="34">
                  <c:v>0.34343434343434359</c:v>
                </c:pt>
                <c:pt idx="35">
                  <c:v>0.3535353535353537</c:v>
                </c:pt>
                <c:pt idx="36">
                  <c:v>0.36363636363636381</c:v>
                </c:pt>
                <c:pt idx="37">
                  <c:v>0.37373737373737392</c:v>
                </c:pt>
                <c:pt idx="38">
                  <c:v>0.38383838383838403</c:v>
                </c:pt>
                <c:pt idx="39">
                  <c:v>0.39393939393939414</c:v>
                </c:pt>
                <c:pt idx="40">
                  <c:v>0.40404040404040426</c:v>
                </c:pt>
                <c:pt idx="41">
                  <c:v>0.41414141414141437</c:v>
                </c:pt>
                <c:pt idx="42">
                  <c:v>0.42424242424242448</c:v>
                </c:pt>
                <c:pt idx="43">
                  <c:v>0.43434343434343459</c:v>
                </c:pt>
                <c:pt idx="44">
                  <c:v>0.4444444444444447</c:v>
                </c:pt>
                <c:pt idx="45">
                  <c:v>0.45454545454545481</c:v>
                </c:pt>
                <c:pt idx="46">
                  <c:v>0.46464646464646492</c:v>
                </c:pt>
                <c:pt idx="47">
                  <c:v>0.47474747474747503</c:v>
                </c:pt>
                <c:pt idx="48">
                  <c:v>0.48484848484848514</c:v>
                </c:pt>
                <c:pt idx="49">
                  <c:v>0.49494949494949525</c:v>
                </c:pt>
                <c:pt idx="50">
                  <c:v>0.50505050505050531</c:v>
                </c:pt>
                <c:pt idx="51">
                  <c:v>0.51515151515151536</c:v>
                </c:pt>
                <c:pt idx="52">
                  <c:v>0.52525252525252542</c:v>
                </c:pt>
                <c:pt idx="53">
                  <c:v>0.53535353535353547</c:v>
                </c:pt>
                <c:pt idx="54">
                  <c:v>0.54545454545454553</c:v>
                </c:pt>
                <c:pt idx="55">
                  <c:v>0.55555555555555558</c:v>
                </c:pt>
                <c:pt idx="56">
                  <c:v>0.56565656565656564</c:v>
                </c:pt>
                <c:pt idx="57">
                  <c:v>0.57575757575757569</c:v>
                </c:pt>
                <c:pt idx="58">
                  <c:v>0.58585858585858575</c:v>
                </c:pt>
                <c:pt idx="59">
                  <c:v>0.5959595959595958</c:v>
                </c:pt>
                <c:pt idx="60">
                  <c:v>0.60606060606060586</c:v>
                </c:pt>
                <c:pt idx="61">
                  <c:v>0.61616161616161591</c:v>
                </c:pt>
                <c:pt idx="62">
                  <c:v>0.62626262626262597</c:v>
                </c:pt>
                <c:pt idx="63">
                  <c:v>0.63636363636363602</c:v>
                </c:pt>
                <c:pt idx="64">
                  <c:v>0.64646464646464608</c:v>
                </c:pt>
                <c:pt idx="65">
                  <c:v>0.65656565656565613</c:v>
                </c:pt>
                <c:pt idx="66">
                  <c:v>0.66666666666666619</c:v>
                </c:pt>
                <c:pt idx="67">
                  <c:v>0.67676767676767624</c:v>
                </c:pt>
                <c:pt idx="68">
                  <c:v>0.6868686868686863</c:v>
                </c:pt>
                <c:pt idx="69">
                  <c:v>0.69696969696969635</c:v>
                </c:pt>
                <c:pt idx="70">
                  <c:v>0.70707070707070641</c:v>
                </c:pt>
                <c:pt idx="71">
                  <c:v>0.71717171717171646</c:v>
                </c:pt>
                <c:pt idx="72">
                  <c:v>0.72727272727272652</c:v>
                </c:pt>
                <c:pt idx="73">
                  <c:v>0.73737373737373657</c:v>
                </c:pt>
                <c:pt idx="74">
                  <c:v>0.74747474747474663</c:v>
                </c:pt>
                <c:pt idx="75">
                  <c:v>0.75757575757575668</c:v>
                </c:pt>
                <c:pt idx="76">
                  <c:v>0.76767676767676674</c:v>
                </c:pt>
                <c:pt idx="77">
                  <c:v>0.77777777777777679</c:v>
                </c:pt>
                <c:pt idx="78">
                  <c:v>0.78787878787878685</c:v>
                </c:pt>
                <c:pt idx="79">
                  <c:v>0.7979797979797969</c:v>
                </c:pt>
                <c:pt idx="80">
                  <c:v>0.80808080808080696</c:v>
                </c:pt>
                <c:pt idx="81">
                  <c:v>0.81818181818181701</c:v>
                </c:pt>
                <c:pt idx="82">
                  <c:v>0.82828282828282707</c:v>
                </c:pt>
                <c:pt idx="83">
                  <c:v>0.83838383838383712</c:v>
                </c:pt>
                <c:pt idx="84">
                  <c:v>0.84848484848484718</c:v>
                </c:pt>
                <c:pt idx="85">
                  <c:v>0.85858585858585723</c:v>
                </c:pt>
                <c:pt idx="86">
                  <c:v>0.86868686868686729</c:v>
                </c:pt>
                <c:pt idx="87">
                  <c:v>0.87878787878787734</c:v>
                </c:pt>
                <c:pt idx="88">
                  <c:v>0.8888888888888874</c:v>
                </c:pt>
                <c:pt idx="89">
                  <c:v>0.89898989898989745</c:v>
                </c:pt>
                <c:pt idx="90">
                  <c:v>0.90909090909090751</c:v>
                </c:pt>
                <c:pt idx="91">
                  <c:v>0.91919191919191756</c:v>
                </c:pt>
                <c:pt idx="92">
                  <c:v>0.92929292929292762</c:v>
                </c:pt>
                <c:pt idx="93">
                  <c:v>0.93939393939393767</c:v>
                </c:pt>
                <c:pt idx="94">
                  <c:v>0.94949494949494773</c:v>
                </c:pt>
                <c:pt idx="95">
                  <c:v>0.95959595959595778</c:v>
                </c:pt>
                <c:pt idx="96">
                  <c:v>0.96969696969696784</c:v>
                </c:pt>
                <c:pt idx="97">
                  <c:v>0.97979797979797789</c:v>
                </c:pt>
                <c:pt idx="98">
                  <c:v>0.98989898989898795</c:v>
                </c:pt>
                <c:pt idx="99">
                  <c:v>0.999999999999998</c:v>
                </c:pt>
              </c:numCache>
            </c:numRef>
          </c:yVal>
          <c:smooth val="1"/>
        </c:ser>
        <c:axId val="186176256"/>
        <c:axId val="186177792"/>
      </c:scatterChart>
      <c:valAx>
        <c:axId val="186176256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77792"/>
        <c:crosses val="autoZero"/>
        <c:crossBetween val="midCat"/>
      </c:valAx>
      <c:valAx>
        <c:axId val="18617779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7856208694439116E-2"/>
              <c:y val="0.47652499856568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762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3908486930441"/>
          <c:y val="0.9497861272781748"/>
          <c:w val="0.28011927389401364"/>
          <c:h val="3.9166438238275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200 Iterations</a:t>
            </a:r>
          </a:p>
        </c:rich>
      </c:tx>
      <c:layout>
        <c:manualLayout>
          <c:xMode val="edge"/>
          <c:yMode val="edge"/>
          <c:x val="0.28904737824123322"/>
          <c:y val="2.77428937521116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04899994768686E-2"/>
          <c:y val="0.12892285920098936"/>
          <c:w val="0.89504246080876071"/>
          <c:h val="0.75232200116020376"/>
        </c:manualLayout>
      </c:layout>
      <c:scatterChart>
        <c:scatterStyle val="smoothMarker"/>
        <c:ser>
          <c:idx val="0"/>
          <c:order val="0"/>
          <c:tx>
            <c:strRef>
              <c:f>SimData200!$K$208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SimData200!$K$209:$K$408</c:f>
              <c:numCache>
                <c:formatCode>General</c:formatCode>
                <c:ptCount val="200"/>
                <c:pt idx="0">
                  <c:v>4.290951081619354E-3</c:v>
                </c:pt>
                <c:pt idx="1">
                  <c:v>5.3949146020214342E-3</c:v>
                </c:pt>
                <c:pt idx="2">
                  <c:v>1.3233221311409311E-2</c:v>
                </c:pt>
                <c:pt idx="3">
                  <c:v>1.960609093881354E-2</c:v>
                </c:pt>
                <c:pt idx="4">
                  <c:v>2.4822353020967532E-2</c:v>
                </c:pt>
                <c:pt idx="5">
                  <c:v>2.8556972649776604E-2</c:v>
                </c:pt>
                <c:pt idx="6">
                  <c:v>3.0877618920262348E-2</c:v>
                </c:pt>
                <c:pt idx="7">
                  <c:v>3.7845425997591907E-2</c:v>
                </c:pt>
                <c:pt idx="8">
                  <c:v>4.0442472230746054E-2</c:v>
                </c:pt>
                <c:pt idx="9">
                  <c:v>4.7322575237444271E-2</c:v>
                </c:pt>
                <c:pt idx="10">
                  <c:v>5.2710734377082138E-2</c:v>
                </c:pt>
                <c:pt idx="11">
                  <c:v>5.6173159411683021E-2</c:v>
                </c:pt>
                <c:pt idx="12">
                  <c:v>6.495548934441886E-2</c:v>
                </c:pt>
                <c:pt idx="13">
                  <c:v>6.5005903522252551E-2</c:v>
                </c:pt>
                <c:pt idx="14">
                  <c:v>7.1378316571092781E-2</c:v>
                </c:pt>
                <c:pt idx="15">
                  <c:v>7.5354225681013021E-2</c:v>
                </c:pt>
                <c:pt idx="16">
                  <c:v>8.2786170523098251E-2</c:v>
                </c:pt>
                <c:pt idx="17">
                  <c:v>8.8278331463988488E-2</c:v>
                </c:pt>
                <c:pt idx="18">
                  <c:v>9.0510319518044197E-2</c:v>
                </c:pt>
                <c:pt idx="19">
                  <c:v>9.7871509848132601E-2</c:v>
                </c:pt>
                <c:pt idx="20">
                  <c:v>0.10273351015935966</c:v>
                </c:pt>
                <c:pt idx="21">
                  <c:v>0.10799586424324564</c:v>
                </c:pt>
                <c:pt idx="22">
                  <c:v>0.1149921321601123</c:v>
                </c:pt>
                <c:pt idx="23">
                  <c:v>0.11840887536141297</c:v>
                </c:pt>
                <c:pt idx="24">
                  <c:v>0.12260448047020577</c:v>
                </c:pt>
                <c:pt idx="25">
                  <c:v>0.12572821646596496</c:v>
                </c:pt>
                <c:pt idx="26">
                  <c:v>0.13084167965008917</c:v>
                </c:pt>
                <c:pt idx="27">
                  <c:v>0.13889223061010525</c:v>
                </c:pt>
                <c:pt idx="28">
                  <c:v>0.14189142181582082</c:v>
                </c:pt>
                <c:pt idx="29">
                  <c:v>0.14561868252596322</c:v>
                </c:pt>
                <c:pt idx="30">
                  <c:v>0.15496560656348374</c:v>
                </c:pt>
                <c:pt idx="31">
                  <c:v>0.1575210733251928</c:v>
                </c:pt>
                <c:pt idx="32">
                  <c:v>0.16307512770012839</c:v>
                </c:pt>
                <c:pt idx="33">
                  <c:v>0.16849663894821348</c:v>
                </c:pt>
                <c:pt idx="34">
                  <c:v>0.17106776469062729</c:v>
                </c:pt>
                <c:pt idx="35">
                  <c:v>0.17512189538453751</c:v>
                </c:pt>
                <c:pt idx="36">
                  <c:v>0.1812273257985309</c:v>
                </c:pt>
                <c:pt idx="37">
                  <c:v>0.18562244840795697</c:v>
                </c:pt>
                <c:pt idx="38">
                  <c:v>0.19110026881590028</c:v>
                </c:pt>
                <c:pt idx="39">
                  <c:v>0.19557711449930842</c:v>
                </c:pt>
                <c:pt idx="40">
                  <c:v>0.20357588168666138</c:v>
                </c:pt>
                <c:pt idx="41">
                  <c:v>0.20973086466540836</c:v>
                </c:pt>
                <c:pt idx="42">
                  <c:v>0.21059361146660371</c:v>
                </c:pt>
                <c:pt idx="43">
                  <c:v>0.21582789134369881</c:v>
                </c:pt>
                <c:pt idx="44">
                  <c:v>0.22308798490746132</c:v>
                </c:pt>
                <c:pt idx="45">
                  <c:v>0.22947228666499078</c:v>
                </c:pt>
                <c:pt idx="46">
                  <c:v>0.23256708305039608</c:v>
                </c:pt>
                <c:pt idx="47">
                  <c:v>0.23658241599369387</c:v>
                </c:pt>
                <c:pt idx="48">
                  <c:v>0.24462370005660311</c:v>
                </c:pt>
                <c:pt idx="49">
                  <c:v>0.24505296455231795</c:v>
                </c:pt>
                <c:pt idx="50">
                  <c:v>0.25485921357405816</c:v>
                </c:pt>
                <c:pt idx="51">
                  <c:v>0.25781611414226147</c:v>
                </c:pt>
                <c:pt idx="52">
                  <c:v>0.26395803192955397</c:v>
                </c:pt>
                <c:pt idx="53">
                  <c:v>0.26532675036353215</c:v>
                </c:pt>
                <c:pt idx="54">
                  <c:v>0.27051606551988888</c:v>
                </c:pt>
                <c:pt idx="55">
                  <c:v>0.27751348350721261</c:v>
                </c:pt>
                <c:pt idx="56">
                  <c:v>0.28123097485425669</c:v>
                </c:pt>
                <c:pt idx="57">
                  <c:v>0.28736540299313268</c:v>
                </c:pt>
                <c:pt idx="58">
                  <c:v>0.29073924522980565</c:v>
                </c:pt>
                <c:pt idx="59">
                  <c:v>0.29699891289393393</c:v>
                </c:pt>
                <c:pt idx="60">
                  <c:v>0.30052342820226291</c:v>
                </c:pt>
                <c:pt idx="61">
                  <c:v>0.30950865113048548</c:v>
                </c:pt>
                <c:pt idx="62">
                  <c:v>0.31122155613876451</c:v>
                </c:pt>
                <c:pt idx="63">
                  <c:v>0.31538476754454542</c:v>
                </c:pt>
                <c:pt idx="64">
                  <c:v>0.32253045053978696</c:v>
                </c:pt>
                <c:pt idx="65">
                  <c:v>0.32880304168649088</c:v>
                </c:pt>
                <c:pt idx="66">
                  <c:v>0.33139616554286244</c:v>
                </c:pt>
                <c:pt idx="67">
                  <c:v>0.33630223102548679</c:v>
                </c:pt>
                <c:pt idx="68">
                  <c:v>0.34296498438761686</c:v>
                </c:pt>
                <c:pt idx="69">
                  <c:v>0.34623976733797224</c:v>
                </c:pt>
                <c:pt idx="70">
                  <c:v>0.35028526501038237</c:v>
                </c:pt>
                <c:pt idx="71">
                  <c:v>0.358717548710694</c:v>
                </c:pt>
                <c:pt idx="72">
                  <c:v>0.36398775478219325</c:v>
                </c:pt>
                <c:pt idx="73">
                  <c:v>0.36890474038987997</c:v>
                </c:pt>
                <c:pt idx="74">
                  <c:v>0.37122922024485405</c:v>
                </c:pt>
                <c:pt idx="75">
                  <c:v>0.3778170538607093</c:v>
                </c:pt>
                <c:pt idx="76">
                  <c:v>0.38328691903112622</c:v>
                </c:pt>
                <c:pt idx="77">
                  <c:v>0.38942888184088026</c:v>
                </c:pt>
                <c:pt idx="78">
                  <c:v>0.39070270569545751</c:v>
                </c:pt>
                <c:pt idx="79">
                  <c:v>0.39734768248217828</c:v>
                </c:pt>
                <c:pt idx="80">
                  <c:v>0.40230696135021438</c:v>
                </c:pt>
                <c:pt idx="81">
                  <c:v>0.40831124678796882</c:v>
                </c:pt>
                <c:pt idx="82">
                  <c:v>0.41493546477284649</c:v>
                </c:pt>
                <c:pt idx="83">
                  <c:v>0.41954495261529112</c:v>
                </c:pt>
                <c:pt idx="84">
                  <c:v>0.42269148971831688</c:v>
                </c:pt>
                <c:pt idx="85">
                  <c:v>0.42688316756437605</c:v>
                </c:pt>
                <c:pt idx="86">
                  <c:v>0.43114572649615485</c:v>
                </c:pt>
                <c:pt idx="87">
                  <c:v>0.43614855170858763</c:v>
                </c:pt>
                <c:pt idx="88">
                  <c:v>0.44195071427313393</c:v>
                </c:pt>
                <c:pt idx="89">
                  <c:v>0.44642067516604916</c:v>
                </c:pt>
                <c:pt idx="90">
                  <c:v>0.45416057185483177</c:v>
                </c:pt>
                <c:pt idx="91">
                  <c:v>0.45531581822091616</c:v>
                </c:pt>
                <c:pt idx="92">
                  <c:v>0.46460216766330459</c:v>
                </c:pt>
                <c:pt idx="93">
                  <c:v>0.4668414298460915</c:v>
                </c:pt>
                <c:pt idx="94">
                  <c:v>0.47470171581713994</c:v>
                </c:pt>
                <c:pt idx="95">
                  <c:v>0.47633679468681495</c:v>
                </c:pt>
                <c:pt idx="96">
                  <c:v>0.48318196554742338</c:v>
                </c:pt>
                <c:pt idx="97">
                  <c:v>0.48779513589637241</c:v>
                </c:pt>
                <c:pt idx="98">
                  <c:v>0.49352430193068558</c:v>
                </c:pt>
                <c:pt idx="99">
                  <c:v>0.49858035607463225</c:v>
                </c:pt>
                <c:pt idx="100">
                  <c:v>0.50091316337369218</c:v>
                </c:pt>
                <c:pt idx="101">
                  <c:v>0.50645030399818214</c:v>
                </c:pt>
                <c:pt idx="102">
                  <c:v>0.51451736423641381</c:v>
                </c:pt>
                <c:pt idx="103">
                  <c:v>0.51784291659664428</c:v>
                </c:pt>
                <c:pt idx="104">
                  <c:v>0.52269655414221261</c:v>
                </c:pt>
                <c:pt idx="105">
                  <c:v>0.52548682179778972</c:v>
                </c:pt>
                <c:pt idx="106">
                  <c:v>0.53136868458505926</c:v>
                </c:pt>
                <c:pt idx="107">
                  <c:v>0.53918356520919675</c:v>
                </c:pt>
                <c:pt idx="108">
                  <c:v>0.54497174439019791</c:v>
                </c:pt>
                <c:pt idx="109">
                  <c:v>0.54982932611830282</c:v>
                </c:pt>
                <c:pt idx="110">
                  <c:v>0.55270039105268676</c:v>
                </c:pt>
                <c:pt idx="111">
                  <c:v>0.55865801597215659</c:v>
                </c:pt>
                <c:pt idx="112">
                  <c:v>0.5642461163944672</c:v>
                </c:pt>
                <c:pt idx="113">
                  <c:v>0.56904595947918624</c:v>
                </c:pt>
                <c:pt idx="114">
                  <c:v>0.57324338774505146</c:v>
                </c:pt>
                <c:pt idx="115">
                  <c:v>0.57642901929943569</c:v>
                </c:pt>
                <c:pt idx="116">
                  <c:v>0.58372163881750816</c:v>
                </c:pt>
                <c:pt idx="117">
                  <c:v>0.58884187945603439</c:v>
                </c:pt>
                <c:pt idx="118">
                  <c:v>0.59008976651008471</c:v>
                </c:pt>
                <c:pt idx="119">
                  <c:v>0.59670300266163023</c:v>
                </c:pt>
                <c:pt idx="120">
                  <c:v>0.60318383370018192</c:v>
                </c:pt>
                <c:pt idx="121">
                  <c:v>0.60518504770942616</c:v>
                </c:pt>
                <c:pt idx="122">
                  <c:v>0.61123288590955382</c:v>
                </c:pt>
                <c:pt idx="123">
                  <c:v>0.61603489438794434</c:v>
                </c:pt>
                <c:pt idx="124">
                  <c:v>0.62411131154026633</c:v>
                </c:pt>
                <c:pt idx="125">
                  <c:v>0.62990763938168703</c:v>
                </c:pt>
                <c:pt idx="126">
                  <c:v>0.63373942275152995</c:v>
                </c:pt>
                <c:pt idx="127">
                  <c:v>0.63990995427940733</c:v>
                </c:pt>
                <c:pt idx="128">
                  <c:v>0.64478018706659324</c:v>
                </c:pt>
                <c:pt idx="129">
                  <c:v>0.64955024585000942</c:v>
                </c:pt>
                <c:pt idx="130">
                  <c:v>0.65092175333432889</c:v>
                </c:pt>
                <c:pt idx="131">
                  <c:v>0.65735006789265893</c:v>
                </c:pt>
                <c:pt idx="132">
                  <c:v>0.66465049980665791</c:v>
                </c:pt>
                <c:pt idx="133">
                  <c:v>0.6689447587516496</c:v>
                </c:pt>
                <c:pt idx="134">
                  <c:v>0.67353877515730887</c:v>
                </c:pt>
                <c:pt idx="135">
                  <c:v>0.67877269338904245</c:v>
                </c:pt>
                <c:pt idx="136">
                  <c:v>0.68165968945754218</c:v>
                </c:pt>
                <c:pt idx="137">
                  <c:v>0.68933926747980034</c:v>
                </c:pt>
                <c:pt idx="138">
                  <c:v>0.69487010599809462</c:v>
                </c:pt>
                <c:pt idx="139">
                  <c:v>0.69977731315879554</c:v>
                </c:pt>
                <c:pt idx="140">
                  <c:v>0.70246833635085926</c:v>
                </c:pt>
                <c:pt idx="141">
                  <c:v>0.70879649940617295</c:v>
                </c:pt>
                <c:pt idx="142">
                  <c:v>0.71467817094635178</c:v>
                </c:pt>
                <c:pt idx="143">
                  <c:v>0.71934050827621021</c:v>
                </c:pt>
                <c:pt idx="144">
                  <c:v>0.72154358296807475</c:v>
                </c:pt>
                <c:pt idx="145">
                  <c:v>0.72726085498748827</c:v>
                </c:pt>
                <c:pt idx="146">
                  <c:v>0.73098141902265634</c:v>
                </c:pt>
                <c:pt idx="147">
                  <c:v>0.73885065856130117</c:v>
                </c:pt>
                <c:pt idx="148">
                  <c:v>0.7416518136466973</c:v>
                </c:pt>
                <c:pt idx="149">
                  <c:v>0.74804861343420315</c:v>
                </c:pt>
                <c:pt idx="150">
                  <c:v>0.75112464349743091</c:v>
                </c:pt>
                <c:pt idx="151">
                  <c:v>0.75976829813555069</c:v>
                </c:pt>
                <c:pt idx="152">
                  <c:v>0.76279146491149252</c:v>
                </c:pt>
                <c:pt idx="153">
                  <c:v>0.7667192979254106</c:v>
                </c:pt>
                <c:pt idx="154">
                  <c:v>0.77064307075823735</c:v>
                </c:pt>
                <c:pt idx="155">
                  <c:v>0.7759834670114758</c:v>
                </c:pt>
                <c:pt idx="156">
                  <c:v>0.78332819603344617</c:v>
                </c:pt>
                <c:pt idx="157">
                  <c:v>0.78813162117338076</c:v>
                </c:pt>
                <c:pt idx="158">
                  <c:v>0.79079008837830966</c:v>
                </c:pt>
                <c:pt idx="159">
                  <c:v>0.79876278401440071</c:v>
                </c:pt>
                <c:pt idx="160">
                  <c:v>0.80261184914214811</c:v>
                </c:pt>
                <c:pt idx="161">
                  <c:v>0.80912931716165715</c:v>
                </c:pt>
                <c:pt idx="162">
                  <c:v>0.81319237651028486</c:v>
                </c:pt>
                <c:pt idx="163">
                  <c:v>0.81644929100094588</c:v>
                </c:pt>
                <c:pt idx="164">
                  <c:v>0.8232956287028026</c:v>
                </c:pt>
                <c:pt idx="165">
                  <c:v>0.82849611716426352</c:v>
                </c:pt>
                <c:pt idx="166">
                  <c:v>0.83209637523444757</c:v>
                </c:pt>
                <c:pt idx="167">
                  <c:v>0.83805167944008763</c:v>
                </c:pt>
                <c:pt idx="168">
                  <c:v>0.84034499224050552</c:v>
                </c:pt>
                <c:pt idx="169">
                  <c:v>0.84714822137312695</c:v>
                </c:pt>
                <c:pt idx="170">
                  <c:v>0.8500680329045438</c:v>
                </c:pt>
                <c:pt idx="171">
                  <c:v>0.85924341618298627</c:v>
                </c:pt>
                <c:pt idx="172">
                  <c:v>0.86080582109880766</c:v>
                </c:pt>
                <c:pt idx="173">
                  <c:v>0.86832023689833482</c:v>
                </c:pt>
                <c:pt idx="174">
                  <c:v>0.87366611607225297</c:v>
                </c:pt>
                <c:pt idx="175">
                  <c:v>0.87579313017562799</c:v>
                </c:pt>
                <c:pt idx="176">
                  <c:v>0.88077994114504665</c:v>
                </c:pt>
                <c:pt idx="177">
                  <c:v>0.88634671913724072</c:v>
                </c:pt>
                <c:pt idx="178">
                  <c:v>0.8925100021978164</c:v>
                </c:pt>
                <c:pt idx="179">
                  <c:v>0.89910969349651348</c:v>
                </c:pt>
                <c:pt idx="180">
                  <c:v>0.9038023922647821</c:v>
                </c:pt>
                <c:pt idx="181">
                  <c:v>0.90597507333987748</c:v>
                </c:pt>
                <c:pt idx="182">
                  <c:v>0.91035731677556342</c:v>
                </c:pt>
                <c:pt idx="183">
                  <c:v>0.915603177477746</c:v>
                </c:pt>
                <c:pt idx="184">
                  <c:v>0.92059067170149433</c:v>
                </c:pt>
                <c:pt idx="185">
                  <c:v>0.92989869932292468</c:v>
                </c:pt>
                <c:pt idx="186">
                  <c:v>0.93237372216125336</c:v>
                </c:pt>
                <c:pt idx="187">
                  <c:v>0.93514066600942525</c:v>
                </c:pt>
                <c:pt idx="188">
                  <c:v>0.94159865360627848</c:v>
                </c:pt>
                <c:pt idx="189">
                  <c:v>0.94823438536800309</c:v>
                </c:pt>
                <c:pt idx="190">
                  <c:v>0.95081263335440591</c:v>
                </c:pt>
                <c:pt idx="191">
                  <c:v>0.95738166709136718</c:v>
                </c:pt>
                <c:pt idx="192">
                  <c:v>0.96443919559461977</c:v>
                </c:pt>
                <c:pt idx="193">
                  <c:v>0.96538310783225656</c:v>
                </c:pt>
                <c:pt idx="194">
                  <c:v>0.97355709208840435</c:v>
                </c:pt>
                <c:pt idx="195">
                  <c:v>0.977479971906282</c:v>
                </c:pt>
                <c:pt idx="196">
                  <c:v>0.98407179578418646</c:v>
                </c:pt>
                <c:pt idx="197">
                  <c:v>0.9872460870752684</c:v>
                </c:pt>
                <c:pt idx="198">
                  <c:v>0.9938271924466423</c:v>
                </c:pt>
                <c:pt idx="199">
                  <c:v>0.99890018230860589</c:v>
                </c:pt>
              </c:numCache>
            </c:numRef>
          </c:xVal>
          <c:yVal>
            <c:numRef>
              <c:f>SimData200!$L$209:$L$408</c:f>
              <c:numCache>
                <c:formatCode>General</c:formatCode>
                <c:ptCount val="200"/>
                <c:pt idx="0">
                  <c:v>0</c:v>
                </c:pt>
                <c:pt idx="1">
                  <c:v>5.0251256281407036E-3</c:v>
                </c:pt>
                <c:pt idx="2">
                  <c:v>1.0050251256281407E-2</c:v>
                </c:pt>
                <c:pt idx="3">
                  <c:v>1.507537688442211E-2</c:v>
                </c:pt>
                <c:pt idx="4">
                  <c:v>2.0100502512562814E-2</c:v>
                </c:pt>
                <c:pt idx="5">
                  <c:v>2.5125628140703519E-2</c:v>
                </c:pt>
                <c:pt idx="6">
                  <c:v>3.0150753768844223E-2</c:v>
                </c:pt>
                <c:pt idx="7">
                  <c:v>3.5175879396984924E-2</c:v>
                </c:pt>
                <c:pt idx="8">
                  <c:v>4.0201005025125629E-2</c:v>
                </c:pt>
                <c:pt idx="9">
                  <c:v>4.5226130653266333E-2</c:v>
                </c:pt>
                <c:pt idx="10">
                  <c:v>5.0251256281407038E-2</c:v>
                </c:pt>
                <c:pt idx="11">
                  <c:v>5.5276381909547742E-2</c:v>
                </c:pt>
                <c:pt idx="12">
                  <c:v>6.0301507537688447E-2</c:v>
                </c:pt>
                <c:pt idx="13">
                  <c:v>6.5326633165829151E-2</c:v>
                </c:pt>
                <c:pt idx="14">
                  <c:v>7.0351758793969849E-2</c:v>
                </c:pt>
                <c:pt idx="15">
                  <c:v>7.5376884422110546E-2</c:v>
                </c:pt>
                <c:pt idx="16">
                  <c:v>8.0402010050251244E-2</c:v>
                </c:pt>
                <c:pt idx="17">
                  <c:v>8.5427135678391941E-2</c:v>
                </c:pt>
                <c:pt idx="18">
                  <c:v>9.0452261306532639E-2</c:v>
                </c:pt>
                <c:pt idx="19">
                  <c:v>9.5477386934673336E-2</c:v>
                </c:pt>
                <c:pt idx="20">
                  <c:v>0.10050251256281403</c:v>
                </c:pt>
                <c:pt idx="21">
                  <c:v>0.10552763819095473</c:v>
                </c:pt>
                <c:pt idx="22">
                  <c:v>0.11055276381909543</c:v>
                </c:pt>
                <c:pt idx="23">
                  <c:v>0.11557788944723613</c:v>
                </c:pt>
                <c:pt idx="24">
                  <c:v>0.12060301507537682</c:v>
                </c:pt>
                <c:pt idx="25">
                  <c:v>0.12562814070351752</c:v>
                </c:pt>
                <c:pt idx="26">
                  <c:v>0.13065326633165822</c:v>
                </c:pt>
                <c:pt idx="27">
                  <c:v>0.13567839195979892</c:v>
                </c:pt>
                <c:pt idx="28">
                  <c:v>0.14070351758793961</c:v>
                </c:pt>
                <c:pt idx="29">
                  <c:v>0.14572864321608031</c:v>
                </c:pt>
                <c:pt idx="30">
                  <c:v>0.15075376884422101</c:v>
                </c:pt>
                <c:pt idx="31">
                  <c:v>0.15577889447236171</c:v>
                </c:pt>
                <c:pt idx="32">
                  <c:v>0.1608040201005024</c:v>
                </c:pt>
                <c:pt idx="33">
                  <c:v>0.1658291457286431</c:v>
                </c:pt>
                <c:pt idx="34">
                  <c:v>0.1708542713567838</c:v>
                </c:pt>
                <c:pt idx="35">
                  <c:v>0.1758793969849245</c:v>
                </c:pt>
                <c:pt idx="36">
                  <c:v>0.18090452261306519</c:v>
                </c:pt>
                <c:pt idx="37">
                  <c:v>0.18592964824120589</c:v>
                </c:pt>
                <c:pt idx="38">
                  <c:v>0.19095477386934659</c:v>
                </c:pt>
                <c:pt idx="39">
                  <c:v>0.19597989949748729</c:v>
                </c:pt>
                <c:pt idx="40">
                  <c:v>0.20100502512562798</c:v>
                </c:pt>
                <c:pt idx="41">
                  <c:v>0.20603015075376868</c:v>
                </c:pt>
                <c:pt idx="42">
                  <c:v>0.21105527638190938</c:v>
                </c:pt>
                <c:pt idx="43">
                  <c:v>0.21608040201005008</c:v>
                </c:pt>
                <c:pt idx="44">
                  <c:v>0.22110552763819077</c:v>
                </c:pt>
                <c:pt idx="45">
                  <c:v>0.22613065326633147</c:v>
                </c:pt>
                <c:pt idx="46">
                  <c:v>0.23115577889447217</c:v>
                </c:pt>
                <c:pt idx="47">
                  <c:v>0.23618090452261287</c:v>
                </c:pt>
                <c:pt idx="48">
                  <c:v>0.24120603015075356</c:v>
                </c:pt>
                <c:pt idx="49">
                  <c:v>0.24623115577889426</c:v>
                </c:pt>
                <c:pt idx="50">
                  <c:v>0.25125628140703499</c:v>
                </c:pt>
                <c:pt idx="51">
                  <c:v>0.25628140703517571</c:v>
                </c:pt>
                <c:pt idx="52">
                  <c:v>0.26130653266331644</c:v>
                </c:pt>
                <c:pt idx="53">
                  <c:v>0.26633165829145716</c:v>
                </c:pt>
                <c:pt idx="54">
                  <c:v>0.27135678391959789</c:v>
                </c:pt>
                <c:pt idx="55">
                  <c:v>0.27638190954773861</c:v>
                </c:pt>
                <c:pt idx="56">
                  <c:v>0.28140703517587934</c:v>
                </c:pt>
                <c:pt idx="57">
                  <c:v>0.28643216080402006</c:v>
                </c:pt>
                <c:pt idx="58">
                  <c:v>0.29145728643216079</c:v>
                </c:pt>
                <c:pt idx="59">
                  <c:v>0.29648241206030151</c:v>
                </c:pt>
                <c:pt idx="60">
                  <c:v>0.30150753768844224</c:v>
                </c:pt>
                <c:pt idx="61">
                  <c:v>0.30653266331658297</c:v>
                </c:pt>
                <c:pt idx="62">
                  <c:v>0.31155778894472369</c:v>
                </c:pt>
                <c:pt idx="63">
                  <c:v>0.31658291457286442</c:v>
                </c:pt>
                <c:pt idx="64">
                  <c:v>0.32160804020100514</c:v>
                </c:pt>
                <c:pt idx="65">
                  <c:v>0.32663316582914587</c:v>
                </c:pt>
                <c:pt idx="66">
                  <c:v>0.33165829145728659</c:v>
                </c:pt>
                <c:pt idx="67">
                  <c:v>0.33668341708542732</c:v>
                </c:pt>
                <c:pt idx="68">
                  <c:v>0.34170854271356804</c:v>
                </c:pt>
                <c:pt idx="69">
                  <c:v>0.34673366834170877</c:v>
                </c:pt>
                <c:pt idx="70">
                  <c:v>0.35175879396984949</c:v>
                </c:pt>
                <c:pt idx="71">
                  <c:v>0.35678391959799022</c:v>
                </c:pt>
                <c:pt idx="72">
                  <c:v>0.36180904522613094</c:v>
                </c:pt>
                <c:pt idx="73">
                  <c:v>0.36683417085427167</c:v>
                </c:pt>
                <c:pt idx="74">
                  <c:v>0.37185929648241239</c:v>
                </c:pt>
                <c:pt idx="75">
                  <c:v>0.37688442211055312</c:v>
                </c:pt>
                <c:pt idx="76">
                  <c:v>0.38190954773869384</c:v>
                </c:pt>
                <c:pt idx="77">
                  <c:v>0.38693467336683457</c:v>
                </c:pt>
                <c:pt idx="78">
                  <c:v>0.39195979899497529</c:v>
                </c:pt>
                <c:pt idx="79">
                  <c:v>0.39698492462311602</c:v>
                </c:pt>
                <c:pt idx="80">
                  <c:v>0.40201005025125675</c:v>
                </c:pt>
                <c:pt idx="81">
                  <c:v>0.40703517587939747</c:v>
                </c:pt>
                <c:pt idx="82">
                  <c:v>0.4120603015075382</c:v>
                </c:pt>
                <c:pt idx="83">
                  <c:v>0.41708542713567892</c:v>
                </c:pt>
                <c:pt idx="84">
                  <c:v>0.42211055276381965</c:v>
                </c:pt>
                <c:pt idx="85">
                  <c:v>0.42713567839196037</c:v>
                </c:pt>
                <c:pt idx="86">
                  <c:v>0.4321608040201011</c:v>
                </c:pt>
                <c:pt idx="87">
                  <c:v>0.43718592964824182</c:v>
                </c:pt>
                <c:pt idx="88">
                  <c:v>0.44221105527638255</c:v>
                </c:pt>
                <c:pt idx="89">
                  <c:v>0.44723618090452327</c:v>
                </c:pt>
                <c:pt idx="90">
                  <c:v>0.452261306532664</c:v>
                </c:pt>
                <c:pt idx="91">
                  <c:v>0.45728643216080472</c:v>
                </c:pt>
                <c:pt idx="92">
                  <c:v>0.46231155778894545</c:v>
                </c:pt>
                <c:pt idx="93">
                  <c:v>0.46733668341708617</c:v>
                </c:pt>
                <c:pt idx="94">
                  <c:v>0.4723618090452269</c:v>
                </c:pt>
                <c:pt idx="95">
                  <c:v>0.47738693467336762</c:v>
                </c:pt>
                <c:pt idx="96">
                  <c:v>0.48241206030150835</c:v>
                </c:pt>
                <c:pt idx="97">
                  <c:v>0.48743718592964907</c:v>
                </c:pt>
                <c:pt idx="98">
                  <c:v>0.4924623115577898</c:v>
                </c:pt>
                <c:pt idx="99">
                  <c:v>0.49748743718593053</c:v>
                </c:pt>
                <c:pt idx="100">
                  <c:v>0.5025125628140712</c:v>
                </c:pt>
                <c:pt idx="101">
                  <c:v>0.50753768844221192</c:v>
                </c:pt>
                <c:pt idx="102">
                  <c:v>0.51256281407035265</c:v>
                </c:pt>
                <c:pt idx="103">
                  <c:v>0.51758793969849337</c:v>
                </c:pt>
                <c:pt idx="104">
                  <c:v>0.5226130653266341</c:v>
                </c:pt>
                <c:pt idx="105">
                  <c:v>0.52763819095477482</c:v>
                </c:pt>
                <c:pt idx="106">
                  <c:v>0.53266331658291555</c:v>
                </c:pt>
                <c:pt idx="107">
                  <c:v>0.53768844221105627</c:v>
                </c:pt>
                <c:pt idx="108">
                  <c:v>0.542713567839197</c:v>
                </c:pt>
                <c:pt idx="109">
                  <c:v>0.54773869346733772</c:v>
                </c:pt>
                <c:pt idx="110">
                  <c:v>0.55276381909547845</c:v>
                </c:pt>
                <c:pt idx="111">
                  <c:v>0.55778894472361917</c:v>
                </c:pt>
                <c:pt idx="112">
                  <c:v>0.5628140703517599</c:v>
                </c:pt>
                <c:pt idx="113">
                  <c:v>0.56783919597990062</c:v>
                </c:pt>
                <c:pt idx="114">
                  <c:v>0.57286432160804135</c:v>
                </c:pt>
                <c:pt idx="115">
                  <c:v>0.57788944723618207</c:v>
                </c:pt>
                <c:pt idx="116">
                  <c:v>0.5829145728643228</c:v>
                </c:pt>
                <c:pt idx="117">
                  <c:v>0.58793969849246352</c:v>
                </c:pt>
                <c:pt idx="118">
                  <c:v>0.59296482412060425</c:v>
                </c:pt>
                <c:pt idx="119">
                  <c:v>0.59798994974874498</c:v>
                </c:pt>
                <c:pt idx="120">
                  <c:v>0.6030150753768857</c:v>
                </c:pt>
                <c:pt idx="121">
                  <c:v>0.60804020100502643</c:v>
                </c:pt>
                <c:pt idx="122">
                  <c:v>0.61306532663316715</c:v>
                </c:pt>
                <c:pt idx="123">
                  <c:v>0.61809045226130788</c:v>
                </c:pt>
                <c:pt idx="124">
                  <c:v>0.6231155778894486</c:v>
                </c:pt>
                <c:pt idx="125">
                  <c:v>0.62814070351758933</c:v>
                </c:pt>
                <c:pt idx="126">
                  <c:v>0.63316582914573005</c:v>
                </c:pt>
                <c:pt idx="127">
                  <c:v>0.63819095477387078</c:v>
                </c:pt>
                <c:pt idx="128">
                  <c:v>0.6432160804020115</c:v>
                </c:pt>
                <c:pt idx="129">
                  <c:v>0.64824120603015223</c:v>
                </c:pt>
                <c:pt idx="130">
                  <c:v>0.65326633165829295</c:v>
                </c:pt>
                <c:pt idx="131">
                  <c:v>0.65829145728643368</c:v>
                </c:pt>
                <c:pt idx="132">
                  <c:v>0.6633165829145744</c:v>
                </c:pt>
                <c:pt idx="133">
                  <c:v>0.66834170854271513</c:v>
                </c:pt>
                <c:pt idx="134">
                  <c:v>0.67336683417085585</c:v>
                </c:pt>
                <c:pt idx="135">
                  <c:v>0.67839195979899658</c:v>
                </c:pt>
                <c:pt idx="136">
                  <c:v>0.68341708542713731</c:v>
                </c:pt>
                <c:pt idx="137">
                  <c:v>0.68844221105527803</c:v>
                </c:pt>
                <c:pt idx="138">
                  <c:v>0.69346733668341876</c:v>
                </c:pt>
                <c:pt idx="139">
                  <c:v>0.69849246231155948</c:v>
                </c:pt>
                <c:pt idx="140">
                  <c:v>0.70351758793970021</c:v>
                </c:pt>
                <c:pt idx="141">
                  <c:v>0.70854271356784093</c:v>
                </c:pt>
                <c:pt idx="142">
                  <c:v>0.71356783919598166</c:v>
                </c:pt>
                <c:pt idx="143">
                  <c:v>0.71859296482412238</c:v>
                </c:pt>
                <c:pt idx="144">
                  <c:v>0.72361809045226311</c:v>
                </c:pt>
                <c:pt idx="145">
                  <c:v>0.72864321608040383</c:v>
                </c:pt>
                <c:pt idx="146">
                  <c:v>0.73366834170854456</c:v>
                </c:pt>
                <c:pt idx="147">
                  <c:v>0.73869346733668528</c:v>
                </c:pt>
                <c:pt idx="148">
                  <c:v>0.74371859296482601</c:v>
                </c:pt>
                <c:pt idx="149">
                  <c:v>0.74874371859296673</c:v>
                </c:pt>
                <c:pt idx="150">
                  <c:v>0.75376884422110746</c:v>
                </c:pt>
                <c:pt idx="151">
                  <c:v>0.75879396984924818</c:v>
                </c:pt>
                <c:pt idx="152">
                  <c:v>0.76381909547738891</c:v>
                </c:pt>
                <c:pt idx="153">
                  <c:v>0.76884422110552963</c:v>
                </c:pt>
                <c:pt idx="154">
                  <c:v>0.77386934673367036</c:v>
                </c:pt>
                <c:pt idx="155">
                  <c:v>0.77889447236181109</c:v>
                </c:pt>
                <c:pt idx="156">
                  <c:v>0.78391959798995181</c:v>
                </c:pt>
                <c:pt idx="157">
                  <c:v>0.78894472361809254</c:v>
                </c:pt>
                <c:pt idx="158">
                  <c:v>0.79396984924623326</c:v>
                </c:pt>
                <c:pt idx="159">
                  <c:v>0.79899497487437399</c:v>
                </c:pt>
                <c:pt idx="160">
                  <c:v>0.80402010050251471</c:v>
                </c:pt>
                <c:pt idx="161">
                  <c:v>0.80904522613065544</c:v>
                </c:pt>
                <c:pt idx="162">
                  <c:v>0.81407035175879616</c:v>
                </c:pt>
                <c:pt idx="163">
                  <c:v>0.81909547738693689</c:v>
                </c:pt>
                <c:pt idx="164">
                  <c:v>0.82412060301507761</c:v>
                </c:pt>
                <c:pt idx="165">
                  <c:v>0.82914572864321834</c:v>
                </c:pt>
                <c:pt idx="166">
                  <c:v>0.83417085427135906</c:v>
                </c:pt>
                <c:pt idx="167">
                  <c:v>0.83919597989949979</c:v>
                </c:pt>
                <c:pt idx="168">
                  <c:v>0.84422110552764051</c:v>
                </c:pt>
                <c:pt idx="169">
                  <c:v>0.84924623115578124</c:v>
                </c:pt>
                <c:pt idx="170">
                  <c:v>0.85427135678392196</c:v>
                </c:pt>
                <c:pt idx="171">
                  <c:v>0.85929648241206269</c:v>
                </c:pt>
                <c:pt idx="172">
                  <c:v>0.86432160804020342</c:v>
                </c:pt>
                <c:pt idx="173">
                  <c:v>0.86934673366834414</c:v>
                </c:pt>
                <c:pt idx="174">
                  <c:v>0.87437185929648487</c:v>
                </c:pt>
                <c:pt idx="175">
                  <c:v>0.87939698492462559</c:v>
                </c:pt>
                <c:pt idx="176">
                  <c:v>0.88442211055276632</c:v>
                </c:pt>
                <c:pt idx="177">
                  <c:v>0.88944723618090704</c:v>
                </c:pt>
                <c:pt idx="178">
                  <c:v>0.89447236180904777</c:v>
                </c:pt>
                <c:pt idx="179">
                  <c:v>0.89949748743718849</c:v>
                </c:pt>
                <c:pt idx="180">
                  <c:v>0.90452261306532922</c:v>
                </c:pt>
                <c:pt idx="181">
                  <c:v>0.90954773869346994</c:v>
                </c:pt>
                <c:pt idx="182">
                  <c:v>0.91457286432161067</c:v>
                </c:pt>
                <c:pt idx="183">
                  <c:v>0.91959798994975139</c:v>
                </c:pt>
                <c:pt idx="184">
                  <c:v>0.92462311557789212</c:v>
                </c:pt>
                <c:pt idx="185">
                  <c:v>0.92964824120603284</c:v>
                </c:pt>
                <c:pt idx="186">
                  <c:v>0.93467336683417357</c:v>
                </c:pt>
                <c:pt idx="187">
                  <c:v>0.93969849246231429</c:v>
                </c:pt>
                <c:pt idx="188">
                  <c:v>0.94472361809045502</c:v>
                </c:pt>
                <c:pt idx="189">
                  <c:v>0.94974874371859574</c:v>
                </c:pt>
                <c:pt idx="190">
                  <c:v>0.95477386934673647</c:v>
                </c:pt>
                <c:pt idx="191">
                  <c:v>0.9597989949748772</c:v>
                </c:pt>
                <c:pt idx="192">
                  <c:v>0.96482412060301792</c:v>
                </c:pt>
                <c:pt idx="193">
                  <c:v>0.96984924623115865</c:v>
                </c:pt>
                <c:pt idx="194">
                  <c:v>0.97487437185929937</c:v>
                </c:pt>
                <c:pt idx="195">
                  <c:v>0.9798994974874401</c:v>
                </c:pt>
                <c:pt idx="196">
                  <c:v>0.98492462311558082</c:v>
                </c:pt>
                <c:pt idx="197">
                  <c:v>0.98994974874372155</c:v>
                </c:pt>
                <c:pt idx="198">
                  <c:v>0.99497487437186227</c:v>
                </c:pt>
                <c:pt idx="199">
                  <c:v>1.0000000000000029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SimData200!$M$208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SimData200!$M$209:$M$408</c:f>
              <c:numCache>
                <c:formatCode>General</c:formatCode>
                <c:ptCount val="200"/>
                <c:pt idx="0">
                  <c:v>3.021787119905639E-3</c:v>
                </c:pt>
                <c:pt idx="1">
                  <c:v>5.1348714478081092E-3</c:v>
                </c:pt>
                <c:pt idx="2">
                  <c:v>7.4648166983024566E-3</c:v>
                </c:pt>
                <c:pt idx="3">
                  <c:v>1.612132372247288E-2</c:v>
                </c:pt>
                <c:pt idx="4">
                  <c:v>2.6187104877863021E-2</c:v>
                </c:pt>
                <c:pt idx="5">
                  <c:v>3.2253923442112864E-2</c:v>
                </c:pt>
                <c:pt idx="6">
                  <c:v>3.4398898099425423E-2</c:v>
                </c:pt>
                <c:pt idx="7">
                  <c:v>3.6584326535376022E-2</c:v>
                </c:pt>
                <c:pt idx="8">
                  <c:v>4.4252978517761221E-2</c:v>
                </c:pt>
                <c:pt idx="9">
                  <c:v>5.0516983280431305E-2</c:v>
                </c:pt>
                <c:pt idx="10">
                  <c:v>5.9061459077383915E-2</c:v>
                </c:pt>
                <c:pt idx="11">
                  <c:v>6.2190424600885308E-2</c:v>
                </c:pt>
                <c:pt idx="12">
                  <c:v>6.7965710823045811E-2</c:v>
                </c:pt>
                <c:pt idx="13">
                  <c:v>6.9335022820297354E-2</c:v>
                </c:pt>
                <c:pt idx="14">
                  <c:v>7.3187468799915223E-2</c:v>
                </c:pt>
                <c:pt idx="15">
                  <c:v>7.5161769948877577E-2</c:v>
                </c:pt>
                <c:pt idx="16">
                  <c:v>7.7992550411181583E-2</c:v>
                </c:pt>
                <c:pt idx="17">
                  <c:v>8.1118467051055632E-2</c:v>
                </c:pt>
                <c:pt idx="18">
                  <c:v>8.3914320355688687E-2</c:v>
                </c:pt>
                <c:pt idx="19">
                  <c:v>8.9040964248852106E-2</c:v>
                </c:pt>
                <c:pt idx="20">
                  <c:v>9.2632023432997812E-2</c:v>
                </c:pt>
                <c:pt idx="21">
                  <c:v>9.3651713047620433E-2</c:v>
                </c:pt>
                <c:pt idx="22">
                  <c:v>9.3688554472464602E-2</c:v>
                </c:pt>
                <c:pt idx="23">
                  <c:v>9.6711564022371022E-2</c:v>
                </c:pt>
                <c:pt idx="24">
                  <c:v>0.10682791516865109</c:v>
                </c:pt>
                <c:pt idx="25">
                  <c:v>0.11952766593822162</c:v>
                </c:pt>
                <c:pt idx="26">
                  <c:v>0.1217977317119221</c:v>
                </c:pt>
                <c:pt idx="27">
                  <c:v>0.13086675588147045</c:v>
                </c:pt>
                <c:pt idx="28">
                  <c:v>0.14184606963317492</c:v>
                </c:pt>
                <c:pt idx="29">
                  <c:v>0.14397777972408221</c:v>
                </c:pt>
                <c:pt idx="30">
                  <c:v>0.14663448809187685</c:v>
                </c:pt>
                <c:pt idx="31">
                  <c:v>0.15064307965076296</c:v>
                </c:pt>
                <c:pt idx="32">
                  <c:v>0.1576567666252231</c:v>
                </c:pt>
                <c:pt idx="33">
                  <c:v>0.1591201955170618</c:v>
                </c:pt>
                <c:pt idx="34">
                  <c:v>0.15965143732591969</c:v>
                </c:pt>
                <c:pt idx="35">
                  <c:v>0.16059392064380518</c:v>
                </c:pt>
                <c:pt idx="36">
                  <c:v>0.16510700541130063</c:v>
                </c:pt>
                <c:pt idx="37">
                  <c:v>0.16701497721805936</c:v>
                </c:pt>
                <c:pt idx="38">
                  <c:v>0.16826685309661116</c:v>
                </c:pt>
                <c:pt idx="39">
                  <c:v>0.16846319249634689</c:v>
                </c:pt>
                <c:pt idx="40">
                  <c:v>0.16860153242669185</c:v>
                </c:pt>
                <c:pt idx="41">
                  <c:v>0.17249443067339598</c:v>
                </c:pt>
                <c:pt idx="42">
                  <c:v>0.19037935954747809</c:v>
                </c:pt>
                <c:pt idx="43">
                  <c:v>0.19874889208040258</c:v>
                </c:pt>
                <c:pt idx="44">
                  <c:v>0.20130293664442434</c:v>
                </c:pt>
                <c:pt idx="45">
                  <c:v>0.21176149815892131</c:v>
                </c:pt>
                <c:pt idx="46">
                  <c:v>0.21210244114172383</c:v>
                </c:pt>
                <c:pt idx="47">
                  <c:v>0.21292710170746432</c:v>
                </c:pt>
                <c:pt idx="48">
                  <c:v>0.21298835941342986</c:v>
                </c:pt>
                <c:pt idx="49">
                  <c:v>0.21430471762687375</c:v>
                </c:pt>
                <c:pt idx="50">
                  <c:v>0.21504406979693158</c:v>
                </c:pt>
                <c:pt idx="51">
                  <c:v>0.21966444989084266</c:v>
                </c:pt>
                <c:pt idx="52">
                  <c:v>0.22867153894549119</c:v>
                </c:pt>
                <c:pt idx="53">
                  <c:v>0.24958205449911475</c:v>
                </c:pt>
                <c:pt idx="54">
                  <c:v>0.25839126441314875</c:v>
                </c:pt>
                <c:pt idx="55">
                  <c:v>0.26160525241630239</c:v>
                </c:pt>
                <c:pt idx="56">
                  <c:v>0.28918990183592541</c:v>
                </c:pt>
                <c:pt idx="57">
                  <c:v>0.290373772761086</c:v>
                </c:pt>
                <c:pt idx="58">
                  <c:v>0.29098629030795564</c:v>
                </c:pt>
                <c:pt idx="59">
                  <c:v>0.29241938440827653</c:v>
                </c:pt>
                <c:pt idx="60">
                  <c:v>0.30524814587988658</c:v>
                </c:pt>
                <c:pt idx="61">
                  <c:v>0.30801315239204996</c:v>
                </c:pt>
                <c:pt idx="62">
                  <c:v>0.31504881043383648</c:v>
                </c:pt>
                <c:pt idx="63">
                  <c:v>0.32309732557951065</c:v>
                </c:pt>
                <c:pt idx="64">
                  <c:v>0.33357106180756091</c:v>
                </c:pt>
                <c:pt idx="65">
                  <c:v>0.34021573365589575</c:v>
                </c:pt>
                <c:pt idx="66">
                  <c:v>0.34807583488327509</c:v>
                </c:pt>
                <c:pt idx="67">
                  <c:v>0.35278701264087431</c:v>
                </c:pt>
                <c:pt idx="68">
                  <c:v>0.35691183871676913</c:v>
                </c:pt>
                <c:pt idx="69">
                  <c:v>0.36047495521233941</c:v>
                </c:pt>
                <c:pt idx="70">
                  <c:v>0.36092934480802796</c:v>
                </c:pt>
                <c:pt idx="71">
                  <c:v>0.3651946770005452</c:v>
                </c:pt>
                <c:pt idx="72">
                  <c:v>0.39618836017689318</c:v>
                </c:pt>
                <c:pt idx="73">
                  <c:v>0.39663777441637649</c:v>
                </c:pt>
                <c:pt idx="74">
                  <c:v>0.40197261083358171</c:v>
                </c:pt>
                <c:pt idx="75">
                  <c:v>0.40335669982596301</c:v>
                </c:pt>
                <c:pt idx="76">
                  <c:v>0.40844485749403248</c:v>
                </c:pt>
                <c:pt idx="77">
                  <c:v>0.41692303933450603</c:v>
                </c:pt>
                <c:pt idx="78">
                  <c:v>0.4263087726340018</c:v>
                </c:pt>
                <c:pt idx="79">
                  <c:v>0.42882269448728039</c:v>
                </c:pt>
                <c:pt idx="80">
                  <c:v>0.42994051379355369</c:v>
                </c:pt>
                <c:pt idx="81">
                  <c:v>0.43193070048164373</c:v>
                </c:pt>
                <c:pt idx="82">
                  <c:v>0.43779027233904344</c:v>
                </c:pt>
                <c:pt idx="83">
                  <c:v>0.44730499845445593</c:v>
                </c:pt>
                <c:pt idx="84">
                  <c:v>0.45058178430917906</c:v>
                </c:pt>
                <c:pt idx="85">
                  <c:v>0.45758435038806056</c:v>
                </c:pt>
                <c:pt idx="86">
                  <c:v>0.45912170685005549</c:v>
                </c:pt>
                <c:pt idx="87">
                  <c:v>0.4598541326540726</c:v>
                </c:pt>
                <c:pt idx="88">
                  <c:v>0.46477847534970351</c:v>
                </c:pt>
                <c:pt idx="89">
                  <c:v>0.46765638791202946</c:v>
                </c:pt>
                <c:pt idx="90">
                  <c:v>0.46889097124221735</c:v>
                </c:pt>
                <c:pt idx="91">
                  <c:v>0.48072231329933857</c:v>
                </c:pt>
                <c:pt idx="92">
                  <c:v>0.48164920989168536</c:v>
                </c:pt>
                <c:pt idx="93">
                  <c:v>0.48476108698196185</c:v>
                </c:pt>
                <c:pt idx="94">
                  <c:v>0.48823417839048489</c:v>
                </c:pt>
                <c:pt idx="95">
                  <c:v>0.49487950832644856</c:v>
                </c:pt>
                <c:pt idx="96">
                  <c:v>0.50206705096115911</c:v>
                </c:pt>
                <c:pt idx="97">
                  <c:v>0.50585305309687101</c:v>
                </c:pt>
                <c:pt idx="98">
                  <c:v>0.50774077604182821</c:v>
                </c:pt>
                <c:pt idx="99">
                  <c:v>0.5111659093408889</c:v>
                </c:pt>
                <c:pt idx="100">
                  <c:v>0.51175807802610507</c:v>
                </c:pt>
                <c:pt idx="101">
                  <c:v>0.51375476420980704</c:v>
                </c:pt>
                <c:pt idx="102">
                  <c:v>0.52021789377249661</c:v>
                </c:pt>
                <c:pt idx="103">
                  <c:v>0.52227806361679541</c:v>
                </c:pt>
                <c:pt idx="104">
                  <c:v>0.52916467263821687</c:v>
                </c:pt>
                <c:pt idx="105">
                  <c:v>0.53237595269001758</c:v>
                </c:pt>
                <c:pt idx="106">
                  <c:v>0.54795090411971614</c:v>
                </c:pt>
                <c:pt idx="107">
                  <c:v>0.54873235231389117</c:v>
                </c:pt>
                <c:pt idx="108">
                  <c:v>0.55948618497131974</c:v>
                </c:pt>
                <c:pt idx="109">
                  <c:v>0.56471685182350484</c:v>
                </c:pt>
                <c:pt idx="110">
                  <c:v>0.56998988438863307</c:v>
                </c:pt>
                <c:pt idx="111">
                  <c:v>0.57868910113666061</c:v>
                </c:pt>
                <c:pt idx="112">
                  <c:v>0.58738323852958274</c:v>
                </c:pt>
                <c:pt idx="113">
                  <c:v>0.59190909228436794</c:v>
                </c:pt>
                <c:pt idx="114">
                  <c:v>0.59730773819774186</c:v>
                </c:pt>
                <c:pt idx="115">
                  <c:v>0.59944243532572727</c:v>
                </c:pt>
                <c:pt idx="116">
                  <c:v>0.60220813870819256</c:v>
                </c:pt>
                <c:pt idx="117">
                  <c:v>0.6068478709212286</c:v>
                </c:pt>
                <c:pt idx="118">
                  <c:v>0.60930404870669008</c:v>
                </c:pt>
                <c:pt idx="119">
                  <c:v>0.62515399614221678</c:v>
                </c:pt>
                <c:pt idx="120">
                  <c:v>0.62547618728331145</c:v>
                </c:pt>
                <c:pt idx="121">
                  <c:v>0.63318495347903081</c:v>
                </c:pt>
                <c:pt idx="122">
                  <c:v>0.64548157448371057</c:v>
                </c:pt>
                <c:pt idx="123">
                  <c:v>0.64625848617288284</c:v>
                </c:pt>
                <c:pt idx="124">
                  <c:v>0.64693904704472516</c:v>
                </c:pt>
                <c:pt idx="125">
                  <c:v>0.64957761766709154</c:v>
                </c:pt>
                <c:pt idx="126">
                  <c:v>0.64991888843360357</c:v>
                </c:pt>
                <c:pt idx="127">
                  <c:v>0.65241465823601175</c:v>
                </c:pt>
                <c:pt idx="128">
                  <c:v>0.65749761632832815</c:v>
                </c:pt>
                <c:pt idx="129">
                  <c:v>0.66376465515895688</c:v>
                </c:pt>
                <c:pt idx="130">
                  <c:v>0.66660119783500704</c:v>
                </c:pt>
                <c:pt idx="131">
                  <c:v>0.66816060990731785</c:v>
                </c:pt>
                <c:pt idx="132">
                  <c:v>0.67654678147755476</c:v>
                </c:pt>
                <c:pt idx="133">
                  <c:v>0.67945810890341818</c:v>
                </c:pt>
                <c:pt idx="134">
                  <c:v>0.68098357473081705</c:v>
                </c:pt>
                <c:pt idx="135">
                  <c:v>0.69823948296470917</c:v>
                </c:pt>
                <c:pt idx="136">
                  <c:v>0.69947364124709566</c:v>
                </c:pt>
                <c:pt idx="137">
                  <c:v>0.70156285728717194</c:v>
                </c:pt>
                <c:pt idx="138">
                  <c:v>0.71210151378454611</c:v>
                </c:pt>
                <c:pt idx="139">
                  <c:v>0.71226180126177496</c:v>
                </c:pt>
                <c:pt idx="140">
                  <c:v>0.71603810169563076</c:v>
                </c:pt>
                <c:pt idx="141">
                  <c:v>0.72641631776969007</c:v>
                </c:pt>
                <c:pt idx="142">
                  <c:v>0.73653812769043725</c:v>
                </c:pt>
                <c:pt idx="143">
                  <c:v>0.73668585419818555</c:v>
                </c:pt>
                <c:pt idx="144">
                  <c:v>0.7368919746049869</c:v>
                </c:pt>
                <c:pt idx="145">
                  <c:v>0.74002559764085163</c:v>
                </c:pt>
                <c:pt idx="146">
                  <c:v>0.74880401266818808</c:v>
                </c:pt>
                <c:pt idx="147">
                  <c:v>0.75325418039483338</c:v>
                </c:pt>
                <c:pt idx="148">
                  <c:v>0.75526887409705523</c:v>
                </c:pt>
                <c:pt idx="149">
                  <c:v>0.75638334180075617</c:v>
                </c:pt>
                <c:pt idx="150">
                  <c:v>0.76188718877256179</c:v>
                </c:pt>
                <c:pt idx="151">
                  <c:v>0.76214922366307292</c:v>
                </c:pt>
                <c:pt idx="152">
                  <c:v>0.76218699323726469</c:v>
                </c:pt>
                <c:pt idx="153">
                  <c:v>0.76842440695327241</c:v>
                </c:pt>
                <c:pt idx="154">
                  <c:v>0.77388715679171582</c:v>
                </c:pt>
                <c:pt idx="155">
                  <c:v>0.77652214135741815</c:v>
                </c:pt>
                <c:pt idx="156">
                  <c:v>0.77992630426251708</c:v>
                </c:pt>
                <c:pt idx="157">
                  <c:v>0.78610421304892952</c:v>
                </c:pt>
                <c:pt idx="158">
                  <c:v>0.7875995179383608</c:v>
                </c:pt>
                <c:pt idx="159">
                  <c:v>0.78788819586952741</c:v>
                </c:pt>
                <c:pt idx="160">
                  <c:v>0.78819542282781185</c:v>
                </c:pt>
                <c:pt idx="161">
                  <c:v>0.80383209746014472</c:v>
                </c:pt>
                <c:pt idx="162">
                  <c:v>0.80455703339976026</c:v>
                </c:pt>
                <c:pt idx="163">
                  <c:v>0.81259485406735621</c:v>
                </c:pt>
                <c:pt idx="164">
                  <c:v>0.81611378955676628</c:v>
                </c:pt>
                <c:pt idx="165">
                  <c:v>0.82537482416046259</c:v>
                </c:pt>
                <c:pt idx="166">
                  <c:v>0.83283542289973411</c:v>
                </c:pt>
                <c:pt idx="167">
                  <c:v>0.838582277491696</c:v>
                </c:pt>
                <c:pt idx="168">
                  <c:v>0.83970745681199332</c:v>
                </c:pt>
                <c:pt idx="169">
                  <c:v>0.84126447874314181</c:v>
                </c:pt>
                <c:pt idx="170">
                  <c:v>0.85169863889223052</c:v>
                </c:pt>
                <c:pt idx="171">
                  <c:v>0.85223150646470458</c:v>
                </c:pt>
                <c:pt idx="172">
                  <c:v>0.85235564858521684</c:v>
                </c:pt>
                <c:pt idx="173">
                  <c:v>0.85413243392849836</c:v>
                </c:pt>
                <c:pt idx="174">
                  <c:v>0.85427298966715171</c:v>
                </c:pt>
                <c:pt idx="175">
                  <c:v>0.86630084857551992</c:v>
                </c:pt>
                <c:pt idx="176">
                  <c:v>0.87655915611230739</c:v>
                </c:pt>
                <c:pt idx="177">
                  <c:v>0.89751475780121837</c:v>
                </c:pt>
                <c:pt idx="178">
                  <c:v>0.90807304619829665</c:v>
                </c:pt>
                <c:pt idx="179">
                  <c:v>0.91820962438487186</c:v>
                </c:pt>
                <c:pt idx="180">
                  <c:v>0.91873081180256122</c:v>
                </c:pt>
                <c:pt idx="181">
                  <c:v>0.92337313225834805</c:v>
                </c:pt>
                <c:pt idx="182">
                  <c:v>0.92522255254880292</c:v>
                </c:pt>
                <c:pt idx="183">
                  <c:v>0.92575042614680569</c:v>
                </c:pt>
                <c:pt idx="184">
                  <c:v>0.92802128956282104</c:v>
                </c:pt>
                <c:pt idx="185">
                  <c:v>0.92836384508703418</c:v>
                </c:pt>
                <c:pt idx="186">
                  <c:v>0.9315932662684645</c:v>
                </c:pt>
                <c:pt idx="187">
                  <c:v>0.93355664567297936</c:v>
                </c:pt>
                <c:pt idx="188">
                  <c:v>0.9414110839852583</c:v>
                </c:pt>
                <c:pt idx="189">
                  <c:v>0.94278713926087221</c:v>
                </c:pt>
                <c:pt idx="190">
                  <c:v>0.94549757085133024</c:v>
                </c:pt>
                <c:pt idx="191">
                  <c:v>0.94854275964371482</c:v>
                </c:pt>
                <c:pt idx="192">
                  <c:v>0.95896475779591128</c:v>
                </c:pt>
                <c:pt idx="193">
                  <c:v>0.95955686771003457</c:v>
                </c:pt>
                <c:pt idx="194">
                  <c:v>0.96662283398291038</c:v>
                </c:pt>
                <c:pt idx="195">
                  <c:v>0.96688825335331785</c:v>
                </c:pt>
                <c:pt idx="196">
                  <c:v>0.97570306240049831</c:v>
                </c:pt>
                <c:pt idx="197">
                  <c:v>0.98167097004989046</c:v>
                </c:pt>
                <c:pt idx="198">
                  <c:v>0.98695043608950073</c:v>
                </c:pt>
                <c:pt idx="199">
                  <c:v>0.992992086018603</c:v>
                </c:pt>
              </c:numCache>
            </c:numRef>
          </c:xVal>
          <c:yVal>
            <c:numRef>
              <c:f>SimData200!$N$209:$N$408</c:f>
              <c:numCache>
                <c:formatCode>General</c:formatCode>
                <c:ptCount val="200"/>
                <c:pt idx="0">
                  <c:v>0</c:v>
                </c:pt>
                <c:pt idx="1">
                  <c:v>5.0251256281407036E-3</c:v>
                </c:pt>
                <c:pt idx="2">
                  <c:v>1.0050251256281407E-2</c:v>
                </c:pt>
                <c:pt idx="3">
                  <c:v>1.507537688442211E-2</c:v>
                </c:pt>
                <c:pt idx="4">
                  <c:v>2.0100502512562814E-2</c:v>
                </c:pt>
                <c:pt idx="5">
                  <c:v>2.5125628140703519E-2</c:v>
                </c:pt>
                <c:pt idx="6">
                  <c:v>3.0150753768844223E-2</c:v>
                </c:pt>
                <c:pt idx="7">
                  <c:v>3.5175879396984924E-2</c:v>
                </c:pt>
                <c:pt idx="8">
                  <c:v>4.0201005025125629E-2</c:v>
                </c:pt>
                <c:pt idx="9">
                  <c:v>4.5226130653266333E-2</c:v>
                </c:pt>
                <c:pt idx="10">
                  <c:v>5.0251256281407038E-2</c:v>
                </c:pt>
                <c:pt idx="11">
                  <c:v>5.5276381909547742E-2</c:v>
                </c:pt>
                <c:pt idx="12">
                  <c:v>6.0301507537688447E-2</c:v>
                </c:pt>
                <c:pt idx="13">
                  <c:v>6.5326633165829151E-2</c:v>
                </c:pt>
                <c:pt idx="14">
                  <c:v>7.0351758793969849E-2</c:v>
                </c:pt>
                <c:pt idx="15">
                  <c:v>7.5376884422110546E-2</c:v>
                </c:pt>
                <c:pt idx="16">
                  <c:v>8.0402010050251244E-2</c:v>
                </c:pt>
                <c:pt idx="17">
                  <c:v>8.5427135678391941E-2</c:v>
                </c:pt>
                <c:pt idx="18">
                  <c:v>9.0452261306532639E-2</c:v>
                </c:pt>
                <c:pt idx="19">
                  <c:v>9.5477386934673336E-2</c:v>
                </c:pt>
                <c:pt idx="20">
                  <c:v>0.10050251256281403</c:v>
                </c:pt>
                <c:pt idx="21">
                  <c:v>0.10552763819095473</c:v>
                </c:pt>
                <c:pt idx="22">
                  <c:v>0.11055276381909543</c:v>
                </c:pt>
                <c:pt idx="23">
                  <c:v>0.11557788944723613</c:v>
                </c:pt>
                <c:pt idx="24">
                  <c:v>0.12060301507537682</c:v>
                </c:pt>
                <c:pt idx="25">
                  <c:v>0.12562814070351752</c:v>
                </c:pt>
                <c:pt idx="26">
                  <c:v>0.13065326633165822</c:v>
                </c:pt>
                <c:pt idx="27">
                  <c:v>0.13567839195979892</c:v>
                </c:pt>
                <c:pt idx="28">
                  <c:v>0.14070351758793961</c:v>
                </c:pt>
                <c:pt idx="29">
                  <c:v>0.14572864321608031</c:v>
                </c:pt>
                <c:pt idx="30">
                  <c:v>0.15075376884422101</c:v>
                </c:pt>
                <c:pt idx="31">
                  <c:v>0.15577889447236171</c:v>
                </c:pt>
                <c:pt idx="32">
                  <c:v>0.1608040201005024</c:v>
                </c:pt>
                <c:pt idx="33">
                  <c:v>0.1658291457286431</c:v>
                </c:pt>
                <c:pt idx="34">
                  <c:v>0.1708542713567838</c:v>
                </c:pt>
                <c:pt idx="35">
                  <c:v>0.1758793969849245</c:v>
                </c:pt>
                <c:pt idx="36">
                  <c:v>0.18090452261306519</c:v>
                </c:pt>
                <c:pt idx="37">
                  <c:v>0.18592964824120589</c:v>
                </c:pt>
                <c:pt idx="38">
                  <c:v>0.19095477386934659</c:v>
                </c:pt>
                <c:pt idx="39">
                  <c:v>0.19597989949748729</c:v>
                </c:pt>
                <c:pt idx="40">
                  <c:v>0.20100502512562798</c:v>
                </c:pt>
                <c:pt idx="41">
                  <c:v>0.20603015075376868</c:v>
                </c:pt>
                <c:pt idx="42">
                  <c:v>0.21105527638190938</c:v>
                </c:pt>
                <c:pt idx="43">
                  <c:v>0.21608040201005008</c:v>
                </c:pt>
                <c:pt idx="44">
                  <c:v>0.22110552763819077</c:v>
                </c:pt>
                <c:pt idx="45">
                  <c:v>0.22613065326633147</c:v>
                </c:pt>
                <c:pt idx="46">
                  <c:v>0.23115577889447217</c:v>
                </c:pt>
                <c:pt idx="47">
                  <c:v>0.23618090452261287</c:v>
                </c:pt>
                <c:pt idx="48">
                  <c:v>0.24120603015075356</c:v>
                </c:pt>
                <c:pt idx="49">
                  <c:v>0.24623115577889426</c:v>
                </c:pt>
                <c:pt idx="50">
                  <c:v>0.25125628140703499</c:v>
                </c:pt>
                <c:pt idx="51">
                  <c:v>0.25628140703517571</c:v>
                </c:pt>
                <c:pt idx="52">
                  <c:v>0.26130653266331644</c:v>
                </c:pt>
                <c:pt idx="53">
                  <c:v>0.26633165829145716</c:v>
                </c:pt>
                <c:pt idx="54">
                  <c:v>0.27135678391959789</c:v>
                </c:pt>
                <c:pt idx="55">
                  <c:v>0.27638190954773861</c:v>
                </c:pt>
                <c:pt idx="56">
                  <c:v>0.28140703517587934</c:v>
                </c:pt>
                <c:pt idx="57">
                  <c:v>0.28643216080402006</c:v>
                </c:pt>
                <c:pt idx="58">
                  <c:v>0.29145728643216079</c:v>
                </c:pt>
                <c:pt idx="59">
                  <c:v>0.29648241206030151</c:v>
                </c:pt>
                <c:pt idx="60">
                  <c:v>0.30150753768844224</c:v>
                </c:pt>
                <c:pt idx="61">
                  <c:v>0.30653266331658297</c:v>
                </c:pt>
                <c:pt idx="62">
                  <c:v>0.31155778894472369</c:v>
                </c:pt>
                <c:pt idx="63">
                  <c:v>0.31658291457286442</c:v>
                </c:pt>
                <c:pt idx="64">
                  <c:v>0.32160804020100514</c:v>
                </c:pt>
                <c:pt idx="65">
                  <c:v>0.32663316582914587</c:v>
                </c:pt>
                <c:pt idx="66">
                  <c:v>0.33165829145728659</c:v>
                </c:pt>
                <c:pt idx="67">
                  <c:v>0.33668341708542732</c:v>
                </c:pt>
                <c:pt idx="68">
                  <c:v>0.34170854271356804</c:v>
                </c:pt>
                <c:pt idx="69">
                  <c:v>0.34673366834170877</c:v>
                </c:pt>
                <c:pt idx="70">
                  <c:v>0.35175879396984949</c:v>
                </c:pt>
                <c:pt idx="71">
                  <c:v>0.35678391959799022</c:v>
                </c:pt>
                <c:pt idx="72">
                  <c:v>0.36180904522613094</c:v>
                </c:pt>
                <c:pt idx="73">
                  <c:v>0.36683417085427167</c:v>
                </c:pt>
                <c:pt idx="74">
                  <c:v>0.37185929648241239</c:v>
                </c:pt>
                <c:pt idx="75">
                  <c:v>0.37688442211055312</c:v>
                </c:pt>
                <c:pt idx="76">
                  <c:v>0.38190954773869384</c:v>
                </c:pt>
                <c:pt idx="77">
                  <c:v>0.38693467336683457</c:v>
                </c:pt>
                <c:pt idx="78">
                  <c:v>0.39195979899497529</c:v>
                </c:pt>
                <c:pt idx="79">
                  <c:v>0.39698492462311602</c:v>
                </c:pt>
                <c:pt idx="80">
                  <c:v>0.40201005025125675</c:v>
                </c:pt>
                <c:pt idx="81">
                  <c:v>0.40703517587939747</c:v>
                </c:pt>
                <c:pt idx="82">
                  <c:v>0.4120603015075382</c:v>
                </c:pt>
                <c:pt idx="83">
                  <c:v>0.41708542713567892</c:v>
                </c:pt>
                <c:pt idx="84">
                  <c:v>0.42211055276381965</c:v>
                </c:pt>
                <c:pt idx="85">
                  <c:v>0.42713567839196037</c:v>
                </c:pt>
                <c:pt idx="86">
                  <c:v>0.4321608040201011</c:v>
                </c:pt>
                <c:pt idx="87">
                  <c:v>0.43718592964824182</c:v>
                </c:pt>
                <c:pt idx="88">
                  <c:v>0.44221105527638255</c:v>
                </c:pt>
                <c:pt idx="89">
                  <c:v>0.44723618090452327</c:v>
                </c:pt>
                <c:pt idx="90">
                  <c:v>0.452261306532664</c:v>
                </c:pt>
                <c:pt idx="91">
                  <c:v>0.45728643216080472</c:v>
                </c:pt>
                <c:pt idx="92">
                  <c:v>0.46231155778894545</c:v>
                </c:pt>
                <c:pt idx="93">
                  <c:v>0.46733668341708617</c:v>
                </c:pt>
                <c:pt idx="94">
                  <c:v>0.4723618090452269</c:v>
                </c:pt>
                <c:pt idx="95">
                  <c:v>0.47738693467336762</c:v>
                </c:pt>
                <c:pt idx="96">
                  <c:v>0.48241206030150835</c:v>
                </c:pt>
                <c:pt idx="97">
                  <c:v>0.48743718592964907</c:v>
                </c:pt>
                <c:pt idx="98">
                  <c:v>0.4924623115577898</c:v>
                </c:pt>
                <c:pt idx="99">
                  <c:v>0.49748743718593053</c:v>
                </c:pt>
                <c:pt idx="100">
                  <c:v>0.5025125628140712</c:v>
                </c:pt>
                <c:pt idx="101">
                  <c:v>0.50753768844221192</c:v>
                </c:pt>
                <c:pt idx="102">
                  <c:v>0.51256281407035265</c:v>
                </c:pt>
                <c:pt idx="103">
                  <c:v>0.51758793969849337</c:v>
                </c:pt>
                <c:pt idx="104">
                  <c:v>0.5226130653266341</c:v>
                </c:pt>
                <c:pt idx="105">
                  <c:v>0.52763819095477482</c:v>
                </c:pt>
                <c:pt idx="106">
                  <c:v>0.53266331658291555</c:v>
                </c:pt>
                <c:pt idx="107">
                  <c:v>0.53768844221105627</c:v>
                </c:pt>
                <c:pt idx="108">
                  <c:v>0.542713567839197</c:v>
                </c:pt>
                <c:pt idx="109">
                  <c:v>0.54773869346733772</c:v>
                </c:pt>
                <c:pt idx="110">
                  <c:v>0.55276381909547845</c:v>
                </c:pt>
                <c:pt idx="111">
                  <c:v>0.55778894472361917</c:v>
                </c:pt>
                <c:pt idx="112">
                  <c:v>0.5628140703517599</c:v>
                </c:pt>
                <c:pt idx="113">
                  <c:v>0.56783919597990062</c:v>
                </c:pt>
                <c:pt idx="114">
                  <c:v>0.57286432160804135</c:v>
                </c:pt>
                <c:pt idx="115">
                  <c:v>0.57788944723618207</c:v>
                </c:pt>
                <c:pt idx="116">
                  <c:v>0.5829145728643228</c:v>
                </c:pt>
                <c:pt idx="117">
                  <c:v>0.58793969849246352</c:v>
                </c:pt>
                <c:pt idx="118">
                  <c:v>0.59296482412060425</c:v>
                </c:pt>
                <c:pt idx="119">
                  <c:v>0.59798994974874498</c:v>
                </c:pt>
                <c:pt idx="120">
                  <c:v>0.6030150753768857</c:v>
                </c:pt>
                <c:pt idx="121">
                  <c:v>0.60804020100502643</c:v>
                </c:pt>
                <c:pt idx="122">
                  <c:v>0.61306532663316715</c:v>
                </c:pt>
                <c:pt idx="123">
                  <c:v>0.61809045226130788</c:v>
                </c:pt>
                <c:pt idx="124">
                  <c:v>0.6231155778894486</c:v>
                </c:pt>
                <c:pt idx="125">
                  <c:v>0.62814070351758933</c:v>
                </c:pt>
                <c:pt idx="126">
                  <c:v>0.63316582914573005</c:v>
                </c:pt>
                <c:pt idx="127">
                  <c:v>0.63819095477387078</c:v>
                </c:pt>
                <c:pt idx="128">
                  <c:v>0.6432160804020115</c:v>
                </c:pt>
                <c:pt idx="129">
                  <c:v>0.64824120603015223</c:v>
                </c:pt>
                <c:pt idx="130">
                  <c:v>0.65326633165829295</c:v>
                </c:pt>
                <c:pt idx="131">
                  <c:v>0.65829145728643368</c:v>
                </c:pt>
                <c:pt idx="132">
                  <c:v>0.6633165829145744</c:v>
                </c:pt>
                <c:pt idx="133">
                  <c:v>0.66834170854271513</c:v>
                </c:pt>
                <c:pt idx="134">
                  <c:v>0.67336683417085585</c:v>
                </c:pt>
                <c:pt idx="135">
                  <c:v>0.67839195979899658</c:v>
                </c:pt>
                <c:pt idx="136">
                  <c:v>0.68341708542713731</c:v>
                </c:pt>
                <c:pt idx="137">
                  <c:v>0.68844221105527803</c:v>
                </c:pt>
                <c:pt idx="138">
                  <c:v>0.69346733668341876</c:v>
                </c:pt>
                <c:pt idx="139">
                  <c:v>0.69849246231155948</c:v>
                </c:pt>
                <c:pt idx="140">
                  <c:v>0.70351758793970021</c:v>
                </c:pt>
                <c:pt idx="141">
                  <c:v>0.70854271356784093</c:v>
                </c:pt>
                <c:pt idx="142">
                  <c:v>0.71356783919598166</c:v>
                </c:pt>
                <c:pt idx="143">
                  <c:v>0.71859296482412238</c:v>
                </c:pt>
                <c:pt idx="144">
                  <c:v>0.72361809045226311</c:v>
                </c:pt>
                <c:pt idx="145">
                  <c:v>0.72864321608040383</c:v>
                </c:pt>
                <c:pt idx="146">
                  <c:v>0.73366834170854456</c:v>
                </c:pt>
                <c:pt idx="147">
                  <c:v>0.73869346733668528</c:v>
                </c:pt>
                <c:pt idx="148">
                  <c:v>0.74371859296482601</c:v>
                </c:pt>
                <c:pt idx="149">
                  <c:v>0.74874371859296673</c:v>
                </c:pt>
                <c:pt idx="150">
                  <c:v>0.75376884422110746</c:v>
                </c:pt>
                <c:pt idx="151">
                  <c:v>0.75879396984924818</c:v>
                </c:pt>
                <c:pt idx="152">
                  <c:v>0.76381909547738891</c:v>
                </c:pt>
                <c:pt idx="153">
                  <c:v>0.76884422110552963</c:v>
                </c:pt>
                <c:pt idx="154">
                  <c:v>0.77386934673367036</c:v>
                </c:pt>
                <c:pt idx="155">
                  <c:v>0.77889447236181109</c:v>
                </c:pt>
                <c:pt idx="156">
                  <c:v>0.78391959798995181</c:v>
                </c:pt>
                <c:pt idx="157">
                  <c:v>0.78894472361809254</c:v>
                </c:pt>
                <c:pt idx="158">
                  <c:v>0.79396984924623326</c:v>
                </c:pt>
                <c:pt idx="159">
                  <c:v>0.79899497487437399</c:v>
                </c:pt>
                <c:pt idx="160">
                  <c:v>0.80402010050251471</c:v>
                </c:pt>
                <c:pt idx="161">
                  <c:v>0.80904522613065544</c:v>
                </c:pt>
                <c:pt idx="162">
                  <c:v>0.81407035175879616</c:v>
                </c:pt>
                <c:pt idx="163">
                  <c:v>0.81909547738693689</c:v>
                </c:pt>
                <c:pt idx="164">
                  <c:v>0.82412060301507761</c:v>
                </c:pt>
                <c:pt idx="165">
                  <c:v>0.82914572864321834</c:v>
                </c:pt>
                <c:pt idx="166">
                  <c:v>0.83417085427135906</c:v>
                </c:pt>
                <c:pt idx="167">
                  <c:v>0.83919597989949979</c:v>
                </c:pt>
                <c:pt idx="168">
                  <c:v>0.84422110552764051</c:v>
                </c:pt>
                <c:pt idx="169">
                  <c:v>0.84924623115578124</c:v>
                </c:pt>
                <c:pt idx="170">
                  <c:v>0.85427135678392196</c:v>
                </c:pt>
                <c:pt idx="171">
                  <c:v>0.85929648241206269</c:v>
                </c:pt>
                <c:pt idx="172">
                  <c:v>0.86432160804020342</c:v>
                </c:pt>
                <c:pt idx="173">
                  <c:v>0.86934673366834414</c:v>
                </c:pt>
                <c:pt idx="174">
                  <c:v>0.87437185929648487</c:v>
                </c:pt>
                <c:pt idx="175">
                  <c:v>0.87939698492462559</c:v>
                </c:pt>
                <c:pt idx="176">
                  <c:v>0.88442211055276632</c:v>
                </c:pt>
                <c:pt idx="177">
                  <c:v>0.88944723618090704</c:v>
                </c:pt>
                <c:pt idx="178">
                  <c:v>0.89447236180904777</c:v>
                </c:pt>
                <c:pt idx="179">
                  <c:v>0.89949748743718849</c:v>
                </c:pt>
                <c:pt idx="180">
                  <c:v>0.90452261306532922</c:v>
                </c:pt>
                <c:pt idx="181">
                  <c:v>0.90954773869346994</c:v>
                </c:pt>
                <c:pt idx="182">
                  <c:v>0.91457286432161067</c:v>
                </c:pt>
                <c:pt idx="183">
                  <c:v>0.91959798994975139</c:v>
                </c:pt>
                <c:pt idx="184">
                  <c:v>0.92462311557789212</c:v>
                </c:pt>
                <c:pt idx="185">
                  <c:v>0.92964824120603284</c:v>
                </c:pt>
                <c:pt idx="186">
                  <c:v>0.93467336683417357</c:v>
                </c:pt>
                <c:pt idx="187">
                  <c:v>0.93969849246231429</c:v>
                </c:pt>
                <c:pt idx="188">
                  <c:v>0.94472361809045502</c:v>
                </c:pt>
                <c:pt idx="189">
                  <c:v>0.94974874371859574</c:v>
                </c:pt>
                <c:pt idx="190">
                  <c:v>0.95477386934673647</c:v>
                </c:pt>
                <c:pt idx="191">
                  <c:v>0.9597989949748772</c:v>
                </c:pt>
                <c:pt idx="192">
                  <c:v>0.96482412060301792</c:v>
                </c:pt>
                <c:pt idx="193">
                  <c:v>0.96984924623115865</c:v>
                </c:pt>
                <c:pt idx="194">
                  <c:v>0.97487437185929937</c:v>
                </c:pt>
                <c:pt idx="195">
                  <c:v>0.9798994974874401</c:v>
                </c:pt>
                <c:pt idx="196">
                  <c:v>0.98492462311558082</c:v>
                </c:pt>
                <c:pt idx="197">
                  <c:v>0.98994974874372155</c:v>
                </c:pt>
                <c:pt idx="198">
                  <c:v>0.99497487437186227</c:v>
                </c:pt>
                <c:pt idx="199">
                  <c:v>1.0000000000000029</c:v>
                </c:pt>
              </c:numCache>
            </c:numRef>
          </c:yVal>
          <c:smooth val="1"/>
        </c:ser>
        <c:axId val="186354688"/>
        <c:axId val="186413824"/>
      </c:scatterChart>
      <c:valAx>
        <c:axId val="186354688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413824"/>
        <c:crosses val="autoZero"/>
        <c:crossBetween val="midCat"/>
      </c:valAx>
      <c:valAx>
        <c:axId val="186413824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7856208694439116E-2"/>
              <c:y val="0.47652499856568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354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63724344778277"/>
          <c:y val="0.9497861272781748"/>
          <c:w val="0.15066176085933006"/>
          <c:h val="3.9166438238275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500 Iterations</a:t>
            </a:r>
          </a:p>
        </c:rich>
      </c:tx>
      <c:layout>
        <c:manualLayout>
          <c:xMode val="edge"/>
          <c:yMode val="edge"/>
          <c:x val="0.28904737824123322"/>
          <c:y val="2.77428937521116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04899994768686E-2"/>
          <c:y val="0.12892285920098936"/>
          <c:w val="0.89504246080876071"/>
          <c:h val="0.75232200116020376"/>
        </c:manualLayout>
      </c:layout>
      <c:scatterChart>
        <c:scatterStyle val="smoothMarker"/>
        <c:ser>
          <c:idx val="0"/>
          <c:order val="0"/>
          <c:tx>
            <c:strRef>
              <c:f>SimData500!$I$508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</c:trendline>
          <c:xVal>
            <c:numRef>
              <c:f>SimData500!$I$509:$I$1008</c:f>
              <c:numCache>
                <c:formatCode>General</c:formatCode>
                <c:ptCount val="500"/>
                <c:pt idx="0">
                  <c:v>8.9498454865417096E-4</c:v>
                </c:pt>
                <c:pt idx="1">
                  <c:v>2.4610811794318916E-3</c:v>
                </c:pt>
                <c:pt idx="2">
                  <c:v>4.3829461462756032E-3</c:v>
                </c:pt>
                <c:pt idx="3">
                  <c:v>7.6865085050665093E-3</c:v>
                </c:pt>
                <c:pt idx="4">
                  <c:v>9.6058045038035621E-3</c:v>
                </c:pt>
                <c:pt idx="5">
                  <c:v>1.0463921972658467E-2</c:v>
                </c:pt>
                <c:pt idx="6">
                  <c:v>1.2150179470924236E-2</c:v>
                </c:pt>
                <c:pt idx="7">
                  <c:v>1.4506519055111919E-2</c:v>
                </c:pt>
                <c:pt idx="8">
                  <c:v>1.6134846747418597E-2</c:v>
                </c:pt>
                <c:pt idx="9">
                  <c:v>1.8160271186418896E-2</c:v>
                </c:pt>
                <c:pt idx="10">
                  <c:v>2.0737350022126302E-2</c:v>
                </c:pt>
                <c:pt idx="11">
                  <c:v>2.2518083358769789E-2</c:v>
                </c:pt>
                <c:pt idx="12">
                  <c:v>2.4280256726844297E-2</c:v>
                </c:pt>
                <c:pt idx="13">
                  <c:v>2.6449174138356273E-2</c:v>
                </c:pt>
                <c:pt idx="14">
                  <c:v>2.9366084214152325E-2</c:v>
                </c:pt>
                <c:pt idx="15">
                  <c:v>3.114689816607789E-2</c:v>
                </c:pt>
                <c:pt idx="16">
                  <c:v>3.2688896049440121E-2</c:v>
                </c:pt>
                <c:pt idx="17">
                  <c:v>3.5522995573357447E-2</c:v>
                </c:pt>
                <c:pt idx="18">
                  <c:v>3.6822843602584407E-2</c:v>
                </c:pt>
                <c:pt idx="19">
                  <c:v>3.8899683778849357E-2</c:v>
                </c:pt>
                <c:pt idx="20">
                  <c:v>4.0346475242717769E-2</c:v>
                </c:pt>
                <c:pt idx="21">
                  <c:v>4.2284383617407731E-2</c:v>
                </c:pt>
                <c:pt idx="22">
                  <c:v>4.5860830674381188E-2</c:v>
                </c:pt>
                <c:pt idx="23">
                  <c:v>4.743833584418481E-2</c:v>
                </c:pt>
                <c:pt idx="24">
                  <c:v>4.8922840030147428E-2</c:v>
                </c:pt>
                <c:pt idx="25">
                  <c:v>5.1087807018563101E-2</c:v>
                </c:pt>
                <c:pt idx="26">
                  <c:v>5.2998589924303487E-2</c:v>
                </c:pt>
                <c:pt idx="27">
                  <c:v>5.4365112603727055E-2</c:v>
                </c:pt>
                <c:pt idx="28">
                  <c:v>5.7862474789345288E-2</c:v>
                </c:pt>
                <c:pt idx="29">
                  <c:v>5.8825073841220016E-2</c:v>
                </c:pt>
                <c:pt idx="30">
                  <c:v>6.0384001222528516E-2</c:v>
                </c:pt>
                <c:pt idx="31">
                  <c:v>6.2790099583750147E-2</c:v>
                </c:pt>
                <c:pt idx="32">
                  <c:v>6.5950196295499378E-2</c:v>
                </c:pt>
                <c:pt idx="33">
                  <c:v>6.7927512472478552E-2</c:v>
                </c:pt>
                <c:pt idx="34">
                  <c:v>6.9719486672831579E-2</c:v>
                </c:pt>
                <c:pt idx="35">
                  <c:v>7.182168631391174E-2</c:v>
                </c:pt>
                <c:pt idx="36">
                  <c:v>7.2961000300701934E-2</c:v>
                </c:pt>
                <c:pt idx="37">
                  <c:v>7.46411420872065E-2</c:v>
                </c:pt>
                <c:pt idx="38">
                  <c:v>7.6397199106029517E-2</c:v>
                </c:pt>
                <c:pt idx="39">
                  <c:v>7.9210480125437133E-2</c:v>
                </c:pt>
                <c:pt idx="40">
                  <c:v>8.1697313519589906E-2</c:v>
                </c:pt>
                <c:pt idx="41">
                  <c:v>8.2625588322669641E-2</c:v>
                </c:pt>
                <c:pt idx="42">
                  <c:v>8.5938923311871224E-2</c:v>
                </c:pt>
                <c:pt idx="43">
                  <c:v>8.7941896393881627E-2</c:v>
                </c:pt>
                <c:pt idx="44">
                  <c:v>8.8287832611773129E-2</c:v>
                </c:pt>
                <c:pt idx="45">
                  <c:v>9.0724696621001855E-2</c:v>
                </c:pt>
                <c:pt idx="46">
                  <c:v>9.279781756382384E-2</c:v>
                </c:pt>
                <c:pt idx="47">
                  <c:v>9.5667917135559929E-2</c:v>
                </c:pt>
                <c:pt idx="48">
                  <c:v>9.7693161822318367E-2</c:v>
                </c:pt>
                <c:pt idx="49">
                  <c:v>9.9176887973485714E-2</c:v>
                </c:pt>
                <c:pt idx="50">
                  <c:v>0.10089880143080344</c:v>
                </c:pt>
                <c:pt idx="51">
                  <c:v>0.10377789906081229</c:v>
                </c:pt>
                <c:pt idx="52">
                  <c:v>0.10499784772586959</c:v>
                </c:pt>
                <c:pt idx="53">
                  <c:v>0.10797235742769491</c:v>
                </c:pt>
                <c:pt idx="54">
                  <c:v>0.10890880101754069</c:v>
                </c:pt>
                <c:pt idx="55">
                  <c:v>0.11148787849244844</c:v>
                </c:pt>
                <c:pt idx="56">
                  <c:v>0.11200066098989934</c:v>
                </c:pt>
                <c:pt idx="57">
                  <c:v>0.11456406125718822</c:v>
                </c:pt>
                <c:pt idx="58">
                  <c:v>0.11626932891045449</c:v>
                </c:pt>
                <c:pt idx="59">
                  <c:v>0.11944000216560438</c:v>
                </c:pt>
                <c:pt idx="60">
                  <c:v>0.12055708462105996</c:v>
                </c:pt>
                <c:pt idx="61">
                  <c:v>0.12208658050282081</c:v>
                </c:pt>
                <c:pt idx="62">
                  <c:v>0.12471743138011485</c:v>
                </c:pt>
                <c:pt idx="63">
                  <c:v>0.12731575134706585</c:v>
                </c:pt>
                <c:pt idx="64">
                  <c:v>0.1298858927623103</c:v>
                </c:pt>
                <c:pt idx="65">
                  <c:v>0.13024654389830459</c:v>
                </c:pt>
                <c:pt idx="66">
                  <c:v>0.1330507811184625</c:v>
                </c:pt>
                <c:pt idx="67">
                  <c:v>0.13527442326659206</c:v>
                </c:pt>
                <c:pt idx="68">
                  <c:v>0.13693198440711293</c:v>
                </c:pt>
                <c:pt idx="69">
                  <c:v>0.13917134226327096</c:v>
                </c:pt>
                <c:pt idx="70">
                  <c:v>0.14092622078091985</c:v>
                </c:pt>
                <c:pt idx="71">
                  <c:v>0.14333693607462034</c:v>
                </c:pt>
                <c:pt idx="72">
                  <c:v>0.14486493057824321</c:v>
                </c:pt>
                <c:pt idx="73">
                  <c:v>0.14618445562156487</c:v>
                </c:pt>
                <c:pt idx="74">
                  <c:v>0.14895168358761623</c:v>
                </c:pt>
                <c:pt idx="75">
                  <c:v>0.15113056015296156</c:v>
                </c:pt>
                <c:pt idx="76">
                  <c:v>0.15354803216539975</c:v>
                </c:pt>
                <c:pt idx="77">
                  <c:v>0.1542451183647488</c:v>
                </c:pt>
                <c:pt idx="78">
                  <c:v>0.15748964865493811</c:v>
                </c:pt>
                <c:pt idx="79">
                  <c:v>0.15821058163424268</c:v>
                </c:pt>
                <c:pt idx="80">
                  <c:v>0.16028682082711879</c:v>
                </c:pt>
                <c:pt idx="81">
                  <c:v>0.16353874481877748</c:v>
                </c:pt>
                <c:pt idx="82">
                  <c:v>0.16402818441624478</c:v>
                </c:pt>
                <c:pt idx="83">
                  <c:v>0.16616836642617555</c:v>
                </c:pt>
                <c:pt idx="84">
                  <c:v>0.1683734228439567</c:v>
                </c:pt>
                <c:pt idx="85">
                  <c:v>0.17031572109980408</c:v>
                </c:pt>
                <c:pt idx="86">
                  <c:v>0.17214044378421747</c:v>
                </c:pt>
                <c:pt idx="87">
                  <c:v>0.17480775808561774</c:v>
                </c:pt>
                <c:pt idx="88">
                  <c:v>0.17693819873569028</c:v>
                </c:pt>
                <c:pt idx="89">
                  <c:v>0.17832068414807337</c:v>
                </c:pt>
                <c:pt idx="90">
                  <c:v>0.18035655745359988</c:v>
                </c:pt>
                <c:pt idx="91">
                  <c:v>0.18389513510044087</c:v>
                </c:pt>
                <c:pt idx="92">
                  <c:v>0.18560821755686968</c:v>
                </c:pt>
                <c:pt idx="93">
                  <c:v>0.18743822533577639</c:v>
                </c:pt>
                <c:pt idx="94">
                  <c:v>0.18880326782837586</c:v>
                </c:pt>
                <c:pt idx="95">
                  <c:v>0.19100068196817319</c:v>
                </c:pt>
                <c:pt idx="96">
                  <c:v>0.19286439740631367</c:v>
                </c:pt>
                <c:pt idx="97">
                  <c:v>0.19487925558883679</c:v>
                </c:pt>
                <c:pt idx="98">
                  <c:v>0.19660001256377435</c:v>
                </c:pt>
                <c:pt idx="99">
                  <c:v>0.19827581538545799</c:v>
                </c:pt>
                <c:pt idx="100">
                  <c:v>0.20017155042806908</c:v>
                </c:pt>
                <c:pt idx="101">
                  <c:v>0.20276342300157144</c:v>
                </c:pt>
                <c:pt idx="102">
                  <c:v>0.20490836771459048</c:v>
                </c:pt>
                <c:pt idx="103">
                  <c:v>0.20672957411425413</c:v>
                </c:pt>
                <c:pt idx="104">
                  <c:v>0.20899807023326822</c:v>
                </c:pt>
                <c:pt idx="105">
                  <c:v>0.21032068440465274</c:v>
                </c:pt>
                <c:pt idx="106">
                  <c:v>0.21378960223630758</c:v>
                </c:pt>
                <c:pt idx="107">
                  <c:v>0.21419678557808436</c:v>
                </c:pt>
                <c:pt idx="108">
                  <c:v>0.21745767516676748</c:v>
                </c:pt>
                <c:pt idx="109">
                  <c:v>0.21896170639269094</c:v>
                </c:pt>
                <c:pt idx="110">
                  <c:v>0.22034815696541876</c:v>
                </c:pt>
                <c:pt idx="111">
                  <c:v>0.22246634185278469</c:v>
                </c:pt>
                <c:pt idx="112">
                  <c:v>0.22496278361765731</c:v>
                </c:pt>
                <c:pt idx="113">
                  <c:v>0.22604034862109471</c:v>
                </c:pt>
                <c:pt idx="114">
                  <c:v>0.22899648082326085</c:v>
                </c:pt>
                <c:pt idx="115">
                  <c:v>0.23017393037122066</c:v>
                </c:pt>
                <c:pt idx="116">
                  <c:v>0.23297282850858123</c:v>
                </c:pt>
                <c:pt idx="117">
                  <c:v>0.23591052455080452</c:v>
                </c:pt>
                <c:pt idx="118">
                  <c:v>0.23732975038218537</c:v>
                </c:pt>
                <c:pt idx="119">
                  <c:v>0.2399835868817716</c:v>
                </c:pt>
                <c:pt idx="120">
                  <c:v>0.24181316770096614</c:v>
                </c:pt>
                <c:pt idx="121">
                  <c:v>0.24252806116745995</c:v>
                </c:pt>
                <c:pt idx="122">
                  <c:v>0.24596268438872942</c:v>
                </c:pt>
                <c:pt idx="123">
                  <c:v>0.24744268961377505</c:v>
                </c:pt>
                <c:pt idx="124">
                  <c:v>0.24810576325750577</c:v>
                </c:pt>
                <c:pt idx="125">
                  <c:v>0.2511828156386462</c:v>
                </c:pt>
                <c:pt idx="126">
                  <c:v>0.25281670941850559</c:v>
                </c:pt>
                <c:pt idx="127">
                  <c:v>0.25523805917362635</c:v>
                </c:pt>
                <c:pt idx="128">
                  <c:v>0.25748881049256045</c:v>
                </c:pt>
                <c:pt idx="129">
                  <c:v>0.2585648389371496</c:v>
                </c:pt>
                <c:pt idx="130">
                  <c:v>0.26106749106735627</c:v>
                </c:pt>
                <c:pt idx="131">
                  <c:v>0.26299237218661992</c:v>
                </c:pt>
                <c:pt idx="132">
                  <c:v>0.26474885546712873</c:v>
                </c:pt>
                <c:pt idx="133">
                  <c:v>0.26748884418687985</c:v>
                </c:pt>
                <c:pt idx="134">
                  <c:v>0.26864136925959992</c:v>
                </c:pt>
                <c:pt idx="135">
                  <c:v>0.27156811295113714</c:v>
                </c:pt>
                <c:pt idx="136">
                  <c:v>0.27331696147036666</c:v>
                </c:pt>
                <c:pt idx="137">
                  <c:v>0.27539369570542915</c:v>
                </c:pt>
                <c:pt idx="138">
                  <c:v>0.27754028405005582</c:v>
                </c:pt>
                <c:pt idx="139">
                  <c:v>0.27955428482348893</c:v>
                </c:pt>
                <c:pt idx="140">
                  <c:v>0.28120299653597242</c:v>
                </c:pt>
                <c:pt idx="141">
                  <c:v>0.28348514034633643</c:v>
                </c:pt>
                <c:pt idx="142">
                  <c:v>0.28590596732588158</c:v>
                </c:pt>
                <c:pt idx="143">
                  <c:v>0.28728256193671431</c:v>
                </c:pt>
                <c:pt idx="144">
                  <c:v>0.28945610368704799</c:v>
                </c:pt>
                <c:pt idx="145">
                  <c:v>0.29129430626036928</c:v>
                </c:pt>
                <c:pt idx="146">
                  <c:v>0.29353839045240038</c:v>
                </c:pt>
                <c:pt idx="147">
                  <c:v>0.29588937472968579</c:v>
                </c:pt>
                <c:pt idx="148">
                  <c:v>0.29762399934968536</c:v>
                </c:pt>
                <c:pt idx="149">
                  <c:v>0.29978569719562903</c:v>
                </c:pt>
                <c:pt idx="150">
                  <c:v>0.30006659547241094</c:v>
                </c:pt>
                <c:pt idx="151">
                  <c:v>0.30224807503313011</c:v>
                </c:pt>
                <c:pt idx="152">
                  <c:v>0.30461438404410485</c:v>
                </c:pt>
                <c:pt idx="153">
                  <c:v>0.30731618374942715</c:v>
                </c:pt>
                <c:pt idx="154">
                  <c:v>0.30899022935027959</c:v>
                </c:pt>
                <c:pt idx="155">
                  <c:v>0.31175698884896869</c:v>
                </c:pt>
                <c:pt idx="156">
                  <c:v>0.31335272806355563</c:v>
                </c:pt>
                <c:pt idx="157">
                  <c:v>0.31471608400128692</c:v>
                </c:pt>
                <c:pt idx="158">
                  <c:v>0.31726228662516509</c:v>
                </c:pt>
                <c:pt idx="159">
                  <c:v>0.31867591535362322</c:v>
                </c:pt>
                <c:pt idx="160">
                  <c:v>0.32066733398304026</c:v>
                </c:pt>
                <c:pt idx="161">
                  <c:v>0.3221968356324818</c:v>
                </c:pt>
                <c:pt idx="162">
                  <c:v>0.32594296318943211</c:v>
                </c:pt>
                <c:pt idx="163">
                  <c:v>0.32787056122111868</c:v>
                </c:pt>
                <c:pt idx="164">
                  <c:v>0.32887739155508516</c:v>
                </c:pt>
                <c:pt idx="165">
                  <c:v>0.33072424837265263</c:v>
                </c:pt>
                <c:pt idx="166">
                  <c:v>0.33283249980277207</c:v>
                </c:pt>
                <c:pt idx="167">
                  <c:v>0.33522836828865771</c:v>
                </c:pt>
                <c:pt idx="168">
                  <c:v>0.33652340381697832</c:v>
                </c:pt>
                <c:pt idx="169">
                  <c:v>0.33801215459453227</c:v>
                </c:pt>
                <c:pt idx="170">
                  <c:v>0.34165699473946753</c:v>
                </c:pt>
                <c:pt idx="171">
                  <c:v>0.34308036139632581</c:v>
                </c:pt>
                <c:pt idx="172">
                  <c:v>0.3447168635136254</c:v>
                </c:pt>
                <c:pt idx="173">
                  <c:v>0.34752447169961509</c:v>
                </c:pt>
                <c:pt idx="174">
                  <c:v>0.34901218361244823</c:v>
                </c:pt>
                <c:pt idx="175">
                  <c:v>0.3501009351345945</c:v>
                </c:pt>
                <c:pt idx="176">
                  <c:v>0.35240652135908757</c:v>
                </c:pt>
                <c:pt idx="177">
                  <c:v>0.3559805648219726</c:v>
                </c:pt>
                <c:pt idx="178">
                  <c:v>0.35794434326932401</c:v>
                </c:pt>
                <c:pt idx="179">
                  <c:v>0.35819200978386029</c:v>
                </c:pt>
                <c:pt idx="180">
                  <c:v>0.36097231414797071</c:v>
                </c:pt>
                <c:pt idx="181">
                  <c:v>0.36315993770052679</c:v>
                </c:pt>
                <c:pt idx="182">
                  <c:v>0.36520820730859604</c:v>
                </c:pt>
                <c:pt idx="183">
                  <c:v>0.36649085464619358</c:v>
                </c:pt>
                <c:pt idx="184">
                  <c:v>0.36910983594486252</c:v>
                </c:pt>
                <c:pt idx="185">
                  <c:v>0.37081394447544913</c:v>
                </c:pt>
                <c:pt idx="186">
                  <c:v>0.37212458360011796</c:v>
                </c:pt>
                <c:pt idx="187">
                  <c:v>0.37564816872348267</c:v>
                </c:pt>
                <c:pt idx="188">
                  <c:v>0.37707723437786966</c:v>
                </c:pt>
                <c:pt idx="189">
                  <c:v>0.37848962625406907</c:v>
                </c:pt>
                <c:pt idx="190">
                  <c:v>0.38078867940017685</c:v>
                </c:pt>
                <c:pt idx="191">
                  <c:v>0.38266635324355824</c:v>
                </c:pt>
                <c:pt idx="192">
                  <c:v>0.38499360920931064</c:v>
                </c:pt>
                <c:pt idx="193">
                  <c:v>0.38656005664229393</c:v>
                </c:pt>
                <c:pt idx="194">
                  <c:v>0.38842287342912118</c:v>
                </c:pt>
                <c:pt idx="195">
                  <c:v>0.39040555452238895</c:v>
                </c:pt>
                <c:pt idx="196">
                  <c:v>0.39332594676626054</c:v>
                </c:pt>
                <c:pt idx="197">
                  <c:v>0.39585502701668418</c:v>
                </c:pt>
                <c:pt idx="198">
                  <c:v>0.39669646562093325</c:v>
                </c:pt>
                <c:pt idx="199">
                  <c:v>0.3995315924593088</c:v>
                </c:pt>
                <c:pt idx="200">
                  <c:v>0.4000775649026217</c:v>
                </c:pt>
                <c:pt idx="201">
                  <c:v>0.40319816624447663</c:v>
                </c:pt>
                <c:pt idx="202">
                  <c:v>0.40474647302337607</c:v>
                </c:pt>
                <c:pt idx="203">
                  <c:v>0.40708994983441427</c:v>
                </c:pt>
                <c:pt idx="204">
                  <c:v>0.40949650421959732</c:v>
                </c:pt>
                <c:pt idx="205">
                  <c:v>0.4100614144583376</c:v>
                </c:pt>
                <c:pt idx="206">
                  <c:v>0.41255608204765154</c:v>
                </c:pt>
                <c:pt idx="207">
                  <c:v>0.41522028698148677</c:v>
                </c:pt>
                <c:pt idx="208">
                  <c:v>0.41647979659272349</c:v>
                </c:pt>
                <c:pt idx="209">
                  <c:v>0.41973720601800302</c:v>
                </c:pt>
                <c:pt idx="210">
                  <c:v>0.42000369825121103</c:v>
                </c:pt>
                <c:pt idx="211">
                  <c:v>0.42278251621704138</c:v>
                </c:pt>
                <c:pt idx="212">
                  <c:v>0.42546706123265138</c:v>
                </c:pt>
                <c:pt idx="213">
                  <c:v>0.42632306705841866</c:v>
                </c:pt>
                <c:pt idx="214">
                  <c:v>0.42809902563041519</c:v>
                </c:pt>
                <c:pt idx="215">
                  <c:v>0.43114011241568723</c:v>
                </c:pt>
                <c:pt idx="216">
                  <c:v>0.43397783237322646</c:v>
                </c:pt>
                <c:pt idx="217">
                  <c:v>0.43553799204564142</c:v>
                </c:pt>
                <c:pt idx="218">
                  <c:v>0.43604758805736143</c:v>
                </c:pt>
                <c:pt idx="219">
                  <c:v>0.4392292784860426</c:v>
                </c:pt>
                <c:pt idx="220">
                  <c:v>0.44052813111397626</c:v>
                </c:pt>
                <c:pt idx="221">
                  <c:v>0.44303197606164774</c:v>
                </c:pt>
                <c:pt idx="222">
                  <c:v>0.44500465964456198</c:v>
                </c:pt>
                <c:pt idx="223">
                  <c:v>0.44793229624254915</c:v>
                </c:pt>
                <c:pt idx="224">
                  <c:v>0.44947791691624511</c:v>
                </c:pt>
                <c:pt idx="225">
                  <c:v>0.45009722407164454</c:v>
                </c:pt>
                <c:pt idx="226">
                  <c:v>0.45398823610460115</c:v>
                </c:pt>
                <c:pt idx="227">
                  <c:v>0.45433558645852273</c:v>
                </c:pt>
                <c:pt idx="228">
                  <c:v>0.45628181372216942</c:v>
                </c:pt>
                <c:pt idx="229">
                  <c:v>0.45859956067022856</c:v>
                </c:pt>
                <c:pt idx="230">
                  <c:v>0.46147488153993033</c:v>
                </c:pt>
                <c:pt idx="231">
                  <c:v>0.46280817364733856</c:v>
                </c:pt>
                <c:pt idx="232">
                  <c:v>0.46425499926932501</c:v>
                </c:pt>
                <c:pt idx="233">
                  <c:v>0.46666240907569007</c:v>
                </c:pt>
                <c:pt idx="234">
                  <c:v>0.46909369012180102</c:v>
                </c:pt>
                <c:pt idx="235">
                  <c:v>0.47028811631265283</c:v>
                </c:pt>
                <c:pt idx="236">
                  <c:v>0.47368177018214064</c:v>
                </c:pt>
                <c:pt idx="237">
                  <c:v>0.47565334596989056</c:v>
                </c:pt>
                <c:pt idx="238">
                  <c:v>0.47627452400007153</c:v>
                </c:pt>
                <c:pt idx="239">
                  <c:v>0.47860872747576999</c:v>
                </c:pt>
                <c:pt idx="240">
                  <c:v>0.48148239360365142</c:v>
                </c:pt>
                <c:pt idx="241">
                  <c:v>0.48262042877511596</c:v>
                </c:pt>
                <c:pt idx="242">
                  <c:v>0.485639598788144</c:v>
                </c:pt>
                <c:pt idx="243">
                  <c:v>0.48657483702166354</c:v>
                </c:pt>
                <c:pt idx="244">
                  <c:v>0.48827532973146892</c:v>
                </c:pt>
                <c:pt idx="245">
                  <c:v>0.49044032595689419</c:v>
                </c:pt>
                <c:pt idx="246">
                  <c:v>0.49243533895500824</c:v>
                </c:pt>
                <c:pt idx="247">
                  <c:v>0.49507529987326709</c:v>
                </c:pt>
                <c:pt idx="248">
                  <c:v>0.49640816204212795</c:v>
                </c:pt>
                <c:pt idx="249">
                  <c:v>0.49880314943399356</c:v>
                </c:pt>
                <c:pt idx="250">
                  <c:v>0.50060510236132072</c:v>
                </c:pt>
                <c:pt idx="251">
                  <c:v>0.5020640156772137</c:v>
                </c:pt>
                <c:pt idx="252">
                  <c:v>0.50561745964726834</c:v>
                </c:pt>
                <c:pt idx="253">
                  <c:v>0.50740535800331399</c:v>
                </c:pt>
                <c:pt idx="254">
                  <c:v>0.50945658586627263</c:v>
                </c:pt>
                <c:pt idx="255">
                  <c:v>0.51163813442262773</c:v>
                </c:pt>
                <c:pt idx="256">
                  <c:v>0.51279258502432901</c:v>
                </c:pt>
                <c:pt idx="257">
                  <c:v>0.51406091831672496</c:v>
                </c:pt>
                <c:pt idx="258">
                  <c:v>0.51785230097217783</c:v>
                </c:pt>
                <c:pt idx="259">
                  <c:v>0.51880851232651826</c:v>
                </c:pt>
                <c:pt idx="260">
                  <c:v>0.52051933691755858</c:v>
                </c:pt>
                <c:pt idx="261">
                  <c:v>0.52215087083358103</c:v>
                </c:pt>
                <c:pt idx="262">
                  <c:v>0.52567380194311819</c:v>
                </c:pt>
                <c:pt idx="263">
                  <c:v>0.52789833025492228</c:v>
                </c:pt>
                <c:pt idx="264">
                  <c:v>0.52904407351348637</c:v>
                </c:pt>
                <c:pt idx="265">
                  <c:v>0.53103248839570039</c:v>
                </c:pt>
                <c:pt idx="266">
                  <c:v>0.5333418535425658</c:v>
                </c:pt>
                <c:pt idx="267">
                  <c:v>0.53508600628401293</c:v>
                </c:pt>
                <c:pt idx="268">
                  <c:v>0.53634656670744218</c:v>
                </c:pt>
                <c:pt idx="269">
                  <c:v>0.53888621788911661</c:v>
                </c:pt>
                <c:pt idx="270">
                  <c:v>0.54076397631521433</c:v>
                </c:pt>
                <c:pt idx="271">
                  <c:v>0.54264630538193659</c:v>
                </c:pt>
                <c:pt idx="272">
                  <c:v>0.54403785306123043</c:v>
                </c:pt>
                <c:pt idx="273">
                  <c:v>0.54760321524450628</c:v>
                </c:pt>
                <c:pt idx="274">
                  <c:v>0.54972640379651605</c:v>
                </c:pt>
                <c:pt idx="275">
                  <c:v>0.55085192728528098</c:v>
                </c:pt>
                <c:pt idx="276">
                  <c:v>0.55259476396781271</c:v>
                </c:pt>
                <c:pt idx="277">
                  <c:v>0.55575163267873029</c:v>
                </c:pt>
                <c:pt idx="278">
                  <c:v>0.55756664885384177</c:v>
                </c:pt>
                <c:pt idx="279">
                  <c:v>0.55997676876233349</c:v>
                </c:pt>
                <c:pt idx="280">
                  <c:v>0.56037584680094754</c:v>
                </c:pt>
                <c:pt idx="281">
                  <c:v>0.562596480067027</c:v>
                </c:pt>
                <c:pt idx="282">
                  <c:v>0.56591497294789062</c:v>
                </c:pt>
                <c:pt idx="283">
                  <c:v>0.56682567509981474</c:v>
                </c:pt>
                <c:pt idx="284">
                  <c:v>0.56958746600933075</c:v>
                </c:pt>
                <c:pt idx="285">
                  <c:v>0.57089937150126779</c:v>
                </c:pt>
                <c:pt idx="286">
                  <c:v>0.57397522747842011</c:v>
                </c:pt>
                <c:pt idx="287">
                  <c:v>0.57544755110830248</c:v>
                </c:pt>
                <c:pt idx="288">
                  <c:v>0.57777257354924749</c:v>
                </c:pt>
                <c:pt idx="289">
                  <c:v>0.57917134363324652</c:v>
                </c:pt>
                <c:pt idx="290">
                  <c:v>0.58127656182117671</c:v>
                </c:pt>
                <c:pt idx="291">
                  <c:v>0.58327171698847591</c:v>
                </c:pt>
                <c:pt idx="292">
                  <c:v>0.58549076285480772</c:v>
                </c:pt>
                <c:pt idx="293">
                  <c:v>0.5863477089457092</c:v>
                </c:pt>
                <c:pt idx="294">
                  <c:v>0.58999010215326919</c:v>
                </c:pt>
                <c:pt idx="295">
                  <c:v>0.59141028647111038</c:v>
                </c:pt>
                <c:pt idx="296">
                  <c:v>0.59287797052433666</c:v>
                </c:pt>
                <c:pt idx="297">
                  <c:v>0.59524800837115577</c:v>
                </c:pt>
                <c:pt idx="298">
                  <c:v>0.59666469221437923</c:v>
                </c:pt>
                <c:pt idx="299">
                  <c:v>0.59980247973692657</c:v>
                </c:pt>
                <c:pt idx="300">
                  <c:v>0.60071004538301143</c:v>
                </c:pt>
                <c:pt idx="301">
                  <c:v>0.60263691949393527</c:v>
                </c:pt>
                <c:pt idx="302">
                  <c:v>0.60422473608754212</c:v>
                </c:pt>
                <c:pt idx="303">
                  <c:v>0.60718699616267979</c:v>
                </c:pt>
                <c:pt idx="304">
                  <c:v>0.60901593244378827</c:v>
                </c:pt>
                <c:pt idx="305">
                  <c:v>0.6106965235636328</c:v>
                </c:pt>
                <c:pt idx="306">
                  <c:v>0.6138340931646139</c:v>
                </c:pt>
                <c:pt idx="307">
                  <c:v>0.61554585562496122</c:v>
                </c:pt>
                <c:pt idx="308">
                  <c:v>0.61793410987126041</c:v>
                </c:pt>
                <c:pt idx="309">
                  <c:v>0.61858095000977187</c:v>
                </c:pt>
                <c:pt idx="310">
                  <c:v>0.62017235217945943</c:v>
                </c:pt>
                <c:pt idx="311">
                  <c:v>0.62301727080834501</c:v>
                </c:pt>
                <c:pt idx="312">
                  <c:v>0.62403020221181915</c:v>
                </c:pt>
                <c:pt idx="313">
                  <c:v>0.62665239202851719</c:v>
                </c:pt>
                <c:pt idx="314">
                  <c:v>0.62825961174123446</c:v>
                </c:pt>
                <c:pt idx="315">
                  <c:v>0.63197369879064469</c:v>
                </c:pt>
                <c:pt idx="316">
                  <c:v>0.63237348653431369</c:v>
                </c:pt>
                <c:pt idx="317">
                  <c:v>0.63466196219033144</c:v>
                </c:pt>
                <c:pt idx="318">
                  <c:v>0.63682522861632174</c:v>
                </c:pt>
                <c:pt idx="319">
                  <c:v>0.63980064957630833</c:v>
                </c:pt>
                <c:pt idx="320">
                  <c:v>0.64042563921874984</c:v>
                </c:pt>
                <c:pt idx="321">
                  <c:v>0.64290105875602477</c:v>
                </c:pt>
                <c:pt idx="322">
                  <c:v>0.64559621832137837</c:v>
                </c:pt>
                <c:pt idx="323">
                  <c:v>0.64763890303569815</c:v>
                </c:pt>
                <c:pt idx="324">
                  <c:v>0.64841472619455642</c:v>
                </c:pt>
                <c:pt idx="325">
                  <c:v>0.6501680946685765</c:v>
                </c:pt>
                <c:pt idx="326">
                  <c:v>0.65282736807242669</c:v>
                </c:pt>
                <c:pt idx="327">
                  <c:v>0.65581731601288018</c:v>
                </c:pt>
                <c:pt idx="328">
                  <c:v>0.65751474345836669</c:v>
                </c:pt>
                <c:pt idx="329">
                  <c:v>0.6597127061201522</c:v>
                </c:pt>
                <c:pt idx="330">
                  <c:v>0.66119875140422923</c:v>
                </c:pt>
                <c:pt idx="331">
                  <c:v>0.66255058607611594</c:v>
                </c:pt>
                <c:pt idx="332">
                  <c:v>0.66406528149965816</c:v>
                </c:pt>
                <c:pt idx="333">
                  <c:v>0.66772029383334341</c:v>
                </c:pt>
                <c:pt idx="334">
                  <c:v>0.6691350965674816</c:v>
                </c:pt>
                <c:pt idx="335">
                  <c:v>0.6705461886270313</c:v>
                </c:pt>
                <c:pt idx="336">
                  <c:v>0.67214856430798497</c:v>
                </c:pt>
                <c:pt idx="337">
                  <c:v>0.67599610569002011</c:v>
                </c:pt>
                <c:pt idx="338">
                  <c:v>0.67732398542420102</c:v>
                </c:pt>
                <c:pt idx="339">
                  <c:v>0.67822774257097107</c:v>
                </c:pt>
                <c:pt idx="340">
                  <c:v>0.68119011714430289</c:v>
                </c:pt>
                <c:pt idx="341">
                  <c:v>0.6820023969113832</c:v>
                </c:pt>
                <c:pt idx="342">
                  <c:v>0.6855958858550516</c:v>
                </c:pt>
                <c:pt idx="343">
                  <c:v>0.68662210094989795</c:v>
                </c:pt>
                <c:pt idx="344">
                  <c:v>0.68828357636003845</c:v>
                </c:pt>
                <c:pt idx="345">
                  <c:v>0.69189782630277286</c:v>
                </c:pt>
                <c:pt idx="346">
                  <c:v>0.69330337889755689</c:v>
                </c:pt>
                <c:pt idx="347">
                  <c:v>0.69420888678780968</c:v>
                </c:pt>
                <c:pt idx="348">
                  <c:v>0.69680977580528924</c:v>
                </c:pt>
                <c:pt idx="349">
                  <c:v>0.69805789769255977</c:v>
                </c:pt>
                <c:pt idx="350">
                  <c:v>0.70038926263255741</c:v>
                </c:pt>
                <c:pt idx="351">
                  <c:v>0.70213752580763256</c:v>
                </c:pt>
                <c:pt idx="352">
                  <c:v>0.70464444961739814</c:v>
                </c:pt>
                <c:pt idx="353">
                  <c:v>0.70777360852150561</c:v>
                </c:pt>
                <c:pt idx="354">
                  <c:v>0.70832641251439377</c:v>
                </c:pt>
                <c:pt idx="355">
                  <c:v>0.71183173344932305</c:v>
                </c:pt>
                <c:pt idx="356">
                  <c:v>0.7120017165280883</c:v>
                </c:pt>
                <c:pt idx="357">
                  <c:v>0.71573960619413757</c:v>
                </c:pt>
                <c:pt idx="358">
                  <c:v>0.71641753528183738</c:v>
                </c:pt>
                <c:pt idx="359">
                  <c:v>0.71832041309967642</c:v>
                </c:pt>
                <c:pt idx="360">
                  <c:v>0.72100780361308903</c:v>
                </c:pt>
                <c:pt idx="361">
                  <c:v>0.72365667858106475</c:v>
                </c:pt>
                <c:pt idx="362">
                  <c:v>0.72575438292458527</c:v>
                </c:pt>
                <c:pt idx="363">
                  <c:v>0.72746232771488428</c:v>
                </c:pt>
                <c:pt idx="364">
                  <c:v>0.72932734233032148</c:v>
                </c:pt>
                <c:pt idx="365">
                  <c:v>0.73042038163645673</c:v>
                </c:pt>
                <c:pt idx="366">
                  <c:v>0.73288848651454053</c:v>
                </c:pt>
                <c:pt idx="367">
                  <c:v>0.73597149695408803</c:v>
                </c:pt>
                <c:pt idx="368">
                  <c:v>0.73645267596246033</c:v>
                </c:pt>
                <c:pt idx="369">
                  <c:v>0.73914753574439029</c:v>
                </c:pt>
                <c:pt idx="370">
                  <c:v>0.74114961786129263</c:v>
                </c:pt>
                <c:pt idx="371">
                  <c:v>0.74390084265309875</c:v>
                </c:pt>
                <c:pt idx="372">
                  <c:v>0.74513267144214657</c:v>
                </c:pt>
                <c:pt idx="373">
                  <c:v>0.74629027466389586</c:v>
                </c:pt>
                <c:pt idx="374">
                  <c:v>0.74889778106633986</c:v>
                </c:pt>
                <c:pt idx="375">
                  <c:v>0.75179503516242718</c:v>
                </c:pt>
                <c:pt idx="376">
                  <c:v>0.75233860406287445</c:v>
                </c:pt>
                <c:pt idx="377">
                  <c:v>0.75569227952223561</c:v>
                </c:pt>
                <c:pt idx="378">
                  <c:v>0.75686964860345929</c:v>
                </c:pt>
                <c:pt idx="379">
                  <c:v>0.75887140113508134</c:v>
                </c:pt>
                <c:pt idx="380">
                  <c:v>0.76013333995503685</c:v>
                </c:pt>
                <c:pt idx="381">
                  <c:v>0.76234134116916485</c:v>
                </c:pt>
                <c:pt idx="382">
                  <c:v>0.76488023125028248</c:v>
                </c:pt>
                <c:pt idx="383">
                  <c:v>0.76734073077732246</c:v>
                </c:pt>
                <c:pt idx="384">
                  <c:v>0.76944216386728048</c:v>
                </c:pt>
                <c:pt idx="385">
                  <c:v>0.77089331119947446</c:v>
                </c:pt>
                <c:pt idx="386">
                  <c:v>0.77370691508280742</c:v>
                </c:pt>
                <c:pt idx="387">
                  <c:v>0.77442513285400938</c:v>
                </c:pt>
                <c:pt idx="388">
                  <c:v>0.77621992032328146</c:v>
                </c:pt>
                <c:pt idx="389">
                  <c:v>0.77892806733933473</c:v>
                </c:pt>
                <c:pt idx="390">
                  <c:v>0.78019682860332462</c:v>
                </c:pt>
                <c:pt idx="391">
                  <c:v>0.78232963743766992</c:v>
                </c:pt>
                <c:pt idx="392">
                  <c:v>0.78403480397119063</c:v>
                </c:pt>
                <c:pt idx="393">
                  <c:v>0.78749454220279458</c:v>
                </c:pt>
                <c:pt idx="394">
                  <c:v>0.78916627540839057</c:v>
                </c:pt>
                <c:pt idx="395">
                  <c:v>0.79007793260414105</c:v>
                </c:pt>
                <c:pt idx="396">
                  <c:v>0.79344333973513992</c:v>
                </c:pt>
                <c:pt idx="397">
                  <c:v>0.79496765836397365</c:v>
                </c:pt>
                <c:pt idx="398">
                  <c:v>0.79795805208756543</c:v>
                </c:pt>
                <c:pt idx="399">
                  <c:v>0.79952953147225303</c:v>
                </c:pt>
                <c:pt idx="400">
                  <c:v>0.80038359955893457</c:v>
                </c:pt>
                <c:pt idx="401">
                  <c:v>0.80247201590996053</c:v>
                </c:pt>
                <c:pt idx="402">
                  <c:v>0.80428002186079506</c:v>
                </c:pt>
                <c:pt idx="403">
                  <c:v>0.80764983022204828</c:v>
                </c:pt>
                <c:pt idx="404">
                  <c:v>0.80870773745717195</c:v>
                </c:pt>
                <c:pt idx="405">
                  <c:v>0.81151663492003379</c:v>
                </c:pt>
                <c:pt idx="406">
                  <c:v>0.81285425129040478</c:v>
                </c:pt>
                <c:pt idx="407">
                  <c:v>0.81488155513696403</c:v>
                </c:pt>
                <c:pt idx="408">
                  <c:v>0.81765955920416389</c:v>
                </c:pt>
                <c:pt idx="409">
                  <c:v>0.8187193166838771</c:v>
                </c:pt>
                <c:pt idx="410">
                  <c:v>0.82174358895787591</c:v>
                </c:pt>
                <c:pt idx="411">
                  <c:v>0.82394420991650419</c:v>
                </c:pt>
                <c:pt idx="412">
                  <c:v>0.82499592280504208</c:v>
                </c:pt>
                <c:pt idx="413">
                  <c:v>0.8263200552087091</c:v>
                </c:pt>
                <c:pt idx="414">
                  <c:v>0.82992566763235387</c:v>
                </c:pt>
                <c:pt idx="415">
                  <c:v>0.8304694889202876</c:v>
                </c:pt>
                <c:pt idx="416">
                  <c:v>0.83216870422106448</c:v>
                </c:pt>
                <c:pt idx="417">
                  <c:v>0.83507832861623688</c:v>
                </c:pt>
                <c:pt idx="418">
                  <c:v>0.83632056377090536</c:v>
                </c:pt>
                <c:pt idx="419">
                  <c:v>0.83908787199973311</c:v>
                </c:pt>
                <c:pt idx="420">
                  <c:v>0.84110157479092051</c:v>
                </c:pt>
                <c:pt idx="421">
                  <c:v>0.84200028374744595</c:v>
                </c:pt>
                <c:pt idx="422">
                  <c:v>0.84573491602151996</c:v>
                </c:pt>
                <c:pt idx="423">
                  <c:v>0.84617593506541466</c:v>
                </c:pt>
                <c:pt idx="424">
                  <c:v>0.84850159765745081</c:v>
                </c:pt>
                <c:pt idx="425">
                  <c:v>0.85027280337090438</c:v>
                </c:pt>
                <c:pt idx="426">
                  <c:v>0.85358859623307093</c:v>
                </c:pt>
                <c:pt idx="427">
                  <c:v>0.85425413554866192</c:v>
                </c:pt>
                <c:pt idx="428">
                  <c:v>0.85603546488751558</c:v>
                </c:pt>
                <c:pt idx="429">
                  <c:v>0.85881328032836635</c:v>
                </c:pt>
                <c:pt idx="430">
                  <c:v>0.86173359034250807</c:v>
                </c:pt>
                <c:pt idx="431">
                  <c:v>0.86399466866720342</c:v>
                </c:pt>
                <c:pt idx="432">
                  <c:v>0.86578082111100219</c:v>
                </c:pt>
                <c:pt idx="433">
                  <c:v>0.86791326581079353</c:v>
                </c:pt>
                <c:pt idx="434">
                  <c:v>0.86966636255561991</c:v>
                </c:pt>
                <c:pt idx="435">
                  <c:v>0.87106666486455753</c:v>
                </c:pt>
                <c:pt idx="436">
                  <c:v>0.87301456324314108</c:v>
                </c:pt>
                <c:pt idx="437">
                  <c:v>0.87599053449649145</c:v>
                </c:pt>
                <c:pt idx="438">
                  <c:v>0.8773930580102357</c:v>
                </c:pt>
                <c:pt idx="439">
                  <c:v>0.87951319335529421</c:v>
                </c:pt>
                <c:pt idx="440">
                  <c:v>0.8813984294625461</c:v>
                </c:pt>
                <c:pt idx="441">
                  <c:v>0.88265316056195953</c:v>
                </c:pt>
                <c:pt idx="442">
                  <c:v>0.88417502928762115</c:v>
                </c:pt>
                <c:pt idx="443">
                  <c:v>0.8869895724423672</c:v>
                </c:pt>
                <c:pt idx="444">
                  <c:v>0.88804422146734885</c:v>
                </c:pt>
                <c:pt idx="445">
                  <c:v>0.89045307798228535</c:v>
                </c:pt>
                <c:pt idx="446">
                  <c:v>0.89232781748108747</c:v>
                </c:pt>
                <c:pt idx="447">
                  <c:v>0.89465580928946276</c:v>
                </c:pt>
                <c:pt idx="448">
                  <c:v>0.89633012215195462</c:v>
                </c:pt>
                <c:pt idx="449">
                  <c:v>0.89936063327485716</c:v>
                </c:pt>
                <c:pt idx="450">
                  <c:v>0.90030623707089252</c:v>
                </c:pt>
                <c:pt idx="451">
                  <c:v>0.90271421821478626</c:v>
                </c:pt>
                <c:pt idx="452">
                  <c:v>0.90543602584103033</c:v>
                </c:pt>
                <c:pt idx="453">
                  <c:v>0.90769654762458452</c:v>
                </c:pt>
                <c:pt idx="454">
                  <c:v>0.90873851069871758</c:v>
                </c:pt>
                <c:pt idx="455">
                  <c:v>0.91131058854919633</c:v>
                </c:pt>
                <c:pt idx="456">
                  <c:v>0.91362527331002652</c:v>
                </c:pt>
                <c:pt idx="457">
                  <c:v>0.9152837725121723</c:v>
                </c:pt>
                <c:pt idx="458">
                  <c:v>0.91640040480308249</c:v>
                </c:pt>
                <c:pt idx="459">
                  <c:v>0.91956688811014564</c:v>
                </c:pt>
                <c:pt idx="460">
                  <c:v>0.92128212929407183</c:v>
                </c:pt>
                <c:pt idx="461">
                  <c:v>0.9238618127926862</c:v>
                </c:pt>
                <c:pt idx="462">
                  <c:v>0.92499243740062054</c:v>
                </c:pt>
                <c:pt idx="463">
                  <c:v>0.92795621877767986</c:v>
                </c:pt>
                <c:pt idx="464">
                  <c:v>0.92975297630386267</c:v>
                </c:pt>
                <c:pt idx="465">
                  <c:v>0.93051256607997057</c:v>
                </c:pt>
                <c:pt idx="466">
                  <c:v>0.93289768087884817</c:v>
                </c:pt>
                <c:pt idx="467">
                  <c:v>0.93472805340605047</c:v>
                </c:pt>
                <c:pt idx="468">
                  <c:v>0.93791487942913432</c:v>
                </c:pt>
                <c:pt idx="469">
                  <c:v>0.9398404208905623</c:v>
                </c:pt>
                <c:pt idx="470">
                  <c:v>0.94011978586020872</c:v>
                </c:pt>
                <c:pt idx="471">
                  <c:v>0.94208974494600894</c:v>
                </c:pt>
                <c:pt idx="472">
                  <c:v>0.94533542023118011</c:v>
                </c:pt>
                <c:pt idx="473">
                  <c:v>0.94615084527296733</c:v>
                </c:pt>
                <c:pt idx="474">
                  <c:v>0.94829972279171926</c:v>
                </c:pt>
                <c:pt idx="475">
                  <c:v>0.95123203227651121</c:v>
                </c:pt>
                <c:pt idx="476">
                  <c:v>0.95365437849928958</c:v>
                </c:pt>
                <c:pt idx="477">
                  <c:v>0.95556767467911541</c:v>
                </c:pt>
                <c:pt idx="478">
                  <c:v>0.95650450170424406</c:v>
                </c:pt>
                <c:pt idx="479">
                  <c:v>0.95893937706689802</c:v>
                </c:pt>
                <c:pt idx="480">
                  <c:v>0.96077714228601596</c:v>
                </c:pt>
                <c:pt idx="481">
                  <c:v>0.96267495671954817</c:v>
                </c:pt>
                <c:pt idx="482">
                  <c:v>0.96483647485841917</c:v>
                </c:pt>
                <c:pt idx="483">
                  <c:v>0.96618388402140332</c:v>
                </c:pt>
                <c:pt idx="484">
                  <c:v>0.9683612515680402</c:v>
                </c:pt>
                <c:pt idx="485">
                  <c:v>0.97167939101617762</c:v>
                </c:pt>
                <c:pt idx="486">
                  <c:v>0.97319938044464194</c:v>
                </c:pt>
                <c:pt idx="487">
                  <c:v>0.97521237143576434</c:v>
                </c:pt>
                <c:pt idx="488">
                  <c:v>0.97759074761150189</c:v>
                </c:pt>
                <c:pt idx="489">
                  <c:v>0.97917544802072809</c:v>
                </c:pt>
                <c:pt idx="490">
                  <c:v>0.98183625752288761</c:v>
                </c:pt>
                <c:pt idx="491">
                  <c:v>0.98264614846293019</c:v>
                </c:pt>
                <c:pt idx="492">
                  <c:v>0.98508577072878512</c:v>
                </c:pt>
                <c:pt idx="493">
                  <c:v>0.98773356687411051</c:v>
                </c:pt>
                <c:pt idx="494">
                  <c:v>0.98967198447037297</c:v>
                </c:pt>
                <c:pt idx="495">
                  <c:v>0.99093620644438452</c:v>
                </c:pt>
                <c:pt idx="496">
                  <c:v>0.99296373040530916</c:v>
                </c:pt>
                <c:pt idx="497">
                  <c:v>0.99528668366821638</c:v>
                </c:pt>
                <c:pt idx="498">
                  <c:v>0.99702269526315446</c:v>
                </c:pt>
                <c:pt idx="499">
                  <c:v>0.99916531637058725</c:v>
                </c:pt>
              </c:numCache>
            </c:numRef>
          </c:xVal>
          <c:yVal>
            <c:numRef>
              <c:f>SimData500!$J$509:$J$1008</c:f>
              <c:numCache>
                <c:formatCode>General</c:formatCode>
                <c:ptCount val="500"/>
                <c:pt idx="0">
                  <c:v>0</c:v>
                </c:pt>
                <c:pt idx="1">
                  <c:v>2.004008016032064E-3</c:v>
                </c:pt>
                <c:pt idx="2">
                  <c:v>4.0080160320641279E-3</c:v>
                </c:pt>
                <c:pt idx="3">
                  <c:v>6.0120240480961915E-3</c:v>
                </c:pt>
                <c:pt idx="4">
                  <c:v>8.0160320641282558E-3</c:v>
                </c:pt>
                <c:pt idx="5">
                  <c:v>1.002004008016032E-2</c:v>
                </c:pt>
                <c:pt idx="6">
                  <c:v>1.2024048096192385E-2</c:v>
                </c:pt>
                <c:pt idx="7">
                  <c:v>1.4028056112224449E-2</c:v>
                </c:pt>
                <c:pt idx="8">
                  <c:v>1.6032064128256512E-2</c:v>
                </c:pt>
                <c:pt idx="9">
                  <c:v>1.8036072144288574E-2</c:v>
                </c:pt>
                <c:pt idx="10">
                  <c:v>2.0040080160320637E-2</c:v>
                </c:pt>
                <c:pt idx="11">
                  <c:v>2.20440881763527E-2</c:v>
                </c:pt>
                <c:pt idx="12">
                  <c:v>2.4048096192384762E-2</c:v>
                </c:pt>
                <c:pt idx="13">
                  <c:v>2.6052104208416825E-2</c:v>
                </c:pt>
                <c:pt idx="14">
                  <c:v>2.8056112224448888E-2</c:v>
                </c:pt>
                <c:pt idx="15">
                  <c:v>3.006012024048095E-2</c:v>
                </c:pt>
                <c:pt idx="16">
                  <c:v>3.2064128256513016E-2</c:v>
                </c:pt>
                <c:pt idx="17">
                  <c:v>3.4068136272545083E-2</c:v>
                </c:pt>
                <c:pt idx="18">
                  <c:v>3.6072144288577149E-2</c:v>
                </c:pt>
                <c:pt idx="19">
                  <c:v>3.8076152304609215E-2</c:v>
                </c:pt>
                <c:pt idx="20">
                  <c:v>4.0080160320641281E-2</c:v>
                </c:pt>
                <c:pt idx="21">
                  <c:v>4.2084168336673347E-2</c:v>
                </c:pt>
                <c:pt idx="22">
                  <c:v>4.4088176352705413E-2</c:v>
                </c:pt>
                <c:pt idx="23">
                  <c:v>4.6092184368737479E-2</c:v>
                </c:pt>
                <c:pt idx="24">
                  <c:v>4.8096192384769546E-2</c:v>
                </c:pt>
                <c:pt idx="25">
                  <c:v>5.0100200400801612E-2</c:v>
                </c:pt>
                <c:pt idx="26">
                  <c:v>5.2104208416833678E-2</c:v>
                </c:pt>
                <c:pt idx="27">
                  <c:v>5.4108216432865744E-2</c:v>
                </c:pt>
                <c:pt idx="28">
                  <c:v>5.611222444889781E-2</c:v>
                </c:pt>
                <c:pt idx="29">
                  <c:v>5.8116232464929876E-2</c:v>
                </c:pt>
                <c:pt idx="30">
                  <c:v>6.0120240480961942E-2</c:v>
                </c:pt>
                <c:pt idx="31">
                  <c:v>6.2124248496994008E-2</c:v>
                </c:pt>
                <c:pt idx="32">
                  <c:v>6.4128256513026075E-2</c:v>
                </c:pt>
                <c:pt idx="33">
                  <c:v>6.6132264529058141E-2</c:v>
                </c:pt>
                <c:pt idx="34">
                  <c:v>6.8136272545090207E-2</c:v>
                </c:pt>
                <c:pt idx="35">
                  <c:v>7.0140280561122273E-2</c:v>
                </c:pt>
                <c:pt idx="36">
                  <c:v>7.2144288577154339E-2</c:v>
                </c:pt>
                <c:pt idx="37">
                  <c:v>7.4148296593186405E-2</c:v>
                </c:pt>
                <c:pt idx="38">
                  <c:v>7.6152304609218471E-2</c:v>
                </c:pt>
                <c:pt idx="39">
                  <c:v>7.8156312625250537E-2</c:v>
                </c:pt>
                <c:pt idx="40">
                  <c:v>8.0160320641282604E-2</c:v>
                </c:pt>
                <c:pt idx="41">
                  <c:v>8.216432865731467E-2</c:v>
                </c:pt>
                <c:pt idx="42">
                  <c:v>8.4168336673346736E-2</c:v>
                </c:pt>
                <c:pt idx="43">
                  <c:v>8.6172344689378802E-2</c:v>
                </c:pt>
                <c:pt idx="44">
                  <c:v>8.8176352705410868E-2</c:v>
                </c:pt>
                <c:pt idx="45">
                  <c:v>9.0180360721442934E-2</c:v>
                </c:pt>
                <c:pt idx="46">
                  <c:v>9.2184368737475E-2</c:v>
                </c:pt>
                <c:pt idx="47">
                  <c:v>9.4188376753507067E-2</c:v>
                </c:pt>
                <c:pt idx="48">
                  <c:v>9.6192384769539133E-2</c:v>
                </c:pt>
                <c:pt idx="49">
                  <c:v>9.8196392785571199E-2</c:v>
                </c:pt>
                <c:pt idx="50">
                  <c:v>0.10020040080160326</c:v>
                </c:pt>
                <c:pt idx="51">
                  <c:v>0.10220440881763533</c:v>
                </c:pt>
                <c:pt idx="52">
                  <c:v>0.1042084168336674</c:v>
                </c:pt>
                <c:pt idx="53">
                  <c:v>0.10621242484969946</c:v>
                </c:pt>
                <c:pt idx="54">
                  <c:v>0.10821643286573153</c:v>
                </c:pt>
                <c:pt idx="55">
                  <c:v>0.1102204408817636</c:v>
                </c:pt>
                <c:pt idx="56">
                  <c:v>0.11222444889779566</c:v>
                </c:pt>
                <c:pt idx="57">
                  <c:v>0.11422845691382773</c:v>
                </c:pt>
                <c:pt idx="58">
                  <c:v>0.11623246492985979</c:v>
                </c:pt>
                <c:pt idx="59">
                  <c:v>0.11823647294589186</c:v>
                </c:pt>
                <c:pt idx="60">
                  <c:v>0.12024048096192393</c:v>
                </c:pt>
                <c:pt idx="61">
                  <c:v>0.12224448897795599</c:v>
                </c:pt>
                <c:pt idx="62">
                  <c:v>0.12424849699398806</c:v>
                </c:pt>
                <c:pt idx="63">
                  <c:v>0.12625250501002011</c:v>
                </c:pt>
                <c:pt idx="64">
                  <c:v>0.12825651302605218</c:v>
                </c:pt>
                <c:pt idx="65">
                  <c:v>0.13026052104208424</c:v>
                </c:pt>
                <c:pt idx="66">
                  <c:v>0.13226452905811631</c:v>
                </c:pt>
                <c:pt idx="67">
                  <c:v>0.13426853707414838</c:v>
                </c:pt>
                <c:pt idx="68">
                  <c:v>0.13627254509018044</c:v>
                </c:pt>
                <c:pt idx="69">
                  <c:v>0.13827655310621251</c:v>
                </c:pt>
                <c:pt idx="70">
                  <c:v>0.14028056112224457</c:v>
                </c:pt>
                <c:pt idx="71">
                  <c:v>0.14228456913827664</c:v>
                </c:pt>
                <c:pt idx="72">
                  <c:v>0.14428857715430871</c:v>
                </c:pt>
                <c:pt idx="73">
                  <c:v>0.14629258517034077</c:v>
                </c:pt>
                <c:pt idx="74">
                  <c:v>0.14829659318637284</c:v>
                </c:pt>
                <c:pt idx="75">
                  <c:v>0.1503006012024049</c:v>
                </c:pt>
                <c:pt idx="76">
                  <c:v>0.15230460921843697</c:v>
                </c:pt>
                <c:pt idx="77">
                  <c:v>0.15430861723446904</c:v>
                </c:pt>
                <c:pt idx="78">
                  <c:v>0.1563126252505011</c:v>
                </c:pt>
                <c:pt idx="79">
                  <c:v>0.15831663326653317</c:v>
                </c:pt>
                <c:pt idx="80">
                  <c:v>0.16032064128256523</c:v>
                </c:pt>
                <c:pt idx="81">
                  <c:v>0.1623246492985973</c:v>
                </c:pt>
                <c:pt idx="82">
                  <c:v>0.16432865731462937</c:v>
                </c:pt>
                <c:pt idx="83">
                  <c:v>0.16633266533066143</c:v>
                </c:pt>
                <c:pt idx="84">
                  <c:v>0.1683366733466935</c:v>
                </c:pt>
                <c:pt idx="85">
                  <c:v>0.17034068136272557</c:v>
                </c:pt>
                <c:pt idx="86">
                  <c:v>0.17234468937875763</c:v>
                </c:pt>
                <c:pt idx="87">
                  <c:v>0.1743486973947897</c:v>
                </c:pt>
                <c:pt idx="88">
                  <c:v>0.17635270541082176</c:v>
                </c:pt>
                <c:pt idx="89">
                  <c:v>0.17835671342685383</c:v>
                </c:pt>
                <c:pt idx="90">
                  <c:v>0.1803607214428859</c:v>
                </c:pt>
                <c:pt idx="91">
                  <c:v>0.18236472945891796</c:v>
                </c:pt>
                <c:pt idx="92">
                  <c:v>0.18436873747495003</c:v>
                </c:pt>
                <c:pt idx="93">
                  <c:v>0.18637274549098209</c:v>
                </c:pt>
                <c:pt idx="94">
                  <c:v>0.18837675350701416</c:v>
                </c:pt>
                <c:pt idx="95">
                  <c:v>0.19038076152304623</c:v>
                </c:pt>
                <c:pt idx="96">
                  <c:v>0.19238476953907829</c:v>
                </c:pt>
                <c:pt idx="97">
                  <c:v>0.19438877755511036</c:v>
                </c:pt>
                <c:pt idx="98">
                  <c:v>0.19639278557114243</c:v>
                </c:pt>
                <c:pt idx="99">
                  <c:v>0.19839679358717449</c:v>
                </c:pt>
                <c:pt idx="100">
                  <c:v>0.20040080160320656</c:v>
                </c:pt>
                <c:pt idx="101">
                  <c:v>0.20240480961923862</c:v>
                </c:pt>
                <c:pt idx="102">
                  <c:v>0.20440881763527069</c:v>
                </c:pt>
                <c:pt idx="103">
                  <c:v>0.20641282565130276</c:v>
                </c:pt>
                <c:pt idx="104">
                  <c:v>0.20841683366733482</c:v>
                </c:pt>
                <c:pt idx="105">
                  <c:v>0.21042084168336689</c:v>
                </c:pt>
                <c:pt idx="106">
                  <c:v>0.21242484969939895</c:v>
                </c:pt>
                <c:pt idx="107">
                  <c:v>0.21442885771543102</c:v>
                </c:pt>
                <c:pt idx="108">
                  <c:v>0.21643286573146309</c:v>
                </c:pt>
                <c:pt idx="109">
                  <c:v>0.21843687374749515</c:v>
                </c:pt>
                <c:pt idx="110">
                  <c:v>0.22044088176352722</c:v>
                </c:pt>
                <c:pt idx="111">
                  <c:v>0.22244488977955928</c:v>
                </c:pt>
                <c:pt idx="112">
                  <c:v>0.22444889779559135</c:v>
                </c:pt>
                <c:pt idx="113">
                  <c:v>0.22645290581162342</c:v>
                </c:pt>
                <c:pt idx="114">
                  <c:v>0.22845691382765548</c:v>
                </c:pt>
                <c:pt idx="115">
                  <c:v>0.23046092184368755</c:v>
                </c:pt>
                <c:pt idx="116">
                  <c:v>0.23246492985971962</c:v>
                </c:pt>
                <c:pt idx="117">
                  <c:v>0.23446893787575168</c:v>
                </c:pt>
                <c:pt idx="118">
                  <c:v>0.23647294589178375</c:v>
                </c:pt>
                <c:pt idx="119">
                  <c:v>0.23847695390781581</c:v>
                </c:pt>
                <c:pt idx="120">
                  <c:v>0.24048096192384788</c:v>
                </c:pt>
                <c:pt idx="121">
                  <c:v>0.24248496993987995</c:v>
                </c:pt>
                <c:pt idx="122">
                  <c:v>0.24448897795591201</c:v>
                </c:pt>
                <c:pt idx="123">
                  <c:v>0.24649298597194408</c:v>
                </c:pt>
                <c:pt idx="124">
                  <c:v>0.24849699398797614</c:v>
                </c:pt>
                <c:pt idx="125">
                  <c:v>0.25050100200400821</c:v>
                </c:pt>
                <c:pt idx="126">
                  <c:v>0.25250501002004028</c:v>
                </c:pt>
                <c:pt idx="127">
                  <c:v>0.25450901803607234</c:v>
                </c:pt>
                <c:pt idx="128">
                  <c:v>0.25651302605210441</c:v>
                </c:pt>
                <c:pt idx="129">
                  <c:v>0.25851703406813648</c:v>
                </c:pt>
                <c:pt idx="130">
                  <c:v>0.26052104208416854</c:v>
                </c:pt>
                <c:pt idx="131">
                  <c:v>0.26252505010020061</c:v>
                </c:pt>
                <c:pt idx="132">
                  <c:v>0.26452905811623267</c:v>
                </c:pt>
                <c:pt idx="133">
                  <c:v>0.26653306613226474</c:v>
                </c:pt>
                <c:pt idx="134">
                  <c:v>0.26853707414829681</c:v>
                </c:pt>
                <c:pt idx="135">
                  <c:v>0.27054108216432887</c:v>
                </c:pt>
                <c:pt idx="136">
                  <c:v>0.27254509018036094</c:v>
                </c:pt>
                <c:pt idx="137">
                  <c:v>0.274549098196393</c:v>
                </c:pt>
                <c:pt idx="138">
                  <c:v>0.27655310621242507</c:v>
                </c:pt>
                <c:pt idx="139">
                  <c:v>0.27855711422845714</c:v>
                </c:pt>
                <c:pt idx="140">
                  <c:v>0.2805611222444892</c:v>
                </c:pt>
                <c:pt idx="141">
                  <c:v>0.28256513026052127</c:v>
                </c:pt>
                <c:pt idx="142">
                  <c:v>0.28456913827655334</c:v>
                </c:pt>
                <c:pt idx="143">
                  <c:v>0.2865731462925854</c:v>
                </c:pt>
                <c:pt idx="144">
                  <c:v>0.28857715430861747</c:v>
                </c:pt>
                <c:pt idx="145">
                  <c:v>0.29058116232464953</c:v>
                </c:pt>
                <c:pt idx="146">
                  <c:v>0.2925851703406816</c:v>
                </c:pt>
                <c:pt idx="147">
                  <c:v>0.29458917835671367</c:v>
                </c:pt>
                <c:pt idx="148">
                  <c:v>0.29659318637274573</c:v>
                </c:pt>
                <c:pt idx="149">
                  <c:v>0.2985971943887778</c:v>
                </c:pt>
                <c:pt idx="150">
                  <c:v>0.30060120240480986</c:v>
                </c:pt>
                <c:pt idx="151">
                  <c:v>0.30260521042084193</c:v>
                </c:pt>
                <c:pt idx="152">
                  <c:v>0.304609218436874</c:v>
                </c:pt>
                <c:pt idx="153">
                  <c:v>0.30661322645290606</c:v>
                </c:pt>
                <c:pt idx="154">
                  <c:v>0.30861723446893813</c:v>
                </c:pt>
                <c:pt idx="155">
                  <c:v>0.31062124248497019</c:v>
                </c:pt>
                <c:pt idx="156">
                  <c:v>0.31262525050100226</c:v>
                </c:pt>
                <c:pt idx="157">
                  <c:v>0.31462925851703433</c:v>
                </c:pt>
                <c:pt idx="158">
                  <c:v>0.31663326653306639</c:v>
                </c:pt>
                <c:pt idx="159">
                  <c:v>0.31863727454909846</c:v>
                </c:pt>
                <c:pt idx="160">
                  <c:v>0.32064128256513053</c:v>
                </c:pt>
                <c:pt idx="161">
                  <c:v>0.32264529058116259</c:v>
                </c:pt>
                <c:pt idx="162">
                  <c:v>0.32464929859719466</c:v>
                </c:pt>
                <c:pt idx="163">
                  <c:v>0.32665330661322672</c:v>
                </c:pt>
                <c:pt idx="164">
                  <c:v>0.32865731462925879</c:v>
                </c:pt>
                <c:pt idx="165">
                  <c:v>0.33066132264529086</c:v>
                </c:pt>
                <c:pt idx="166">
                  <c:v>0.33266533066132292</c:v>
                </c:pt>
                <c:pt idx="167">
                  <c:v>0.33466933867735499</c:v>
                </c:pt>
                <c:pt idx="168">
                  <c:v>0.33667334669338705</c:v>
                </c:pt>
                <c:pt idx="169">
                  <c:v>0.33867735470941912</c:v>
                </c:pt>
                <c:pt idx="170">
                  <c:v>0.34068136272545119</c:v>
                </c:pt>
                <c:pt idx="171">
                  <c:v>0.34268537074148325</c:v>
                </c:pt>
                <c:pt idx="172">
                  <c:v>0.34468937875751532</c:v>
                </c:pt>
                <c:pt idx="173">
                  <c:v>0.34669338677354739</c:v>
                </c:pt>
                <c:pt idx="174">
                  <c:v>0.34869739478957945</c:v>
                </c:pt>
                <c:pt idx="175">
                  <c:v>0.35070140280561152</c:v>
                </c:pt>
                <c:pt idx="176">
                  <c:v>0.35270541082164358</c:v>
                </c:pt>
                <c:pt idx="177">
                  <c:v>0.35470941883767565</c:v>
                </c:pt>
                <c:pt idx="178">
                  <c:v>0.35671342685370772</c:v>
                </c:pt>
                <c:pt idx="179">
                  <c:v>0.35871743486973978</c:v>
                </c:pt>
                <c:pt idx="180">
                  <c:v>0.36072144288577185</c:v>
                </c:pt>
                <c:pt idx="181">
                  <c:v>0.36272545090180391</c:v>
                </c:pt>
                <c:pt idx="182">
                  <c:v>0.36472945891783598</c:v>
                </c:pt>
                <c:pt idx="183">
                  <c:v>0.36673346693386805</c:v>
                </c:pt>
                <c:pt idx="184">
                  <c:v>0.36873747494990011</c:v>
                </c:pt>
                <c:pt idx="185">
                  <c:v>0.37074148296593218</c:v>
                </c:pt>
                <c:pt idx="186">
                  <c:v>0.37274549098196424</c:v>
                </c:pt>
                <c:pt idx="187">
                  <c:v>0.37474949899799631</c:v>
                </c:pt>
                <c:pt idx="188">
                  <c:v>0.37675350701402838</c:v>
                </c:pt>
                <c:pt idx="189">
                  <c:v>0.37875751503006044</c:v>
                </c:pt>
                <c:pt idx="190">
                  <c:v>0.38076152304609251</c:v>
                </c:pt>
                <c:pt idx="191">
                  <c:v>0.38276553106212458</c:v>
                </c:pt>
                <c:pt idx="192">
                  <c:v>0.38476953907815664</c:v>
                </c:pt>
                <c:pt idx="193">
                  <c:v>0.38677354709418871</c:v>
                </c:pt>
                <c:pt idx="194">
                  <c:v>0.38877755511022077</c:v>
                </c:pt>
                <c:pt idx="195">
                  <c:v>0.39078156312625284</c:v>
                </c:pt>
                <c:pt idx="196">
                  <c:v>0.39278557114228491</c:v>
                </c:pt>
                <c:pt idx="197">
                  <c:v>0.39478957915831697</c:v>
                </c:pt>
                <c:pt idx="198">
                  <c:v>0.39679358717434904</c:v>
                </c:pt>
                <c:pt idx="199">
                  <c:v>0.3987975951903811</c:v>
                </c:pt>
                <c:pt idx="200">
                  <c:v>0.40080160320641317</c:v>
                </c:pt>
                <c:pt idx="201">
                  <c:v>0.40280561122244524</c:v>
                </c:pt>
                <c:pt idx="202">
                  <c:v>0.4048096192384773</c:v>
                </c:pt>
                <c:pt idx="203">
                  <c:v>0.40681362725450937</c:v>
                </c:pt>
                <c:pt idx="204">
                  <c:v>0.40881763527054144</c:v>
                </c:pt>
                <c:pt idx="205">
                  <c:v>0.4108216432865735</c:v>
                </c:pt>
                <c:pt idx="206">
                  <c:v>0.41282565130260557</c:v>
                </c:pt>
                <c:pt idx="207">
                  <c:v>0.41482965931863763</c:v>
                </c:pt>
                <c:pt idx="208">
                  <c:v>0.4168336673346697</c:v>
                </c:pt>
                <c:pt idx="209">
                  <c:v>0.41883767535070177</c:v>
                </c:pt>
                <c:pt idx="210">
                  <c:v>0.42084168336673383</c:v>
                </c:pt>
                <c:pt idx="211">
                  <c:v>0.4228456913827659</c:v>
                </c:pt>
                <c:pt idx="212">
                  <c:v>0.42484969939879796</c:v>
                </c:pt>
                <c:pt idx="213">
                  <c:v>0.42685370741483003</c:v>
                </c:pt>
                <c:pt idx="214">
                  <c:v>0.4288577154308621</c:v>
                </c:pt>
                <c:pt idx="215">
                  <c:v>0.43086172344689416</c:v>
                </c:pt>
                <c:pt idx="216">
                  <c:v>0.43286573146292623</c:v>
                </c:pt>
                <c:pt idx="217">
                  <c:v>0.43486973947895829</c:v>
                </c:pt>
                <c:pt idx="218">
                  <c:v>0.43687374749499036</c:v>
                </c:pt>
                <c:pt idx="219">
                  <c:v>0.43887775551102243</c:v>
                </c:pt>
                <c:pt idx="220">
                  <c:v>0.44088176352705449</c:v>
                </c:pt>
                <c:pt idx="221">
                  <c:v>0.44288577154308656</c:v>
                </c:pt>
                <c:pt idx="222">
                  <c:v>0.44488977955911863</c:v>
                </c:pt>
                <c:pt idx="223">
                  <c:v>0.44689378757515069</c:v>
                </c:pt>
                <c:pt idx="224">
                  <c:v>0.44889779559118276</c:v>
                </c:pt>
                <c:pt idx="225">
                  <c:v>0.45090180360721482</c:v>
                </c:pt>
                <c:pt idx="226">
                  <c:v>0.45290581162324689</c:v>
                </c:pt>
                <c:pt idx="227">
                  <c:v>0.45490981963927896</c:v>
                </c:pt>
                <c:pt idx="228">
                  <c:v>0.45691382765531102</c:v>
                </c:pt>
                <c:pt idx="229">
                  <c:v>0.45891783567134309</c:v>
                </c:pt>
                <c:pt idx="230">
                  <c:v>0.46092184368737515</c:v>
                </c:pt>
                <c:pt idx="231">
                  <c:v>0.46292585170340722</c:v>
                </c:pt>
                <c:pt idx="232">
                  <c:v>0.46492985971943929</c:v>
                </c:pt>
                <c:pt idx="233">
                  <c:v>0.46693386773547135</c:v>
                </c:pt>
                <c:pt idx="234">
                  <c:v>0.46893787575150342</c:v>
                </c:pt>
                <c:pt idx="235">
                  <c:v>0.47094188376753549</c:v>
                </c:pt>
                <c:pt idx="236">
                  <c:v>0.47294589178356755</c:v>
                </c:pt>
                <c:pt idx="237">
                  <c:v>0.47494989979959962</c:v>
                </c:pt>
                <c:pt idx="238">
                  <c:v>0.47695390781563168</c:v>
                </c:pt>
                <c:pt idx="239">
                  <c:v>0.47895791583166375</c:v>
                </c:pt>
                <c:pt idx="240">
                  <c:v>0.48096192384769582</c:v>
                </c:pt>
                <c:pt idx="241">
                  <c:v>0.48296593186372788</c:v>
                </c:pt>
                <c:pt idx="242">
                  <c:v>0.48496993987975995</c:v>
                </c:pt>
                <c:pt idx="243">
                  <c:v>0.48697394789579201</c:v>
                </c:pt>
                <c:pt idx="244">
                  <c:v>0.48897795591182408</c:v>
                </c:pt>
                <c:pt idx="245">
                  <c:v>0.49098196392785615</c:v>
                </c:pt>
                <c:pt idx="246">
                  <c:v>0.49298597194388821</c:v>
                </c:pt>
                <c:pt idx="247">
                  <c:v>0.49498997995992028</c:v>
                </c:pt>
                <c:pt idx="248">
                  <c:v>0.49699398797595234</c:v>
                </c:pt>
                <c:pt idx="249">
                  <c:v>0.49899799599198441</c:v>
                </c:pt>
                <c:pt idx="250">
                  <c:v>0.50100200400801642</c:v>
                </c:pt>
                <c:pt idx="251">
                  <c:v>0.50300601202404849</c:v>
                </c:pt>
                <c:pt idx="252">
                  <c:v>0.50501002004008055</c:v>
                </c:pt>
                <c:pt idx="253">
                  <c:v>0.50701402805611262</c:v>
                </c:pt>
                <c:pt idx="254">
                  <c:v>0.50901803607214469</c:v>
                </c:pt>
                <c:pt idx="255">
                  <c:v>0.51102204408817675</c:v>
                </c:pt>
                <c:pt idx="256">
                  <c:v>0.51302605210420882</c:v>
                </c:pt>
                <c:pt idx="257">
                  <c:v>0.51503006012024088</c:v>
                </c:pt>
                <c:pt idx="258">
                  <c:v>0.51703406813627295</c:v>
                </c:pt>
                <c:pt idx="259">
                  <c:v>0.51903807615230502</c:v>
                </c:pt>
                <c:pt idx="260">
                  <c:v>0.52104208416833708</c:v>
                </c:pt>
                <c:pt idx="261">
                  <c:v>0.52304609218436915</c:v>
                </c:pt>
                <c:pt idx="262">
                  <c:v>0.52505010020040122</c:v>
                </c:pt>
                <c:pt idx="263">
                  <c:v>0.52705410821643328</c:v>
                </c:pt>
                <c:pt idx="264">
                  <c:v>0.52905811623246535</c:v>
                </c:pt>
                <c:pt idx="265">
                  <c:v>0.53106212424849741</c:v>
                </c:pt>
                <c:pt idx="266">
                  <c:v>0.53306613226452948</c:v>
                </c:pt>
                <c:pt idx="267">
                  <c:v>0.53507014028056155</c:v>
                </c:pt>
                <c:pt idx="268">
                  <c:v>0.53707414829659361</c:v>
                </c:pt>
                <c:pt idx="269">
                  <c:v>0.53907815631262568</c:v>
                </c:pt>
                <c:pt idx="270">
                  <c:v>0.54108216432865774</c:v>
                </c:pt>
                <c:pt idx="271">
                  <c:v>0.54308617234468981</c:v>
                </c:pt>
                <c:pt idx="272">
                  <c:v>0.54509018036072188</c:v>
                </c:pt>
                <c:pt idx="273">
                  <c:v>0.54709418837675394</c:v>
                </c:pt>
                <c:pt idx="274">
                  <c:v>0.54909819639278601</c:v>
                </c:pt>
                <c:pt idx="275">
                  <c:v>0.55110220440881807</c:v>
                </c:pt>
                <c:pt idx="276">
                  <c:v>0.55310621242485014</c:v>
                </c:pt>
                <c:pt idx="277">
                  <c:v>0.55511022044088221</c:v>
                </c:pt>
                <c:pt idx="278">
                  <c:v>0.55711422845691427</c:v>
                </c:pt>
                <c:pt idx="279">
                  <c:v>0.55911823647294634</c:v>
                </c:pt>
                <c:pt idx="280">
                  <c:v>0.56112224448897841</c:v>
                </c:pt>
                <c:pt idx="281">
                  <c:v>0.56312625250501047</c:v>
                </c:pt>
                <c:pt idx="282">
                  <c:v>0.56513026052104254</c:v>
                </c:pt>
                <c:pt idx="283">
                  <c:v>0.5671342685370746</c:v>
                </c:pt>
                <c:pt idx="284">
                  <c:v>0.56913827655310667</c:v>
                </c:pt>
                <c:pt idx="285">
                  <c:v>0.57114228456913874</c:v>
                </c:pt>
                <c:pt idx="286">
                  <c:v>0.5731462925851708</c:v>
                </c:pt>
                <c:pt idx="287">
                  <c:v>0.57515030060120287</c:v>
                </c:pt>
                <c:pt idx="288">
                  <c:v>0.57715430861723493</c:v>
                </c:pt>
                <c:pt idx="289">
                  <c:v>0.579158316633267</c:v>
                </c:pt>
                <c:pt idx="290">
                  <c:v>0.58116232464929907</c:v>
                </c:pt>
                <c:pt idx="291">
                  <c:v>0.58316633266533113</c:v>
                </c:pt>
                <c:pt idx="292">
                  <c:v>0.5851703406813632</c:v>
                </c:pt>
                <c:pt idx="293">
                  <c:v>0.58717434869739527</c:v>
                </c:pt>
                <c:pt idx="294">
                  <c:v>0.58917835671342733</c:v>
                </c:pt>
                <c:pt idx="295">
                  <c:v>0.5911823647294594</c:v>
                </c:pt>
                <c:pt idx="296">
                  <c:v>0.59318637274549146</c:v>
                </c:pt>
                <c:pt idx="297">
                  <c:v>0.59519038076152353</c:v>
                </c:pt>
                <c:pt idx="298">
                  <c:v>0.5971943887775556</c:v>
                </c:pt>
                <c:pt idx="299">
                  <c:v>0.59919839679358766</c:v>
                </c:pt>
                <c:pt idx="300">
                  <c:v>0.60120240480961973</c:v>
                </c:pt>
                <c:pt idx="301">
                  <c:v>0.60320641282565179</c:v>
                </c:pt>
                <c:pt idx="302">
                  <c:v>0.60521042084168386</c:v>
                </c:pt>
                <c:pt idx="303">
                  <c:v>0.60721442885771593</c:v>
                </c:pt>
                <c:pt idx="304">
                  <c:v>0.60921843687374799</c:v>
                </c:pt>
                <c:pt idx="305">
                  <c:v>0.61122244488978006</c:v>
                </c:pt>
                <c:pt idx="306">
                  <c:v>0.61322645290581212</c:v>
                </c:pt>
                <c:pt idx="307">
                  <c:v>0.61523046092184419</c:v>
                </c:pt>
                <c:pt idx="308">
                  <c:v>0.61723446893787626</c:v>
                </c:pt>
                <c:pt idx="309">
                  <c:v>0.61923847695390832</c:v>
                </c:pt>
                <c:pt idx="310">
                  <c:v>0.62124248496994039</c:v>
                </c:pt>
                <c:pt idx="311">
                  <c:v>0.62324649298597246</c:v>
                </c:pt>
                <c:pt idx="312">
                  <c:v>0.62525050100200452</c:v>
                </c:pt>
                <c:pt idx="313">
                  <c:v>0.62725450901803659</c:v>
                </c:pt>
                <c:pt idx="314">
                  <c:v>0.62925851703406865</c:v>
                </c:pt>
                <c:pt idx="315">
                  <c:v>0.63126252505010072</c:v>
                </c:pt>
                <c:pt idx="316">
                  <c:v>0.63326653306613279</c:v>
                </c:pt>
                <c:pt idx="317">
                  <c:v>0.63527054108216485</c:v>
                </c:pt>
                <c:pt idx="318">
                  <c:v>0.63727454909819692</c:v>
                </c:pt>
                <c:pt idx="319">
                  <c:v>0.63927855711422898</c:v>
                </c:pt>
                <c:pt idx="320">
                  <c:v>0.64128256513026105</c:v>
                </c:pt>
                <c:pt idx="321">
                  <c:v>0.64328657314629312</c:v>
                </c:pt>
                <c:pt idx="322">
                  <c:v>0.64529058116232518</c:v>
                </c:pt>
                <c:pt idx="323">
                  <c:v>0.64729458917835725</c:v>
                </c:pt>
                <c:pt idx="324">
                  <c:v>0.64929859719438932</c:v>
                </c:pt>
                <c:pt idx="325">
                  <c:v>0.65130260521042138</c:v>
                </c:pt>
                <c:pt idx="326">
                  <c:v>0.65330661322645345</c:v>
                </c:pt>
                <c:pt idx="327">
                  <c:v>0.65531062124248551</c:v>
                </c:pt>
                <c:pt idx="328">
                  <c:v>0.65731462925851758</c:v>
                </c:pt>
                <c:pt idx="329">
                  <c:v>0.65931863727454965</c:v>
                </c:pt>
                <c:pt idx="330">
                  <c:v>0.66132264529058171</c:v>
                </c:pt>
                <c:pt idx="331">
                  <c:v>0.66332665330661378</c:v>
                </c:pt>
                <c:pt idx="332">
                  <c:v>0.66533066132264584</c:v>
                </c:pt>
                <c:pt idx="333">
                  <c:v>0.66733466933867791</c:v>
                </c:pt>
                <c:pt idx="334">
                  <c:v>0.66933867735470998</c:v>
                </c:pt>
                <c:pt idx="335">
                  <c:v>0.67134268537074204</c:v>
                </c:pt>
                <c:pt idx="336">
                  <c:v>0.67334669338677411</c:v>
                </c:pt>
                <c:pt idx="337">
                  <c:v>0.67535070140280618</c:v>
                </c:pt>
                <c:pt idx="338">
                  <c:v>0.67735470941883824</c:v>
                </c:pt>
                <c:pt idx="339">
                  <c:v>0.67935871743487031</c:v>
                </c:pt>
                <c:pt idx="340">
                  <c:v>0.68136272545090237</c:v>
                </c:pt>
                <c:pt idx="341">
                  <c:v>0.68336673346693444</c:v>
                </c:pt>
                <c:pt idx="342">
                  <c:v>0.68537074148296651</c:v>
                </c:pt>
                <c:pt idx="343">
                  <c:v>0.68737474949899857</c:v>
                </c:pt>
                <c:pt idx="344">
                  <c:v>0.68937875751503064</c:v>
                </c:pt>
                <c:pt idx="345">
                  <c:v>0.6913827655310627</c:v>
                </c:pt>
                <c:pt idx="346">
                  <c:v>0.69338677354709477</c:v>
                </c:pt>
                <c:pt idx="347">
                  <c:v>0.69539078156312684</c:v>
                </c:pt>
                <c:pt idx="348">
                  <c:v>0.6973947895791589</c:v>
                </c:pt>
                <c:pt idx="349">
                  <c:v>0.69939879759519097</c:v>
                </c:pt>
                <c:pt idx="350">
                  <c:v>0.70140280561122303</c:v>
                </c:pt>
                <c:pt idx="351">
                  <c:v>0.7034068136272551</c:v>
                </c:pt>
                <c:pt idx="352">
                  <c:v>0.70541082164328717</c:v>
                </c:pt>
                <c:pt idx="353">
                  <c:v>0.70741482965931923</c:v>
                </c:pt>
                <c:pt idx="354">
                  <c:v>0.7094188376753513</c:v>
                </c:pt>
                <c:pt idx="355">
                  <c:v>0.71142284569138337</c:v>
                </c:pt>
                <c:pt idx="356">
                  <c:v>0.71342685370741543</c:v>
                </c:pt>
                <c:pt idx="357">
                  <c:v>0.7154308617234475</c:v>
                </c:pt>
                <c:pt idx="358">
                  <c:v>0.71743486973947956</c:v>
                </c:pt>
                <c:pt idx="359">
                  <c:v>0.71943887775551163</c:v>
                </c:pt>
                <c:pt idx="360">
                  <c:v>0.7214428857715437</c:v>
                </c:pt>
                <c:pt idx="361">
                  <c:v>0.72344689378757576</c:v>
                </c:pt>
                <c:pt idx="362">
                  <c:v>0.72545090180360783</c:v>
                </c:pt>
                <c:pt idx="363">
                  <c:v>0.72745490981963989</c:v>
                </c:pt>
                <c:pt idx="364">
                  <c:v>0.72945891783567196</c:v>
                </c:pt>
                <c:pt idx="365">
                  <c:v>0.73146292585170403</c:v>
                </c:pt>
                <c:pt idx="366">
                  <c:v>0.73346693386773609</c:v>
                </c:pt>
                <c:pt idx="367">
                  <c:v>0.73547094188376816</c:v>
                </c:pt>
                <c:pt idx="368">
                  <c:v>0.73747494989980023</c:v>
                </c:pt>
                <c:pt idx="369">
                  <c:v>0.73947895791583229</c:v>
                </c:pt>
                <c:pt idx="370">
                  <c:v>0.74148296593186436</c:v>
                </c:pt>
                <c:pt idx="371">
                  <c:v>0.74348697394789642</c:v>
                </c:pt>
                <c:pt idx="372">
                  <c:v>0.74549098196392849</c:v>
                </c:pt>
                <c:pt idx="373">
                  <c:v>0.74749498997996056</c:v>
                </c:pt>
                <c:pt idx="374">
                  <c:v>0.74949899799599262</c:v>
                </c:pt>
                <c:pt idx="375">
                  <c:v>0.75150300601202469</c:v>
                </c:pt>
                <c:pt idx="376">
                  <c:v>0.75350701402805675</c:v>
                </c:pt>
                <c:pt idx="377">
                  <c:v>0.75551102204408882</c:v>
                </c:pt>
                <c:pt idx="378">
                  <c:v>0.75751503006012089</c:v>
                </c:pt>
                <c:pt idx="379">
                  <c:v>0.75951903807615295</c:v>
                </c:pt>
                <c:pt idx="380">
                  <c:v>0.76152304609218502</c:v>
                </c:pt>
                <c:pt idx="381">
                  <c:v>0.76352705410821708</c:v>
                </c:pt>
                <c:pt idx="382">
                  <c:v>0.76553106212424915</c:v>
                </c:pt>
                <c:pt idx="383">
                  <c:v>0.76753507014028122</c:v>
                </c:pt>
                <c:pt idx="384">
                  <c:v>0.76953907815631328</c:v>
                </c:pt>
                <c:pt idx="385">
                  <c:v>0.77154308617234535</c:v>
                </c:pt>
                <c:pt idx="386">
                  <c:v>0.77354709418837742</c:v>
                </c:pt>
                <c:pt idx="387">
                  <c:v>0.77555110220440948</c:v>
                </c:pt>
                <c:pt idx="388">
                  <c:v>0.77755511022044155</c:v>
                </c:pt>
                <c:pt idx="389">
                  <c:v>0.77955911823647361</c:v>
                </c:pt>
                <c:pt idx="390">
                  <c:v>0.78156312625250568</c:v>
                </c:pt>
                <c:pt idx="391">
                  <c:v>0.78356713426853775</c:v>
                </c:pt>
                <c:pt idx="392">
                  <c:v>0.78557114228456981</c:v>
                </c:pt>
                <c:pt idx="393">
                  <c:v>0.78757515030060188</c:v>
                </c:pt>
                <c:pt idx="394">
                  <c:v>0.78957915831663394</c:v>
                </c:pt>
                <c:pt idx="395">
                  <c:v>0.79158316633266601</c:v>
                </c:pt>
                <c:pt idx="396">
                  <c:v>0.79358717434869808</c:v>
                </c:pt>
                <c:pt idx="397">
                  <c:v>0.79559118236473014</c:v>
                </c:pt>
                <c:pt idx="398">
                  <c:v>0.79759519038076221</c:v>
                </c:pt>
                <c:pt idx="399">
                  <c:v>0.79959919839679428</c:v>
                </c:pt>
                <c:pt idx="400">
                  <c:v>0.80160320641282634</c:v>
                </c:pt>
                <c:pt idx="401">
                  <c:v>0.80360721442885841</c:v>
                </c:pt>
                <c:pt idx="402">
                  <c:v>0.80561122244489047</c:v>
                </c:pt>
                <c:pt idx="403">
                  <c:v>0.80761523046092254</c:v>
                </c:pt>
                <c:pt idx="404">
                  <c:v>0.80961923847695461</c:v>
                </c:pt>
                <c:pt idx="405">
                  <c:v>0.81162324649298667</c:v>
                </c:pt>
                <c:pt idx="406">
                  <c:v>0.81362725450901874</c:v>
                </c:pt>
                <c:pt idx="407">
                  <c:v>0.8156312625250508</c:v>
                </c:pt>
                <c:pt idx="408">
                  <c:v>0.81763527054108287</c:v>
                </c:pt>
                <c:pt idx="409">
                  <c:v>0.81963927855711494</c:v>
                </c:pt>
                <c:pt idx="410">
                  <c:v>0.821643286573147</c:v>
                </c:pt>
                <c:pt idx="411">
                  <c:v>0.82364729458917907</c:v>
                </c:pt>
                <c:pt idx="412">
                  <c:v>0.82565130260521113</c:v>
                </c:pt>
                <c:pt idx="413">
                  <c:v>0.8276553106212432</c:v>
                </c:pt>
                <c:pt idx="414">
                  <c:v>0.82965931863727527</c:v>
                </c:pt>
                <c:pt idx="415">
                  <c:v>0.83166332665330733</c:v>
                </c:pt>
                <c:pt idx="416">
                  <c:v>0.8336673346693394</c:v>
                </c:pt>
                <c:pt idx="417">
                  <c:v>0.83567134268537147</c:v>
                </c:pt>
                <c:pt idx="418">
                  <c:v>0.83767535070140353</c:v>
                </c:pt>
                <c:pt idx="419">
                  <c:v>0.8396793587174356</c:v>
                </c:pt>
                <c:pt idx="420">
                  <c:v>0.84168336673346766</c:v>
                </c:pt>
                <c:pt idx="421">
                  <c:v>0.84368737474949973</c:v>
                </c:pt>
                <c:pt idx="422">
                  <c:v>0.8456913827655318</c:v>
                </c:pt>
                <c:pt idx="423">
                  <c:v>0.84769539078156386</c:v>
                </c:pt>
                <c:pt idx="424">
                  <c:v>0.84969939879759593</c:v>
                </c:pt>
                <c:pt idx="425">
                  <c:v>0.85170340681362799</c:v>
                </c:pt>
                <c:pt idx="426">
                  <c:v>0.85370741482966006</c:v>
                </c:pt>
                <c:pt idx="427">
                  <c:v>0.85571142284569213</c:v>
                </c:pt>
                <c:pt idx="428">
                  <c:v>0.85771543086172419</c:v>
                </c:pt>
                <c:pt idx="429">
                  <c:v>0.85971943887775626</c:v>
                </c:pt>
                <c:pt idx="430">
                  <c:v>0.86172344689378833</c:v>
                </c:pt>
                <c:pt idx="431">
                  <c:v>0.86372745490982039</c:v>
                </c:pt>
                <c:pt idx="432">
                  <c:v>0.86573146292585246</c:v>
                </c:pt>
                <c:pt idx="433">
                  <c:v>0.86773547094188452</c:v>
                </c:pt>
                <c:pt idx="434">
                  <c:v>0.86973947895791659</c:v>
                </c:pt>
                <c:pt idx="435">
                  <c:v>0.87174348697394866</c:v>
                </c:pt>
                <c:pt idx="436">
                  <c:v>0.87374749498998072</c:v>
                </c:pt>
                <c:pt idx="437">
                  <c:v>0.87575150300601279</c:v>
                </c:pt>
                <c:pt idx="438">
                  <c:v>0.87775551102204485</c:v>
                </c:pt>
                <c:pt idx="439">
                  <c:v>0.87975951903807692</c:v>
                </c:pt>
                <c:pt idx="440">
                  <c:v>0.88176352705410899</c:v>
                </c:pt>
                <c:pt idx="441">
                  <c:v>0.88376753507014105</c:v>
                </c:pt>
                <c:pt idx="442">
                  <c:v>0.88577154308617312</c:v>
                </c:pt>
                <c:pt idx="443">
                  <c:v>0.88777555110220518</c:v>
                </c:pt>
                <c:pt idx="444">
                  <c:v>0.88977955911823725</c:v>
                </c:pt>
                <c:pt idx="445">
                  <c:v>0.89178356713426932</c:v>
                </c:pt>
                <c:pt idx="446">
                  <c:v>0.89378757515030138</c:v>
                </c:pt>
                <c:pt idx="447">
                  <c:v>0.89579158316633345</c:v>
                </c:pt>
                <c:pt idx="448">
                  <c:v>0.89779559118236552</c:v>
                </c:pt>
                <c:pt idx="449">
                  <c:v>0.89979959919839758</c:v>
                </c:pt>
                <c:pt idx="450">
                  <c:v>0.90180360721442965</c:v>
                </c:pt>
                <c:pt idx="451">
                  <c:v>0.90380761523046171</c:v>
                </c:pt>
                <c:pt idx="452">
                  <c:v>0.90581162324649378</c:v>
                </c:pt>
                <c:pt idx="453">
                  <c:v>0.90781563126252585</c:v>
                </c:pt>
                <c:pt idx="454">
                  <c:v>0.90981963927855791</c:v>
                </c:pt>
                <c:pt idx="455">
                  <c:v>0.91182364729458998</c:v>
                </c:pt>
                <c:pt idx="456">
                  <c:v>0.91382765531062204</c:v>
                </c:pt>
                <c:pt idx="457">
                  <c:v>0.91583166332665411</c:v>
                </c:pt>
                <c:pt idx="458">
                  <c:v>0.91783567134268618</c:v>
                </c:pt>
                <c:pt idx="459">
                  <c:v>0.91983967935871824</c:v>
                </c:pt>
                <c:pt idx="460">
                  <c:v>0.92184368737475031</c:v>
                </c:pt>
                <c:pt idx="461">
                  <c:v>0.92384769539078238</c:v>
                </c:pt>
                <c:pt idx="462">
                  <c:v>0.92585170340681444</c:v>
                </c:pt>
                <c:pt idx="463">
                  <c:v>0.92785571142284651</c:v>
                </c:pt>
                <c:pt idx="464">
                  <c:v>0.92985971943887857</c:v>
                </c:pt>
                <c:pt idx="465">
                  <c:v>0.93186372745491064</c:v>
                </c:pt>
                <c:pt idx="466">
                  <c:v>0.93386773547094271</c:v>
                </c:pt>
                <c:pt idx="467">
                  <c:v>0.93587174348697477</c:v>
                </c:pt>
                <c:pt idx="468">
                  <c:v>0.93787575150300684</c:v>
                </c:pt>
                <c:pt idx="469">
                  <c:v>0.9398797595190389</c:v>
                </c:pt>
                <c:pt idx="470">
                  <c:v>0.94188376753507097</c:v>
                </c:pt>
                <c:pt idx="471">
                  <c:v>0.94388777555110304</c:v>
                </c:pt>
                <c:pt idx="472">
                  <c:v>0.9458917835671351</c:v>
                </c:pt>
                <c:pt idx="473">
                  <c:v>0.94789579158316717</c:v>
                </c:pt>
                <c:pt idx="474">
                  <c:v>0.94989979959919923</c:v>
                </c:pt>
                <c:pt idx="475">
                  <c:v>0.9519038076152313</c:v>
                </c:pt>
                <c:pt idx="476">
                  <c:v>0.95390781563126337</c:v>
                </c:pt>
                <c:pt idx="477">
                  <c:v>0.95591182364729543</c:v>
                </c:pt>
                <c:pt idx="478">
                  <c:v>0.9579158316633275</c:v>
                </c:pt>
                <c:pt idx="479">
                  <c:v>0.95991983967935957</c:v>
                </c:pt>
                <c:pt idx="480">
                  <c:v>0.96192384769539163</c:v>
                </c:pt>
                <c:pt idx="481">
                  <c:v>0.9639278557114237</c:v>
                </c:pt>
                <c:pt idx="482">
                  <c:v>0.96593186372745576</c:v>
                </c:pt>
                <c:pt idx="483">
                  <c:v>0.96793587174348783</c:v>
                </c:pt>
                <c:pt idx="484">
                  <c:v>0.9699398797595199</c:v>
                </c:pt>
                <c:pt idx="485">
                  <c:v>0.97194388777555196</c:v>
                </c:pt>
                <c:pt idx="486">
                  <c:v>0.97394789579158403</c:v>
                </c:pt>
                <c:pt idx="487">
                  <c:v>0.97595190380761609</c:v>
                </c:pt>
                <c:pt idx="488">
                  <c:v>0.97795591182364816</c:v>
                </c:pt>
                <c:pt idx="489">
                  <c:v>0.97995991983968023</c:v>
                </c:pt>
                <c:pt idx="490">
                  <c:v>0.98196392785571229</c:v>
                </c:pt>
                <c:pt idx="491">
                  <c:v>0.98396793587174436</c:v>
                </c:pt>
                <c:pt idx="492">
                  <c:v>0.98597194388777643</c:v>
                </c:pt>
                <c:pt idx="493">
                  <c:v>0.98797595190380849</c:v>
                </c:pt>
                <c:pt idx="494">
                  <c:v>0.98997995991984056</c:v>
                </c:pt>
                <c:pt idx="495">
                  <c:v>0.99198396793587262</c:v>
                </c:pt>
                <c:pt idx="496">
                  <c:v>0.99398797595190469</c:v>
                </c:pt>
                <c:pt idx="497">
                  <c:v>0.99599198396793676</c:v>
                </c:pt>
                <c:pt idx="498">
                  <c:v>0.99799599198396882</c:v>
                </c:pt>
                <c:pt idx="499">
                  <c:v>1.0000000000000009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SimData500!$K$508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SimData500!$K$509:$K$1008</c:f>
              <c:numCache>
                <c:formatCode>General</c:formatCode>
                <c:ptCount val="500"/>
                <c:pt idx="0">
                  <c:v>5.360703835322056E-5</c:v>
                </c:pt>
                <c:pt idx="1">
                  <c:v>3.1528967592748813E-3</c:v>
                </c:pt>
                <c:pt idx="2">
                  <c:v>1.0524076165893348E-2</c:v>
                </c:pt>
                <c:pt idx="3">
                  <c:v>1.282382496901846E-2</c:v>
                </c:pt>
                <c:pt idx="4">
                  <c:v>1.3948780559076113E-2</c:v>
                </c:pt>
                <c:pt idx="5">
                  <c:v>1.634600606848835E-2</c:v>
                </c:pt>
                <c:pt idx="6">
                  <c:v>1.8305352532479446E-2</c:v>
                </c:pt>
                <c:pt idx="7">
                  <c:v>2.0899958058180346E-2</c:v>
                </c:pt>
                <c:pt idx="8">
                  <c:v>2.2104111593762354E-2</c:v>
                </c:pt>
                <c:pt idx="9">
                  <c:v>2.7441130713668827E-2</c:v>
                </c:pt>
                <c:pt idx="10">
                  <c:v>2.7802811349829426E-2</c:v>
                </c:pt>
                <c:pt idx="11">
                  <c:v>3.1681696112173086E-2</c:v>
                </c:pt>
                <c:pt idx="12">
                  <c:v>3.1950437645718921E-2</c:v>
                </c:pt>
                <c:pt idx="13">
                  <c:v>3.4818510101104039E-2</c:v>
                </c:pt>
                <c:pt idx="14">
                  <c:v>3.5701878655345354E-2</c:v>
                </c:pt>
                <c:pt idx="15">
                  <c:v>3.6476958286584704E-2</c:v>
                </c:pt>
                <c:pt idx="16">
                  <c:v>3.7385695607554226E-2</c:v>
                </c:pt>
                <c:pt idx="17">
                  <c:v>3.7510294287130819E-2</c:v>
                </c:pt>
                <c:pt idx="18">
                  <c:v>3.7612971568705689E-2</c:v>
                </c:pt>
                <c:pt idx="19">
                  <c:v>3.8699369434652908E-2</c:v>
                </c:pt>
                <c:pt idx="20">
                  <c:v>4.1986628863924125E-2</c:v>
                </c:pt>
                <c:pt idx="21">
                  <c:v>4.2979726146768371E-2</c:v>
                </c:pt>
                <c:pt idx="22">
                  <c:v>4.4247171247661754E-2</c:v>
                </c:pt>
                <c:pt idx="23">
                  <c:v>5.0284835998354538E-2</c:v>
                </c:pt>
                <c:pt idx="24">
                  <c:v>5.25627503711803E-2</c:v>
                </c:pt>
                <c:pt idx="25">
                  <c:v>5.3987730238986842E-2</c:v>
                </c:pt>
                <c:pt idx="26">
                  <c:v>5.6660458343685605E-2</c:v>
                </c:pt>
                <c:pt idx="27">
                  <c:v>6.060179513588082E-2</c:v>
                </c:pt>
                <c:pt idx="28">
                  <c:v>6.2022045186495234E-2</c:v>
                </c:pt>
                <c:pt idx="29">
                  <c:v>6.268837803054339E-2</c:v>
                </c:pt>
                <c:pt idx="30">
                  <c:v>6.6950813637049578E-2</c:v>
                </c:pt>
                <c:pt idx="31">
                  <c:v>6.7445113323628902E-2</c:v>
                </c:pt>
                <c:pt idx="32">
                  <c:v>6.7968674453254607E-2</c:v>
                </c:pt>
                <c:pt idx="33">
                  <c:v>6.8294557669105416E-2</c:v>
                </c:pt>
                <c:pt idx="34">
                  <c:v>6.8329399247886613E-2</c:v>
                </c:pt>
                <c:pt idx="35">
                  <c:v>7.0606277651677374E-2</c:v>
                </c:pt>
                <c:pt idx="36">
                  <c:v>7.1154580690745206E-2</c:v>
                </c:pt>
                <c:pt idx="37">
                  <c:v>7.3249053513791296E-2</c:v>
                </c:pt>
                <c:pt idx="38">
                  <c:v>7.3625559316496947E-2</c:v>
                </c:pt>
                <c:pt idx="39">
                  <c:v>7.6704312691617815E-2</c:v>
                </c:pt>
                <c:pt idx="40">
                  <c:v>7.8716404877013701E-2</c:v>
                </c:pt>
                <c:pt idx="41">
                  <c:v>8.0395121305627981E-2</c:v>
                </c:pt>
                <c:pt idx="42">
                  <c:v>8.1076568151729589E-2</c:v>
                </c:pt>
                <c:pt idx="43">
                  <c:v>8.3227851650008233E-2</c:v>
                </c:pt>
                <c:pt idx="44">
                  <c:v>8.4439316267889808E-2</c:v>
                </c:pt>
                <c:pt idx="45">
                  <c:v>8.4918033078793087E-2</c:v>
                </c:pt>
                <c:pt idx="46">
                  <c:v>8.5129269147728337E-2</c:v>
                </c:pt>
                <c:pt idx="47">
                  <c:v>8.6665058296603092E-2</c:v>
                </c:pt>
                <c:pt idx="48">
                  <c:v>8.7921752599868341E-2</c:v>
                </c:pt>
                <c:pt idx="49">
                  <c:v>9.4492186502975528E-2</c:v>
                </c:pt>
                <c:pt idx="50">
                  <c:v>9.6119306382661307E-2</c:v>
                </c:pt>
                <c:pt idx="51">
                  <c:v>0.10983249634773529</c:v>
                </c:pt>
                <c:pt idx="52">
                  <c:v>0.11050421326490323</c:v>
                </c:pt>
                <c:pt idx="53">
                  <c:v>0.11115129116478784</c:v>
                </c:pt>
                <c:pt idx="54">
                  <c:v>0.11223993758630968</c:v>
                </c:pt>
                <c:pt idx="55">
                  <c:v>0.11251462629661546</c:v>
                </c:pt>
                <c:pt idx="56">
                  <c:v>0.11815121772997372</c:v>
                </c:pt>
                <c:pt idx="57">
                  <c:v>0.12420579275568855</c:v>
                </c:pt>
                <c:pt idx="58">
                  <c:v>0.12640360470504675</c:v>
                </c:pt>
                <c:pt idx="59">
                  <c:v>0.13027671848340105</c:v>
                </c:pt>
                <c:pt idx="60">
                  <c:v>0.13080956998692272</c:v>
                </c:pt>
                <c:pt idx="61">
                  <c:v>0.13220749739775783</c:v>
                </c:pt>
                <c:pt idx="62">
                  <c:v>0.13318659480319184</c:v>
                </c:pt>
                <c:pt idx="63">
                  <c:v>0.13352899689925835</c:v>
                </c:pt>
                <c:pt idx="64">
                  <c:v>0.13382627224564203</c:v>
                </c:pt>
                <c:pt idx="65">
                  <c:v>0.13412511772457947</c:v>
                </c:pt>
                <c:pt idx="66">
                  <c:v>0.13746213534068374</c:v>
                </c:pt>
                <c:pt idx="67">
                  <c:v>0.14038832582991745</c:v>
                </c:pt>
                <c:pt idx="68">
                  <c:v>0.1403906038212881</c:v>
                </c:pt>
                <c:pt idx="69">
                  <c:v>0.14123235792339983</c:v>
                </c:pt>
                <c:pt idx="70">
                  <c:v>0.1413443079118224</c:v>
                </c:pt>
                <c:pt idx="71">
                  <c:v>0.14370020014303009</c:v>
                </c:pt>
                <c:pt idx="72">
                  <c:v>0.14497911753460357</c:v>
                </c:pt>
                <c:pt idx="73">
                  <c:v>0.14580619095795555</c:v>
                </c:pt>
                <c:pt idx="74">
                  <c:v>0.14616993564777658</c:v>
                </c:pt>
                <c:pt idx="75">
                  <c:v>0.14834774046357779</c:v>
                </c:pt>
                <c:pt idx="76">
                  <c:v>0.14891308225651301</c:v>
                </c:pt>
                <c:pt idx="77">
                  <c:v>0.14931717543367995</c:v>
                </c:pt>
                <c:pt idx="78">
                  <c:v>0.15187027583397139</c:v>
                </c:pt>
                <c:pt idx="79">
                  <c:v>0.15257985473181179</c:v>
                </c:pt>
                <c:pt idx="80">
                  <c:v>0.15458824731376808</c:v>
                </c:pt>
                <c:pt idx="81">
                  <c:v>0.15557129181161145</c:v>
                </c:pt>
                <c:pt idx="82">
                  <c:v>0.16241834108768671</c:v>
                </c:pt>
                <c:pt idx="83">
                  <c:v>0.16300461022183299</c:v>
                </c:pt>
                <c:pt idx="84">
                  <c:v>0.16497251606506325</c:v>
                </c:pt>
                <c:pt idx="85">
                  <c:v>0.16550800190543669</c:v>
                </c:pt>
                <c:pt idx="86">
                  <c:v>0.16654939824366011</c:v>
                </c:pt>
                <c:pt idx="87">
                  <c:v>0.16679885035955522</c:v>
                </c:pt>
                <c:pt idx="88">
                  <c:v>0.16900066061680263</c:v>
                </c:pt>
                <c:pt idx="89">
                  <c:v>0.17085718577800435</c:v>
                </c:pt>
                <c:pt idx="90">
                  <c:v>0.17140890889913862</c:v>
                </c:pt>
                <c:pt idx="91">
                  <c:v>0.17332491586603282</c:v>
                </c:pt>
                <c:pt idx="92">
                  <c:v>0.17368857454039244</c:v>
                </c:pt>
                <c:pt idx="93">
                  <c:v>0.1754734940623166</c:v>
                </c:pt>
                <c:pt idx="94">
                  <c:v>0.17963566584330692</c:v>
                </c:pt>
                <c:pt idx="95">
                  <c:v>0.17981892033003533</c:v>
                </c:pt>
                <c:pt idx="96">
                  <c:v>0.18061586258045281</c:v>
                </c:pt>
                <c:pt idx="97">
                  <c:v>0.18104539332125569</c:v>
                </c:pt>
                <c:pt idx="98">
                  <c:v>0.1860086976976163</c:v>
                </c:pt>
                <c:pt idx="99">
                  <c:v>0.18802639109620145</c:v>
                </c:pt>
                <c:pt idx="100">
                  <c:v>0.18897554343038792</c:v>
                </c:pt>
                <c:pt idx="101">
                  <c:v>0.19002853701340428</c:v>
                </c:pt>
                <c:pt idx="102">
                  <c:v>0.1918528201913432</c:v>
                </c:pt>
                <c:pt idx="103">
                  <c:v>0.19196029805243597</c:v>
                </c:pt>
                <c:pt idx="104">
                  <c:v>0.19504604354733601</c:v>
                </c:pt>
                <c:pt idx="105">
                  <c:v>0.2001492006356953</c:v>
                </c:pt>
                <c:pt idx="106">
                  <c:v>0.20058979244367947</c:v>
                </c:pt>
                <c:pt idx="107">
                  <c:v>0.20076831792175653</c:v>
                </c:pt>
                <c:pt idx="108">
                  <c:v>0.20106233309616073</c:v>
                </c:pt>
                <c:pt idx="109">
                  <c:v>0.20238918658105831</c:v>
                </c:pt>
                <c:pt idx="110">
                  <c:v>0.20650128864781436</c:v>
                </c:pt>
                <c:pt idx="111">
                  <c:v>0.207264644010138</c:v>
                </c:pt>
                <c:pt idx="112">
                  <c:v>0.20749777365017508</c:v>
                </c:pt>
                <c:pt idx="113">
                  <c:v>0.21007513107360865</c:v>
                </c:pt>
                <c:pt idx="114">
                  <c:v>0.21135877520691793</c:v>
                </c:pt>
                <c:pt idx="115">
                  <c:v>0.21467865912563866</c:v>
                </c:pt>
                <c:pt idx="116">
                  <c:v>0.21850464557701343</c:v>
                </c:pt>
                <c:pt idx="117">
                  <c:v>0.21909754813168547</c:v>
                </c:pt>
                <c:pt idx="118">
                  <c:v>0.2206645604728692</c:v>
                </c:pt>
                <c:pt idx="119">
                  <c:v>0.2211181311213295</c:v>
                </c:pt>
                <c:pt idx="120">
                  <c:v>0.22716094493080163</c:v>
                </c:pt>
                <c:pt idx="121">
                  <c:v>0.22878785687862546</c:v>
                </c:pt>
                <c:pt idx="122">
                  <c:v>0.22926613057097711</c:v>
                </c:pt>
                <c:pt idx="123">
                  <c:v>0.23076909627343412</c:v>
                </c:pt>
                <c:pt idx="124">
                  <c:v>0.23382761814355035</c:v>
                </c:pt>
                <c:pt idx="125">
                  <c:v>0.2369352702080505</c:v>
                </c:pt>
                <c:pt idx="126">
                  <c:v>0.24272050318177207</c:v>
                </c:pt>
                <c:pt idx="127">
                  <c:v>0.24336099085758178</c:v>
                </c:pt>
                <c:pt idx="128">
                  <c:v>0.24360377207176498</c:v>
                </c:pt>
                <c:pt idx="129">
                  <c:v>0.24364677766425302</c:v>
                </c:pt>
                <c:pt idx="130">
                  <c:v>0.24549228036812565</c:v>
                </c:pt>
                <c:pt idx="131">
                  <c:v>0.2507498290424337</c:v>
                </c:pt>
                <c:pt idx="132">
                  <c:v>0.25184031069329649</c:v>
                </c:pt>
                <c:pt idx="133">
                  <c:v>0.2532024472620833</c:v>
                </c:pt>
                <c:pt idx="134">
                  <c:v>0.2537662363047275</c:v>
                </c:pt>
                <c:pt idx="135">
                  <c:v>0.25773166439103079</c:v>
                </c:pt>
                <c:pt idx="136">
                  <c:v>0.25866020159901382</c:v>
                </c:pt>
                <c:pt idx="137">
                  <c:v>0.26197967845837411</c:v>
                </c:pt>
                <c:pt idx="138">
                  <c:v>0.26494360028118535</c:v>
                </c:pt>
                <c:pt idx="139">
                  <c:v>0.26813018148368428</c:v>
                </c:pt>
                <c:pt idx="140">
                  <c:v>0.27014851304011245</c:v>
                </c:pt>
                <c:pt idx="141">
                  <c:v>0.27169500973104732</c:v>
                </c:pt>
                <c:pt idx="142">
                  <c:v>0.27198072266037343</c:v>
                </c:pt>
                <c:pt idx="143">
                  <c:v>0.27563476933937636</c:v>
                </c:pt>
                <c:pt idx="144">
                  <c:v>0.27771616386962705</c:v>
                </c:pt>
                <c:pt idx="145">
                  <c:v>0.28273283288945095</c:v>
                </c:pt>
                <c:pt idx="146">
                  <c:v>0.28276687395327826</c:v>
                </c:pt>
                <c:pt idx="147">
                  <c:v>0.28667762364329974</c:v>
                </c:pt>
                <c:pt idx="148">
                  <c:v>0.28713087296364392</c:v>
                </c:pt>
                <c:pt idx="149">
                  <c:v>0.28859013685723767</c:v>
                </c:pt>
                <c:pt idx="150">
                  <c:v>0.28954072302894929</c:v>
                </c:pt>
                <c:pt idx="151">
                  <c:v>0.29171612405662017</c:v>
                </c:pt>
                <c:pt idx="152">
                  <c:v>0.2927213212233255</c:v>
                </c:pt>
                <c:pt idx="153">
                  <c:v>0.29954384408301848</c:v>
                </c:pt>
                <c:pt idx="154">
                  <c:v>0.30006471494471043</c:v>
                </c:pt>
                <c:pt idx="155">
                  <c:v>0.30043765198388428</c:v>
                </c:pt>
                <c:pt idx="156">
                  <c:v>0.30088596065706952</c:v>
                </c:pt>
                <c:pt idx="157">
                  <c:v>0.30129641239820515</c:v>
                </c:pt>
                <c:pt idx="158">
                  <c:v>0.30136530154322827</c:v>
                </c:pt>
                <c:pt idx="159">
                  <c:v>0.30355146034708014</c:v>
                </c:pt>
                <c:pt idx="160">
                  <c:v>0.30478770251738752</c:v>
                </c:pt>
                <c:pt idx="161">
                  <c:v>0.30591096269563423</c:v>
                </c:pt>
                <c:pt idx="162">
                  <c:v>0.3102275004830517</c:v>
                </c:pt>
                <c:pt idx="163">
                  <c:v>0.31067257441281981</c:v>
                </c:pt>
                <c:pt idx="164">
                  <c:v>0.31191639400003623</c:v>
                </c:pt>
                <c:pt idx="165">
                  <c:v>0.31617162822294631</c:v>
                </c:pt>
                <c:pt idx="166">
                  <c:v>0.31810035679882276</c:v>
                </c:pt>
                <c:pt idx="167">
                  <c:v>0.31830304090726713</c:v>
                </c:pt>
                <c:pt idx="168">
                  <c:v>0.31835128935381363</c:v>
                </c:pt>
                <c:pt idx="169">
                  <c:v>0.32058851660713117</c:v>
                </c:pt>
                <c:pt idx="170">
                  <c:v>0.3249777995988552</c:v>
                </c:pt>
                <c:pt idx="171">
                  <c:v>0.32518725232785073</c:v>
                </c:pt>
                <c:pt idx="172">
                  <c:v>0.32702639557192015</c:v>
                </c:pt>
                <c:pt idx="173">
                  <c:v>0.32723689402155287</c:v>
                </c:pt>
                <c:pt idx="174">
                  <c:v>0.32777039914435591</c:v>
                </c:pt>
                <c:pt idx="175">
                  <c:v>0.32783933665177756</c:v>
                </c:pt>
                <c:pt idx="176">
                  <c:v>0.32837563113844226</c:v>
                </c:pt>
                <c:pt idx="177">
                  <c:v>0.32912419175863761</c:v>
                </c:pt>
                <c:pt idx="178">
                  <c:v>0.33132913035572642</c:v>
                </c:pt>
                <c:pt idx="179">
                  <c:v>0.3381592710629775</c:v>
                </c:pt>
                <c:pt idx="180">
                  <c:v>0.34489761672057284</c:v>
                </c:pt>
                <c:pt idx="181">
                  <c:v>0.34539142991707195</c:v>
                </c:pt>
                <c:pt idx="182">
                  <c:v>0.34863140338984522</c:v>
                </c:pt>
                <c:pt idx="183">
                  <c:v>0.35734853868507344</c:v>
                </c:pt>
                <c:pt idx="184">
                  <c:v>0.35792963940002664</c:v>
                </c:pt>
                <c:pt idx="185">
                  <c:v>0.35808986806296161</c:v>
                </c:pt>
                <c:pt idx="186">
                  <c:v>0.35834859277747455</c:v>
                </c:pt>
                <c:pt idx="187">
                  <c:v>0.36184026681257819</c:v>
                </c:pt>
                <c:pt idx="188">
                  <c:v>0.36195148824208445</c:v>
                </c:pt>
                <c:pt idx="189">
                  <c:v>0.36591640445294615</c:v>
                </c:pt>
                <c:pt idx="190">
                  <c:v>0.37370095532423875</c:v>
                </c:pt>
                <c:pt idx="191">
                  <c:v>0.37565586383880145</c:v>
                </c:pt>
                <c:pt idx="192">
                  <c:v>0.37902273323925328</c:v>
                </c:pt>
                <c:pt idx="193">
                  <c:v>0.38074883667104586</c:v>
                </c:pt>
                <c:pt idx="194">
                  <c:v>0.38155289872884168</c:v>
                </c:pt>
                <c:pt idx="195">
                  <c:v>0.38268614359367348</c:v>
                </c:pt>
                <c:pt idx="196">
                  <c:v>0.38291271076377598</c:v>
                </c:pt>
                <c:pt idx="197">
                  <c:v>0.38479514188838948</c:v>
                </c:pt>
                <c:pt idx="198">
                  <c:v>0.38578194065757998</c:v>
                </c:pt>
                <c:pt idx="199">
                  <c:v>0.38784155513167207</c:v>
                </c:pt>
                <c:pt idx="200">
                  <c:v>0.3892104449278122</c:v>
                </c:pt>
                <c:pt idx="201">
                  <c:v>0.39170261673463358</c:v>
                </c:pt>
                <c:pt idx="202">
                  <c:v>0.39177482378545392</c:v>
                </c:pt>
                <c:pt idx="203">
                  <c:v>0.39898469546005799</c:v>
                </c:pt>
                <c:pt idx="204">
                  <c:v>0.40023996812851692</c:v>
                </c:pt>
                <c:pt idx="205">
                  <c:v>0.40154261778752698</c:v>
                </c:pt>
                <c:pt idx="206">
                  <c:v>0.4027293582648781</c:v>
                </c:pt>
                <c:pt idx="207">
                  <c:v>0.40436735116236378</c:v>
                </c:pt>
                <c:pt idx="208">
                  <c:v>0.40865344857047603</c:v>
                </c:pt>
                <c:pt idx="209">
                  <c:v>0.40931376216121862</c:v>
                </c:pt>
                <c:pt idx="210">
                  <c:v>0.41044188944670168</c:v>
                </c:pt>
                <c:pt idx="211">
                  <c:v>0.41185606460658164</c:v>
                </c:pt>
                <c:pt idx="212">
                  <c:v>0.41264640565532318</c:v>
                </c:pt>
                <c:pt idx="213">
                  <c:v>0.41402765361090133</c:v>
                </c:pt>
                <c:pt idx="214">
                  <c:v>0.42077186297228764</c:v>
                </c:pt>
                <c:pt idx="215">
                  <c:v>0.42080579956929753</c:v>
                </c:pt>
                <c:pt idx="216">
                  <c:v>0.42533671817818686</c:v>
                </c:pt>
                <c:pt idx="217">
                  <c:v>0.42609611192801822</c:v>
                </c:pt>
                <c:pt idx="218">
                  <c:v>0.42852321021564421</c:v>
                </c:pt>
                <c:pt idx="219">
                  <c:v>0.42898602732202562</c:v>
                </c:pt>
                <c:pt idx="220">
                  <c:v>0.42936228001781274</c:v>
                </c:pt>
                <c:pt idx="221">
                  <c:v>0.42938907264760928</c:v>
                </c:pt>
                <c:pt idx="222">
                  <c:v>0.42956508996849152</c:v>
                </c:pt>
                <c:pt idx="223">
                  <c:v>0.42970338856321177</c:v>
                </c:pt>
                <c:pt idx="224">
                  <c:v>0.42993120171558985</c:v>
                </c:pt>
                <c:pt idx="225">
                  <c:v>0.43436671268318605</c:v>
                </c:pt>
                <c:pt idx="226">
                  <c:v>0.43630020506316214</c:v>
                </c:pt>
                <c:pt idx="227">
                  <c:v>0.43635737276417785</c:v>
                </c:pt>
                <c:pt idx="228">
                  <c:v>0.43804692959292879</c:v>
                </c:pt>
                <c:pt idx="229">
                  <c:v>0.43846531960298307</c:v>
                </c:pt>
                <c:pt idx="230">
                  <c:v>0.43924150709062815</c:v>
                </c:pt>
                <c:pt idx="231">
                  <c:v>0.4393644751771717</c:v>
                </c:pt>
                <c:pt idx="232">
                  <c:v>0.44866711402755755</c:v>
                </c:pt>
                <c:pt idx="233">
                  <c:v>0.45207366900740453</c:v>
                </c:pt>
                <c:pt idx="234">
                  <c:v>0.45464683110094484</c:v>
                </c:pt>
                <c:pt idx="235">
                  <c:v>0.45931914358516224</c:v>
                </c:pt>
                <c:pt idx="236">
                  <c:v>0.46023399105069984</c:v>
                </c:pt>
                <c:pt idx="237">
                  <c:v>0.46083157860539359</c:v>
                </c:pt>
                <c:pt idx="238">
                  <c:v>0.46720614455534815</c:v>
                </c:pt>
                <c:pt idx="239">
                  <c:v>0.46872456096571113</c:v>
                </c:pt>
                <c:pt idx="240">
                  <c:v>0.46965005440506502</c:v>
                </c:pt>
                <c:pt idx="241">
                  <c:v>0.4724274911759494</c:v>
                </c:pt>
                <c:pt idx="242">
                  <c:v>0.47292755780563311</c:v>
                </c:pt>
                <c:pt idx="243">
                  <c:v>0.4846475954136622</c:v>
                </c:pt>
                <c:pt idx="244">
                  <c:v>0.48586338704990339</c:v>
                </c:pt>
                <c:pt idx="245">
                  <c:v>0.49113752726407256</c:v>
                </c:pt>
                <c:pt idx="246">
                  <c:v>0.49178794765975908</c:v>
                </c:pt>
                <c:pt idx="247">
                  <c:v>0.49327492327392974</c:v>
                </c:pt>
                <c:pt idx="248">
                  <c:v>0.49503002889468917</c:v>
                </c:pt>
                <c:pt idx="249">
                  <c:v>0.49554709877340031</c:v>
                </c:pt>
                <c:pt idx="250">
                  <c:v>0.50309051965086837</c:v>
                </c:pt>
                <c:pt idx="251">
                  <c:v>0.51055425291542633</c:v>
                </c:pt>
                <c:pt idx="252">
                  <c:v>0.51738243655290717</c:v>
                </c:pt>
                <c:pt idx="253">
                  <c:v>0.51900659768489277</c:v>
                </c:pt>
                <c:pt idx="254">
                  <c:v>0.51914517127806903</c:v>
                </c:pt>
                <c:pt idx="255">
                  <c:v>0.52065192366944757</c:v>
                </c:pt>
                <c:pt idx="256">
                  <c:v>0.52548888852652453</c:v>
                </c:pt>
                <c:pt idx="257">
                  <c:v>0.52748989907559007</c:v>
                </c:pt>
                <c:pt idx="258">
                  <c:v>0.5301909423124016</c:v>
                </c:pt>
                <c:pt idx="259">
                  <c:v>0.53170238843904372</c:v>
                </c:pt>
                <c:pt idx="260">
                  <c:v>0.53353263467397483</c:v>
                </c:pt>
                <c:pt idx="261">
                  <c:v>0.53666580865956348</c:v>
                </c:pt>
                <c:pt idx="262">
                  <c:v>0.53796497673192789</c:v>
                </c:pt>
                <c:pt idx="263">
                  <c:v>0.53970808603935438</c:v>
                </c:pt>
                <c:pt idx="264">
                  <c:v>0.54108636644832586</c:v>
                </c:pt>
                <c:pt idx="265">
                  <c:v>0.54377568777093188</c:v>
                </c:pt>
                <c:pt idx="266">
                  <c:v>0.54561679074777203</c:v>
                </c:pt>
                <c:pt idx="267">
                  <c:v>0.54658888342510181</c:v>
                </c:pt>
                <c:pt idx="268">
                  <c:v>0.5509707511491797</c:v>
                </c:pt>
                <c:pt idx="269">
                  <c:v>0.55235243542028911</c:v>
                </c:pt>
                <c:pt idx="270">
                  <c:v>0.55267881303916511</c:v>
                </c:pt>
                <c:pt idx="271">
                  <c:v>0.55619428683894512</c:v>
                </c:pt>
                <c:pt idx="272">
                  <c:v>0.55754680151221692</c:v>
                </c:pt>
                <c:pt idx="273">
                  <c:v>0.56025827292251051</c:v>
                </c:pt>
                <c:pt idx="274">
                  <c:v>0.56149659958100528</c:v>
                </c:pt>
                <c:pt idx="275">
                  <c:v>0.56476275652221375</c:v>
                </c:pt>
                <c:pt idx="276">
                  <c:v>0.56517686240658804</c:v>
                </c:pt>
                <c:pt idx="277">
                  <c:v>0.57007180701384641</c:v>
                </c:pt>
                <c:pt idx="278">
                  <c:v>0.57159811002111383</c:v>
                </c:pt>
                <c:pt idx="279">
                  <c:v>0.57465745311674254</c:v>
                </c:pt>
                <c:pt idx="280">
                  <c:v>0.57526705063810368</c:v>
                </c:pt>
                <c:pt idx="281">
                  <c:v>0.57633731449550396</c:v>
                </c:pt>
                <c:pt idx="282">
                  <c:v>0.57777785605958343</c:v>
                </c:pt>
                <c:pt idx="283">
                  <c:v>0.58025005016588693</c:v>
                </c:pt>
                <c:pt idx="284">
                  <c:v>0.5844778162008879</c:v>
                </c:pt>
                <c:pt idx="285">
                  <c:v>0.58546718635261641</c:v>
                </c:pt>
                <c:pt idx="286">
                  <c:v>0.58788427728541137</c:v>
                </c:pt>
                <c:pt idx="287">
                  <c:v>0.58909570901050756</c:v>
                </c:pt>
                <c:pt idx="288">
                  <c:v>0.58940048125077737</c:v>
                </c:pt>
                <c:pt idx="289">
                  <c:v>0.58987909861389198</c:v>
                </c:pt>
                <c:pt idx="290">
                  <c:v>0.59493203848705889</c:v>
                </c:pt>
                <c:pt idx="291">
                  <c:v>0.59557725440936338</c:v>
                </c:pt>
                <c:pt idx="292">
                  <c:v>0.59620435870510846</c:v>
                </c:pt>
                <c:pt idx="293">
                  <c:v>0.59660571075164626</c:v>
                </c:pt>
                <c:pt idx="294">
                  <c:v>0.60293943728265731</c:v>
                </c:pt>
                <c:pt idx="295">
                  <c:v>0.60589490400161594</c:v>
                </c:pt>
                <c:pt idx="296">
                  <c:v>0.60749223897983029</c:v>
                </c:pt>
                <c:pt idx="297">
                  <c:v>0.60772626993002632</c:v>
                </c:pt>
                <c:pt idx="298">
                  <c:v>0.60910031504499784</c:v>
                </c:pt>
                <c:pt idx="299">
                  <c:v>0.60940340494562406</c:v>
                </c:pt>
                <c:pt idx="300">
                  <c:v>0.61501598069662577</c:v>
                </c:pt>
                <c:pt idx="301">
                  <c:v>0.61683220133636496</c:v>
                </c:pt>
                <c:pt idx="302">
                  <c:v>0.61977976339949237</c:v>
                </c:pt>
                <c:pt idx="303">
                  <c:v>0.62029358819017943</c:v>
                </c:pt>
                <c:pt idx="304">
                  <c:v>0.62598614841408562</c:v>
                </c:pt>
                <c:pt idx="305">
                  <c:v>0.62676713308792387</c:v>
                </c:pt>
                <c:pt idx="306">
                  <c:v>0.62886718276786269</c:v>
                </c:pt>
                <c:pt idx="307">
                  <c:v>0.62973930789576116</c:v>
                </c:pt>
                <c:pt idx="308">
                  <c:v>0.63060928771119507</c:v>
                </c:pt>
                <c:pt idx="309">
                  <c:v>0.63072181792267656</c:v>
                </c:pt>
                <c:pt idx="310">
                  <c:v>0.63134575392177794</c:v>
                </c:pt>
                <c:pt idx="311">
                  <c:v>0.63407393680881796</c:v>
                </c:pt>
                <c:pt idx="312">
                  <c:v>0.63417970135105861</c:v>
                </c:pt>
                <c:pt idx="313">
                  <c:v>0.63601432464292884</c:v>
                </c:pt>
                <c:pt idx="314">
                  <c:v>0.63815498330950504</c:v>
                </c:pt>
                <c:pt idx="315">
                  <c:v>0.64212360824421921</c:v>
                </c:pt>
                <c:pt idx="316">
                  <c:v>0.64598808865230239</c:v>
                </c:pt>
                <c:pt idx="317">
                  <c:v>0.64641685779224645</c:v>
                </c:pt>
                <c:pt idx="318">
                  <c:v>0.64649258799363452</c:v>
                </c:pt>
                <c:pt idx="319">
                  <c:v>0.64673367877912824</c:v>
                </c:pt>
                <c:pt idx="320">
                  <c:v>0.64793854597247957</c:v>
                </c:pt>
                <c:pt idx="321">
                  <c:v>0.64809339072689909</c:v>
                </c:pt>
                <c:pt idx="322">
                  <c:v>0.65034886102148448</c:v>
                </c:pt>
                <c:pt idx="323">
                  <c:v>0.65144735541980481</c:v>
                </c:pt>
                <c:pt idx="324">
                  <c:v>0.65254836620169954</c:v>
                </c:pt>
                <c:pt idx="325">
                  <c:v>0.65291373004492925</c:v>
                </c:pt>
                <c:pt idx="326">
                  <c:v>0.65526746990963147</c:v>
                </c:pt>
                <c:pt idx="327">
                  <c:v>0.65772908848157385</c:v>
                </c:pt>
                <c:pt idx="328">
                  <c:v>0.66332484803206171</c:v>
                </c:pt>
                <c:pt idx="329">
                  <c:v>0.66567397987000732</c:v>
                </c:pt>
                <c:pt idx="330">
                  <c:v>0.66583264180917467</c:v>
                </c:pt>
                <c:pt idx="331">
                  <c:v>0.66588510364454123</c:v>
                </c:pt>
                <c:pt idx="332">
                  <c:v>0.66606044288073463</c:v>
                </c:pt>
                <c:pt idx="333">
                  <c:v>0.6686673724143759</c:v>
                </c:pt>
                <c:pt idx="334">
                  <c:v>0.67204326819955895</c:v>
                </c:pt>
                <c:pt idx="335">
                  <c:v>0.67357380797329824</c:v>
                </c:pt>
                <c:pt idx="336">
                  <c:v>0.67495035428601113</c:v>
                </c:pt>
                <c:pt idx="337">
                  <c:v>0.67675203390535899</c:v>
                </c:pt>
                <c:pt idx="338">
                  <c:v>0.67800853247899795</c:v>
                </c:pt>
                <c:pt idx="339">
                  <c:v>0.67981436952595686</c:v>
                </c:pt>
                <c:pt idx="340">
                  <c:v>0.68439494119047595</c:v>
                </c:pt>
                <c:pt idx="341">
                  <c:v>0.68511066041537561</c:v>
                </c:pt>
                <c:pt idx="342">
                  <c:v>0.68549031282418582</c:v>
                </c:pt>
                <c:pt idx="343">
                  <c:v>0.68629208777838357</c:v>
                </c:pt>
                <c:pt idx="344">
                  <c:v>0.69147896294909117</c:v>
                </c:pt>
                <c:pt idx="345">
                  <c:v>0.69182126694158796</c:v>
                </c:pt>
                <c:pt idx="346">
                  <c:v>0.69216414475977217</c:v>
                </c:pt>
                <c:pt idx="347">
                  <c:v>0.69267419006700948</c:v>
                </c:pt>
                <c:pt idx="348">
                  <c:v>0.69372137625759933</c:v>
                </c:pt>
                <c:pt idx="349">
                  <c:v>0.69437824152100802</c:v>
                </c:pt>
                <c:pt idx="350">
                  <c:v>0.69926077186937619</c:v>
                </c:pt>
                <c:pt idx="351">
                  <c:v>0.70354737551588187</c:v>
                </c:pt>
                <c:pt idx="352">
                  <c:v>0.70528040159118177</c:v>
                </c:pt>
                <c:pt idx="353">
                  <c:v>0.7059380229738963</c:v>
                </c:pt>
                <c:pt idx="354">
                  <c:v>0.70681949531171995</c:v>
                </c:pt>
                <c:pt idx="355">
                  <c:v>0.70686901643694</c:v>
                </c:pt>
                <c:pt idx="356">
                  <c:v>0.70752788925437926</c:v>
                </c:pt>
                <c:pt idx="357">
                  <c:v>0.71103124944056617</c:v>
                </c:pt>
                <c:pt idx="358">
                  <c:v>0.71275453754424234</c:v>
                </c:pt>
                <c:pt idx="359">
                  <c:v>0.71374318924063118</c:v>
                </c:pt>
                <c:pt idx="360">
                  <c:v>0.7159573402013848</c:v>
                </c:pt>
                <c:pt idx="361">
                  <c:v>0.71668191162598305</c:v>
                </c:pt>
                <c:pt idx="362">
                  <c:v>0.71706614348840958</c:v>
                </c:pt>
                <c:pt idx="363">
                  <c:v>0.72094403421806419</c:v>
                </c:pt>
                <c:pt idx="364">
                  <c:v>0.72145481541792833</c:v>
                </c:pt>
                <c:pt idx="365">
                  <c:v>0.72170266939792782</c:v>
                </c:pt>
                <c:pt idx="366">
                  <c:v>0.72279816015270626</c:v>
                </c:pt>
                <c:pt idx="367">
                  <c:v>0.73147576434806183</c:v>
                </c:pt>
                <c:pt idx="368">
                  <c:v>0.73265672502748203</c:v>
                </c:pt>
                <c:pt idx="369">
                  <c:v>0.73695040733764472</c:v>
                </c:pt>
                <c:pt idx="370">
                  <c:v>0.73801835613903677</c:v>
                </c:pt>
                <c:pt idx="371">
                  <c:v>0.74136148814886837</c:v>
                </c:pt>
                <c:pt idx="372">
                  <c:v>0.7480460040324175</c:v>
                </c:pt>
                <c:pt idx="373">
                  <c:v>0.75195512607933779</c:v>
                </c:pt>
                <c:pt idx="374">
                  <c:v>0.75242480424276437</c:v>
                </c:pt>
                <c:pt idx="375">
                  <c:v>0.75260266247551044</c:v>
                </c:pt>
                <c:pt idx="376">
                  <c:v>0.75344681281876547</c:v>
                </c:pt>
                <c:pt idx="377">
                  <c:v>0.7548519556703468</c:v>
                </c:pt>
                <c:pt idx="378">
                  <c:v>0.75581359980606067</c:v>
                </c:pt>
                <c:pt idx="379">
                  <c:v>0.75769246715208283</c:v>
                </c:pt>
                <c:pt idx="380">
                  <c:v>0.75931150536416681</c:v>
                </c:pt>
                <c:pt idx="381">
                  <c:v>0.76529787495474011</c:v>
                </c:pt>
                <c:pt idx="382">
                  <c:v>0.76601672291238287</c:v>
                </c:pt>
                <c:pt idx="383">
                  <c:v>0.76863512076943152</c:v>
                </c:pt>
                <c:pt idx="384">
                  <c:v>0.77121281681502296</c:v>
                </c:pt>
                <c:pt idx="385">
                  <c:v>0.77696000534797349</c:v>
                </c:pt>
                <c:pt idx="386">
                  <c:v>0.77755126168085553</c:v>
                </c:pt>
                <c:pt idx="387">
                  <c:v>0.77791042327862669</c:v>
                </c:pt>
                <c:pt idx="388">
                  <c:v>0.78022253359449678</c:v>
                </c:pt>
                <c:pt idx="389">
                  <c:v>0.78078299319622602</c:v>
                </c:pt>
                <c:pt idx="390">
                  <c:v>0.78437553759431466</c:v>
                </c:pt>
                <c:pt idx="391">
                  <c:v>0.78496439663013007</c:v>
                </c:pt>
                <c:pt idx="392">
                  <c:v>0.78640774266750668</c:v>
                </c:pt>
                <c:pt idx="393">
                  <c:v>0.7870398330169337</c:v>
                </c:pt>
                <c:pt idx="394">
                  <c:v>0.7935652949163341</c:v>
                </c:pt>
                <c:pt idx="395">
                  <c:v>0.79822809666256944</c:v>
                </c:pt>
                <c:pt idx="396">
                  <c:v>0.80044958852340642</c:v>
                </c:pt>
                <c:pt idx="397">
                  <c:v>0.80382686384564295</c:v>
                </c:pt>
                <c:pt idx="398">
                  <c:v>0.80459309601337736</c:v>
                </c:pt>
                <c:pt idx="399">
                  <c:v>0.80650893665369949</c:v>
                </c:pt>
                <c:pt idx="400">
                  <c:v>0.80815723637533665</c:v>
                </c:pt>
                <c:pt idx="401">
                  <c:v>0.81110348201036686</c:v>
                </c:pt>
                <c:pt idx="402">
                  <c:v>0.82482995039663365</c:v>
                </c:pt>
                <c:pt idx="403">
                  <c:v>0.82762015028947644</c:v>
                </c:pt>
                <c:pt idx="404">
                  <c:v>0.83198654737316247</c:v>
                </c:pt>
                <c:pt idx="405">
                  <c:v>0.83366594225117296</c:v>
                </c:pt>
                <c:pt idx="406">
                  <c:v>0.83401461244193342</c:v>
                </c:pt>
                <c:pt idx="407">
                  <c:v>0.83634752367288456</c:v>
                </c:pt>
                <c:pt idx="408">
                  <c:v>0.83761974164281128</c:v>
                </c:pt>
                <c:pt idx="409">
                  <c:v>0.84041283947590273</c:v>
                </c:pt>
                <c:pt idx="410">
                  <c:v>0.84395589078030753</c:v>
                </c:pt>
                <c:pt idx="411">
                  <c:v>0.84468511806700519</c:v>
                </c:pt>
                <c:pt idx="412">
                  <c:v>0.84585382762088557</c:v>
                </c:pt>
                <c:pt idx="413">
                  <c:v>0.84722927328130027</c:v>
                </c:pt>
                <c:pt idx="414">
                  <c:v>0.84897043041291909</c:v>
                </c:pt>
                <c:pt idx="415">
                  <c:v>0.85361703494254471</c:v>
                </c:pt>
                <c:pt idx="416">
                  <c:v>0.85452179890216939</c:v>
                </c:pt>
                <c:pt idx="417">
                  <c:v>0.86134160174879071</c:v>
                </c:pt>
                <c:pt idx="418">
                  <c:v>0.86468839429289801</c:v>
                </c:pt>
                <c:pt idx="419">
                  <c:v>0.86625712451677828</c:v>
                </c:pt>
                <c:pt idx="420">
                  <c:v>0.86742729551770026</c:v>
                </c:pt>
                <c:pt idx="421">
                  <c:v>0.87032551483662246</c:v>
                </c:pt>
                <c:pt idx="422">
                  <c:v>0.87065649230953568</c:v>
                </c:pt>
                <c:pt idx="423">
                  <c:v>0.87298892724174948</c:v>
                </c:pt>
                <c:pt idx="424">
                  <c:v>0.87459957225382823</c:v>
                </c:pt>
                <c:pt idx="425">
                  <c:v>0.88042021661976833</c:v>
                </c:pt>
                <c:pt idx="426">
                  <c:v>0.88098750597691833</c:v>
                </c:pt>
                <c:pt idx="427">
                  <c:v>0.88435952672807616</c:v>
                </c:pt>
                <c:pt idx="428">
                  <c:v>0.8868602431139152</c:v>
                </c:pt>
                <c:pt idx="429">
                  <c:v>0.8873569154748111</c:v>
                </c:pt>
                <c:pt idx="430">
                  <c:v>0.89002282478941197</c:v>
                </c:pt>
                <c:pt idx="431">
                  <c:v>0.8901757739859022</c:v>
                </c:pt>
                <c:pt idx="432">
                  <c:v>0.8919448024016674</c:v>
                </c:pt>
                <c:pt idx="433">
                  <c:v>0.89341690140008723</c:v>
                </c:pt>
                <c:pt idx="434">
                  <c:v>0.8935579231056181</c:v>
                </c:pt>
                <c:pt idx="435">
                  <c:v>0.89550893949399324</c:v>
                </c:pt>
                <c:pt idx="436">
                  <c:v>0.89601868969839416</c:v>
                </c:pt>
                <c:pt idx="437">
                  <c:v>0.89634973423744668</c:v>
                </c:pt>
                <c:pt idx="438">
                  <c:v>0.89666468979339697</c:v>
                </c:pt>
                <c:pt idx="439">
                  <c:v>0.8995896287551659</c:v>
                </c:pt>
                <c:pt idx="440">
                  <c:v>0.90058223384221492</c:v>
                </c:pt>
                <c:pt idx="441">
                  <c:v>0.90102549753282801</c:v>
                </c:pt>
                <c:pt idx="442">
                  <c:v>0.90131886383460369</c:v>
                </c:pt>
                <c:pt idx="443">
                  <c:v>0.90490792819400667</c:v>
                </c:pt>
                <c:pt idx="444">
                  <c:v>0.90754529515652393</c:v>
                </c:pt>
                <c:pt idx="445">
                  <c:v>0.90974795393412933</c:v>
                </c:pt>
                <c:pt idx="446">
                  <c:v>0.91268550104268797</c:v>
                </c:pt>
                <c:pt idx="447">
                  <c:v>0.91281503053778579</c:v>
                </c:pt>
                <c:pt idx="448">
                  <c:v>0.91329585384391976</c:v>
                </c:pt>
                <c:pt idx="449">
                  <c:v>0.91544163538583234</c:v>
                </c:pt>
                <c:pt idx="450">
                  <c:v>0.91561999336227018</c:v>
                </c:pt>
                <c:pt idx="451">
                  <c:v>0.91670670996791159</c:v>
                </c:pt>
                <c:pt idx="452">
                  <c:v>0.9200622643902534</c:v>
                </c:pt>
                <c:pt idx="453">
                  <c:v>0.92087160300525284</c:v>
                </c:pt>
                <c:pt idx="454">
                  <c:v>0.9209993718422993</c:v>
                </c:pt>
                <c:pt idx="455">
                  <c:v>0.92211402009070298</c:v>
                </c:pt>
                <c:pt idx="456">
                  <c:v>0.92263894972256821</c:v>
                </c:pt>
                <c:pt idx="457">
                  <c:v>0.92359510737060191</c:v>
                </c:pt>
                <c:pt idx="458">
                  <c:v>0.92409517010310083</c:v>
                </c:pt>
                <c:pt idx="459">
                  <c:v>0.92444460185015487</c:v>
                </c:pt>
                <c:pt idx="460">
                  <c:v>0.92536089148597966</c:v>
                </c:pt>
                <c:pt idx="461">
                  <c:v>0.92695994077257637</c:v>
                </c:pt>
                <c:pt idx="462">
                  <c:v>0.93043230940475041</c:v>
                </c:pt>
                <c:pt idx="463">
                  <c:v>0.93085653382513556</c:v>
                </c:pt>
                <c:pt idx="464">
                  <c:v>0.93556926871406176</c:v>
                </c:pt>
                <c:pt idx="465">
                  <c:v>0.93763316749391379</c:v>
                </c:pt>
                <c:pt idx="466">
                  <c:v>0.9385534857347011</c:v>
                </c:pt>
                <c:pt idx="467">
                  <c:v>0.9414254607327166</c:v>
                </c:pt>
                <c:pt idx="468">
                  <c:v>0.94195853160908882</c:v>
                </c:pt>
                <c:pt idx="469">
                  <c:v>0.94316407018595783</c:v>
                </c:pt>
                <c:pt idx="470">
                  <c:v>0.94551773700641206</c:v>
                </c:pt>
                <c:pt idx="471">
                  <c:v>0.94613883784677455</c:v>
                </c:pt>
                <c:pt idx="472">
                  <c:v>0.94897137031057355</c:v>
                </c:pt>
                <c:pt idx="473">
                  <c:v>0.9498829942640441</c:v>
                </c:pt>
                <c:pt idx="474">
                  <c:v>0.95071758965787012</c:v>
                </c:pt>
                <c:pt idx="475">
                  <c:v>0.95252432465986203</c:v>
                </c:pt>
                <c:pt idx="476">
                  <c:v>0.95385306291338168</c:v>
                </c:pt>
                <c:pt idx="477">
                  <c:v>0.95554431703658338</c:v>
                </c:pt>
                <c:pt idx="478">
                  <c:v>0.95592223324911174</c:v>
                </c:pt>
                <c:pt idx="479">
                  <c:v>0.95687112533869367</c:v>
                </c:pt>
                <c:pt idx="480">
                  <c:v>0.96147437518266088</c:v>
                </c:pt>
                <c:pt idx="481">
                  <c:v>0.96180042923151632</c:v>
                </c:pt>
                <c:pt idx="482">
                  <c:v>0.96250913779476832</c:v>
                </c:pt>
                <c:pt idx="483">
                  <c:v>0.96666496239231492</c:v>
                </c:pt>
                <c:pt idx="484">
                  <c:v>0.96668633332592435</c:v>
                </c:pt>
                <c:pt idx="485">
                  <c:v>0.96695115484635608</c:v>
                </c:pt>
                <c:pt idx="486">
                  <c:v>0.96824661999471573</c:v>
                </c:pt>
                <c:pt idx="487">
                  <c:v>0.96843540146073792</c:v>
                </c:pt>
                <c:pt idx="488">
                  <c:v>0.96845017567011382</c:v>
                </c:pt>
                <c:pt idx="489">
                  <c:v>0.9703768736890197</c:v>
                </c:pt>
                <c:pt idx="490">
                  <c:v>0.97481762907500524</c:v>
                </c:pt>
                <c:pt idx="491">
                  <c:v>0.97670548315272754</c:v>
                </c:pt>
                <c:pt idx="492">
                  <c:v>0.98199003516765515</c:v>
                </c:pt>
                <c:pt idx="493">
                  <c:v>0.98709850867908244</c:v>
                </c:pt>
                <c:pt idx="494">
                  <c:v>0.98850967429189041</c:v>
                </c:pt>
                <c:pt idx="495">
                  <c:v>0.99360788871763361</c:v>
                </c:pt>
                <c:pt idx="496">
                  <c:v>0.99538104976727482</c:v>
                </c:pt>
                <c:pt idx="497">
                  <c:v>0.99694466763685341</c:v>
                </c:pt>
                <c:pt idx="498">
                  <c:v>0.99966575342386932</c:v>
                </c:pt>
                <c:pt idx="499">
                  <c:v>0.99982033155993122</c:v>
                </c:pt>
              </c:numCache>
            </c:numRef>
          </c:xVal>
          <c:yVal>
            <c:numRef>
              <c:f>SimData500!$L$509:$L$1008</c:f>
              <c:numCache>
                <c:formatCode>General</c:formatCode>
                <c:ptCount val="500"/>
                <c:pt idx="0">
                  <c:v>0</c:v>
                </c:pt>
                <c:pt idx="1">
                  <c:v>2.004008016032064E-3</c:v>
                </c:pt>
                <c:pt idx="2">
                  <c:v>4.0080160320641279E-3</c:v>
                </c:pt>
                <c:pt idx="3">
                  <c:v>6.0120240480961915E-3</c:v>
                </c:pt>
                <c:pt idx="4">
                  <c:v>8.0160320641282558E-3</c:v>
                </c:pt>
                <c:pt idx="5">
                  <c:v>1.002004008016032E-2</c:v>
                </c:pt>
                <c:pt idx="6">
                  <c:v>1.2024048096192385E-2</c:v>
                </c:pt>
                <c:pt idx="7">
                  <c:v>1.4028056112224449E-2</c:v>
                </c:pt>
                <c:pt idx="8">
                  <c:v>1.6032064128256512E-2</c:v>
                </c:pt>
                <c:pt idx="9">
                  <c:v>1.8036072144288574E-2</c:v>
                </c:pt>
                <c:pt idx="10">
                  <c:v>2.0040080160320637E-2</c:v>
                </c:pt>
                <c:pt idx="11">
                  <c:v>2.20440881763527E-2</c:v>
                </c:pt>
                <c:pt idx="12">
                  <c:v>2.4048096192384762E-2</c:v>
                </c:pt>
                <c:pt idx="13">
                  <c:v>2.6052104208416825E-2</c:v>
                </c:pt>
                <c:pt idx="14">
                  <c:v>2.8056112224448888E-2</c:v>
                </c:pt>
                <c:pt idx="15">
                  <c:v>3.006012024048095E-2</c:v>
                </c:pt>
                <c:pt idx="16">
                  <c:v>3.2064128256513016E-2</c:v>
                </c:pt>
                <c:pt idx="17">
                  <c:v>3.4068136272545083E-2</c:v>
                </c:pt>
                <c:pt idx="18">
                  <c:v>3.6072144288577149E-2</c:v>
                </c:pt>
                <c:pt idx="19">
                  <c:v>3.8076152304609215E-2</c:v>
                </c:pt>
                <c:pt idx="20">
                  <c:v>4.0080160320641281E-2</c:v>
                </c:pt>
                <c:pt idx="21">
                  <c:v>4.2084168336673347E-2</c:v>
                </c:pt>
                <c:pt idx="22">
                  <c:v>4.4088176352705413E-2</c:v>
                </c:pt>
                <c:pt idx="23">
                  <c:v>4.6092184368737479E-2</c:v>
                </c:pt>
                <c:pt idx="24">
                  <c:v>4.8096192384769546E-2</c:v>
                </c:pt>
                <c:pt idx="25">
                  <c:v>5.0100200400801612E-2</c:v>
                </c:pt>
                <c:pt idx="26">
                  <c:v>5.2104208416833678E-2</c:v>
                </c:pt>
                <c:pt idx="27">
                  <c:v>5.4108216432865744E-2</c:v>
                </c:pt>
                <c:pt idx="28">
                  <c:v>5.611222444889781E-2</c:v>
                </c:pt>
                <c:pt idx="29">
                  <c:v>5.8116232464929876E-2</c:v>
                </c:pt>
                <c:pt idx="30">
                  <c:v>6.0120240480961942E-2</c:v>
                </c:pt>
                <c:pt idx="31">
                  <c:v>6.2124248496994008E-2</c:v>
                </c:pt>
                <c:pt idx="32">
                  <c:v>6.4128256513026075E-2</c:v>
                </c:pt>
                <c:pt idx="33">
                  <c:v>6.6132264529058141E-2</c:v>
                </c:pt>
                <c:pt idx="34">
                  <c:v>6.8136272545090207E-2</c:v>
                </c:pt>
                <c:pt idx="35">
                  <c:v>7.0140280561122273E-2</c:v>
                </c:pt>
                <c:pt idx="36">
                  <c:v>7.2144288577154339E-2</c:v>
                </c:pt>
                <c:pt idx="37">
                  <c:v>7.4148296593186405E-2</c:v>
                </c:pt>
                <c:pt idx="38">
                  <c:v>7.6152304609218471E-2</c:v>
                </c:pt>
                <c:pt idx="39">
                  <c:v>7.8156312625250537E-2</c:v>
                </c:pt>
                <c:pt idx="40">
                  <c:v>8.0160320641282604E-2</c:v>
                </c:pt>
                <c:pt idx="41">
                  <c:v>8.216432865731467E-2</c:v>
                </c:pt>
                <c:pt idx="42">
                  <c:v>8.4168336673346736E-2</c:v>
                </c:pt>
                <c:pt idx="43">
                  <c:v>8.6172344689378802E-2</c:v>
                </c:pt>
                <c:pt idx="44">
                  <c:v>8.8176352705410868E-2</c:v>
                </c:pt>
                <c:pt idx="45">
                  <c:v>9.0180360721442934E-2</c:v>
                </c:pt>
                <c:pt idx="46">
                  <c:v>9.2184368737475E-2</c:v>
                </c:pt>
                <c:pt idx="47">
                  <c:v>9.4188376753507067E-2</c:v>
                </c:pt>
                <c:pt idx="48">
                  <c:v>9.6192384769539133E-2</c:v>
                </c:pt>
                <c:pt idx="49">
                  <c:v>9.8196392785571199E-2</c:v>
                </c:pt>
                <c:pt idx="50">
                  <c:v>0.10020040080160326</c:v>
                </c:pt>
                <c:pt idx="51">
                  <c:v>0.10220440881763533</c:v>
                </c:pt>
                <c:pt idx="52">
                  <c:v>0.1042084168336674</c:v>
                </c:pt>
                <c:pt idx="53">
                  <c:v>0.10621242484969946</c:v>
                </c:pt>
                <c:pt idx="54">
                  <c:v>0.10821643286573153</c:v>
                </c:pt>
                <c:pt idx="55">
                  <c:v>0.1102204408817636</c:v>
                </c:pt>
                <c:pt idx="56">
                  <c:v>0.11222444889779566</c:v>
                </c:pt>
                <c:pt idx="57">
                  <c:v>0.11422845691382773</c:v>
                </c:pt>
                <c:pt idx="58">
                  <c:v>0.11623246492985979</c:v>
                </c:pt>
                <c:pt idx="59">
                  <c:v>0.11823647294589186</c:v>
                </c:pt>
                <c:pt idx="60">
                  <c:v>0.12024048096192393</c:v>
                </c:pt>
                <c:pt idx="61">
                  <c:v>0.12224448897795599</c:v>
                </c:pt>
                <c:pt idx="62">
                  <c:v>0.12424849699398806</c:v>
                </c:pt>
                <c:pt idx="63">
                  <c:v>0.12625250501002011</c:v>
                </c:pt>
                <c:pt idx="64">
                  <c:v>0.12825651302605218</c:v>
                </c:pt>
                <c:pt idx="65">
                  <c:v>0.13026052104208424</c:v>
                </c:pt>
                <c:pt idx="66">
                  <c:v>0.13226452905811631</c:v>
                </c:pt>
                <c:pt idx="67">
                  <c:v>0.13426853707414838</c:v>
                </c:pt>
                <c:pt idx="68">
                  <c:v>0.13627254509018044</c:v>
                </c:pt>
                <c:pt idx="69">
                  <c:v>0.13827655310621251</c:v>
                </c:pt>
                <c:pt idx="70">
                  <c:v>0.14028056112224457</c:v>
                </c:pt>
                <c:pt idx="71">
                  <c:v>0.14228456913827664</c:v>
                </c:pt>
                <c:pt idx="72">
                  <c:v>0.14428857715430871</c:v>
                </c:pt>
                <c:pt idx="73">
                  <c:v>0.14629258517034077</c:v>
                </c:pt>
                <c:pt idx="74">
                  <c:v>0.14829659318637284</c:v>
                </c:pt>
                <c:pt idx="75">
                  <c:v>0.1503006012024049</c:v>
                </c:pt>
                <c:pt idx="76">
                  <c:v>0.15230460921843697</c:v>
                </c:pt>
                <c:pt idx="77">
                  <c:v>0.15430861723446904</c:v>
                </c:pt>
                <c:pt idx="78">
                  <c:v>0.1563126252505011</c:v>
                </c:pt>
                <c:pt idx="79">
                  <c:v>0.15831663326653317</c:v>
                </c:pt>
                <c:pt idx="80">
                  <c:v>0.16032064128256523</c:v>
                </c:pt>
                <c:pt idx="81">
                  <c:v>0.1623246492985973</c:v>
                </c:pt>
                <c:pt idx="82">
                  <c:v>0.16432865731462937</c:v>
                </c:pt>
                <c:pt idx="83">
                  <c:v>0.16633266533066143</c:v>
                </c:pt>
                <c:pt idx="84">
                  <c:v>0.1683366733466935</c:v>
                </c:pt>
                <c:pt idx="85">
                  <c:v>0.17034068136272557</c:v>
                </c:pt>
                <c:pt idx="86">
                  <c:v>0.17234468937875763</c:v>
                </c:pt>
                <c:pt idx="87">
                  <c:v>0.1743486973947897</c:v>
                </c:pt>
                <c:pt idx="88">
                  <c:v>0.17635270541082176</c:v>
                </c:pt>
                <c:pt idx="89">
                  <c:v>0.17835671342685383</c:v>
                </c:pt>
                <c:pt idx="90">
                  <c:v>0.1803607214428859</c:v>
                </c:pt>
                <c:pt idx="91">
                  <c:v>0.18236472945891796</c:v>
                </c:pt>
                <c:pt idx="92">
                  <c:v>0.18436873747495003</c:v>
                </c:pt>
                <c:pt idx="93">
                  <c:v>0.18637274549098209</c:v>
                </c:pt>
                <c:pt idx="94">
                  <c:v>0.18837675350701416</c:v>
                </c:pt>
                <c:pt idx="95">
                  <c:v>0.19038076152304623</c:v>
                </c:pt>
                <c:pt idx="96">
                  <c:v>0.19238476953907829</c:v>
                </c:pt>
                <c:pt idx="97">
                  <c:v>0.19438877755511036</c:v>
                </c:pt>
                <c:pt idx="98">
                  <c:v>0.19639278557114243</c:v>
                </c:pt>
                <c:pt idx="99">
                  <c:v>0.19839679358717449</c:v>
                </c:pt>
                <c:pt idx="100">
                  <c:v>0.20040080160320656</c:v>
                </c:pt>
                <c:pt idx="101">
                  <c:v>0.20240480961923862</c:v>
                </c:pt>
                <c:pt idx="102">
                  <c:v>0.20440881763527069</c:v>
                </c:pt>
                <c:pt idx="103">
                  <c:v>0.20641282565130276</c:v>
                </c:pt>
                <c:pt idx="104">
                  <c:v>0.20841683366733482</c:v>
                </c:pt>
                <c:pt idx="105">
                  <c:v>0.21042084168336689</c:v>
                </c:pt>
                <c:pt idx="106">
                  <c:v>0.21242484969939895</c:v>
                </c:pt>
                <c:pt idx="107">
                  <c:v>0.21442885771543102</c:v>
                </c:pt>
                <c:pt idx="108">
                  <c:v>0.21643286573146309</c:v>
                </c:pt>
                <c:pt idx="109">
                  <c:v>0.21843687374749515</c:v>
                </c:pt>
                <c:pt idx="110">
                  <c:v>0.22044088176352722</c:v>
                </c:pt>
                <c:pt idx="111">
                  <c:v>0.22244488977955928</c:v>
                </c:pt>
                <c:pt idx="112">
                  <c:v>0.22444889779559135</c:v>
                </c:pt>
                <c:pt idx="113">
                  <c:v>0.22645290581162342</c:v>
                </c:pt>
                <c:pt idx="114">
                  <c:v>0.22845691382765548</c:v>
                </c:pt>
                <c:pt idx="115">
                  <c:v>0.23046092184368755</c:v>
                </c:pt>
                <c:pt idx="116">
                  <c:v>0.23246492985971962</c:v>
                </c:pt>
                <c:pt idx="117">
                  <c:v>0.23446893787575168</c:v>
                </c:pt>
                <c:pt idx="118">
                  <c:v>0.23647294589178375</c:v>
                </c:pt>
                <c:pt idx="119">
                  <c:v>0.23847695390781581</c:v>
                </c:pt>
                <c:pt idx="120">
                  <c:v>0.24048096192384788</c:v>
                </c:pt>
                <c:pt idx="121">
                  <c:v>0.24248496993987995</c:v>
                </c:pt>
                <c:pt idx="122">
                  <c:v>0.24448897795591201</c:v>
                </c:pt>
                <c:pt idx="123">
                  <c:v>0.24649298597194408</c:v>
                </c:pt>
                <c:pt idx="124">
                  <c:v>0.24849699398797614</c:v>
                </c:pt>
                <c:pt idx="125">
                  <c:v>0.25050100200400821</c:v>
                </c:pt>
                <c:pt idx="126">
                  <c:v>0.25250501002004028</c:v>
                </c:pt>
                <c:pt idx="127">
                  <c:v>0.25450901803607234</c:v>
                </c:pt>
                <c:pt idx="128">
                  <c:v>0.25651302605210441</c:v>
                </c:pt>
                <c:pt idx="129">
                  <c:v>0.25851703406813648</c:v>
                </c:pt>
                <c:pt idx="130">
                  <c:v>0.26052104208416854</c:v>
                </c:pt>
                <c:pt idx="131">
                  <c:v>0.26252505010020061</c:v>
                </c:pt>
                <c:pt idx="132">
                  <c:v>0.26452905811623267</c:v>
                </c:pt>
                <c:pt idx="133">
                  <c:v>0.26653306613226474</c:v>
                </c:pt>
                <c:pt idx="134">
                  <c:v>0.26853707414829681</c:v>
                </c:pt>
                <c:pt idx="135">
                  <c:v>0.27054108216432887</c:v>
                </c:pt>
                <c:pt idx="136">
                  <c:v>0.27254509018036094</c:v>
                </c:pt>
                <c:pt idx="137">
                  <c:v>0.274549098196393</c:v>
                </c:pt>
                <c:pt idx="138">
                  <c:v>0.27655310621242507</c:v>
                </c:pt>
                <c:pt idx="139">
                  <c:v>0.27855711422845714</c:v>
                </c:pt>
                <c:pt idx="140">
                  <c:v>0.2805611222444892</c:v>
                </c:pt>
                <c:pt idx="141">
                  <c:v>0.28256513026052127</c:v>
                </c:pt>
                <c:pt idx="142">
                  <c:v>0.28456913827655334</c:v>
                </c:pt>
                <c:pt idx="143">
                  <c:v>0.2865731462925854</c:v>
                </c:pt>
                <c:pt idx="144">
                  <c:v>0.28857715430861747</c:v>
                </c:pt>
                <c:pt idx="145">
                  <c:v>0.29058116232464953</c:v>
                </c:pt>
                <c:pt idx="146">
                  <c:v>0.2925851703406816</c:v>
                </c:pt>
                <c:pt idx="147">
                  <c:v>0.29458917835671367</c:v>
                </c:pt>
                <c:pt idx="148">
                  <c:v>0.29659318637274573</c:v>
                </c:pt>
                <c:pt idx="149">
                  <c:v>0.2985971943887778</c:v>
                </c:pt>
                <c:pt idx="150">
                  <c:v>0.30060120240480986</c:v>
                </c:pt>
                <c:pt idx="151">
                  <c:v>0.30260521042084193</c:v>
                </c:pt>
                <c:pt idx="152">
                  <c:v>0.304609218436874</c:v>
                </c:pt>
                <c:pt idx="153">
                  <c:v>0.30661322645290606</c:v>
                </c:pt>
                <c:pt idx="154">
                  <c:v>0.30861723446893813</c:v>
                </c:pt>
                <c:pt idx="155">
                  <c:v>0.31062124248497019</c:v>
                </c:pt>
                <c:pt idx="156">
                  <c:v>0.31262525050100226</c:v>
                </c:pt>
                <c:pt idx="157">
                  <c:v>0.31462925851703433</c:v>
                </c:pt>
                <c:pt idx="158">
                  <c:v>0.31663326653306639</c:v>
                </c:pt>
                <c:pt idx="159">
                  <c:v>0.31863727454909846</c:v>
                </c:pt>
                <c:pt idx="160">
                  <c:v>0.32064128256513053</c:v>
                </c:pt>
                <c:pt idx="161">
                  <c:v>0.32264529058116259</c:v>
                </c:pt>
                <c:pt idx="162">
                  <c:v>0.32464929859719466</c:v>
                </c:pt>
                <c:pt idx="163">
                  <c:v>0.32665330661322672</c:v>
                </c:pt>
                <c:pt idx="164">
                  <c:v>0.32865731462925879</c:v>
                </c:pt>
                <c:pt idx="165">
                  <c:v>0.33066132264529086</c:v>
                </c:pt>
                <c:pt idx="166">
                  <c:v>0.33266533066132292</c:v>
                </c:pt>
                <c:pt idx="167">
                  <c:v>0.33466933867735499</c:v>
                </c:pt>
                <c:pt idx="168">
                  <c:v>0.33667334669338705</c:v>
                </c:pt>
                <c:pt idx="169">
                  <c:v>0.33867735470941912</c:v>
                </c:pt>
                <c:pt idx="170">
                  <c:v>0.34068136272545119</c:v>
                </c:pt>
                <c:pt idx="171">
                  <c:v>0.34268537074148325</c:v>
                </c:pt>
                <c:pt idx="172">
                  <c:v>0.34468937875751532</c:v>
                </c:pt>
                <c:pt idx="173">
                  <c:v>0.34669338677354739</c:v>
                </c:pt>
                <c:pt idx="174">
                  <c:v>0.34869739478957945</c:v>
                </c:pt>
                <c:pt idx="175">
                  <c:v>0.35070140280561152</c:v>
                </c:pt>
                <c:pt idx="176">
                  <c:v>0.35270541082164358</c:v>
                </c:pt>
                <c:pt idx="177">
                  <c:v>0.35470941883767565</c:v>
                </c:pt>
                <c:pt idx="178">
                  <c:v>0.35671342685370772</c:v>
                </c:pt>
                <c:pt idx="179">
                  <c:v>0.35871743486973978</c:v>
                </c:pt>
                <c:pt idx="180">
                  <c:v>0.36072144288577185</c:v>
                </c:pt>
                <c:pt idx="181">
                  <c:v>0.36272545090180391</c:v>
                </c:pt>
                <c:pt idx="182">
                  <c:v>0.36472945891783598</c:v>
                </c:pt>
                <c:pt idx="183">
                  <c:v>0.36673346693386805</c:v>
                </c:pt>
                <c:pt idx="184">
                  <c:v>0.36873747494990011</c:v>
                </c:pt>
                <c:pt idx="185">
                  <c:v>0.37074148296593218</c:v>
                </c:pt>
                <c:pt idx="186">
                  <c:v>0.37274549098196424</c:v>
                </c:pt>
                <c:pt idx="187">
                  <c:v>0.37474949899799631</c:v>
                </c:pt>
                <c:pt idx="188">
                  <c:v>0.37675350701402838</c:v>
                </c:pt>
                <c:pt idx="189">
                  <c:v>0.37875751503006044</c:v>
                </c:pt>
                <c:pt idx="190">
                  <c:v>0.38076152304609251</c:v>
                </c:pt>
                <c:pt idx="191">
                  <c:v>0.38276553106212458</c:v>
                </c:pt>
                <c:pt idx="192">
                  <c:v>0.38476953907815664</c:v>
                </c:pt>
                <c:pt idx="193">
                  <c:v>0.38677354709418871</c:v>
                </c:pt>
                <c:pt idx="194">
                  <c:v>0.38877755511022077</c:v>
                </c:pt>
                <c:pt idx="195">
                  <c:v>0.39078156312625284</c:v>
                </c:pt>
                <c:pt idx="196">
                  <c:v>0.39278557114228491</c:v>
                </c:pt>
                <c:pt idx="197">
                  <c:v>0.39478957915831697</c:v>
                </c:pt>
                <c:pt idx="198">
                  <c:v>0.39679358717434904</c:v>
                </c:pt>
                <c:pt idx="199">
                  <c:v>0.3987975951903811</c:v>
                </c:pt>
                <c:pt idx="200">
                  <c:v>0.40080160320641317</c:v>
                </c:pt>
                <c:pt idx="201">
                  <c:v>0.40280561122244524</c:v>
                </c:pt>
                <c:pt idx="202">
                  <c:v>0.4048096192384773</c:v>
                </c:pt>
                <c:pt idx="203">
                  <c:v>0.40681362725450937</c:v>
                </c:pt>
                <c:pt idx="204">
                  <c:v>0.40881763527054144</c:v>
                </c:pt>
                <c:pt idx="205">
                  <c:v>0.4108216432865735</c:v>
                </c:pt>
                <c:pt idx="206">
                  <c:v>0.41282565130260557</c:v>
                </c:pt>
                <c:pt idx="207">
                  <c:v>0.41482965931863763</c:v>
                </c:pt>
                <c:pt idx="208">
                  <c:v>0.4168336673346697</c:v>
                </c:pt>
                <c:pt idx="209">
                  <c:v>0.41883767535070177</c:v>
                </c:pt>
                <c:pt idx="210">
                  <c:v>0.42084168336673383</c:v>
                </c:pt>
                <c:pt idx="211">
                  <c:v>0.4228456913827659</c:v>
                </c:pt>
                <c:pt idx="212">
                  <c:v>0.42484969939879796</c:v>
                </c:pt>
                <c:pt idx="213">
                  <c:v>0.42685370741483003</c:v>
                </c:pt>
                <c:pt idx="214">
                  <c:v>0.4288577154308621</c:v>
                </c:pt>
                <c:pt idx="215">
                  <c:v>0.43086172344689416</c:v>
                </c:pt>
                <c:pt idx="216">
                  <c:v>0.43286573146292623</c:v>
                </c:pt>
                <c:pt idx="217">
                  <c:v>0.43486973947895829</c:v>
                </c:pt>
                <c:pt idx="218">
                  <c:v>0.43687374749499036</c:v>
                </c:pt>
                <c:pt idx="219">
                  <c:v>0.43887775551102243</c:v>
                </c:pt>
                <c:pt idx="220">
                  <c:v>0.44088176352705449</c:v>
                </c:pt>
                <c:pt idx="221">
                  <c:v>0.44288577154308656</c:v>
                </c:pt>
                <c:pt idx="222">
                  <c:v>0.44488977955911863</c:v>
                </c:pt>
                <c:pt idx="223">
                  <c:v>0.44689378757515069</c:v>
                </c:pt>
                <c:pt idx="224">
                  <c:v>0.44889779559118276</c:v>
                </c:pt>
                <c:pt idx="225">
                  <c:v>0.45090180360721482</c:v>
                </c:pt>
                <c:pt idx="226">
                  <c:v>0.45290581162324689</c:v>
                </c:pt>
                <c:pt idx="227">
                  <c:v>0.45490981963927896</c:v>
                </c:pt>
                <c:pt idx="228">
                  <c:v>0.45691382765531102</c:v>
                </c:pt>
                <c:pt idx="229">
                  <c:v>0.45891783567134309</c:v>
                </c:pt>
                <c:pt idx="230">
                  <c:v>0.46092184368737515</c:v>
                </c:pt>
                <c:pt idx="231">
                  <c:v>0.46292585170340722</c:v>
                </c:pt>
                <c:pt idx="232">
                  <c:v>0.46492985971943929</c:v>
                </c:pt>
                <c:pt idx="233">
                  <c:v>0.46693386773547135</c:v>
                </c:pt>
                <c:pt idx="234">
                  <c:v>0.46893787575150342</c:v>
                </c:pt>
                <c:pt idx="235">
                  <c:v>0.47094188376753549</c:v>
                </c:pt>
                <c:pt idx="236">
                  <c:v>0.47294589178356755</c:v>
                </c:pt>
                <c:pt idx="237">
                  <c:v>0.47494989979959962</c:v>
                </c:pt>
                <c:pt idx="238">
                  <c:v>0.47695390781563168</c:v>
                </c:pt>
                <c:pt idx="239">
                  <c:v>0.47895791583166375</c:v>
                </c:pt>
                <c:pt idx="240">
                  <c:v>0.48096192384769582</c:v>
                </c:pt>
                <c:pt idx="241">
                  <c:v>0.48296593186372788</c:v>
                </c:pt>
                <c:pt idx="242">
                  <c:v>0.48496993987975995</c:v>
                </c:pt>
                <c:pt idx="243">
                  <c:v>0.48697394789579201</c:v>
                </c:pt>
                <c:pt idx="244">
                  <c:v>0.48897795591182408</c:v>
                </c:pt>
                <c:pt idx="245">
                  <c:v>0.49098196392785615</c:v>
                </c:pt>
                <c:pt idx="246">
                  <c:v>0.49298597194388821</c:v>
                </c:pt>
                <c:pt idx="247">
                  <c:v>0.49498997995992028</c:v>
                </c:pt>
                <c:pt idx="248">
                  <c:v>0.49699398797595234</c:v>
                </c:pt>
                <c:pt idx="249">
                  <c:v>0.49899799599198441</c:v>
                </c:pt>
                <c:pt idx="250">
                  <c:v>0.50100200400801642</c:v>
                </c:pt>
                <c:pt idx="251">
                  <c:v>0.50300601202404849</c:v>
                </c:pt>
                <c:pt idx="252">
                  <c:v>0.50501002004008055</c:v>
                </c:pt>
                <c:pt idx="253">
                  <c:v>0.50701402805611262</c:v>
                </c:pt>
                <c:pt idx="254">
                  <c:v>0.50901803607214469</c:v>
                </c:pt>
                <c:pt idx="255">
                  <c:v>0.51102204408817675</c:v>
                </c:pt>
                <c:pt idx="256">
                  <c:v>0.51302605210420882</c:v>
                </c:pt>
                <c:pt idx="257">
                  <c:v>0.51503006012024088</c:v>
                </c:pt>
                <c:pt idx="258">
                  <c:v>0.51703406813627295</c:v>
                </c:pt>
                <c:pt idx="259">
                  <c:v>0.51903807615230502</c:v>
                </c:pt>
                <c:pt idx="260">
                  <c:v>0.52104208416833708</c:v>
                </c:pt>
                <c:pt idx="261">
                  <c:v>0.52304609218436915</c:v>
                </c:pt>
                <c:pt idx="262">
                  <c:v>0.52505010020040122</c:v>
                </c:pt>
                <c:pt idx="263">
                  <c:v>0.52705410821643328</c:v>
                </c:pt>
                <c:pt idx="264">
                  <c:v>0.52905811623246535</c:v>
                </c:pt>
                <c:pt idx="265">
                  <c:v>0.53106212424849741</c:v>
                </c:pt>
                <c:pt idx="266">
                  <c:v>0.53306613226452948</c:v>
                </c:pt>
                <c:pt idx="267">
                  <c:v>0.53507014028056155</c:v>
                </c:pt>
                <c:pt idx="268">
                  <c:v>0.53707414829659361</c:v>
                </c:pt>
                <c:pt idx="269">
                  <c:v>0.53907815631262568</c:v>
                </c:pt>
                <c:pt idx="270">
                  <c:v>0.54108216432865774</c:v>
                </c:pt>
                <c:pt idx="271">
                  <c:v>0.54308617234468981</c:v>
                </c:pt>
                <c:pt idx="272">
                  <c:v>0.54509018036072188</c:v>
                </c:pt>
                <c:pt idx="273">
                  <c:v>0.54709418837675394</c:v>
                </c:pt>
                <c:pt idx="274">
                  <c:v>0.54909819639278601</c:v>
                </c:pt>
                <c:pt idx="275">
                  <c:v>0.55110220440881807</c:v>
                </c:pt>
                <c:pt idx="276">
                  <c:v>0.55310621242485014</c:v>
                </c:pt>
                <c:pt idx="277">
                  <c:v>0.55511022044088221</c:v>
                </c:pt>
                <c:pt idx="278">
                  <c:v>0.55711422845691427</c:v>
                </c:pt>
                <c:pt idx="279">
                  <c:v>0.55911823647294634</c:v>
                </c:pt>
                <c:pt idx="280">
                  <c:v>0.56112224448897841</c:v>
                </c:pt>
                <c:pt idx="281">
                  <c:v>0.56312625250501047</c:v>
                </c:pt>
                <c:pt idx="282">
                  <c:v>0.56513026052104254</c:v>
                </c:pt>
                <c:pt idx="283">
                  <c:v>0.5671342685370746</c:v>
                </c:pt>
                <c:pt idx="284">
                  <c:v>0.56913827655310667</c:v>
                </c:pt>
                <c:pt idx="285">
                  <c:v>0.57114228456913874</c:v>
                </c:pt>
                <c:pt idx="286">
                  <c:v>0.5731462925851708</c:v>
                </c:pt>
                <c:pt idx="287">
                  <c:v>0.57515030060120287</c:v>
                </c:pt>
                <c:pt idx="288">
                  <c:v>0.57715430861723493</c:v>
                </c:pt>
                <c:pt idx="289">
                  <c:v>0.579158316633267</c:v>
                </c:pt>
                <c:pt idx="290">
                  <c:v>0.58116232464929907</c:v>
                </c:pt>
                <c:pt idx="291">
                  <c:v>0.58316633266533113</c:v>
                </c:pt>
                <c:pt idx="292">
                  <c:v>0.5851703406813632</c:v>
                </c:pt>
                <c:pt idx="293">
                  <c:v>0.58717434869739527</c:v>
                </c:pt>
                <c:pt idx="294">
                  <c:v>0.58917835671342733</c:v>
                </c:pt>
                <c:pt idx="295">
                  <c:v>0.5911823647294594</c:v>
                </c:pt>
                <c:pt idx="296">
                  <c:v>0.59318637274549146</c:v>
                </c:pt>
                <c:pt idx="297">
                  <c:v>0.59519038076152353</c:v>
                </c:pt>
                <c:pt idx="298">
                  <c:v>0.5971943887775556</c:v>
                </c:pt>
                <c:pt idx="299">
                  <c:v>0.59919839679358766</c:v>
                </c:pt>
                <c:pt idx="300">
                  <c:v>0.60120240480961973</c:v>
                </c:pt>
                <c:pt idx="301">
                  <c:v>0.60320641282565179</c:v>
                </c:pt>
                <c:pt idx="302">
                  <c:v>0.60521042084168386</c:v>
                </c:pt>
                <c:pt idx="303">
                  <c:v>0.60721442885771593</c:v>
                </c:pt>
                <c:pt idx="304">
                  <c:v>0.60921843687374799</c:v>
                </c:pt>
                <c:pt idx="305">
                  <c:v>0.61122244488978006</c:v>
                </c:pt>
                <c:pt idx="306">
                  <c:v>0.61322645290581212</c:v>
                </c:pt>
                <c:pt idx="307">
                  <c:v>0.61523046092184419</c:v>
                </c:pt>
                <c:pt idx="308">
                  <c:v>0.61723446893787626</c:v>
                </c:pt>
                <c:pt idx="309">
                  <c:v>0.61923847695390832</c:v>
                </c:pt>
                <c:pt idx="310">
                  <c:v>0.62124248496994039</c:v>
                </c:pt>
                <c:pt idx="311">
                  <c:v>0.62324649298597246</c:v>
                </c:pt>
                <c:pt idx="312">
                  <c:v>0.62525050100200452</c:v>
                </c:pt>
                <c:pt idx="313">
                  <c:v>0.62725450901803659</c:v>
                </c:pt>
                <c:pt idx="314">
                  <c:v>0.62925851703406865</c:v>
                </c:pt>
                <c:pt idx="315">
                  <c:v>0.63126252505010072</c:v>
                </c:pt>
                <c:pt idx="316">
                  <c:v>0.63326653306613279</c:v>
                </c:pt>
                <c:pt idx="317">
                  <c:v>0.63527054108216485</c:v>
                </c:pt>
                <c:pt idx="318">
                  <c:v>0.63727454909819692</c:v>
                </c:pt>
                <c:pt idx="319">
                  <c:v>0.63927855711422898</c:v>
                </c:pt>
                <c:pt idx="320">
                  <c:v>0.64128256513026105</c:v>
                </c:pt>
                <c:pt idx="321">
                  <c:v>0.64328657314629312</c:v>
                </c:pt>
                <c:pt idx="322">
                  <c:v>0.64529058116232518</c:v>
                </c:pt>
                <c:pt idx="323">
                  <c:v>0.64729458917835725</c:v>
                </c:pt>
                <c:pt idx="324">
                  <c:v>0.64929859719438932</c:v>
                </c:pt>
                <c:pt idx="325">
                  <c:v>0.65130260521042138</c:v>
                </c:pt>
                <c:pt idx="326">
                  <c:v>0.65330661322645345</c:v>
                </c:pt>
                <c:pt idx="327">
                  <c:v>0.65531062124248551</c:v>
                </c:pt>
                <c:pt idx="328">
                  <c:v>0.65731462925851758</c:v>
                </c:pt>
                <c:pt idx="329">
                  <c:v>0.65931863727454965</c:v>
                </c:pt>
                <c:pt idx="330">
                  <c:v>0.66132264529058171</c:v>
                </c:pt>
                <c:pt idx="331">
                  <c:v>0.66332665330661378</c:v>
                </c:pt>
                <c:pt idx="332">
                  <c:v>0.66533066132264584</c:v>
                </c:pt>
                <c:pt idx="333">
                  <c:v>0.66733466933867791</c:v>
                </c:pt>
                <c:pt idx="334">
                  <c:v>0.66933867735470998</c:v>
                </c:pt>
                <c:pt idx="335">
                  <c:v>0.67134268537074204</c:v>
                </c:pt>
                <c:pt idx="336">
                  <c:v>0.67334669338677411</c:v>
                </c:pt>
                <c:pt idx="337">
                  <c:v>0.67535070140280618</c:v>
                </c:pt>
                <c:pt idx="338">
                  <c:v>0.67735470941883824</c:v>
                </c:pt>
                <c:pt idx="339">
                  <c:v>0.67935871743487031</c:v>
                </c:pt>
                <c:pt idx="340">
                  <c:v>0.68136272545090237</c:v>
                </c:pt>
                <c:pt idx="341">
                  <c:v>0.68336673346693444</c:v>
                </c:pt>
                <c:pt idx="342">
                  <c:v>0.68537074148296651</c:v>
                </c:pt>
                <c:pt idx="343">
                  <c:v>0.68737474949899857</c:v>
                </c:pt>
                <c:pt idx="344">
                  <c:v>0.68937875751503064</c:v>
                </c:pt>
                <c:pt idx="345">
                  <c:v>0.6913827655310627</c:v>
                </c:pt>
                <c:pt idx="346">
                  <c:v>0.69338677354709477</c:v>
                </c:pt>
                <c:pt idx="347">
                  <c:v>0.69539078156312684</c:v>
                </c:pt>
                <c:pt idx="348">
                  <c:v>0.6973947895791589</c:v>
                </c:pt>
                <c:pt idx="349">
                  <c:v>0.69939879759519097</c:v>
                </c:pt>
                <c:pt idx="350">
                  <c:v>0.70140280561122303</c:v>
                </c:pt>
                <c:pt idx="351">
                  <c:v>0.7034068136272551</c:v>
                </c:pt>
                <c:pt idx="352">
                  <c:v>0.70541082164328717</c:v>
                </c:pt>
                <c:pt idx="353">
                  <c:v>0.70741482965931923</c:v>
                </c:pt>
                <c:pt idx="354">
                  <c:v>0.7094188376753513</c:v>
                </c:pt>
                <c:pt idx="355">
                  <c:v>0.71142284569138337</c:v>
                </c:pt>
                <c:pt idx="356">
                  <c:v>0.71342685370741543</c:v>
                </c:pt>
                <c:pt idx="357">
                  <c:v>0.7154308617234475</c:v>
                </c:pt>
                <c:pt idx="358">
                  <c:v>0.71743486973947956</c:v>
                </c:pt>
                <c:pt idx="359">
                  <c:v>0.71943887775551163</c:v>
                </c:pt>
                <c:pt idx="360">
                  <c:v>0.7214428857715437</c:v>
                </c:pt>
                <c:pt idx="361">
                  <c:v>0.72344689378757576</c:v>
                </c:pt>
                <c:pt idx="362">
                  <c:v>0.72545090180360783</c:v>
                </c:pt>
                <c:pt idx="363">
                  <c:v>0.72745490981963989</c:v>
                </c:pt>
                <c:pt idx="364">
                  <c:v>0.72945891783567196</c:v>
                </c:pt>
                <c:pt idx="365">
                  <c:v>0.73146292585170403</c:v>
                </c:pt>
                <c:pt idx="366">
                  <c:v>0.73346693386773609</c:v>
                </c:pt>
                <c:pt idx="367">
                  <c:v>0.73547094188376816</c:v>
                </c:pt>
                <c:pt idx="368">
                  <c:v>0.73747494989980023</c:v>
                </c:pt>
                <c:pt idx="369">
                  <c:v>0.73947895791583229</c:v>
                </c:pt>
                <c:pt idx="370">
                  <c:v>0.74148296593186436</c:v>
                </c:pt>
                <c:pt idx="371">
                  <c:v>0.74348697394789642</c:v>
                </c:pt>
                <c:pt idx="372">
                  <c:v>0.74549098196392849</c:v>
                </c:pt>
                <c:pt idx="373">
                  <c:v>0.74749498997996056</c:v>
                </c:pt>
                <c:pt idx="374">
                  <c:v>0.74949899799599262</c:v>
                </c:pt>
                <c:pt idx="375">
                  <c:v>0.75150300601202469</c:v>
                </c:pt>
                <c:pt idx="376">
                  <c:v>0.75350701402805675</c:v>
                </c:pt>
                <c:pt idx="377">
                  <c:v>0.75551102204408882</c:v>
                </c:pt>
                <c:pt idx="378">
                  <c:v>0.75751503006012089</c:v>
                </c:pt>
                <c:pt idx="379">
                  <c:v>0.75951903807615295</c:v>
                </c:pt>
                <c:pt idx="380">
                  <c:v>0.76152304609218502</c:v>
                </c:pt>
                <c:pt idx="381">
                  <c:v>0.76352705410821708</c:v>
                </c:pt>
                <c:pt idx="382">
                  <c:v>0.76553106212424915</c:v>
                </c:pt>
                <c:pt idx="383">
                  <c:v>0.76753507014028122</c:v>
                </c:pt>
                <c:pt idx="384">
                  <c:v>0.76953907815631328</c:v>
                </c:pt>
                <c:pt idx="385">
                  <c:v>0.77154308617234535</c:v>
                </c:pt>
                <c:pt idx="386">
                  <c:v>0.77354709418837742</c:v>
                </c:pt>
                <c:pt idx="387">
                  <c:v>0.77555110220440948</c:v>
                </c:pt>
                <c:pt idx="388">
                  <c:v>0.77755511022044155</c:v>
                </c:pt>
                <c:pt idx="389">
                  <c:v>0.77955911823647361</c:v>
                </c:pt>
                <c:pt idx="390">
                  <c:v>0.78156312625250568</c:v>
                </c:pt>
                <c:pt idx="391">
                  <c:v>0.78356713426853775</c:v>
                </c:pt>
                <c:pt idx="392">
                  <c:v>0.78557114228456981</c:v>
                </c:pt>
                <c:pt idx="393">
                  <c:v>0.78757515030060188</c:v>
                </c:pt>
                <c:pt idx="394">
                  <c:v>0.78957915831663394</c:v>
                </c:pt>
                <c:pt idx="395">
                  <c:v>0.79158316633266601</c:v>
                </c:pt>
                <c:pt idx="396">
                  <c:v>0.79358717434869808</c:v>
                </c:pt>
                <c:pt idx="397">
                  <c:v>0.79559118236473014</c:v>
                </c:pt>
                <c:pt idx="398">
                  <c:v>0.79759519038076221</c:v>
                </c:pt>
                <c:pt idx="399">
                  <c:v>0.79959919839679428</c:v>
                </c:pt>
                <c:pt idx="400">
                  <c:v>0.80160320641282634</c:v>
                </c:pt>
                <c:pt idx="401">
                  <c:v>0.80360721442885841</c:v>
                </c:pt>
                <c:pt idx="402">
                  <c:v>0.80561122244489047</c:v>
                </c:pt>
                <c:pt idx="403">
                  <c:v>0.80761523046092254</c:v>
                </c:pt>
                <c:pt idx="404">
                  <c:v>0.80961923847695461</c:v>
                </c:pt>
                <c:pt idx="405">
                  <c:v>0.81162324649298667</c:v>
                </c:pt>
                <c:pt idx="406">
                  <c:v>0.81362725450901874</c:v>
                </c:pt>
                <c:pt idx="407">
                  <c:v>0.8156312625250508</c:v>
                </c:pt>
                <c:pt idx="408">
                  <c:v>0.81763527054108287</c:v>
                </c:pt>
                <c:pt idx="409">
                  <c:v>0.81963927855711494</c:v>
                </c:pt>
                <c:pt idx="410">
                  <c:v>0.821643286573147</c:v>
                </c:pt>
                <c:pt idx="411">
                  <c:v>0.82364729458917907</c:v>
                </c:pt>
                <c:pt idx="412">
                  <c:v>0.82565130260521113</c:v>
                </c:pt>
                <c:pt idx="413">
                  <c:v>0.8276553106212432</c:v>
                </c:pt>
                <c:pt idx="414">
                  <c:v>0.82965931863727527</c:v>
                </c:pt>
                <c:pt idx="415">
                  <c:v>0.83166332665330733</c:v>
                </c:pt>
                <c:pt idx="416">
                  <c:v>0.8336673346693394</c:v>
                </c:pt>
                <c:pt idx="417">
                  <c:v>0.83567134268537147</c:v>
                </c:pt>
                <c:pt idx="418">
                  <c:v>0.83767535070140353</c:v>
                </c:pt>
                <c:pt idx="419">
                  <c:v>0.8396793587174356</c:v>
                </c:pt>
                <c:pt idx="420">
                  <c:v>0.84168336673346766</c:v>
                </c:pt>
                <c:pt idx="421">
                  <c:v>0.84368737474949973</c:v>
                </c:pt>
                <c:pt idx="422">
                  <c:v>0.8456913827655318</c:v>
                </c:pt>
                <c:pt idx="423">
                  <c:v>0.84769539078156386</c:v>
                </c:pt>
                <c:pt idx="424">
                  <c:v>0.84969939879759593</c:v>
                </c:pt>
                <c:pt idx="425">
                  <c:v>0.85170340681362799</c:v>
                </c:pt>
                <c:pt idx="426">
                  <c:v>0.85370741482966006</c:v>
                </c:pt>
                <c:pt idx="427">
                  <c:v>0.85571142284569213</c:v>
                </c:pt>
                <c:pt idx="428">
                  <c:v>0.85771543086172419</c:v>
                </c:pt>
                <c:pt idx="429">
                  <c:v>0.85971943887775626</c:v>
                </c:pt>
                <c:pt idx="430">
                  <c:v>0.86172344689378833</c:v>
                </c:pt>
                <c:pt idx="431">
                  <c:v>0.86372745490982039</c:v>
                </c:pt>
                <c:pt idx="432">
                  <c:v>0.86573146292585246</c:v>
                </c:pt>
                <c:pt idx="433">
                  <c:v>0.86773547094188452</c:v>
                </c:pt>
                <c:pt idx="434">
                  <c:v>0.86973947895791659</c:v>
                </c:pt>
                <c:pt idx="435">
                  <c:v>0.87174348697394866</c:v>
                </c:pt>
                <c:pt idx="436">
                  <c:v>0.87374749498998072</c:v>
                </c:pt>
                <c:pt idx="437">
                  <c:v>0.87575150300601279</c:v>
                </c:pt>
                <c:pt idx="438">
                  <c:v>0.87775551102204485</c:v>
                </c:pt>
                <c:pt idx="439">
                  <c:v>0.87975951903807692</c:v>
                </c:pt>
                <c:pt idx="440">
                  <c:v>0.88176352705410899</c:v>
                </c:pt>
                <c:pt idx="441">
                  <c:v>0.88376753507014105</c:v>
                </c:pt>
                <c:pt idx="442">
                  <c:v>0.88577154308617312</c:v>
                </c:pt>
                <c:pt idx="443">
                  <c:v>0.88777555110220518</c:v>
                </c:pt>
                <c:pt idx="444">
                  <c:v>0.88977955911823725</c:v>
                </c:pt>
                <c:pt idx="445">
                  <c:v>0.89178356713426932</c:v>
                </c:pt>
                <c:pt idx="446">
                  <c:v>0.89378757515030138</c:v>
                </c:pt>
                <c:pt idx="447">
                  <c:v>0.89579158316633345</c:v>
                </c:pt>
                <c:pt idx="448">
                  <c:v>0.89779559118236552</c:v>
                </c:pt>
                <c:pt idx="449">
                  <c:v>0.89979959919839758</c:v>
                </c:pt>
                <c:pt idx="450">
                  <c:v>0.90180360721442965</c:v>
                </c:pt>
                <c:pt idx="451">
                  <c:v>0.90380761523046171</c:v>
                </c:pt>
                <c:pt idx="452">
                  <c:v>0.90581162324649378</c:v>
                </c:pt>
                <c:pt idx="453">
                  <c:v>0.90781563126252585</c:v>
                </c:pt>
                <c:pt idx="454">
                  <c:v>0.90981963927855791</c:v>
                </c:pt>
                <c:pt idx="455">
                  <c:v>0.91182364729458998</c:v>
                </c:pt>
                <c:pt idx="456">
                  <c:v>0.91382765531062204</c:v>
                </c:pt>
                <c:pt idx="457">
                  <c:v>0.91583166332665411</c:v>
                </c:pt>
                <c:pt idx="458">
                  <c:v>0.91783567134268618</c:v>
                </c:pt>
                <c:pt idx="459">
                  <c:v>0.91983967935871824</c:v>
                </c:pt>
                <c:pt idx="460">
                  <c:v>0.92184368737475031</c:v>
                </c:pt>
                <c:pt idx="461">
                  <c:v>0.92384769539078238</c:v>
                </c:pt>
                <c:pt idx="462">
                  <c:v>0.92585170340681444</c:v>
                </c:pt>
                <c:pt idx="463">
                  <c:v>0.92785571142284651</c:v>
                </c:pt>
                <c:pt idx="464">
                  <c:v>0.92985971943887857</c:v>
                </c:pt>
                <c:pt idx="465">
                  <c:v>0.93186372745491064</c:v>
                </c:pt>
                <c:pt idx="466">
                  <c:v>0.93386773547094271</c:v>
                </c:pt>
                <c:pt idx="467">
                  <c:v>0.93587174348697477</c:v>
                </c:pt>
                <c:pt idx="468">
                  <c:v>0.93787575150300684</c:v>
                </c:pt>
                <c:pt idx="469">
                  <c:v>0.9398797595190389</c:v>
                </c:pt>
                <c:pt idx="470">
                  <c:v>0.94188376753507097</c:v>
                </c:pt>
                <c:pt idx="471">
                  <c:v>0.94388777555110304</c:v>
                </c:pt>
                <c:pt idx="472">
                  <c:v>0.9458917835671351</c:v>
                </c:pt>
                <c:pt idx="473">
                  <c:v>0.94789579158316717</c:v>
                </c:pt>
                <c:pt idx="474">
                  <c:v>0.94989979959919923</c:v>
                </c:pt>
                <c:pt idx="475">
                  <c:v>0.9519038076152313</c:v>
                </c:pt>
                <c:pt idx="476">
                  <c:v>0.95390781563126337</c:v>
                </c:pt>
                <c:pt idx="477">
                  <c:v>0.95591182364729543</c:v>
                </c:pt>
                <c:pt idx="478">
                  <c:v>0.9579158316633275</c:v>
                </c:pt>
                <c:pt idx="479">
                  <c:v>0.95991983967935957</c:v>
                </c:pt>
                <c:pt idx="480">
                  <c:v>0.96192384769539163</c:v>
                </c:pt>
                <c:pt idx="481">
                  <c:v>0.9639278557114237</c:v>
                </c:pt>
                <c:pt idx="482">
                  <c:v>0.96593186372745576</c:v>
                </c:pt>
                <c:pt idx="483">
                  <c:v>0.96793587174348783</c:v>
                </c:pt>
                <c:pt idx="484">
                  <c:v>0.9699398797595199</c:v>
                </c:pt>
                <c:pt idx="485">
                  <c:v>0.97194388777555196</c:v>
                </c:pt>
                <c:pt idx="486">
                  <c:v>0.97394789579158403</c:v>
                </c:pt>
                <c:pt idx="487">
                  <c:v>0.97595190380761609</c:v>
                </c:pt>
                <c:pt idx="488">
                  <c:v>0.97795591182364816</c:v>
                </c:pt>
                <c:pt idx="489">
                  <c:v>0.97995991983968023</c:v>
                </c:pt>
                <c:pt idx="490">
                  <c:v>0.98196392785571229</c:v>
                </c:pt>
                <c:pt idx="491">
                  <c:v>0.98396793587174436</c:v>
                </c:pt>
                <c:pt idx="492">
                  <c:v>0.98597194388777643</c:v>
                </c:pt>
                <c:pt idx="493">
                  <c:v>0.98797595190380849</c:v>
                </c:pt>
                <c:pt idx="494">
                  <c:v>0.98997995991984056</c:v>
                </c:pt>
                <c:pt idx="495">
                  <c:v>0.99198396793587262</c:v>
                </c:pt>
                <c:pt idx="496">
                  <c:v>0.99398797595190469</c:v>
                </c:pt>
                <c:pt idx="497">
                  <c:v>0.99599198396793676</c:v>
                </c:pt>
                <c:pt idx="498">
                  <c:v>0.99799599198396882</c:v>
                </c:pt>
                <c:pt idx="499">
                  <c:v>1.0000000000000009</c:v>
                </c:pt>
              </c:numCache>
            </c:numRef>
          </c:yVal>
          <c:smooth val="1"/>
        </c:ser>
        <c:axId val="186448128"/>
        <c:axId val="186191872"/>
      </c:scatterChart>
      <c:valAx>
        <c:axId val="186448128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91872"/>
        <c:crosses val="autoZero"/>
        <c:crossBetween val="midCat"/>
      </c:valAx>
      <c:valAx>
        <c:axId val="18619187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7856208694439116E-2"/>
              <c:y val="0.47652499856568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4481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837253910405078"/>
          <c:y val="0.9497861272781748"/>
          <c:w val="0.27119116954679406"/>
          <c:h val="3.9166438238275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CDF for a Uniform Distribution with 1000 Iterations</a:t>
            </a:r>
          </a:p>
        </c:rich>
      </c:tx>
      <c:layout>
        <c:manualLayout>
          <c:xMode val="edge"/>
          <c:yMode val="edge"/>
          <c:x val="0.28458332606762343"/>
          <c:y val="2.77428937521116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04899994768686E-2"/>
          <c:y val="0.12892285920098936"/>
          <c:w val="0.89504246080876071"/>
          <c:h val="0.75232200116020376"/>
        </c:manualLayout>
      </c:layout>
      <c:scatterChart>
        <c:scatterStyle val="smoothMarker"/>
        <c:ser>
          <c:idx val="0"/>
          <c:order val="0"/>
          <c:tx>
            <c:strRef>
              <c:f>SimData1000!$J$1009</c:f>
              <c:strCache>
                <c:ptCount val="1"/>
                <c:pt idx="0">
                  <c:v>Latin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SimData1000!$J$1010:$J$2009</c:f>
              <c:numCache>
                <c:formatCode>General</c:formatCode>
                <c:ptCount val="1000"/>
                <c:pt idx="0">
                  <c:v>2.1218582829744226E-4</c:v>
                </c:pt>
                <c:pt idx="1">
                  <c:v>1.8583755860706733E-3</c:v>
                </c:pt>
                <c:pt idx="2">
                  <c:v>2.49193994526098E-3</c:v>
                </c:pt>
                <c:pt idx="3">
                  <c:v>3.8501895903260887E-3</c:v>
                </c:pt>
                <c:pt idx="4">
                  <c:v>4.6770170677166937E-3</c:v>
                </c:pt>
                <c:pt idx="5">
                  <c:v>5.7127426980791481E-3</c:v>
                </c:pt>
                <c:pt idx="6">
                  <c:v>6.6341941458252706E-3</c:v>
                </c:pt>
                <c:pt idx="7">
                  <c:v>7.991307237649176E-3</c:v>
                </c:pt>
                <c:pt idx="8">
                  <c:v>8.6910029742147312E-3</c:v>
                </c:pt>
                <c:pt idx="9">
                  <c:v>9.0824375220300707E-3</c:v>
                </c:pt>
                <c:pt idx="10">
                  <c:v>1.0550063027429874E-2</c:v>
                </c:pt>
                <c:pt idx="11">
                  <c:v>1.1941943156985086E-2</c:v>
                </c:pt>
                <c:pt idx="12">
                  <c:v>1.248931624006697E-2</c:v>
                </c:pt>
                <c:pt idx="13">
                  <c:v>1.3771784770714999E-2</c:v>
                </c:pt>
                <c:pt idx="14">
                  <c:v>1.433510894289592E-2</c:v>
                </c:pt>
                <c:pt idx="15">
                  <c:v>1.565377212354303E-2</c:v>
                </c:pt>
                <c:pt idx="16">
                  <c:v>1.6655539621285985E-2</c:v>
                </c:pt>
                <c:pt idx="17">
                  <c:v>1.7060150638003868E-2</c:v>
                </c:pt>
                <c:pt idx="18">
                  <c:v>1.8705947426777787E-2</c:v>
                </c:pt>
                <c:pt idx="19">
                  <c:v>1.9357135893627333E-2</c:v>
                </c:pt>
                <c:pt idx="20">
                  <c:v>2.0928895952629135E-2</c:v>
                </c:pt>
                <c:pt idx="21">
                  <c:v>2.1320678836042221E-2</c:v>
                </c:pt>
                <c:pt idx="22">
                  <c:v>2.2711874059800029E-2</c:v>
                </c:pt>
                <c:pt idx="23">
                  <c:v>2.3318226056946029E-2</c:v>
                </c:pt>
                <c:pt idx="24">
                  <c:v>2.4425383692473497E-2</c:v>
                </c:pt>
                <c:pt idx="25">
                  <c:v>2.5466303915126786E-2</c:v>
                </c:pt>
                <c:pt idx="26">
                  <c:v>2.6203232432297253E-2</c:v>
                </c:pt>
                <c:pt idx="27">
                  <c:v>2.7298149960417802E-2</c:v>
                </c:pt>
                <c:pt idx="28">
                  <c:v>2.8105863570493148E-2</c:v>
                </c:pt>
                <c:pt idx="29">
                  <c:v>2.9739683229182773E-2</c:v>
                </c:pt>
                <c:pt idx="30">
                  <c:v>3.0187069188614159E-2</c:v>
                </c:pt>
                <c:pt idx="31">
                  <c:v>3.1064319378944192E-2</c:v>
                </c:pt>
                <c:pt idx="32">
                  <c:v>3.2736773244975315E-2</c:v>
                </c:pt>
                <c:pt idx="33">
                  <c:v>3.3975360922975317E-2</c:v>
                </c:pt>
                <c:pt idx="34">
                  <c:v>3.4914705039913466E-2</c:v>
                </c:pt>
                <c:pt idx="35">
                  <c:v>3.5355216207065436E-2</c:v>
                </c:pt>
                <c:pt idx="36">
                  <c:v>3.6163179905890297E-2</c:v>
                </c:pt>
                <c:pt idx="37">
                  <c:v>3.7704157652497329E-2</c:v>
                </c:pt>
                <c:pt idx="38">
                  <c:v>3.8870849678262799E-2</c:v>
                </c:pt>
                <c:pt idx="39">
                  <c:v>3.9467166361973428E-2</c:v>
                </c:pt>
                <c:pt idx="40">
                  <c:v>4.0383625568911348E-2</c:v>
                </c:pt>
                <c:pt idx="41">
                  <c:v>4.1293784645221612E-2</c:v>
                </c:pt>
                <c:pt idx="42">
                  <c:v>4.2633868829261949E-2</c:v>
                </c:pt>
                <c:pt idx="43">
                  <c:v>4.3236398436184133E-2</c:v>
                </c:pt>
                <c:pt idx="44">
                  <c:v>4.4077545070573113E-2</c:v>
                </c:pt>
                <c:pt idx="45">
                  <c:v>4.557786868758916E-2</c:v>
                </c:pt>
                <c:pt idx="46">
                  <c:v>4.6941907570916666E-2</c:v>
                </c:pt>
                <c:pt idx="47">
                  <c:v>4.77649109297816E-2</c:v>
                </c:pt>
                <c:pt idx="48">
                  <c:v>4.8836777261885997E-2</c:v>
                </c:pt>
                <c:pt idx="49">
                  <c:v>4.9665537978677433E-2</c:v>
                </c:pt>
                <c:pt idx="50">
                  <c:v>5.0043066369146821E-2</c:v>
                </c:pt>
                <c:pt idx="51">
                  <c:v>5.1606558549126276E-2</c:v>
                </c:pt>
                <c:pt idx="52">
                  <c:v>5.2243524471354559E-2</c:v>
                </c:pt>
                <c:pt idx="53">
                  <c:v>5.3533145557980319E-2</c:v>
                </c:pt>
                <c:pt idx="54">
                  <c:v>5.4422300050366273E-2</c:v>
                </c:pt>
                <c:pt idx="55">
                  <c:v>5.5083745440953354E-2</c:v>
                </c:pt>
                <c:pt idx="56">
                  <c:v>5.6768623753629767E-2</c:v>
                </c:pt>
                <c:pt idx="57">
                  <c:v>5.7069298443167778E-2</c:v>
                </c:pt>
                <c:pt idx="58">
                  <c:v>5.8784020167725166E-2</c:v>
                </c:pt>
                <c:pt idx="59">
                  <c:v>5.978399110906385E-2</c:v>
                </c:pt>
                <c:pt idx="60">
                  <c:v>6.01762935368289E-2</c:v>
                </c:pt>
                <c:pt idx="61">
                  <c:v>6.1490843851000732E-2</c:v>
                </c:pt>
                <c:pt idx="62">
                  <c:v>6.2880064797559768E-2</c:v>
                </c:pt>
                <c:pt idx="63">
                  <c:v>6.351503184449743E-2</c:v>
                </c:pt>
                <c:pt idx="64">
                  <c:v>6.4929717621749664E-2</c:v>
                </c:pt>
                <c:pt idx="65">
                  <c:v>6.5396103420387056E-2</c:v>
                </c:pt>
                <c:pt idx="66">
                  <c:v>6.6639609443638378E-2</c:v>
                </c:pt>
                <c:pt idx="67">
                  <c:v>6.7910902575103307E-2</c:v>
                </c:pt>
                <c:pt idx="68">
                  <c:v>6.879618610856035E-2</c:v>
                </c:pt>
                <c:pt idx="69">
                  <c:v>6.9094570057255805E-2</c:v>
                </c:pt>
                <c:pt idx="70">
                  <c:v>7.0613509754793136E-2</c:v>
                </c:pt>
                <c:pt idx="71">
                  <c:v>7.1137832935233097E-2</c:v>
                </c:pt>
                <c:pt idx="72">
                  <c:v>7.2946094884524609E-2</c:v>
                </c:pt>
                <c:pt idx="73">
                  <c:v>7.3312953893866606E-2</c:v>
                </c:pt>
                <c:pt idx="74">
                  <c:v>7.4804644809291845E-2</c:v>
                </c:pt>
                <c:pt idx="75">
                  <c:v>7.5780661881850245E-2</c:v>
                </c:pt>
                <c:pt idx="76">
                  <c:v>7.6992667490149075E-2</c:v>
                </c:pt>
                <c:pt idx="77">
                  <c:v>7.7387285899693903E-2</c:v>
                </c:pt>
                <c:pt idx="78">
                  <c:v>7.8734843806534741E-2</c:v>
                </c:pt>
                <c:pt idx="79">
                  <c:v>7.9986409213856413E-2</c:v>
                </c:pt>
                <c:pt idx="80">
                  <c:v>8.06539937636475E-2</c:v>
                </c:pt>
                <c:pt idx="81">
                  <c:v>8.1669555527313975E-2</c:v>
                </c:pt>
                <c:pt idx="82">
                  <c:v>8.2126551448396992E-2</c:v>
                </c:pt>
                <c:pt idx="83">
                  <c:v>8.3243669542307885E-2</c:v>
                </c:pt>
                <c:pt idx="84">
                  <c:v>8.4823713855776875E-2</c:v>
                </c:pt>
                <c:pt idx="85">
                  <c:v>8.5570035632832442E-2</c:v>
                </c:pt>
                <c:pt idx="86">
                  <c:v>8.6592005300240582E-2</c:v>
                </c:pt>
                <c:pt idx="87">
                  <c:v>8.792924507426314E-2</c:v>
                </c:pt>
                <c:pt idx="88">
                  <c:v>8.8022139985585154E-2</c:v>
                </c:pt>
                <c:pt idx="89">
                  <c:v>8.9572290378755956E-2</c:v>
                </c:pt>
                <c:pt idx="90">
                  <c:v>9.0040128835486274E-2</c:v>
                </c:pt>
                <c:pt idx="91">
                  <c:v>9.1663323183465595E-2</c:v>
                </c:pt>
                <c:pt idx="92">
                  <c:v>9.2568650954302556E-2</c:v>
                </c:pt>
                <c:pt idx="93">
                  <c:v>9.3996374547480693E-2</c:v>
                </c:pt>
                <c:pt idx="94">
                  <c:v>9.4459836924788501E-2</c:v>
                </c:pt>
                <c:pt idx="95">
                  <c:v>9.5920157652329696E-2</c:v>
                </c:pt>
                <c:pt idx="96">
                  <c:v>9.6992186852728993E-2</c:v>
                </c:pt>
                <c:pt idx="97">
                  <c:v>9.7313273864405525E-2</c:v>
                </c:pt>
                <c:pt idx="98">
                  <c:v>9.8686756204275125E-2</c:v>
                </c:pt>
                <c:pt idx="99">
                  <c:v>9.9442490562201127E-2</c:v>
                </c:pt>
                <c:pt idx="100">
                  <c:v>0.10040165039417373</c:v>
                </c:pt>
                <c:pt idx="101">
                  <c:v>0.10192527664683883</c:v>
                </c:pt>
                <c:pt idx="102">
                  <c:v>0.10252313328872507</c:v>
                </c:pt>
                <c:pt idx="103">
                  <c:v>0.1033358567758314</c:v>
                </c:pt>
                <c:pt idx="104">
                  <c:v>0.10446055257237995</c:v>
                </c:pt>
                <c:pt idx="105">
                  <c:v>0.10548520234354894</c:v>
                </c:pt>
                <c:pt idx="106">
                  <c:v>0.10680307755242174</c:v>
                </c:pt>
                <c:pt idx="107">
                  <c:v>0.10729272359523287</c:v>
                </c:pt>
                <c:pt idx="108">
                  <c:v>0.10808815595765787</c:v>
                </c:pt>
                <c:pt idx="109">
                  <c:v>0.10902486409899426</c:v>
                </c:pt>
                <c:pt idx="110">
                  <c:v>0.11005549769547197</c:v>
                </c:pt>
                <c:pt idx="111">
                  <c:v>0.11158859897209067</c:v>
                </c:pt>
                <c:pt idx="112">
                  <c:v>0.11273290526045787</c:v>
                </c:pt>
                <c:pt idx="113">
                  <c:v>0.11387705432294799</c:v>
                </c:pt>
                <c:pt idx="114">
                  <c:v>0.11481481050160128</c:v>
                </c:pt>
                <c:pt idx="115">
                  <c:v>0.11575128277548385</c:v>
                </c:pt>
                <c:pt idx="116">
                  <c:v>0.11696995143242413</c:v>
                </c:pt>
                <c:pt idx="117">
                  <c:v>0.11727707453357919</c:v>
                </c:pt>
                <c:pt idx="118">
                  <c:v>0.11839767318484319</c:v>
                </c:pt>
                <c:pt idx="119">
                  <c:v>0.11925708490313429</c:v>
                </c:pt>
                <c:pt idx="120">
                  <c:v>0.12026472034777158</c:v>
                </c:pt>
                <c:pt idx="121">
                  <c:v>0.12121760008954853</c:v>
                </c:pt>
                <c:pt idx="122">
                  <c:v>0.12273327774594847</c:v>
                </c:pt>
                <c:pt idx="123">
                  <c:v>0.12331552147569963</c:v>
                </c:pt>
                <c:pt idx="124">
                  <c:v>0.12433428631660862</c:v>
                </c:pt>
                <c:pt idx="125">
                  <c:v>0.12510809156440852</c:v>
                </c:pt>
                <c:pt idx="126">
                  <c:v>0.12673797497286879</c:v>
                </c:pt>
                <c:pt idx="127">
                  <c:v>0.12772590332611602</c:v>
                </c:pt>
                <c:pt idx="128">
                  <c:v>0.12876450670435199</c:v>
                </c:pt>
                <c:pt idx="129">
                  <c:v>0.12969857974296869</c:v>
                </c:pt>
                <c:pt idx="130">
                  <c:v>0.13075194317166505</c:v>
                </c:pt>
                <c:pt idx="131">
                  <c:v>0.13158739759949675</c:v>
                </c:pt>
                <c:pt idx="132">
                  <c:v>0.13242980617946709</c:v>
                </c:pt>
                <c:pt idx="133">
                  <c:v>0.13317417967882339</c:v>
                </c:pt>
                <c:pt idx="134">
                  <c:v>0.13419960453016674</c:v>
                </c:pt>
                <c:pt idx="135">
                  <c:v>0.13547435413987244</c:v>
                </c:pt>
                <c:pt idx="136">
                  <c:v>0.13654434921791411</c:v>
                </c:pt>
                <c:pt idx="137">
                  <c:v>0.13747312247647744</c:v>
                </c:pt>
                <c:pt idx="138">
                  <c:v>0.13872237726690304</c:v>
                </c:pt>
                <c:pt idx="139">
                  <c:v>0.13975095706613525</c:v>
                </c:pt>
                <c:pt idx="140">
                  <c:v>0.14035478293205489</c:v>
                </c:pt>
                <c:pt idx="141">
                  <c:v>0.14113313972603836</c:v>
                </c:pt>
                <c:pt idx="142">
                  <c:v>0.14217783437137907</c:v>
                </c:pt>
                <c:pt idx="143">
                  <c:v>0.14332966398804675</c:v>
                </c:pt>
                <c:pt idx="144">
                  <c:v>0.14473210295516348</c:v>
                </c:pt>
                <c:pt idx="145">
                  <c:v>0.14560247403071319</c:v>
                </c:pt>
                <c:pt idx="146">
                  <c:v>0.14612173169272061</c:v>
                </c:pt>
                <c:pt idx="147">
                  <c:v>0.14725526042358372</c:v>
                </c:pt>
                <c:pt idx="148">
                  <c:v>0.14886593225339101</c:v>
                </c:pt>
                <c:pt idx="149">
                  <c:v>0.14980544433971063</c:v>
                </c:pt>
                <c:pt idx="150">
                  <c:v>0.15043583182302206</c:v>
                </c:pt>
                <c:pt idx="151">
                  <c:v>0.15116745451748545</c:v>
                </c:pt>
                <c:pt idx="152">
                  <c:v>0.15276230615022646</c:v>
                </c:pt>
                <c:pt idx="153">
                  <c:v>0.15322411830449106</c:v>
                </c:pt>
                <c:pt idx="154">
                  <c:v>0.1540393585497605</c:v>
                </c:pt>
                <c:pt idx="155">
                  <c:v>0.15568405296529739</c:v>
                </c:pt>
                <c:pt idx="156">
                  <c:v>0.15615695194763993</c:v>
                </c:pt>
                <c:pt idx="157">
                  <c:v>0.1573960591015397</c:v>
                </c:pt>
                <c:pt idx="158">
                  <c:v>0.15862746921685231</c:v>
                </c:pt>
                <c:pt idx="159">
                  <c:v>0.15966488336740642</c:v>
                </c:pt>
                <c:pt idx="160">
                  <c:v>0.16012259759430833</c:v>
                </c:pt>
                <c:pt idx="161">
                  <c:v>0.16126061361335697</c:v>
                </c:pt>
                <c:pt idx="162">
                  <c:v>0.16285428558100346</c:v>
                </c:pt>
                <c:pt idx="163">
                  <c:v>0.16312355638368137</c:v>
                </c:pt>
                <c:pt idx="164">
                  <c:v>0.16405769272452633</c:v>
                </c:pt>
                <c:pt idx="165">
                  <c:v>0.16515211267190802</c:v>
                </c:pt>
                <c:pt idx="166">
                  <c:v>0.16697978323255194</c:v>
                </c:pt>
                <c:pt idx="167">
                  <c:v>0.16793337620793222</c:v>
                </c:pt>
                <c:pt idx="168">
                  <c:v>0.16888465273843256</c:v>
                </c:pt>
                <c:pt idx="169">
                  <c:v>0.16954125815595994</c:v>
                </c:pt>
                <c:pt idx="170">
                  <c:v>0.17017610585484097</c:v>
                </c:pt>
                <c:pt idx="171">
                  <c:v>0.17121532529900207</c:v>
                </c:pt>
                <c:pt idx="172">
                  <c:v>0.17210188994023529</c:v>
                </c:pt>
                <c:pt idx="173">
                  <c:v>0.17303196710046195</c:v>
                </c:pt>
                <c:pt idx="174">
                  <c:v>0.17463868577560379</c:v>
                </c:pt>
                <c:pt idx="175">
                  <c:v>0.17547775410778768</c:v>
                </c:pt>
                <c:pt idx="176">
                  <c:v>0.1766938287354293</c:v>
                </c:pt>
                <c:pt idx="177">
                  <c:v>0.17726661920344144</c:v>
                </c:pt>
                <c:pt idx="178">
                  <c:v>0.17839542224663202</c:v>
                </c:pt>
                <c:pt idx="179">
                  <c:v>0.17925153783318856</c:v>
                </c:pt>
                <c:pt idx="180">
                  <c:v>0.1800220383785251</c:v>
                </c:pt>
                <c:pt idx="181">
                  <c:v>0.18121357157226037</c:v>
                </c:pt>
                <c:pt idx="182">
                  <c:v>0.18278677702527185</c:v>
                </c:pt>
                <c:pt idx="183">
                  <c:v>0.18308545714036689</c:v>
                </c:pt>
                <c:pt idx="184">
                  <c:v>0.18416995109738082</c:v>
                </c:pt>
                <c:pt idx="185">
                  <c:v>0.18519427331262134</c:v>
                </c:pt>
                <c:pt idx="186">
                  <c:v>0.18630439739658136</c:v>
                </c:pt>
                <c:pt idx="187">
                  <c:v>0.187964032968265</c:v>
                </c:pt>
                <c:pt idx="188">
                  <c:v>0.18806717777393459</c:v>
                </c:pt>
                <c:pt idx="189">
                  <c:v>0.18930494857470154</c:v>
                </c:pt>
                <c:pt idx="190">
                  <c:v>0.19021322392747114</c:v>
                </c:pt>
                <c:pt idx="191">
                  <c:v>0.19184211995891345</c:v>
                </c:pt>
                <c:pt idx="192">
                  <c:v>0.19241820339262911</c:v>
                </c:pt>
                <c:pt idx="193">
                  <c:v>0.19394884442490265</c:v>
                </c:pt>
                <c:pt idx="194">
                  <c:v>0.19466749196445277</c:v>
                </c:pt>
                <c:pt idx="195">
                  <c:v>0.19599422029428981</c:v>
                </c:pt>
                <c:pt idx="196">
                  <c:v>0.19650536049052733</c:v>
                </c:pt>
                <c:pt idx="197">
                  <c:v>0.19785107781268915</c:v>
                </c:pt>
                <c:pt idx="198">
                  <c:v>0.19892273145237069</c:v>
                </c:pt>
                <c:pt idx="199">
                  <c:v>0.19963620706243354</c:v>
                </c:pt>
                <c:pt idx="200">
                  <c:v>0.20074209483520641</c:v>
                </c:pt>
                <c:pt idx="201">
                  <c:v>0.20167325671940883</c:v>
                </c:pt>
                <c:pt idx="202">
                  <c:v>0.20211731670496921</c:v>
                </c:pt>
                <c:pt idx="203">
                  <c:v>0.2036237952577937</c:v>
                </c:pt>
                <c:pt idx="204">
                  <c:v>0.20498179363086397</c:v>
                </c:pt>
                <c:pt idx="205">
                  <c:v>0.20595691634131524</c:v>
                </c:pt>
                <c:pt idx="206">
                  <c:v>0.20664237190192619</c:v>
                </c:pt>
                <c:pt idx="207">
                  <c:v>0.20761878448599455</c:v>
                </c:pt>
                <c:pt idx="208">
                  <c:v>0.20806277520956071</c:v>
                </c:pt>
                <c:pt idx="209">
                  <c:v>0.20976980991004263</c:v>
                </c:pt>
                <c:pt idx="210">
                  <c:v>0.21044467489129043</c:v>
                </c:pt>
                <c:pt idx="211">
                  <c:v>0.21185281955074817</c:v>
                </c:pt>
                <c:pt idx="212">
                  <c:v>0.21214100487300683</c:v>
                </c:pt>
                <c:pt idx="213">
                  <c:v>0.21354763696751269</c:v>
                </c:pt>
                <c:pt idx="214">
                  <c:v>0.21446786682504879</c:v>
                </c:pt>
                <c:pt idx="215">
                  <c:v>0.21503928212030773</c:v>
                </c:pt>
                <c:pt idx="216">
                  <c:v>0.21659081942462149</c:v>
                </c:pt>
                <c:pt idx="217">
                  <c:v>0.21758162907547821</c:v>
                </c:pt>
                <c:pt idx="218">
                  <c:v>0.21899596908478905</c:v>
                </c:pt>
                <c:pt idx="219">
                  <c:v>0.21982381841908766</c:v>
                </c:pt>
                <c:pt idx="220">
                  <c:v>0.22027552360279382</c:v>
                </c:pt>
                <c:pt idx="221">
                  <c:v>0.22147128367388419</c:v>
                </c:pt>
                <c:pt idx="222">
                  <c:v>0.22255749425817223</c:v>
                </c:pt>
                <c:pt idx="223">
                  <c:v>0.22307875538991734</c:v>
                </c:pt>
                <c:pt idx="224">
                  <c:v>0.2241853892081849</c:v>
                </c:pt>
                <c:pt idx="225">
                  <c:v>0.22532138404374044</c:v>
                </c:pt>
                <c:pt idx="226">
                  <c:v>0.2261650176747155</c:v>
                </c:pt>
                <c:pt idx="227">
                  <c:v>0.22772230701072194</c:v>
                </c:pt>
                <c:pt idx="228">
                  <c:v>0.22828554238315801</c:v>
                </c:pt>
                <c:pt idx="229">
                  <c:v>0.22935674044125637</c:v>
                </c:pt>
                <c:pt idx="230">
                  <c:v>0.2307997569089755</c:v>
                </c:pt>
                <c:pt idx="231">
                  <c:v>0.23135725424912695</c:v>
                </c:pt>
                <c:pt idx="232">
                  <c:v>0.23275028389802907</c:v>
                </c:pt>
                <c:pt idx="233">
                  <c:v>0.23325794097763905</c:v>
                </c:pt>
                <c:pt idx="234">
                  <c:v>0.23437430019475852</c:v>
                </c:pt>
                <c:pt idx="235">
                  <c:v>0.23540355074810879</c:v>
                </c:pt>
                <c:pt idx="236">
                  <c:v>0.23639583594058544</c:v>
                </c:pt>
                <c:pt idx="237">
                  <c:v>0.23768099260183076</c:v>
                </c:pt>
                <c:pt idx="238">
                  <c:v>0.23810898079259996</c:v>
                </c:pt>
                <c:pt idx="239">
                  <c:v>0.23916917685888922</c:v>
                </c:pt>
                <c:pt idx="240">
                  <c:v>0.24090144687260071</c:v>
                </c:pt>
                <c:pt idx="241">
                  <c:v>0.24188796471685356</c:v>
                </c:pt>
                <c:pt idx="242">
                  <c:v>0.24229091936892153</c:v>
                </c:pt>
                <c:pt idx="243">
                  <c:v>0.24318254135786149</c:v>
                </c:pt>
                <c:pt idx="244">
                  <c:v>0.24413431829752733</c:v>
                </c:pt>
                <c:pt idx="245">
                  <c:v>0.24546700246503275</c:v>
                </c:pt>
                <c:pt idx="246">
                  <c:v>0.24617497991611598</c:v>
                </c:pt>
                <c:pt idx="247">
                  <c:v>0.24758337868693828</c:v>
                </c:pt>
                <c:pt idx="248">
                  <c:v>0.24805720535993048</c:v>
                </c:pt>
                <c:pt idx="249">
                  <c:v>0.24947687670366767</c:v>
                </c:pt>
                <c:pt idx="250">
                  <c:v>0.25079874588218487</c:v>
                </c:pt>
                <c:pt idx="251">
                  <c:v>0.25166540537277826</c:v>
                </c:pt>
                <c:pt idx="252">
                  <c:v>0.25292012646955442</c:v>
                </c:pt>
                <c:pt idx="253">
                  <c:v>0.25391654878456993</c:v>
                </c:pt>
                <c:pt idx="254">
                  <c:v>0.25477122392942458</c:v>
                </c:pt>
                <c:pt idx="255">
                  <c:v>0.25529771061178708</c:v>
                </c:pt>
                <c:pt idx="256">
                  <c:v>0.25629150794406691</c:v>
                </c:pt>
                <c:pt idx="257">
                  <c:v>0.25715986294372939</c:v>
                </c:pt>
                <c:pt idx="258">
                  <c:v>0.25891586676470835</c:v>
                </c:pt>
                <c:pt idx="259">
                  <c:v>0.25929408074829124</c:v>
                </c:pt>
                <c:pt idx="260">
                  <c:v>0.26086448230055731</c:v>
                </c:pt>
                <c:pt idx="261">
                  <c:v>0.26136786274131574</c:v>
                </c:pt>
                <c:pt idx="262">
                  <c:v>0.26275755006511636</c:v>
                </c:pt>
                <c:pt idx="263">
                  <c:v>0.26396405296422637</c:v>
                </c:pt>
                <c:pt idx="264">
                  <c:v>0.26404663292971592</c:v>
                </c:pt>
                <c:pt idx="265">
                  <c:v>0.26533904418869392</c:v>
                </c:pt>
                <c:pt idx="266">
                  <c:v>0.26600343616935507</c:v>
                </c:pt>
                <c:pt idx="267">
                  <c:v>0.26777595691959744</c:v>
                </c:pt>
                <c:pt idx="268">
                  <c:v>0.26875587232079262</c:v>
                </c:pt>
                <c:pt idx="269">
                  <c:v>0.26926313974295352</c:v>
                </c:pt>
                <c:pt idx="270">
                  <c:v>0.27081071681594726</c:v>
                </c:pt>
                <c:pt idx="271">
                  <c:v>0.2719500721536926</c:v>
                </c:pt>
                <c:pt idx="272">
                  <c:v>0.27254729060003241</c:v>
                </c:pt>
                <c:pt idx="273">
                  <c:v>0.27343904839070488</c:v>
                </c:pt>
                <c:pt idx="274">
                  <c:v>0.2746051373546024</c:v>
                </c:pt>
                <c:pt idx="275">
                  <c:v>0.27556550701883747</c:v>
                </c:pt>
                <c:pt idx="276">
                  <c:v>0.27604988744460274</c:v>
                </c:pt>
                <c:pt idx="277">
                  <c:v>0.27707352071420138</c:v>
                </c:pt>
                <c:pt idx="278">
                  <c:v>0.27884213336483621</c:v>
                </c:pt>
                <c:pt idx="279">
                  <c:v>0.27919496836517821</c:v>
                </c:pt>
                <c:pt idx="280">
                  <c:v>0.28091613294042556</c:v>
                </c:pt>
                <c:pt idx="281">
                  <c:v>0.28135980615051459</c:v>
                </c:pt>
                <c:pt idx="282">
                  <c:v>0.28213960241320069</c:v>
                </c:pt>
                <c:pt idx="283">
                  <c:v>0.28320607919623286</c:v>
                </c:pt>
                <c:pt idx="284">
                  <c:v>0.28427239124040876</c:v>
                </c:pt>
                <c:pt idx="285">
                  <c:v>0.28569802538810718</c:v>
                </c:pt>
                <c:pt idx="286">
                  <c:v>0.28660050897547057</c:v>
                </c:pt>
                <c:pt idx="287">
                  <c:v>0.28785673787348359</c:v>
                </c:pt>
                <c:pt idx="288">
                  <c:v>0.28810808607216648</c:v>
                </c:pt>
                <c:pt idx="289">
                  <c:v>0.28961485085697258</c:v>
                </c:pt>
                <c:pt idx="290">
                  <c:v>0.29060552539853507</c:v>
                </c:pt>
                <c:pt idx="291">
                  <c:v>0.29121141333277606</c:v>
                </c:pt>
                <c:pt idx="292">
                  <c:v>0.29208638583195545</c:v>
                </c:pt>
                <c:pt idx="293">
                  <c:v>0.29312896517667197</c:v>
                </c:pt>
                <c:pt idx="294">
                  <c:v>0.29412411366149877</c:v>
                </c:pt>
                <c:pt idx="295">
                  <c:v>0.29562322644042394</c:v>
                </c:pt>
                <c:pt idx="296">
                  <c:v>0.29685497549731632</c:v>
                </c:pt>
                <c:pt idx="297">
                  <c:v>0.29725637218152551</c:v>
                </c:pt>
                <c:pt idx="298">
                  <c:v>0.29870534409110094</c:v>
                </c:pt>
                <c:pt idx="299">
                  <c:v>0.29997959326928936</c:v>
                </c:pt>
                <c:pt idx="300">
                  <c:v>0.30048751094320031</c:v>
                </c:pt>
                <c:pt idx="301">
                  <c:v>0.30132685687028032</c:v>
                </c:pt>
                <c:pt idx="302">
                  <c:v>0.30268574482381477</c:v>
                </c:pt>
                <c:pt idx="303">
                  <c:v>0.30307455056325405</c:v>
                </c:pt>
                <c:pt idx="304">
                  <c:v>0.30409670906469616</c:v>
                </c:pt>
                <c:pt idx="305">
                  <c:v>0.30515674364151357</c:v>
                </c:pt>
                <c:pt idx="306">
                  <c:v>0.30624999906361333</c:v>
                </c:pt>
                <c:pt idx="307">
                  <c:v>0.30739762339610555</c:v>
                </c:pt>
                <c:pt idx="308">
                  <c:v>0.30816222829491879</c:v>
                </c:pt>
                <c:pt idx="309">
                  <c:v>0.30979196844827195</c:v>
                </c:pt>
                <c:pt idx="310">
                  <c:v>0.31081395703410125</c:v>
                </c:pt>
                <c:pt idx="311">
                  <c:v>0.31155267887831495</c:v>
                </c:pt>
                <c:pt idx="312">
                  <c:v>0.3124651831592119</c:v>
                </c:pt>
                <c:pt idx="313">
                  <c:v>0.31315126659631526</c:v>
                </c:pt>
                <c:pt idx="314">
                  <c:v>0.31406306781760951</c:v>
                </c:pt>
                <c:pt idx="315">
                  <c:v>0.31517788484161208</c:v>
                </c:pt>
                <c:pt idx="316">
                  <c:v>0.31632666027134437</c:v>
                </c:pt>
                <c:pt idx="317">
                  <c:v>0.31766816869510062</c:v>
                </c:pt>
                <c:pt idx="318">
                  <c:v>0.31858844464076413</c:v>
                </c:pt>
                <c:pt idx="319">
                  <c:v>0.31954291359743636</c:v>
                </c:pt>
                <c:pt idx="320">
                  <c:v>0.32011565416844462</c:v>
                </c:pt>
                <c:pt idx="321">
                  <c:v>0.32155271724507972</c:v>
                </c:pt>
                <c:pt idx="322">
                  <c:v>0.32203268244048411</c:v>
                </c:pt>
                <c:pt idx="323">
                  <c:v>0.32311559015678137</c:v>
                </c:pt>
                <c:pt idx="324">
                  <c:v>0.32449671837699062</c:v>
                </c:pt>
                <c:pt idx="325">
                  <c:v>0.32525597563275505</c:v>
                </c:pt>
                <c:pt idx="326">
                  <c:v>0.32602666744078196</c:v>
                </c:pt>
                <c:pt idx="327">
                  <c:v>0.32752579697769274</c:v>
                </c:pt>
                <c:pt idx="328">
                  <c:v>0.32867072601073205</c:v>
                </c:pt>
                <c:pt idx="329">
                  <c:v>0.32955920033402719</c:v>
                </c:pt>
                <c:pt idx="330">
                  <c:v>0.33036599805051597</c:v>
                </c:pt>
                <c:pt idx="331">
                  <c:v>0.33138183825774625</c:v>
                </c:pt>
                <c:pt idx="332">
                  <c:v>0.33256144217880479</c:v>
                </c:pt>
                <c:pt idx="333">
                  <c:v>0.3339521365072467</c:v>
                </c:pt>
                <c:pt idx="334">
                  <c:v>0.33423914375045322</c:v>
                </c:pt>
                <c:pt idx="335">
                  <c:v>0.33589216835398511</c:v>
                </c:pt>
                <c:pt idx="336">
                  <c:v>0.33619332027719201</c:v>
                </c:pt>
                <c:pt idx="337">
                  <c:v>0.33748790426470521</c:v>
                </c:pt>
                <c:pt idx="338">
                  <c:v>0.33885707589165709</c:v>
                </c:pt>
                <c:pt idx="339">
                  <c:v>0.33974437902163351</c:v>
                </c:pt>
                <c:pt idx="340">
                  <c:v>0.3406980355204311</c:v>
                </c:pt>
                <c:pt idx="341">
                  <c:v>0.34172508664492635</c:v>
                </c:pt>
                <c:pt idx="342">
                  <c:v>0.34266413276518326</c:v>
                </c:pt>
                <c:pt idx="343">
                  <c:v>0.34342439154009902</c:v>
                </c:pt>
                <c:pt idx="344">
                  <c:v>0.34421133808563731</c:v>
                </c:pt>
                <c:pt idx="345">
                  <c:v>0.34550740105251487</c:v>
                </c:pt>
                <c:pt idx="346">
                  <c:v>0.34669430396349504</c:v>
                </c:pt>
                <c:pt idx="347">
                  <c:v>0.34701319167320921</c:v>
                </c:pt>
                <c:pt idx="348">
                  <c:v>0.34816028963708329</c:v>
                </c:pt>
                <c:pt idx="349">
                  <c:v>0.34911958000252946</c:v>
                </c:pt>
                <c:pt idx="350">
                  <c:v>0.35079666937137877</c:v>
                </c:pt>
                <c:pt idx="351">
                  <c:v>0.35137769241081029</c:v>
                </c:pt>
                <c:pt idx="352">
                  <c:v>0.35204600297381305</c:v>
                </c:pt>
                <c:pt idx="353">
                  <c:v>0.3533384662590312</c:v>
                </c:pt>
                <c:pt idx="354">
                  <c:v>0.35410425707444182</c:v>
                </c:pt>
                <c:pt idx="355">
                  <c:v>0.3555878177049076</c:v>
                </c:pt>
                <c:pt idx="356">
                  <c:v>0.35670789317966162</c:v>
                </c:pt>
                <c:pt idx="357">
                  <c:v>0.35773519599920489</c:v>
                </c:pt>
                <c:pt idx="358">
                  <c:v>0.35898873132187614</c:v>
                </c:pt>
                <c:pt idx="359">
                  <c:v>0.35991835726190324</c:v>
                </c:pt>
                <c:pt idx="360">
                  <c:v>0.36019964025919321</c:v>
                </c:pt>
                <c:pt idx="361">
                  <c:v>0.36107530116571002</c:v>
                </c:pt>
                <c:pt idx="362">
                  <c:v>0.36206544565387661</c:v>
                </c:pt>
                <c:pt idx="363">
                  <c:v>0.36386516773697575</c:v>
                </c:pt>
                <c:pt idx="364">
                  <c:v>0.36478171202768145</c:v>
                </c:pt>
                <c:pt idx="365">
                  <c:v>0.36501914874441432</c:v>
                </c:pt>
                <c:pt idx="366">
                  <c:v>0.36692098371682708</c:v>
                </c:pt>
                <c:pt idx="367">
                  <c:v>0.36749326588481041</c:v>
                </c:pt>
                <c:pt idx="368">
                  <c:v>0.36895998892210424</c:v>
                </c:pt>
                <c:pt idx="369">
                  <c:v>0.3692683923473275</c:v>
                </c:pt>
                <c:pt idx="370">
                  <c:v>0.37070230066489951</c:v>
                </c:pt>
                <c:pt idx="371">
                  <c:v>0.3716889441089446</c:v>
                </c:pt>
                <c:pt idx="372">
                  <c:v>0.37261101160794757</c:v>
                </c:pt>
                <c:pt idx="373">
                  <c:v>0.37301069670636455</c:v>
                </c:pt>
                <c:pt idx="374">
                  <c:v>0.37449541299941375</c:v>
                </c:pt>
                <c:pt idx="375">
                  <c:v>0.37548064841713774</c:v>
                </c:pt>
                <c:pt idx="376">
                  <c:v>0.3769473806761548</c:v>
                </c:pt>
                <c:pt idx="377">
                  <c:v>0.37701814207109113</c:v>
                </c:pt>
                <c:pt idx="378">
                  <c:v>0.37861770299068132</c:v>
                </c:pt>
                <c:pt idx="379">
                  <c:v>0.37951823681907687</c:v>
                </c:pt>
                <c:pt idx="380">
                  <c:v>0.38021287614484617</c:v>
                </c:pt>
                <c:pt idx="381">
                  <c:v>0.38141303763757767</c:v>
                </c:pt>
                <c:pt idx="382">
                  <c:v>0.38232049485396608</c:v>
                </c:pt>
                <c:pt idx="383">
                  <c:v>0.38314906287615869</c:v>
                </c:pt>
                <c:pt idx="384">
                  <c:v>0.38481125722006226</c:v>
                </c:pt>
                <c:pt idx="385">
                  <c:v>0.38514087947368175</c:v>
                </c:pt>
                <c:pt idx="386">
                  <c:v>0.38651097842993004</c:v>
                </c:pt>
                <c:pt idx="387">
                  <c:v>0.38740627820892404</c:v>
                </c:pt>
                <c:pt idx="388">
                  <c:v>0.38887003591001734</c:v>
                </c:pt>
                <c:pt idx="389">
                  <c:v>0.38992344869182521</c:v>
                </c:pt>
                <c:pt idx="390">
                  <c:v>0.39068297540808161</c:v>
                </c:pt>
                <c:pt idx="391">
                  <c:v>0.39145475439970728</c:v>
                </c:pt>
                <c:pt idx="392">
                  <c:v>0.39297367003093792</c:v>
                </c:pt>
                <c:pt idx="393">
                  <c:v>0.3937155947651983</c:v>
                </c:pt>
                <c:pt idx="394">
                  <c:v>0.39481971524279097</c:v>
                </c:pt>
                <c:pt idx="395">
                  <c:v>0.39554183538666499</c:v>
                </c:pt>
                <c:pt idx="396">
                  <c:v>0.39645987882662098</c:v>
                </c:pt>
                <c:pt idx="397">
                  <c:v>0.39782184112556784</c:v>
                </c:pt>
                <c:pt idx="398">
                  <c:v>0.39807334415639595</c:v>
                </c:pt>
                <c:pt idx="399">
                  <c:v>0.39985488864566548</c:v>
                </c:pt>
                <c:pt idx="400">
                  <c:v>0.40072951556363362</c:v>
                </c:pt>
                <c:pt idx="401">
                  <c:v>0.40170585466588515</c:v>
                </c:pt>
                <c:pt idx="402">
                  <c:v>0.40264764130386704</c:v>
                </c:pt>
                <c:pt idx="403">
                  <c:v>0.4039514346883985</c:v>
                </c:pt>
                <c:pt idx="404">
                  <c:v>0.40433945406957983</c:v>
                </c:pt>
                <c:pt idx="405">
                  <c:v>0.40584142116802774</c:v>
                </c:pt>
                <c:pt idx="406">
                  <c:v>0.40684687883612863</c:v>
                </c:pt>
                <c:pt idx="407">
                  <c:v>0.40738954440769498</c:v>
                </c:pt>
                <c:pt idx="408">
                  <c:v>0.40874313694907893</c:v>
                </c:pt>
                <c:pt idx="409">
                  <c:v>0.40933282825684469</c:v>
                </c:pt>
                <c:pt idx="410">
                  <c:v>0.4101604830520601</c:v>
                </c:pt>
                <c:pt idx="411">
                  <c:v>0.41121950429100995</c:v>
                </c:pt>
                <c:pt idx="412">
                  <c:v>0.41283174134880113</c:v>
                </c:pt>
                <c:pt idx="413">
                  <c:v>0.41383274016059768</c:v>
                </c:pt>
                <c:pt idx="414">
                  <c:v>0.41452645837900376</c:v>
                </c:pt>
                <c:pt idx="415">
                  <c:v>0.41508847512050728</c:v>
                </c:pt>
                <c:pt idx="416">
                  <c:v>0.4160842512115101</c:v>
                </c:pt>
                <c:pt idx="417">
                  <c:v>0.41762914338862273</c:v>
                </c:pt>
                <c:pt idx="418">
                  <c:v>0.41895110021181198</c:v>
                </c:pt>
                <c:pt idx="419">
                  <c:v>0.41938112821112877</c:v>
                </c:pt>
                <c:pt idx="420">
                  <c:v>0.4204824483297957</c:v>
                </c:pt>
                <c:pt idx="421">
                  <c:v>0.42122853918751435</c:v>
                </c:pt>
                <c:pt idx="422">
                  <c:v>0.42211354230230524</c:v>
                </c:pt>
                <c:pt idx="423">
                  <c:v>0.4231128485591879</c:v>
                </c:pt>
                <c:pt idx="424">
                  <c:v>0.42416167893148066</c:v>
                </c:pt>
                <c:pt idx="425">
                  <c:v>0.42599279760382897</c:v>
                </c:pt>
                <c:pt idx="426">
                  <c:v>0.42627867290314253</c:v>
                </c:pt>
                <c:pt idx="427">
                  <c:v>0.4279021401081472</c:v>
                </c:pt>
                <c:pt idx="428">
                  <c:v>0.42876323140802869</c:v>
                </c:pt>
                <c:pt idx="429">
                  <c:v>0.42996546909887473</c:v>
                </c:pt>
                <c:pt idx="430">
                  <c:v>0.43002533706860274</c:v>
                </c:pt>
                <c:pt idx="431">
                  <c:v>0.43138609281936335</c:v>
                </c:pt>
                <c:pt idx="432">
                  <c:v>0.43280280630448897</c:v>
                </c:pt>
                <c:pt idx="433">
                  <c:v>0.433345875867723</c:v>
                </c:pt>
                <c:pt idx="434">
                  <c:v>0.43427513686713648</c:v>
                </c:pt>
                <c:pt idx="435">
                  <c:v>0.4352358415055172</c:v>
                </c:pt>
                <c:pt idx="436">
                  <c:v>0.43659706456577341</c:v>
                </c:pt>
                <c:pt idx="437">
                  <c:v>0.43787854419948502</c:v>
                </c:pt>
                <c:pt idx="438">
                  <c:v>0.43866109310990692</c:v>
                </c:pt>
                <c:pt idx="439">
                  <c:v>0.43996346113457424</c:v>
                </c:pt>
                <c:pt idx="440">
                  <c:v>0.44058853854834767</c:v>
                </c:pt>
                <c:pt idx="441">
                  <c:v>0.44193050359281022</c:v>
                </c:pt>
                <c:pt idx="442">
                  <c:v>0.44264936277029326</c:v>
                </c:pt>
                <c:pt idx="443">
                  <c:v>0.44354798195756695</c:v>
                </c:pt>
                <c:pt idx="444">
                  <c:v>0.44460377537403345</c:v>
                </c:pt>
                <c:pt idx="445">
                  <c:v>0.44503466543253389</c:v>
                </c:pt>
                <c:pt idx="446">
                  <c:v>0.44692116693801276</c:v>
                </c:pt>
                <c:pt idx="447">
                  <c:v>0.44725228245375964</c:v>
                </c:pt>
                <c:pt idx="448">
                  <c:v>0.44876813794201426</c:v>
                </c:pt>
                <c:pt idx="449">
                  <c:v>0.44973630385490515</c:v>
                </c:pt>
                <c:pt idx="450">
                  <c:v>0.45049521410709598</c:v>
                </c:pt>
                <c:pt idx="451">
                  <c:v>0.45173479936801242</c:v>
                </c:pt>
                <c:pt idx="452">
                  <c:v>0.4526356255862945</c:v>
                </c:pt>
                <c:pt idx="453">
                  <c:v>0.45343651244077748</c:v>
                </c:pt>
                <c:pt idx="454">
                  <c:v>0.45446538210740905</c:v>
                </c:pt>
                <c:pt idx="455">
                  <c:v>0.45574386684590573</c:v>
                </c:pt>
                <c:pt idx="456">
                  <c:v>0.45658407982429117</c:v>
                </c:pt>
                <c:pt idx="457">
                  <c:v>0.45767704452403751</c:v>
                </c:pt>
                <c:pt idx="458">
                  <c:v>0.45846896316401403</c:v>
                </c:pt>
                <c:pt idx="459">
                  <c:v>0.45946440989232257</c:v>
                </c:pt>
                <c:pt idx="460">
                  <c:v>0.46048951807815802</c:v>
                </c:pt>
                <c:pt idx="461">
                  <c:v>0.46165074783159665</c:v>
                </c:pt>
                <c:pt idx="462">
                  <c:v>0.462271943597652</c:v>
                </c:pt>
                <c:pt idx="463">
                  <c:v>0.46373448800172989</c:v>
                </c:pt>
                <c:pt idx="464">
                  <c:v>0.46466908643992366</c:v>
                </c:pt>
                <c:pt idx="465">
                  <c:v>0.4659519981513619</c:v>
                </c:pt>
                <c:pt idx="466">
                  <c:v>0.46673748238332047</c:v>
                </c:pt>
                <c:pt idx="467">
                  <c:v>0.46724133874458296</c:v>
                </c:pt>
                <c:pt idx="468">
                  <c:v>0.4684275375577685</c:v>
                </c:pt>
                <c:pt idx="469">
                  <c:v>0.46961132687111651</c:v>
                </c:pt>
                <c:pt idx="470">
                  <c:v>0.47006384281512908</c:v>
                </c:pt>
                <c:pt idx="471">
                  <c:v>0.4719120436103344</c:v>
                </c:pt>
                <c:pt idx="472">
                  <c:v>0.47285718047755237</c:v>
                </c:pt>
                <c:pt idx="473">
                  <c:v>0.47370801357615461</c:v>
                </c:pt>
                <c:pt idx="474">
                  <c:v>0.47457798002184787</c:v>
                </c:pt>
                <c:pt idx="475">
                  <c:v>0.47542603540779699</c:v>
                </c:pt>
                <c:pt idx="476">
                  <c:v>0.47690974410923886</c:v>
                </c:pt>
                <c:pt idx="477">
                  <c:v>0.47726900955528695</c:v>
                </c:pt>
                <c:pt idx="478">
                  <c:v>0.47859306969973098</c:v>
                </c:pt>
                <c:pt idx="479">
                  <c:v>0.47963010302829329</c:v>
                </c:pt>
                <c:pt idx="480">
                  <c:v>0.4805405589748501</c:v>
                </c:pt>
                <c:pt idx="481">
                  <c:v>0.48131060087338801</c:v>
                </c:pt>
                <c:pt idx="482">
                  <c:v>0.48255424356357057</c:v>
                </c:pt>
                <c:pt idx="483">
                  <c:v>0.48303055816400575</c:v>
                </c:pt>
                <c:pt idx="484">
                  <c:v>0.48479557462078415</c:v>
                </c:pt>
                <c:pt idx="485">
                  <c:v>0.48523697217722356</c:v>
                </c:pt>
                <c:pt idx="486">
                  <c:v>0.48625887555914438</c:v>
                </c:pt>
                <c:pt idx="487">
                  <c:v>0.48722237085672615</c:v>
                </c:pt>
                <c:pt idx="488">
                  <c:v>0.48817275789104703</c:v>
                </c:pt>
                <c:pt idx="489">
                  <c:v>0.48938416065796841</c:v>
                </c:pt>
                <c:pt idx="490">
                  <c:v>0.49009899825348957</c:v>
                </c:pt>
                <c:pt idx="491">
                  <c:v>0.49181218709466334</c:v>
                </c:pt>
                <c:pt idx="492">
                  <c:v>0.49295477739790333</c:v>
                </c:pt>
                <c:pt idx="493">
                  <c:v>0.49304188624770429</c:v>
                </c:pt>
                <c:pt idx="494">
                  <c:v>0.4941591752779575</c:v>
                </c:pt>
                <c:pt idx="495">
                  <c:v>0.49599217648687588</c:v>
                </c:pt>
                <c:pt idx="496">
                  <c:v>0.49613532299621388</c:v>
                </c:pt>
                <c:pt idx="497">
                  <c:v>0.49732772812511017</c:v>
                </c:pt>
                <c:pt idx="498">
                  <c:v>0.49852036256401805</c:v>
                </c:pt>
                <c:pt idx="499">
                  <c:v>0.49999613799340931</c:v>
                </c:pt>
                <c:pt idx="500">
                  <c:v>0.50073817680676891</c:v>
                </c:pt>
                <c:pt idx="501">
                  <c:v>0.50156572108845354</c:v>
                </c:pt>
                <c:pt idx="502">
                  <c:v>0.50269244229390575</c:v>
                </c:pt>
                <c:pt idx="503">
                  <c:v>0.50321025376376005</c:v>
                </c:pt>
                <c:pt idx="504">
                  <c:v>0.50496104161463695</c:v>
                </c:pt>
                <c:pt idx="505">
                  <c:v>0.50546919010474101</c:v>
                </c:pt>
                <c:pt idx="506">
                  <c:v>0.50626524104160842</c:v>
                </c:pt>
                <c:pt idx="507">
                  <c:v>0.50743946378432203</c:v>
                </c:pt>
                <c:pt idx="508">
                  <c:v>0.50885591038266564</c:v>
                </c:pt>
                <c:pt idx="509">
                  <c:v>0.50951165629050499</c:v>
                </c:pt>
                <c:pt idx="510">
                  <c:v>0.51073541939787925</c:v>
                </c:pt>
                <c:pt idx="511">
                  <c:v>0.51193306812060368</c:v>
                </c:pt>
                <c:pt idx="512">
                  <c:v>0.51230176855421206</c:v>
                </c:pt>
                <c:pt idx="513">
                  <c:v>0.51359460433539816</c:v>
                </c:pt>
                <c:pt idx="514">
                  <c:v>0.51480257274834507</c:v>
                </c:pt>
                <c:pt idx="515">
                  <c:v>0.5154490075163658</c:v>
                </c:pt>
                <c:pt idx="516">
                  <c:v>0.51665905335560891</c:v>
                </c:pt>
                <c:pt idx="517">
                  <c:v>0.51760880743633231</c:v>
                </c:pt>
                <c:pt idx="518">
                  <c:v>0.51873070405021549</c:v>
                </c:pt>
                <c:pt idx="519">
                  <c:v>0.51979745773873232</c:v>
                </c:pt>
                <c:pt idx="520">
                  <c:v>0.52097414985228663</c:v>
                </c:pt>
                <c:pt idx="521">
                  <c:v>0.52131617308089429</c:v>
                </c:pt>
                <c:pt idx="522">
                  <c:v>0.52243743160726441</c:v>
                </c:pt>
                <c:pt idx="523">
                  <c:v>0.52348281570372235</c:v>
                </c:pt>
                <c:pt idx="524">
                  <c:v>0.52450907206523911</c:v>
                </c:pt>
                <c:pt idx="525">
                  <c:v>0.52548775741329601</c:v>
                </c:pt>
                <c:pt idx="526">
                  <c:v>0.52649988915014545</c:v>
                </c:pt>
                <c:pt idx="527">
                  <c:v>0.52763794334014835</c:v>
                </c:pt>
                <c:pt idx="528">
                  <c:v>0.52853468004533433</c:v>
                </c:pt>
                <c:pt idx="529">
                  <c:v>0.5292533032622313</c:v>
                </c:pt>
                <c:pt idx="530">
                  <c:v>0.53065183290644824</c:v>
                </c:pt>
                <c:pt idx="531">
                  <c:v>0.53199311246629644</c:v>
                </c:pt>
                <c:pt idx="532">
                  <c:v>0.53299414382572152</c:v>
                </c:pt>
                <c:pt idx="533">
                  <c:v>0.53383198562376943</c:v>
                </c:pt>
                <c:pt idx="534">
                  <c:v>0.53465395703833873</c:v>
                </c:pt>
                <c:pt idx="535">
                  <c:v>0.53584200148792982</c:v>
                </c:pt>
                <c:pt idx="536">
                  <c:v>0.53604388697632677</c:v>
                </c:pt>
                <c:pt idx="537">
                  <c:v>0.5372279139238475</c:v>
                </c:pt>
                <c:pt idx="538">
                  <c:v>0.53825630653911649</c:v>
                </c:pt>
                <c:pt idx="539">
                  <c:v>0.53991741731015908</c:v>
                </c:pt>
                <c:pt idx="540">
                  <c:v>0.54036415749540656</c:v>
                </c:pt>
                <c:pt idx="541">
                  <c:v>0.54163639281146136</c:v>
                </c:pt>
                <c:pt idx="542">
                  <c:v>0.54248362479556433</c:v>
                </c:pt>
                <c:pt idx="543">
                  <c:v>0.54360677434983828</c:v>
                </c:pt>
                <c:pt idx="544">
                  <c:v>0.54453692620097127</c:v>
                </c:pt>
                <c:pt idx="545">
                  <c:v>0.54545389929354515</c:v>
                </c:pt>
                <c:pt idx="546">
                  <c:v>0.54635824032485447</c:v>
                </c:pt>
                <c:pt idx="547">
                  <c:v>0.54721573773054777</c:v>
                </c:pt>
                <c:pt idx="548">
                  <c:v>0.54842207063534809</c:v>
                </c:pt>
                <c:pt idx="549">
                  <c:v>0.54996142703503403</c:v>
                </c:pt>
                <c:pt idx="550">
                  <c:v>0.55089248718924178</c:v>
                </c:pt>
                <c:pt idx="551">
                  <c:v>0.55160625303434363</c:v>
                </c:pt>
                <c:pt idx="552">
                  <c:v>0.55261738871634403</c:v>
                </c:pt>
                <c:pt idx="553">
                  <c:v>0.55318695940477469</c:v>
                </c:pt>
                <c:pt idx="554">
                  <c:v>0.55403481754591566</c:v>
                </c:pt>
                <c:pt idx="555">
                  <c:v>0.55592359093272214</c:v>
                </c:pt>
                <c:pt idx="556">
                  <c:v>0.5564184021119537</c:v>
                </c:pt>
                <c:pt idx="557">
                  <c:v>0.55786791684172765</c:v>
                </c:pt>
                <c:pt idx="558">
                  <c:v>0.55839159251875048</c:v>
                </c:pt>
                <c:pt idx="559">
                  <c:v>0.55940073109404209</c:v>
                </c:pt>
                <c:pt idx="560">
                  <c:v>0.56023705605213459</c:v>
                </c:pt>
                <c:pt idx="561">
                  <c:v>0.56141647810568485</c:v>
                </c:pt>
                <c:pt idx="562">
                  <c:v>0.56221633575489194</c:v>
                </c:pt>
                <c:pt idx="563">
                  <c:v>0.56351561320701515</c:v>
                </c:pt>
                <c:pt idx="564">
                  <c:v>0.56402485654643386</c:v>
                </c:pt>
                <c:pt idx="565">
                  <c:v>0.56536826359675452</c:v>
                </c:pt>
                <c:pt idx="566">
                  <c:v>0.56681743277302421</c:v>
                </c:pt>
                <c:pt idx="567">
                  <c:v>0.56743302251408645</c:v>
                </c:pt>
                <c:pt idx="568">
                  <c:v>0.5685457772110929</c:v>
                </c:pt>
                <c:pt idx="569">
                  <c:v>0.56953546161170476</c:v>
                </c:pt>
                <c:pt idx="570">
                  <c:v>0.5706523795960593</c:v>
                </c:pt>
                <c:pt idx="571">
                  <c:v>0.57142774988744127</c:v>
                </c:pt>
                <c:pt idx="572">
                  <c:v>0.57202402085997717</c:v>
                </c:pt>
                <c:pt idx="573">
                  <c:v>0.57351506653626338</c:v>
                </c:pt>
                <c:pt idx="574">
                  <c:v>0.57451352681278101</c:v>
                </c:pt>
                <c:pt idx="575">
                  <c:v>0.5753383775181925</c:v>
                </c:pt>
                <c:pt idx="576">
                  <c:v>0.57621156683312991</c:v>
                </c:pt>
                <c:pt idx="577">
                  <c:v>0.57756538069773589</c:v>
                </c:pt>
                <c:pt idx="578">
                  <c:v>0.57896439024875046</c:v>
                </c:pt>
                <c:pt idx="579">
                  <c:v>0.57950076314189958</c:v>
                </c:pt>
                <c:pt idx="580">
                  <c:v>0.58019229061812916</c:v>
                </c:pt>
                <c:pt idx="581">
                  <c:v>0.58143177621658693</c:v>
                </c:pt>
                <c:pt idx="582">
                  <c:v>0.58205879345537592</c:v>
                </c:pt>
                <c:pt idx="583">
                  <c:v>0.5834529260435265</c:v>
                </c:pt>
                <c:pt idx="584">
                  <c:v>0.58464061326921002</c:v>
                </c:pt>
                <c:pt idx="585">
                  <c:v>0.58532209036064387</c:v>
                </c:pt>
                <c:pt idx="586">
                  <c:v>0.58654153365607875</c:v>
                </c:pt>
                <c:pt idx="587">
                  <c:v>0.5873507040062339</c:v>
                </c:pt>
                <c:pt idx="588">
                  <c:v>0.58849552452366227</c:v>
                </c:pt>
                <c:pt idx="589">
                  <c:v>0.58971601485943326</c:v>
                </c:pt>
                <c:pt idx="590">
                  <c:v>0.59083375837114505</c:v>
                </c:pt>
                <c:pt idx="591">
                  <c:v>0.59117009312849722</c:v>
                </c:pt>
                <c:pt idx="592">
                  <c:v>0.59236007777772837</c:v>
                </c:pt>
                <c:pt idx="593">
                  <c:v>0.59349537690484333</c:v>
                </c:pt>
                <c:pt idx="594">
                  <c:v>0.59482191514126537</c:v>
                </c:pt>
                <c:pt idx="595">
                  <c:v>0.59504314551806148</c:v>
                </c:pt>
                <c:pt idx="596">
                  <c:v>0.59659002529028571</c:v>
                </c:pt>
                <c:pt idx="597">
                  <c:v>0.59738173130652439</c:v>
                </c:pt>
                <c:pt idx="598">
                  <c:v>0.59806608765317726</c:v>
                </c:pt>
                <c:pt idx="599">
                  <c:v>0.5992769205407884</c:v>
                </c:pt>
                <c:pt idx="600">
                  <c:v>0.60052584623371386</c:v>
                </c:pt>
                <c:pt idx="601">
                  <c:v>0.60146020346518136</c:v>
                </c:pt>
                <c:pt idx="602">
                  <c:v>0.60245549849664226</c:v>
                </c:pt>
                <c:pt idx="603">
                  <c:v>0.60340682580005534</c:v>
                </c:pt>
                <c:pt idx="604">
                  <c:v>0.6041163222431476</c:v>
                </c:pt>
                <c:pt idx="605">
                  <c:v>0.60584932441074613</c:v>
                </c:pt>
                <c:pt idx="606">
                  <c:v>0.60614461671913611</c:v>
                </c:pt>
                <c:pt idx="607">
                  <c:v>0.60720788272870896</c:v>
                </c:pt>
                <c:pt idx="608">
                  <c:v>0.60861392837218331</c:v>
                </c:pt>
                <c:pt idx="609">
                  <c:v>0.60950128998013708</c:v>
                </c:pt>
                <c:pt idx="610">
                  <c:v>0.6109479853340769</c:v>
                </c:pt>
                <c:pt idx="611">
                  <c:v>0.61140211010151602</c:v>
                </c:pt>
                <c:pt idx="612">
                  <c:v>0.61224191001668615</c:v>
                </c:pt>
                <c:pt idx="613">
                  <c:v>0.61394530584894713</c:v>
                </c:pt>
                <c:pt idx="614">
                  <c:v>0.61426329413947256</c:v>
                </c:pt>
                <c:pt idx="615">
                  <c:v>0.61555577215053037</c:v>
                </c:pt>
                <c:pt idx="616">
                  <c:v>0.61680973298703545</c:v>
                </c:pt>
                <c:pt idx="617">
                  <c:v>0.61740059112953027</c:v>
                </c:pt>
                <c:pt idx="618">
                  <c:v>0.61895696837291048</c:v>
                </c:pt>
                <c:pt idx="619">
                  <c:v>0.61938021709662405</c:v>
                </c:pt>
                <c:pt idx="620">
                  <c:v>0.62092664181020263</c:v>
                </c:pt>
                <c:pt idx="621">
                  <c:v>0.62134051421641845</c:v>
                </c:pt>
                <c:pt idx="622">
                  <c:v>0.62207104347135656</c:v>
                </c:pt>
                <c:pt idx="623">
                  <c:v>0.62379329558363961</c:v>
                </c:pt>
                <c:pt idx="624">
                  <c:v>0.62463829697497142</c:v>
                </c:pt>
                <c:pt idx="625">
                  <c:v>0.62548283561144091</c:v>
                </c:pt>
                <c:pt idx="626">
                  <c:v>0.62685085876911206</c:v>
                </c:pt>
                <c:pt idx="627">
                  <c:v>0.62782284184913684</c:v>
                </c:pt>
                <c:pt idx="628">
                  <c:v>0.62811191780495268</c:v>
                </c:pt>
                <c:pt idx="629">
                  <c:v>0.62990913574651564</c:v>
                </c:pt>
                <c:pt idx="630">
                  <c:v>0.63050967909780098</c:v>
                </c:pt>
                <c:pt idx="631">
                  <c:v>0.63134029011855375</c:v>
                </c:pt>
                <c:pt idx="632">
                  <c:v>0.63252004068240519</c:v>
                </c:pt>
                <c:pt idx="633">
                  <c:v>0.63345253286917058</c:v>
                </c:pt>
                <c:pt idx="634">
                  <c:v>0.63433001038928749</c:v>
                </c:pt>
                <c:pt idx="635">
                  <c:v>0.63531568091859014</c:v>
                </c:pt>
                <c:pt idx="636">
                  <c:v>0.63619499046709271</c:v>
                </c:pt>
                <c:pt idx="637">
                  <c:v>0.63734473766278121</c:v>
                </c:pt>
                <c:pt idx="638">
                  <c:v>0.63864561889358928</c:v>
                </c:pt>
                <c:pt idx="639">
                  <c:v>0.63908446266247998</c:v>
                </c:pt>
                <c:pt idx="640">
                  <c:v>0.64065018397445106</c:v>
                </c:pt>
                <c:pt idx="641">
                  <c:v>0.64191702175487697</c:v>
                </c:pt>
                <c:pt idx="642">
                  <c:v>0.64227261121274726</c:v>
                </c:pt>
                <c:pt idx="643">
                  <c:v>0.64354806337681314</c:v>
                </c:pt>
                <c:pt idx="644">
                  <c:v>0.64479045985517802</c:v>
                </c:pt>
                <c:pt idx="645">
                  <c:v>0.64560039632478738</c:v>
                </c:pt>
                <c:pt idx="646">
                  <c:v>0.64676797017053889</c:v>
                </c:pt>
                <c:pt idx="647">
                  <c:v>0.64799107128591071</c:v>
                </c:pt>
                <c:pt idx="648">
                  <c:v>0.64825094982149334</c:v>
                </c:pt>
                <c:pt idx="649">
                  <c:v>0.64900028793280951</c:v>
                </c:pt>
                <c:pt idx="650">
                  <c:v>0.65098696901416098</c:v>
                </c:pt>
                <c:pt idx="651">
                  <c:v>0.65178886104533196</c:v>
                </c:pt>
                <c:pt idx="652">
                  <c:v>0.65292833722264698</c:v>
                </c:pt>
                <c:pt idx="653">
                  <c:v>0.65337175646689061</c:v>
                </c:pt>
                <c:pt idx="654">
                  <c:v>0.65432760138863877</c:v>
                </c:pt>
                <c:pt idx="655">
                  <c:v>0.65515526483141706</c:v>
                </c:pt>
                <c:pt idx="656">
                  <c:v>0.65606604706567384</c:v>
                </c:pt>
                <c:pt idx="657">
                  <c:v>0.65732231051133072</c:v>
                </c:pt>
                <c:pt idx="658">
                  <c:v>0.65880165445893113</c:v>
                </c:pt>
                <c:pt idx="659">
                  <c:v>0.65964371594522231</c:v>
                </c:pt>
                <c:pt idx="660">
                  <c:v>0.66057253043553155</c:v>
                </c:pt>
                <c:pt idx="661">
                  <c:v>0.66147497925708887</c:v>
                </c:pt>
                <c:pt idx="662">
                  <c:v>0.66260503802788562</c:v>
                </c:pt>
                <c:pt idx="663">
                  <c:v>0.66387820673242171</c:v>
                </c:pt>
                <c:pt idx="664">
                  <c:v>0.66447436564496598</c:v>
                </c:pt>
                <c:pt idx="665">
                  <c:v>0.66568037825955084</c:v>
                </c:pt>
                <c:pt idx="666">
                  <c:v>0.66635221450155413</c:v>
                </c:pt>
                <c:pt idx="667">
                  <c:v>0.66741905403379786</c:v>
                </c:pt>
                <c:pt idx="668">
                  <c:v>0.66889917363433615</c:v>
                </c:pt>
                <c:pt idx="669">
                  <c:v>0.669511791220054</c:v>
                </c:pt>
                <c:pt idx="670">
                  <c:v>0.67046618997945129</c:v>
                </c:pt>
                <c:pt idx="671">
                  <c:v>0.67158575133201337</c:v>
                </c:pt>
                <c:pt idx="672">
                  <c:v>0.67247402031171932</c:v>
                </c:pt>
                <c:pt idx="673">
                  <c:v>0.67394932188092482</c:v>
                </c:pt>
                <c:pt idx="674">
                  <c:v>0.6743753094599525</c:v>
                </c:pt>
                <c:pt idx="675">
                  <c:v>0.67580757903582589</c:v>
                </c:pt>
                <c:pt idx="676">
                  <c:v>0.67681139472308838</c:v>
                </c:pt>
                <c:pt idx="677">
                  <c:v>0.67780637529813825</c:v>
                </c:pt>
                <c:pt idx="678">
                  <c:v>0.67855154233461989</c:v>
                </c:pt>
                <c:pt idx="679">
                  <c:v>0.67949631604191285</c:v>
                </c:pt>
                <c:pt idx="680">
                  <c:v>0.680585979581947</c:v>
                </c:pt>
                <c:pt idx="681">
                  <c:v>0.68194801292357687</c:v>
                </c:pt>
                <c:pt idx="682">
                  <c:v>0.68248081467102306</c:v>
                </c:pt>
                <c:pt idx="683">
                  <c:v>0.68347802547981917</c:v>
                </c:pt>
                <c:pt idx="684">
                  <c:v>0.68429324831541005</c:v>
                </c:pt>
                <c:pt idx="685">
                  <c:v>0.68595605034845786</c:v>
                </c:pt>
                <c:pt idx="686">
                  <c:v>0.6867196421159244</c:v>
                </c:pt>
                <c:pt idx="687">
                  <c:v>0.68712936498902955</c:v>
                </c:pt>
                <c:pt idx="688">
                  <c:v>0.68800179843767595</c:v>
                </c:pt>
                <c:pt idx="689">
                  <c:v>0.68973236722423048</c:v>
                </c:pt>
                <c:pt idx="690">
                  <c:v>0.69008797973768965</c:v>
                </c:pt>
                <c:pt idx="691">
                  <c:v>0.69130169345119541</c:v>
                </c:pt>
                <c:pt idx="692">
                  <c:v>0.69278313670930991</c:v>
                </c:pt>
                <c:pt idx="693">
                  <c:v>0.69338796205827691</c:v>
                </c:pt>
                <c:pt idx="694">
                  <c:v>0.69413582251177541</c:v>
                </c:pt>
                <c:pt idx="695">
                  <c:v>0.69540792558188724</c:v>
                </c:pt>
                <c:pt idx="696">
                  <c:v>0.69602667575562993</c:v>
                </c:pt>
                <c:pt idx="697">
                  <c:v>0.69783508557170515</c:v>
                </c:pt>
                <c:pt idx="698">
                  <c:v>0.69873486128373419</c:v>
                </c:pt>
                <c:pt idx="699">
                  <c:v>0.69971439227408594</c:v>
                </c:pt>
                <c:pt idx="700">
                  <c:v>0.70052556866768878</c:v>
                </c:pt>
                <c:pt idx="701">
                  <c:v>0.70192657699527372</c:v>
                </c:pt>
                <c:pt idx="702">
                  <c:v>0.70248326176672327</c:v>
                </c:pt>
                <c:pt idx="703">
                  <c:v>0.70342193400124597</c:v>
                </c:pt>
                <c:pt idx="704">
                  <c:v>0.70459161757482025</c:v>
                </c:pt>
                <c:pt idx="705">
                  <c:v>0.70502290916629673</c:v>
                </c:pt>
                <c:pt idx="706">
                  <c:v>0.70640304386299169</c:v>
                </c:pt>
                <c:pt idx="707">
                  <c:v>0.70745807428668672</c:v>
                </c:pt>
                <c:pt idx="708">
                  <c:v>0.70859959479784584</c:v>
                </c:pt>
                <c:pt idx="709">
                  <c:v>0.70975182601989995</c:v>
                </c:pt>
                <c:pt idx="710">
                  <c:v>0.71037153716836399</c:v>
                </c:pt>
                <c:pt idx="711">
                  <c:v>0.71137894101589427</c:v>
                </c:pt>
                <c:pt idx="712">
                  <c:v>0.71250398601021248</c:v>
                </c:pt>
                <c:pt idx="713">
                  <c:v>0.71365105712987731</c:v>
                </c:pt>
                <c:pt idx="714">
                  <c:v>0.71464276142829153</c:v>
                </c:pt>
                <c:pt idx="715">
                  <c:v>0.71581769282739094</c:v>
                </c:pt>
                <c:pt idx="716">
                  <c:v>0.71621738197473284</c:v>
                </c:pt>
                <c:pt idx="717">
                  <c:v>0.71784743619450542</c:v>
                </c:pt>
                <c:pt idx="718">
                  <c:v>0.71884240389192533</c:v>
                </c:pt>
                <c:pt idx="719">
                  <c:v>0.7194509712540198</c:v>
                </c:pt>
                <c:pt idx="720">
                  <c:v>0.72039349873792236</c:v>
                </c:pt>
                <c:pt idx="721">
                  <c:v>0.72105866109557881</c:v>
                </c:pt>
                <c:pt idx="722">
                  <c:v>0.72269891416903087</c:v>
                </c:pt>
                <c:pt idx="723">
                  <c:v>0.72305673465902376</c:v>
                </c:pt>
                <c:pt idx="724">
                  <c:v>0.72467237871714685</c:v>
                </c:pt>
                <c:pt idx="725">
                  <c:v>0.72599796122731597</c:v>
                </c:pt>
                <c:pt idx="726">
                  <c:v>0.72662804654255231</c:v>
                </c:pt>
                <c:pt idx="727">
                  <c:v>0.72731274312043392</c:v>
                </c:pt>
                <c:pt idx="728">
                  <c:v>0.72838230362729695</c:v>
                </c:pt>
                <c:pt idx="729">
                  <c:v>0.72968081272386032</c:v>
                </c:pt>
                <c:pt idx="730">
                  <c:v>0.73082960387524909</c:v>
                </c:pt>
                <c:pt idx="731">
                  <c:v>0.73193374309896808</c:v>
                </c:pt>
                <c:pt idx="732">
                  <c:v>0.73206958601695249</c:v>
                </c:pt>
                <c:pt idx="733">
                  <c:v>0.7339665488391105</c:v>
                </c:pt>
                <c:pt idx="734">
                  <c:v>0.73420667840219256</c:v>
                </c:pt>
                <c:pt idx="735">
                  <c:v>0.73517991522866755</c:v>
                </c:pt>
                <c:pt idx="736">
                  <c:v>0.73640068397982994</c:v>
                </c:pt>
                <c:pt idx="737">
                  <c:v>0.73753466783034027</c:v>
                </c:pt>
                <c:pt idx="738">
                  <c:v>0.73899151047901057</c:v>
                </c:pt>
                <c:pt idx="739">
                  <c:v>0.73961829638518817</c:v>
                </c:pt>
                <c:pt idx="740">
                  <c:v>0.74026366808248301</c:v>
                </c:pt>
                <c:pt idx="741">
                  <c:v>0.74147834784315869</c:v>
                </c:pt>
                <c:pt idx="742">
                  <c:v>0.74203770657466672</c:v>
                </c:pt>
                <c:pt idx="743">
                  <c:v>0.74329195626622346</c:v>
                </c:pt>
                <c:pt idx="744">
                  <c:v>0.74490896739529189</c:v>
                </c:pt>
                <c:pt idx="745">
                  <c:v>0.74529846140702682</c:v>
                </c:pt>
                <c:pt idx="746">
                  <c:v>0.74607660881361848</c:v>
                </c:pt>
                <c:pt idx="747">
                  <c:v>0.74768782723338534</c:v>
                </c:pt>
                <c:pt idx="748">
                  <c:v>0.7489633674900894</c:v>
                </c:pt>
                <c:pt idx="749">
                  <c:v>0.74956816157735151</c:v>
                </c:pt>
                <c:pt idx="750">
                  <c:v>0.75053794298333532</c:v>
                </c:pt>
                <c:pt idx="751">
                  <c:v>0.75130439200119681</c:v>
                </c:pt>
                <c:pt idx="752">
                  <c:v>0.75236384698384529</c:v>
                </c:pt>
                <c:pt idx="753">
                  <c:v>0.75383664546693596</c:v>
                </c:pt>
                <c:pt idx="754">
                  <c:v>0.75419720723228467</c:v>
                </c:pt>
                <c:pt idx="755">
                  <c:v>0.75567440058818891</c:v>
                </c:pt>
                <c:pt idx="756">
                  <c:v>0.75671571345480992</c:v>
                </c:pt>
                <c:pt idx="757">
                  <c:v>0.75761788709289801</c:v>
                </c:pt>
                <c:pt idx="758">
                  <c:v>0.75884368301691574</c:v>
                </c:pt>
                <c:pt idx="759">
                  <c:v>0.75990293873425174</c:v>
                </c:pt>
                <c:pt idx="760">
                  <c:v>0.76080618404452838</c:v>
                </c:pt>
                <c:pt idx="761">
                  <c:v>0.76106399469195496</c:v>
                </c:pt>
                <c:pt idx="762">
                  <c:v>0.76252625751088521</c:v>
                </c:pt>
                <c:pt idx="763">
                  <c:v>0.76300815905863617</c:v>
                </c:pt>
                <c:pt idx="764">
                  <c:v>0.76437676454926307</c:v>
                </c:pt>
                <c:pt idx="765">
                  <c:v>0.76519820112273984</c:v>
                </c:pt>
                <c:pt idx="766">
                  <c:v>0.7661004351158861</c:v>
                </c:pt>
                <c:pt idx="767">
                  <c:v>0.76752234955772813</c:v>
                </c:pt>
                <c:pt idx="768">
                  <c:v>0.76852807794523614</c:v>
                </c:pt>
                <c:pt idx="769">
                  <c:v>0.76988608452814777</c:v>
                </c:pt>
                <c:pt idx="770">
                  <c:v>0.77034229803279564</c:v>
                </c:pt>
                <c:pt idx="771">
                  <c:v>0.77179499048152822</c:v>
                </c:pt>
                <c:pt idx="772">
                  <c:v>0.77213725740931394</c:v>
                </c:pt>
                <c:pt idx="773">
                  <c:v>0.77386082158118041</c:v>
                </c:pt>
                <c:pt idx="774">
                  <c:v>0.77479486285517807</c:v>
                </c:pt>
                <c:pt idx="775">
                  <c:v>0.77561838634419678</c:v>
                </c:pt>
                <c:pt idx="776">
                  <c:v>0.77690709643808831</c:v>
                </c:pt>
                <c:pt idx="777">
                  <c:v>0.77723940084903487</c:v>
                </c:pt>
                <c:pt idx="778">
                  <c:v>0.77856703898463564</c:v>
                </c:pt>
                <c:pt idx="779">
                  <c:v>0.77932173075138633</c:v>
                </c:pt>
                <c:pt idx="780">
                  <c:v>0.78029967223557173</c:v>
                </c:pt>
                <c:pt idx="781">
                  <c:v>0.78130354973611038</c:v>
                </c:pt>
                <c:pt idx="782">
                  <c:v>0.7820571291379298</c:v>
                </c:pt>
                <c:pt idx="783">
                  <c:v>0.78384586247565358</c:v>
                </c:pt>
                <c:pt idx="784">
                  <c:v>0.78423998511099247</c:v>
                </c:pt>
                <c:pt idx="785">
                  <c:v>0.78504767644266782</c:v>
                </c:pt>
                <c:pt idx="786">
                  <c:v>0.7861393730903834</c:v>
                </c:pt>
                <c:pt idx="787">
                  <c:v>0.78712272461087507</c:v>
                </c:pt>
                <c:pt idx="788">
                  <c:v>0.78853385454428704</c:v>
                </c:pt>
                <c:pt idx="789">
                  <c:v>0.78905478110445071</c:v>
                </c:pt>
                <c:pt idx="790">
                  <c:v>0.79004499460781108</c:v>
                </c:pt>
                <c:pt idx="791">
                  <c:v>0.79156896766684226</c:v>
                </c:pt>
                <c:pt idx="792">
                  <c:v>0.79294443937203485</c:v>
                </c:pt>
                <c:pt idx="793">
                  <c:v>0.79398011130652857</c:v>
                </c:pt>
                <c:pt idx="794">
                  <c:v>0.79458390560806358</c:v>
                </c:pt>
                <c:pt idx="795">
                  <c:v>0.79570019084115051</c:v>
                </c:pt>
                <c:pt idx="796">
                  <c:v>0.79690081931811307</c:v>
                </c:pt>
                <c:pt idx="797">
                  <c:v>0.797973428751103</c:v>
                </c:pt>
                <c:pt idx="798">
                  <c:v>0.79878780607897504</c:v>
                </c:pt>
                <c:pt idx="799">
                  <c:v>0.79940450556608944</c:v>
                </c:pt>
                <c:pt idx="800">
                  <c:v>0.80090316801213268</c:v>
                </c:pt>
                <c:pt idx="801">
                  <c:v>0.80162534071473068</c:v>
                </c:pt>
                <c:pt idx="802">
                  <c:v>0.80219729587766275</c:v>
                </c:pt>
                <c:pt idx="803">
                  <c:v>0.80370066847598665</c:v>
                </c:pt>
                <c:pt idx="804">
                  <c:v>0.80424438417731881</c:v>
                </c:pt>
                <c:pt idx="805">
                  <c:v>0.80599260605918077</c:v>
                </c:pt>
                <c:pt idx="806">
                  <c:v>0.80671661451382493</c:v>
                </c:pt>
                <c:pt idx="807">
                  <c:v>0.80723243399714872</c:v>
                </c:pt>
                <c:pt idx="808">
                  <c:v>0.80884301831266914</c:v>
                </c:pt>
                <c:pt idx="809">
                  <c:v>0.80976839755586549</c:v>
                </c:pt>
                <c:pt idx="810">
                  <c:v>0.81079361179605902</c:v>
                </c:pt>
                <c:pt idx="811">
                  <c:v>0.81142427718486276</c:v>
                </c:pt>
                <c:pt idx="812">
                  <c:v>0.8128006701706445</c:v>
                </c:pt>
                <c:pt idx="813">
                  <c:v>0.81329051150085652</c:v>
                </c:pt>
                <c:pt idx="814">
                  <c:v>0.8140072457133809</c:v>
                </c:pt>
                <c:pt idx="815">
                  <c:v>0.815377174692549</c:v>
                </c:pt>
                <c:pt idx="816">
                  <c:v>0.81630017578003466</c:v>
                </c:pt>
                <c:pt idx="817">
                  <c:v>0.81768407012794264</c:v>
                </c:pt>
                <c:pt idx="818">
                  <c:v>0.8183560606074417</c:v>
                </c:pt>
                <c:pt idx="819">
                  <c:v>0.81903209509258912</c:v>
                </c:pt>
                <c:pt idx="820">
                  <c:v>0.820460273954426</c:v>
                </c:pt>
                <c:pt idx="821">
                  <c:v>0.82173646049125504</c:v>
                </c:pt>
                <c:pt idx="822">
                  <c:v>0.8223835633661094</c:v>
                </c:pt>
                <c:pt idx="823">
                  <c:v>0.82306367658056867</c:v>
                </c:pt>
                <c:pt idx="824">
                  <c:v>0.82465082827504976</c:v>
                </c:pt>
                <c:pt idx="825">
                  <c:v>0.82547854607656568</c:v>
                </c:pt>
                <c:pt idx="826">
                  <c:v>0.82616658653695285</c:v>
                </c:pt>
                <c:pt idx="827">
                  <c:v>0.82744814914382259</c:v>
                </c:pt>
                <c:pt idx="828">
                  <c:v>0.82847187641506825</c:v>
                </c:pt>
                <c:pt idx="829">
                  <c:v>0.8294840507918233</c:v>
                </c:pt>
                <c:pt idx="830">
                  <c:v>0.83071599971542964</c:v>
                </c:pt>
                <c:pt idx="831">
                  <c:v>0.83117822658763696</c:v>
                </c:pt>
                <c:pt idx="832">
                  <c:v>0.8322705911223941</c:v>
                </c:pt>
                <c:pt idx="833">
                  <c:v>0.83310249808107095</c:v>
                </c:pt>
                <c:pt idx="834">
                  <c:v>0.8345044482856766</c:v>
                </c:pt>
                <c:pt idx="835">
                  <c:v>0.83549852856004114</c:v>
                </c:pt>
                <c:pt idx="836">
                  <c:v>0.83684335791292674</c:v>
                </c:pt>
                <c:pt idx="837">
                  <c:v>0.83773341216303721</c:v>
                </c:pt>
                <c:pt idx="838">
                  <c:v>0.8383281019777824</c:v>
                </c:pt>
                <c:pt idx="839">
                  <c:v>0.8396117284026956</c:v>
                </c:pt>
                <c:pt idx="840">
                  <c:v>0.84064736190197231</c:v>
                </c:pt>
                <c:pt idx="841">
                  <c:v>0.84110063018605596</c:v>
                </c:pt>
                <c:pt idx="842">
                  <c:v>0.84271620963483962</c:v>
                </c:pt>
                <c:pt idx="843">
                  <c:v>0.84357447832836185</c:v>
                </c:pt>
                <c:pt idx="844">
                  <c:v>0.84499831784726087</c:v>
                </c:pt>
                <c:pt idx="845">
                  <c:v>0.84543911404405692</c:v>
                </c:pt>
                <c:pt idx="846">
                  <c:v>0.84620181632675273</c:v>
                </c:pt>
                <c:pt idx="847">
                  <c:v>0.84731356619003073</c:v>
                </c:pt>
                <c:pt idx="848">
                  <c:v>0.84830035459653019</c:v>
                </c:pt>
                <c:pt idx="849">
                  <c:v>0.84901569791161824</c:v>
                </c:pt>
                <c:pt idx="850">
                  <c:v>0.85011595377165727</c:v>
                </c:pt>
                <c:pt idx="851">
                  <c:v>0.85171690261287536</c:v>
                </c:pt>
                <c:pt idx="852">
                  <c:v>0.85207374468587194</c:v>
                </c:pt>
                <c:pt idx="853">
                  <c:v>0.85370222476909452</c:v>
                </c:pt>
                <c:pt idx="854">
                  <c:v>0.85435474302767656</c:v>
                </c:pt>
                <c:pt idx="855">
                  <c:v>0.85560285874586628</c:v>
                </c:pt>
                <c:pt idx="856">
                  <c:v>0.85675043005560303</c:v>
                </c:pt>
                <c:pt idx="857">
                  <c:v>0.85744419244198233</c:v>
                </c:pt>
                <c:pt idx="858">
                  <c:v>0.85870760458328466</c:v>
                </c:pt>
                <c:pt idx="859">
                  <c:v>0.85956118509396007</c:v>
                </c:pt>
                <c:pt idx="860">
                  <c:v>0.86082291394235166</c:v>
                </c:pt>
                <c:pt idx="861">
                  <c:v>0.86189161052063379</c:v>
                </c:pt>
                <c:pt idx="862">
                  <c:v>0.86276208270149357</c:v>
                </c:pt>
                <c:pt idx="863">
                  <c:v>0.86398001508041755</c:v>
                </c:pt>
                <c:pt idx="864">
                  <c:v>0.86410529550702908</c:v>
                </c:pt>
                <c:pt idx="865">
                  <c:v>0.8651199074238819</c:v>
                </c:pt>
                <c:pt idx="866">
                  <c:v>0.86659760055262536</c:v>
                </c:pt>
                <c:pt idx="867">
                  <c:v>0.86741586837647855</c:v>
                </c:pt>
                <c:pt idx="868">
                  <c:v>0.86833335732862671</c:v>
                </c:pt>
                <c:pt idx="869">
                  <c:v>0.86906798845461286</c:v>
                </c:pt>
                <c:pt idx="870">
                  <c:v>0.87060643654936143</c:v>
                </c:pt>
                <c:pt idx="871">
                  <c:v>0.87157441650390954</c:v>
                </c:pt>
                <c:pt idx="872">
                  <c:v>0.87263901417880296</c:v>
                </c:pt>
                <c:pt idx="873">
                  <c:v>0.87308065155779024</c:v>
                </c:pt>
                <c:pt idx="874">
                  <c:v>0.8742492995500214</c:v>
                </c:pt>
                <c:pt idx="875">
                  <c:v>0.87597736925258707</c:v>
                </c:pt>
                <c:pt idx="876">
                  <c:v>0.87626313802699163</c:v>
                </c:pt>
                <c:pt idx="877">
                  <c:v>0.87729443292699161</c:v>
                </c:pt>
                <c:pt idx="878">
                  <c:v>0.87889156766396281</c:v>
                </c:pt>
                <c:pt idx="879">
                  <c:v>0.87986128003263409</c:v>
                </c:pt>
                <c:pt idx="880">
                  <c:v>0.88078132093692696</c:v>
                </c:pt>
                <c:pt idx="881">
                  <c:v>0.88115865055265807</c:v>
                </c:pt>
                <c:pt idx="882">
                  <c:v>0.88280747565576057</c:v>
                </c:pt>
                <c:pt idx="883">
                  <c:v>0.88332906835324343</c:v>
                </c:pt>
                <c:pt idx="884">
                  <c:v>0.88412489680855655</c:v>
                </c:pt>
                <c:pt idx="885">
                  <c:v>0.88590058611447464</c:v>
                </c:pt>
                <c:pt idx="886">
                  <c:v>0.88685385216163792</c:v>
                </c:pt>
                <c:pt idx="887">
                  <c:v>0.88748065270378262</c:v>
                </c:pt>
                <c:pt idx="888">
                  <c:v>0.88831848105842215</c:v>
                </c:pt>
                <c:pt idx="889">
                  <c:v>0.88935914510357184</c:v>
                </c:pt>
                <c:pt idx="890">
                  <c:v>0.89012003136289308</c:v>
                </c:pt>
                <c:pt idx="891">
                  <c:v>0.89192914482251029</c:v>
                </c:pt>
                <c:pt idx="892">
                  <c:v>0.89218994323890422</c:v>
                </c:pt>
                <c:pt idx="893">
                  <c:v>0.8930469482322333</c:v>
                </c:pt>
                <c:pt idx="894">
                  <c:v>0.89441709464355768</c:v>
                </c:pt>
                <c:pt idx="895">
                  <c:v>0.89542476597275233</c:v>
                </c:pt>
                <c:pt idx="896">
                  <c:v>0.89620578632182568</c:v>
                </c:pt>
                <c:pt idx="897">
                  <c:v>0.8973108298362491</c:v>
                </c:pt>
                <c:pt idx="898">
                  <c:v>0.89897588936425188</c:v>
                </c:pt>
                <c:pt idx="899">
                  <c:v>0.89999667956796392</c:v>
                </c:pt>
                <c:pt idx="900">
                  <c:v>0.9001432361519297</c:v>
                </c:pt>
                <c:pt idx="901">
                  <c:v>0.90117946190507614</c:v>
                </c:pt>
                <c:pt idx="902">
                  <c:v>0.90273447945544827</c:v>
                </c:pt>
                <c:pt idx="903">
                  <c:v>0.90375120426592204</c:v>
                </c:pt>
                <c:pt idx="904">
                  <c:v>0.90478681624000579</c:v>
                </c:pt>
                <c:pt idx="905">
                  <c:v>0.90512996772423615</c:v>
                </c:pt>
                <c:pt idx="906">
                  <c:v>0.90605772609800506</c:v>
                </c:pt>
                <c:pt idx="907">
                  <c:v>0.90791524923497691</c:v>
                </c:pt>
                <c:pt idx="908">
                  <c:v>0.90844841647740648</c:v>
                </c:pt>
                <c:pt idx="909">
                  <c:v>0.90910498747744251</c:v>
                </c:pt>
                <c:pt idx="910">
                  <c:v>0.91008454123886406</c:v>
                </c:pt>
                <c:pt idx="911">
                  <c:v>0.91115928947580027</c:v>
                </c:pt>
                <c:pt idx="912">
                  <c:v>0.91261043311460188</c:v>
                </c:pt>
                <c:pt idx="913">
                  <c:v>0.91398555681132365</c:v>
                </c:pt>
                <c:pt idx="914">
                  <c:v>0.91410997036847053</c:v>
                </c:pt>
                <c:pt idx="915">
                  <c:v>0.91571511542185102</c:v>
                </c:pt>
                <c:pt idx="916">
                  <c:v>0.91639138092621963</c:v>
                </c:pt>
                <c:pt idx="917">
                  <c:v>0.91741080067898395</c:v>
                </c:pt>
                <c:pt idx="918">
                  <c:v>0.91810895554095251</c:v>
                </c:pt>
                <c:pt idx="919">
                  <c:v>0.91977886901022377</c:v>
                </c:pt>
                <c:pt idx="920">
                  <c:v>0.92005104769627821</c:v>
                </c:pt>
                <c:pt idx="921">
                  <c:v>0.92169251145345443</c:v>
                </c:pt>
                <c:pt idx="922">
                  <c:v>0.92294888782919127</c:v>
                </c:pt>
                <c:pt idx="923">
                  <c:v>0.9238945159786135</c:v>
                </c:pt>
                <c:pt idx="924">
                  <c:v>0.9242335997860025</c:v>
                </c:pt>
                <c:pt idx="925">
                  <c:v>0.92545862617284491</c:v>
                </c:pt>
                <c:pt idx="926">
                  <c:v>0.92655770591193753</c:v>
                </c:pt>
                <c:pt idx="927">
                  <c:v>0.92760484331883608</c:v>
                </c:pt>
                <c:pt idx="928">
                  <c:v>0.92879720554542666</c:v>
                </c:pt>
                <c:pt idx="929">
                  <c:v>0.92980692615541793</c:v>
                </c:pt>
                <c:pt idx="930">
                  <c:v>0.93035491572584839</c:v>
                </c:pt>
                <c:pt idx="931">
                  <c:v>0.93164567429028577</c:v>
                </c:pt>
                <c:pt idx="932">
                  <c:v>0.93233314097983133</c:v>
                </c:pt>
                <c:pt idx="933">
                  <c:v>0.93326099168887855</c:v>
                </c:pt>
                <c:pt idx="934">
                  <c:v>0.93423711366142081</c:v>
                </c:pt>
                <c:pt idx="935">
                  <c:v>0.93586352864905809</c:v>
                </c:pt>
                <c:pt idx="936">
                  <c:v>0.9369155523369358</c:v>
                </c:pt>
                <c:pt idx="937">
                  <c:v>0.93745348975142784</c:v>
                </c:pt>
                <c:pt idx="938">
                  <c:v>0.93853427916288701</c:v>
                </c:pt>
                <c:pt idx="939">
                  <c:v>0.93990513030134726</c:v>
                </c:pt>
                <c:pt idx="940">
                  <c:v>0.94014333103670356</c:v>
                </c:pt>
                <c:pt idx="941">
                  <c:v>0.94140063922954742</c:v>
                </c:pt>
                <c:pt idx="942">
                  <c:v>0.9429041619242412</c:v>
                </c:pt>
                <c:pt idx="943">
                  <c:v>0.94378911070287907</c:v>
                </c:pt>
                <c:pt idx="944">
                  <c:v>0.94432060084336455</c:v>
                </c:pt>
                <c:pt idx="945">
                  <c:v>0.94539801246076771</c:v>
                </c:pt>
                <c:pt idx="946">
                  <c:v>0.94669720846570504</c:v>
                </c:pt>
                <c:pt idx="947">
                  <c:v>0.94788390039417048</c:v>
                </c:pt>
                <c:pt idx="948">
                  <c:v>0.94855385381648172</c:v>
                </c:pt>
                <c:pt idx="949">
                  <c:v>0.94990759864284369</c:v>
                </c:pt>
                <c:pt idx="950">
                  <c:v>0.95007362911153437</c:v>
                </c:pt>
                <c:pt idx="951">
                  <c:v>0.95157364639932607</c:v>
                </c:pt>
                <c:pt idx="952">
                  <c:v>0.95215811259326488</c:v>
                </c:pt>
                <c:pt idx="953">
                  <c:v>0.95365965325098012</c:v>
                </c:pt>
                <c:pt idx="954">
                  <c:v>0.9549071504219685</c:v>
                </c:pt>
                <c:pt idx="955">
                  <c:v>0.95548976278665698</c:v>
                </c:pt>
                <c:pt idx="956">
                  <c:v>0.95698744586482354</c:v>
                </c:pt>
                <c:pt idx="957">
                  <c:v>0.95786246232429106</c:v>
                </c:pt>
                <c:pt idx="958">
                  <c:v>0.95828759770125327</c:v>
                </c:pt>
                <c:pt idx="959">
                  <c:v>0.95951640481816525</c:v>
                </c:pt>
                <c:pt idx="960">
                  <c:v>0.96088876504355314</c:v>
                </c:pt>
                <c:pt idx="961">
                  <c:v>0.96174547821975909</c:v>
                </c:pt>
                <c:pt idx="962">
                  <c:v>0.96273545766289703</c:v>
                </c:pt>
                <c:pt idx="963">
                  <c:v>0.96384080893193391</c:v>
                </c:pt>
                <c:pt idx="964">
                  <c:v>0.9647641644069842</c:v>
                </c:pt>
                <c:pt idx="965">
                  <c:v>0.96532180933824785</c:v>
                </c:pt>
                <c:pt idx="966">
                  <c:v>0.96685942368112954</c:v>
                </c:pt>
                <c:pt idx="967">
                  <c:v>0.96761715978002572</c:v>
                </c:pt>
                <c:pt idx="968">
                  <c:v>0.96869993598868598</c:v>
                </c:pt>
                <c:pt idx="969">
                  <c:v>0.96955565630680784</c:v>
                </c:pt>
                <c:pt idx="970">
                  <c:v>0.97012037654782657</c:v>
                </c:pt>
                <c:pt idx="971">
                  <c:v>0.97134662822176387</c:v>
                </c:pt>
                <c:pt idx="972">
                  <c:v>0.97236404912438346</c:v>
                </c:pt>
                <c:pt idx="973">
                  <c:v>0.97329933145486269</c:v>
                </c:pt>
                <c:pt idx="974">
                  <c:v>0.97419016211577458</c:v>
                </c:pt>
                <c:pt idx="975">
                  <c:v>0.97528916554718492</c:v>
                </c:pt>
                <c:pt idx="976">
                  <c:v>0.97631519453351279</c:v>
                </c:pt>
                <c:pt idx="977">
                  <c:v>0.97742334689093369</c:v>
                </c:pt>
                <c:pt idx="978">
                  <c:v>0.97804425992957422</c:v>
                </c:pt>
                <c:pt idx="979">
                  <c:v>0.97986814546256051</c:v>
                </c:pt>
                <c:pt idx="980">
                  <c:v>0.98089230723141041</c:v>
                </c:pt>
                <c:pt idx="981">
                  <c:v>0.98138794926749262</c:v>
                </c:pt>
                <c:pt idx="982">
                  <c:v>0.98262761752065908</c:v>
                </c:pt>
                <c:pt idx="983">
                  <c:v>0.98373729844874169</c:v>
                </c:pt>
                <c:pt idx="984">
                  <c:v>0.98481724508195589</c:v>
                </c:pt>
                <c:pt idx="985">
                  <c:v>0.98588334127442989</c:v>
                </c:pt>
                <c:pt idx="986">
                  <c:v>0.98686061418262794</c:v>
                </c:pt>
                <c:pt idx="987">
                  <c:v>0.98798087871376916</c:v>
                </c:pt>
                <c:pt idx="988">
                  <c:v>0.9886693699242709</c:v>
                </c:pt>
                <c:pt idx="989">
                  <c:v>0.98977246995823753</c:v>
                </c:pt>
                <c:pt idx="990">
                  <c:v>0.99086479185937548</c:v>
                </c:pt>
                <c:pt idx="991">
                  <c:v>0.9918528222897679</c:v>
                </c:pt>
                <c:pt idx="992">
                  <c:v>0.99221283244928649</c:v>
                </c:pt>
                <c:pt idx="993">
                  <c:v>0.99327442482003814</c:v>
                </c:pt>
                <c:pt idx="994">
                  <c:v>0.99462880717442115</c:v>
                </c:pt>
                <c:pt idx="995">
                  <c:v>0.99563464679863178</c:v>
                </c:pt>
                <c:pt idx="996">
                  <c:v>0.99608633002547697</c:v>
                </c:pt>
                <c:pt idx="997">
                  <c:v>0.99774912523961368</c:v>
                </c:pt>
                <c:pt idx="998">
                  <c:v>0.99876549214701305</c:v>
                </c:pt>
                <c:pt idx="999">
                  <c:v>0.99922706257184668</c:v>
                </c:pt>
              </c:numCache>
            </c:numRef>
          </c:xVal>
          <c:yVal>
            <c:numRef>
              <c:f>SimData1000!$K$1010:$K$2009</c:f>
              <c:numCache>
                <c:formatCode>General</c:formatCode>
                <c:ptCount val="1000"/>
                <c:pt idx="0">
                  <c:v>0</c:v>
                </c:pt>
                <c:pt idx="1">
                  <c:v>1.001001001001001E-3</c:v>
                </c:pt>
                <c:pt idx="2">
                  <c:v>2.002002002002002E-3</c:v>
                </c:pt>
                <c:pt idx="3">
                  <c:v>3.003003003003003E-3</c:v>
                </c:pt>
                <c:pt idx="4">
                  <c:v>4.004004004004004E-3</c:v>
                </c:pt>
                <c:pt idx="5">
                  <c:v>5.005005005005005E-3</c:v>
                </c:pt>
                <c:pt idx="6">
                  <c:v>6.006006006006006E-3</c:v>
                </c:pt>
                <c:pt idx="7">
                  <c:v>7.0070070070070069E-3</c:v>
                </c:pt>
                <c:pt idx="8">
                  <c:v>8.0080080080080079E-3</c:v>
                </c:pt>
                <c:pt idx="9">
                  <c:v>9.0090090090090089E-3</c:v>
                </c:pt>
                <c:pt idx="10">
                  <c:v>1.001001001001001E-2</c:v>
                </c:pt>
                <c:pt idx="11">
                  <c:v>1.1011011011011011E-2</c:v>
                </c:pt>
                <c:pt idx="12">
                  <c:v>1.2012012012012012E-2</c:v>
                </c:pt>
                <c:pt idx="13">
                  <c:v>1.3013013013013013E-2</c:v>
                </c:pt>
                <c:pt idx="14">
                  <c:v>1.4014014014014014E-2</c:v>
                </c:pt>
                <c:pt idx="15">
                  <c:v>1.5015015015015015E-2</c:v>
                </c:pt>
                <c:pt idx="16">
                  <c:v>1.6016016016016016E-2</c:v>
                </c:pt>
                <c:pt idx="17">
                  <c:v>1.7017017017017015E-2</c:v>
                </c:pt>
                <c:pt idx="18">
                  <c:v>1.8018018018018014E-2</c:v>
                </c:pt>
                <c:pt idx="19">
                  <c:v>1.9019019019019014E-2</c:v>
                </c:pt>
                <c:pt idx="20">
                  <c:v>2.0020020020020013E-2</c:v>
                </c:pt>
                <c:pt idx="21">
                  <c:v>2.1021021021021012E-2</c:v>
                </c:pt>
                <c:pt idx="22">
                  <c:v>2.2022022022022011E-2</c:v>
                </c:pt>
                <c:pt idx="23">
                  <c:v>2.3023023023023011E-2</c:v>
                </c:pt>
                <c:pt idx="24">
                  <c:v>2.402402402402401E-2</c:v>
                </c:pt>
                <c:pt idx="25">
                  <c:v>2.5025025025025009E-2</c:v>
                </c:pt>
                <c:pt idx="26">
                  <c:v>2.6026026026026008E-2</c:v>
                </c:pt>
                <c:pt idx="27">
                  <c:v>2.7027027027027008E-2</c:v>
                </c:pt>
                <c:pt idx="28">
                  <c:v>2.8028028028028007E-2</c:v>
                </c:pt>
                <c:pt idx="29">
                  <c:v>2.9029029029029006E-2</c:v>
                </c:pt>
                <c:pt idx="30">
                  <c:v>3.0030030030030005E-2</c:v>
                </c:pt>
                <c:pt idx="31">
                  <c:v>3.1031031031031005E-2</c:v>
                </c:pt>
                <c:pt idx="32">
                  <c:v>3.2032032032032004E-2</c:v>
                </c:pt>
                <c:pt idx="33">
                  <c:v>3.3033033033033003E-2</c:v>
                </c:pt>
                <c:pt idx="34">
                  <c:v>3.4034034034034003E-2</c:v>
                </c:pt>
                <c:pt idx="35">
                  <c:v>3.5035035035035002E-2</c:v>
                </c:pt>
                <c:pt idx="36">
                  <c:v>3.6036036036036001E-2</c:v>
                </c:pt>
                <c:pt idx="37">
                  <c:v>3.7037037037037E-2</c:v>
                </c:pt>
                <c:pt idx="38">
                  <c:v>3.8038038038038E-2</c:v>
                </c:pt>
                <c:pt idx="39">
                  <c:v>3.9039039039038999E-2</c:v>
                </c:pt>
                <c:pt idx="40">
                  <c:v>4.0040040040039998E-2</c:v>
                </c:pt>
                <c:pt idx="41">
                  <c:v>4.1041041041040997E-2</c:v>
                </c:pt>
                <c:pt idx="42">
                  <c:v>4.2042042042041997E-2</c:v>
                </c:pt>
                <c:pt idx="43">
                  <c:v>4.3043043043042996E-2</c:v>
                </c:pt>
                <c:pt idx="44">
                  <c:v>4.4044044044043995E-2</c:v>
                </c:pt>
                <c:pt idx="45">
                  <c:v>4.5045045045044994E-2</c:v>
                </c:pt>
                <c:pt idx="46">
                  <c:v>4.6046046046045994E-2</c:v>
                </c:pt>
                <c:pt idx="47">
                  <c:v>4.7047047047046993E-2</c:v>
                </c:pt>
                <c:pt idx="48">
                  <c:v>4.8048048048047992E-2</c:v>
                </c:pt>
                <c:pt idx="49">
                  <c:v>4.9049049049048991E-2</c:v>
                </c:pt>
                <c:pt idx="50">
                  <c:v>5.0050050050049991E-2</c:v>
                </c:pt>
                <c:pt idx="51">
                  <c:v>5.105105105105099E-2</c:v>
                </c:pt>
                <c:pt idx="52">
                  <c:v>5.2052052052051989E-2</c:v>
                </c:pt>
                <c:pt idx="53">
                  <c:v>5.3053053053052988E-2</c:v>
                </c:pt>
                <c:pt idx="54">
                  <c:v>5.4054054054053988E-2</c:v>
                </c:pt>
                <c:pt idx="55">
                  <c:v>5.5055055055054987E-2</c:v>
                </c:pt>
                <c:pt idx="56">
                  <c:v>5.6056056056055986E-2</c:v>
                </c:pt>
                <c:pt idx="57">
                  <c:v>5.7057057057056985E-2</c:v>
                </c:pt>
                <c:pt idx="58">
                  <c:v>5.8058058058057985E-2</c:v>
                </c:pt>
                <c:pt idx="59">
                  <c:v>5.9059059059058984E-2</c:v>
                </c:pt>
                <c:pt idx="60">
                  <c:v>6.0060060060059983E-2</c:v>
                </c:pt>
                <c:pt idx="61">
                  <c:v>6.1061061061060982E-2</c:v>
                </c:pt>
                <c:pt idx="62">
                  <c:v>6.2062062062061982E-2</c:v>
                </c:pt>
                <c:pt idx="63">
                  <c:v>6.3063063063062988E-2</c:v>
                </c:pt>
                <c:pt idx="64">
                  <c:v>6.4064064064063994E-2</c:v>
                </c:pt>
                <c:pt idx="65">
                  <c:v>6.5065065065065E-2</c:v>
                </c:pt>
                <c:pt idx="66">
                  <c:v>6.6066066066066007E-2</c:v>
                </c:pt>
                <c:pt idx="67">
                  <c:v>6.7067067067067013E-2</c:v>
                </c:pt>
                <c:pt idx="68">
                  <c:v>6.8068068068068019E-2</c:v>
                </c:pt>
                <c:pt idx="69">
                  <c:v>6.9069069069069025E-2</c:v>
                </c:pt>
                <c:pt idx="70">
                  <c:v>7.0070070070070031E-2</c:v>
                </c:pt>
                <c:pt idx="71">
                  <c:v>7.1071071071071037E-2</c:v>
                </c:pt>
                <c:pt idx="72">
                  <c:v>7.2072072072072044E-2</c:v>
                </c:pt>
                <c:pt idx="73">
                  <c:v>7.307307307307305E-2</c:v>
                </c:pt>
                <c:pt idx="74">
                  <c:v>7.4074074074074056E-2</c:v>
                </c:pt>
                <c:pt idx="75">
                  <c:v>7.5075075075075062E-2</c:v>
                </c:pt>
                <c:pt idx="76">
                  <c:v>7.6076076076076068E-2</c:v>
                </c:pt>
                <c:pt idx="77">
                  <c:v>7.7077077077077075E-2</c:v>
                </c:pt>
                <c:pt idx="78">
                  <c:v>7.8078078078078081E-2</c:v>
                </c:pt>
                <c:pt idx="79">
                  <c:v>7.9079079079079087E-2</c:v>
                </c:pt>
                <c:pt idx="80">
                  <c:v>8.0080080080080093E-2</c:v>
                </c:pt>
                <c:pt idx="81">
                  <c:v>8.1081081081081099E-2</c:v>
                </c:pt>
                <c:pt idx="82">
                  <c:v>8.2082082082082106E-2</c:v>
                </c:pt>
                <c:pt idx="83">
                  <c:v>8.3083083083083112E-2</c:v>
                </c:pt>
                <c:pt idx="84">
                  <c:v>8.4084084084084118E-2</c:v>
                </c:pt>
                <c:pt idx="85">
                  <c:v>8.5085085085085124E-2</c:v>
                </c:pt>
                <c:pt idx="86">
                  <c:v>8.608608608608613E-2</c:v>
                </c:pt>
                <c:pt idx="87">
                  <c:v>8.7087087087087137E-2</c:v>
                </c:pt>
                <c:pt idx="88">
                  <c:v>8.8088088088088143E-2</c:v>
                </c:pt>
                <c:pt idx="89">
                  <c:v>8.9089089089089149E-2</c:v>
                </c:pt>
                <c:pt idx="90">
                  <c:v>9.0090090090090155E-2</c:v>
                </c:pt>
                <c:pt idx="91">
                  <c:v>9.1091091091091161E-2</c:v>
                </c:pt>
                <c:pt idx="92">
                  <c:v>9.2092092092092168E-2</c:v>
                </c:pt>
                <c:pt idx="93">
                  <c:v>9.3093093093093174E-2</c:v>
                </c:pt>
                <c:pt idx="94">
                  <c:v>9.409409409409418E-2</c:v>
                </c:pt>
                <c:pt idx="95">
                  <c:v>9.5095095095095186E-2</c:v>
                </c:pt>
                <c:pt idx="96">
                  <c:v>9.6096096096096192E-2</c:v>
                </c:pt>
                <c:pt idx="97">
                  <c:v>9.7097097097097199E-2</c:v>
                </c:pt>
                <c:pt idx="98">
                  <c:v>9.8098098098098205E-2</c:v>
                </c:pt>
                <c:pt idx="99">
                  <c:v>9.9099099099099211E-2</c:v>
                </c:pt>
                <c:pt idx="100">
                  <c:v>0.10010010010010022</c:v>
                </c:pt>
                <c:pt idx="101">
                  <c:v>0.10110110110110122</c:v>
                </c:pt>
                <c:pt idx="102">
                  <c:v>0.10210210210210223</c:v>
                </c:pt>
                <c:pt idx="103">
                  <c:v>0.10310310310310324</c:v>
                </c:pt>
                <c:pt idx="104">
                  <c:v>0.10410410410410424</c:v>
                </c:pt>
                <c:pt idx="105">
                  <c:v>0.10510510510510525</c:v>
                </c:pt>
                <c:pt idx="106">
                  <c:v>0.10610610610610625</c:v>
                </c:pt>
                <c:pt idx="107">
                  <c:v>0.10710710710710726</c:v>
                </c:pt>
                <c:pt idx="108">
                  <c:v>0.10810810810810827</c:v>
                </c:pt>
                <c:pt idx="109">
                  <c:v>0.10910910910910927</c:v>
                </c:pt>
                <c:pt idx="110">
                  <c:v>0.11011011011011028</c:v>
                </c:pt>
                <c:pt idx="111">
                  <c:v>0.11111111111111129</c:v>
                </c:pt>
                <c:pt idx="112">
                  <c:v>0.11211211211211229</c:v>
                </c:pt>
                <c:pt idx="113">
                  <c:v>0.1131131131131133</c:v>
                </c:pt>
                <c:pt idx="114">
                  <c:v>0.1141141141141143</c:v>
                </c:pt>
                <c:pt idx="115">
                  <c:v>0.11511511511511531</c:v>
                </c:pt>
                <c:pt idx="116">
                  <c:v>0.11611611611611632</c:v>
                </c:pt>
                <c:pt idx="117">
                  <c:v>0.11711711711711732</c:v>
                </c:pt>
                <c:pt idx="118">
                  <c:v>0.11811811811811833</c:v>
                </c:pt>
                <c:pt idx="119">
                  <c:v>0.11911911911911933</c:v>
                </c:pt>
                <c:pt idx="120">
                  <c:v>0.12012012012012034</c:v>
                </c:pt>
                <c:pt idx="121">
                  <c:v>0.12112112112112135</c:v>
                </c:pt>
                <c:pt idx="122">
                  <c:v>0.12212212212212235</c:v>
                </c:pt>
                <c:pt idx="123">
                  <c:v>0.12312312312312336</c:v>
                </c:pt>
                <c:pt idx="124">
                  <c:v>0.12412412412412437</c:v>
                </c:pt>
                <c:pt idx="125">
                  <c:v>0.12512512512512536</c:v>
                </c:pt>
                <c:pt idx="126">
                  <c:v>0.12612612612612636</c:v>
                </c:pt>
                <c:pt idx="127">
                  <c:v>0.12712712712712737</c:v>
                </c:pt>
                <c:pt idx="128">
                  <c:v>0.12812812812812838</c:v>
                </c:pt>
                <c:pt idx="129">
                  <c:v>0.12912912912912938</c:v>
                </c:pt>
                <c:pt idx="130">
                  <c:v>0.13013013013013039</c:v>
                </c:pt>
                <c:pt idx="131">
                  <c:v>0.1311311311311314</c:v>
                </c:pt>
                <c:pt idx="132">
                  <c:v>0.1321321321321324</c:v>
                </c:pt>
                <c:pt idx="133">
                  <c:v>0.13313313313313341</c:v>
                </c:pt>
                <c:pt idx="134">
                  <c:v>0.13413413413413441</c:v>
                </c:pt>
                <c:pt idx="135">
                  <c:v>0.13513513513513542</c:v>
                </c:pt>
                <c:pt idx="136">
                  <c:v>0.13613613613613643</c:v>
                </c:pt>
                <c:pt idx="137">
                  <c:v>0.13713713713713743</c:v>
                </c:pt>
                <c:pt idx="138">
                  <c:v>0.13813813813813844</c:v>
                </c:pt>
                <c:pt idx="139">
                  <c:v>0.13913913913913944</c:v>
                </c:pt>
                <c:pt idx="140">
                  <c:v>0.14014014014014045</c:v>
                </c:pt>
                <c:pt idx="141">
                  <c:v>0.14114114114114146</c:v>
                </c:pt>
                <c:pt idx="142">
                  <c:v>0.14214214214214246</c:v>
                </c:pt>
                <c:pt idx="143">
                  <c:v>0.14314314314314347</c:v>
                </c:pt>
                <c:pt idx="144">
                  <c:v>0.14414414414414448</c:v>
                </c:pt>
                <c:pt idx="145">
                  <c:v>0.14514514514514548</c:v>
                </c:pt>
                <c:pt idx="146">
                  <c:v>0.14614614614614649</c:v>
                </c:pt>
                <c:pt idx="147">
                  <c:v>0.14714714714714749</c:v>
                </c:pt>
                <c:pt idx="148">
                  <c:v>0.1481481481481485</c:v>
                </c:pt>
                <c:pt idx="149">
                  <c:v>0.14914914914914951</c:v>
                </c:pt>
                <c:pt idx="150">
                  <c:v>0.15015015015015051</c:v>
                </c:pt>
                <c:pt idx="151">
                  <c:v>0.15115115115115152</c:v>
                </c:pt>
                <c:pt idx="152">
                  <c:v>0.15215215215215253</c:v>
                </c:pt>
                <c:pt idx="153">
                  <c:v>0.15315315315315353</c:v>
                </c:pt>
                <c:pt idx="154">
                  <c:v>0.15415415415415454</c:v>
                </c:pt>
                <c:pt idx="155">
                  <c:v>0.15515515515515554</c:v>
                </c:pt>
                <c:pt idx="156">
                  <c:v>0.15615615615615655</c:v>
                </c:pt>
                <c:pt idx="157">
                  <c:v>0.15715715715715756</c:v>
                </c:pt>
                <c:pt idx="158">
                  <c:v>0.15815815815815856</c:v>
                </c:pt>
                <c:pt idx="159">
                  <c:v>0.15915915915915957</c:v>
                </c:pt>
                <c:pt idx="160">
                  <c:v>0.16016016016016058</c:v>
                </c:pt>
                <c:pt idx="161">
                  <c:v>0.16116116116116158</c:v>
                </c:pt>
                <c:pt idx="162">
                  <c:v>0.16216216216216259</c:v>
                </c:pt>
                <c:pt idx="163">
                  <c:v>0.16316316316316359</c:v>
                </c:pt>
                <c:pt idx="164">
                  <c:v>0.1641641641641646</c:v>
                </c:pt>
                <c:pt idx="165">
                  <c:v>0.16516516516516561</c:v>
                </c:pt>
                <c:pt idx="166">
                  <c:v>0.16616616616616661</c:v>
                </c:pt>
                <c:pt idx="167">
                  <c:v>0.16716716716716762</c:v>
                </c:pt>
                <c:pt idx="168">
                  <c:v>0.16816816816816862</c:v>
                </c:pt>
                <c:pt idx="169">
                  <c:v>0.16916916916916963</c:v>
                </c:pt>
                <c:pt idx="170">
                  <c:v>0.17017017017017064</c:v>
                </c:pt>
                <c:pt idx="171">
                  <c:v>0.17117117117117164</c:v>
                </c:pt>
                <c:pt idx="172">
                  <c:v>0.17217217217217265</c:v>
                </c:pt>
                <c:pt idx="173">
                  <c:v>0.17317317317317366</c:v>
                </c:pt>
                <c:pt idx="174">
                  <c:v>0.17417417417417466</c:v>
                </c:pt>
                <c:pt idx="175">
                  <c:v>0.17517517517517567</c:v>
                </c:pt>
                <c:pt idx="176">
                  <c:v>0.17617617617617667</c:v>
                </c:pt>
                <c:pt idx="177">
                  <c:v>0.17717717717717768</c:v>
                </c:pt>
                <c:pt idx="178">
                  <c:v>0.17817817817817869</c:v>
                </c:pt>
                <c:pt idx="179">
                  <c:v>0.17917917917917969</c:v>
                </c:pt>
                <c:pt idx="180">
                  <c:v>0.1801801801801807</c:v>
                </c:pt>
                <c:pt idx="181">
                  <c:v>0.18118118118118171</c:v>
                </c:pt>
                <c:pt idx="182">
                  <c:v>0.18218218218218271</c:v>
                </c:pt>
                <c:pt idx="183">
                  <c:v>0.18318318318318372</c:v>
                </c:pt>
                <c:pt idx="184">
                  <c:v>0.18418418418418472</c:v>
                </c:pt>
                <c:pt idx="185">
                  <c:v>0.18518518518518573</c:v>
                </c:pt>
                <c:pt idx="186">
                  <c:v>0.18618618618618674</c:v>
                </c:pt>
                <c:pt idx="187">
                  <c:v>0.18718718718718774</c:v>
                </c:pt>
                <c:pt idx="188">
                  <c:v>0.18818818818818875</c:v>
                </c:pt>
                <c:pt idx="189">
                  <c:v>0.18918918918918975</c:v>
                </c:pt>
                <c:pt idx="190">
                  <c:v>0.19019019019019076</c:v>
                </c:pt>
                <c:pt idx="191">
                  <c:v>0.19119119119119177</c:v>
                </c:pt>
                <c:pt idx="192">
                  <c:v>0.19219219219219277</c:v>
                </c:pt>
                <c:pt idx="193">
                  <c:v>0.19319319319319378</c:v>
                </c:pt>
                <c:pt idx="194">
                  <c:v>0.19419419419419479</c:v>
                </c:pt>
                <c:pt idx="195">
                  <c:v>0.19519519519519579</c:v>
                </c:pt>
                <c:pt idx="196">
                  <c:v>0.1961961961961968</c:v>
                </c:pt>
                <c:pt idx="197">
                  <c:v>0.1971971971971978</c:v>
                </c:pt>
                <c:pt idx="198">
                  <c:v>0.19819819819819881</c:v>
                </c:pt>
                <c:pt idx="199">
                  <c:v>0.19919919919919982</c:v>
                </c:pt>
                <c:pt idx="200">
                  <c:v>0.20020020020020082</c:v>
                </c:pt>
                <c:pt idx="201">
                  <c:v>0.20120120120120183</c:v>
                </c:pt>
                <c:pt idx="202">
                  <c:v>0.20220220220220284</c:v>
                </c:pt>
                <c:pt idx="203">
                  <c:v>0.20320320320320384</c:v>
                </c:pt>
                <c:pt idx="204">
                  <c:v>0.20420420420420485</c:v>
                </c:pt>
                <c:pt idx="205">
                  <c:v>0.20520520520520585</c:v>
                </c:pt>
                <c:pt idx="206">
                  <c:v>0.20620620620620686</c:v>
                </c:pt>
                <c:pt idx="207">
                  <c:v>0.20720720720720787</c:v>
                </c:pt>
                <c:pt idx="208">
                  <c:v>0.20820820820820887</c:v>
                </c:pt>
                <c:pt idx="209">
                  <c:v>0.20920920920920988</c:v>
                </c:pt>
                <c:pt idx="210">
                  <c:v>0.21021021021021088</c:v>
                </c:pt>
                <c:pt idx="211">
                  <c:v>0.21121121121121189</c:v>
                </c:pt>
                <c:pt idx="212">
                  <c:v>0.2122122122122129</c:v>
                </c:pt>
                <c:pt idx="213">
                  <c:v>0.2132132132132139</c:v>
                </c:pt>
                <c:pt idx="214">
                  <c:v>0.21421421421421491</c:v>
                </c:pt>
                <c:pt idx="215">
                  <c:v>0.21521521521521592</c:v>
                </c:pt>
                <c:pt idx="216">
                  <c:v>0.21621621621621692</c:v>
                </c:pt>
                <c:pt idx="217">
                  <c:v>0.21721721721721793</c:v>
                </c:pt>
                <c:pt idx="218">
                  <c:v>0.21821821821821893</c:v>
                </c:pt>
                <c:pt idx="219">
                  <c:v>0.21921921921921994</c:v>
                </c:pt>
                <c:pt idx="220">
                  <c:v>0.22022022022022095</c:v>
                </c:pt>
                <c:pt idx="221">
                  <c:v>0.22122122122122195</c:v>
                </c:pt>
                <c:pt idx="222">
                  <c:v>0.22222222222222296</c:v>
                </c:pt>
                <c:pt idx="223">
                  <c:v>0.22322322322322397</c:v>
                </c:pt>
                <c:pt idx="224">
                  <c:v>0.22422422422422497</c:v>
                </c:pt>
                <c:pt idx="225">
                  <c:v>0.22522522522522598</c:v>
                </c:pt>
                <c:pt idx="226">
                  <c:v>0.22622622622622698</c:v>
                </c:pt>
                <c:pt idx="227">
                  <c:v>0.22722722722722799</c:v>
                </c:pt>
                <c:pt idx="228">
                  <c:v>0.228228228228229</c:v>
                </c:pt>
                <c:pt idx="229">
                  <c:v>0.22922922922923</c:v>
                </c:pt>
                <c:pt idx="230">
                  <c:v>0.23023023023023101</c:v>
                </c:pt>
                <c:pt idx="231">
                  <c:v>0.23123123123123202</c:v>
                </c:pt>
                <c:pt idx="232">
                  <c:v>0.23223223223223302</c:v>
                </c:pt>
                <c:pt idx="233">
                  <c:v>0.23323323323323403</c:v>
                </c:pt>
                <c:pt idx="234">
                  <c:v>0.23423423423423503</c:v>
                </c:pt>
                <c:pt idx="235">
                  <c:v>0.23523523523523604</c:v>
                </c:pt>
                <c:pt idx="236">
                  <c:v>0.23623623623623705</c:v>
                </c:pt>
                <c:pt idx="237">
                  <c:v>0.23723723723723805</c:v>
                </c:pt>
                <c:pt idx="238">
                  <c:v>0.23823823823823906</c:v>
                </c:pt>
                <c:pt idx="239">
                  <c:v>0.23923923923924006</c:v>
                </c:pt>
                <c:pt idx="240">
                  <c:v>0.24024024024024107</c:v>
                </c:pt>
                <c:pt idx="241">
                  <c:v>0.24124124124124208</c:v>
                </c:pt>
                <c:pt idx="242">
                  <c:v>0.24224224224224308</c:v>
                </c:pt>
                <c:pt idx="243">
                  <c:v>0.24324324324324409</c:v>
                </c:pt>
                <c:pt idx="244">
                  <c:v>0.2442442442442451</c:v>
                </c:pt>
                <c:pt idx="245">
                  <c:v>0.2452452452452461</c:v>
                </c:pt>
                <c:pt idx="246">
                  <c:v>0.24624624624624711</c:v>
                </c:pt>
                <c:pt idx="247">
                  <c:v>0.24724724724724811</c:v>
                </c:pt>
                <c:pt idx="248">
                  <c:v>0.24824824824824912</c:v>
                </c:pt>
                <c:pt idx="249">
                  <c:v>0.24924924924925013</c:v>
                </c:pt>
                <c:pt idx="250">
                  <c:v>0.25025025025025111</c:v>
                </c:pt>
                <c:pt idx="251">
                  <c:v>0.25125125125125208</c:v>
                </c:pt>
                <c:pt idx="252">
                  <c:v>0.25225225225225306</c:v>
                </c:pt>
                <c:pt idx="253">
                  <c:v>0.25325325325325404</c:v>
                </c:pt>
                <c:pt idx="254">
                  <c:v>0.25425425425425502</c:v>
                </c:pt>
                <c:pt idx="255">
                  <c:v>0.255255255255256</c:v>
                </c:pt>
                <c:pt idx="256">
                  <c:v>0.25625625625625698</c:v>
                </c:pt>
                <c:pt idx="257">
                  <c:v>0.25725725725725795</c:v>
                </c:pt>
                <c:pt idx="258">
                  <c:v>0.25825825825825893</c:v>
                </c:pt>
                <c:pt idx="259">
                  <c:v>0.25925925925925991</c:v>
                </c:pt>
                <c:pt idx="260">
                  <c:v>0.26026026026026089</c:v>
                </c:pt>
                <c:pt idx="261">
                  <c:v>0.26126126126126187</c:v>
                </c:pt>
                <c:pt idx="262">
                  <c:v>0.26226226226226285</c:v>
                </c:pt>
                <c:pt idx="263">
                  <c:v>0.26326326326326382</c:v>
                </c:pt>
                <c:pt idx="264">
                  <c:v>0.2642642642642648</c:v>
                </c:pt>
                <c:pt idx="265">
                  <c:v>0.26526526526526578</c:v>
                </c:pt>
                <c:pt idx="266">
                  <c:v>0.26626626626626676</c:v>
                </c:pt>
                <c:pt idx="267">
                  <c:v>0.26726726726726774</c:v>
                </c:pt>
                <c:pt idx="268">
                  <c:v>0.26826826826826872</c:v>
                </c:pt>
                <c:pt idx="269">
                  <c:v>0.2692692692692697</c:v>
                </c:pt>
                <c:pt idx="270">
                  <c:v>0.27027027027027067</c:v>
                </c:pt>
                <c:pt idx="271">
                  <c:v>0.27127127127127165</c:v>
                </c:pt>
                <c:pt idx="272">
                  <c:v>0.27227227227227263</c:v>
                </c:pt>
                <c:pt idx="273">
                  <c:v>0.27327327327327361</c:v>
                </c:pt>
                <c:pt idx="274">
                  <c:v>0.27427427427427459</c:v>
                </c:pt>
                <c:pt idx="275">
                  <c:v>0.27527527527527557</c:v>
                </c:pt>
                <c:pt idx="276">
                  <c:v>0.27627627627627654</c:v>
                </c:pt>
                <c:pt idx="277">
                  <c:v>0.27727727727727752</c:v>
                </c:pt>
                <c:pt idx="278">
                  <c:v>0.2782782782782785</c:v>
                </c:pt>
                <c:pt idx="279">
                  <c:v>0.27927927927927948</c:v>
                </c:pt>
                <c:pt idx="280">
                  <c:v>0.28028028028028046</c:v>
                </c:pt>
                <c:pt idx="281">
                  <c:v>0.28128128128128144</c:v>
                </c:pt>
                <c:pt idx="282">
                  <c:v>0.28228228228228242</c:v>
                </c:pt>
                <c:pt idx="283">
                  <c:v>0.28328328328328339</c:v>
                </c:pt>
                <c:pt idx="284">
                  <c:v>0.28428428428428437</c:v>
                </c:pt>
                <c:pt idx="285">
                  <c:v>0.28528528528528535</c:v>
                </c:pt>
                <c:pt idx="286">
                  <c:v>0.28628628628628633</c:v>
                </c:pt>
                <c:pt idx="287">
                  <c:v>0.28728728728728731</c:v>
                </c:pt>
                <c:pt idx="288">
                  <c:v>0.28828828828828829</c:v>
                </c:pt>
                <c:pt idx="289">
                  <c:v>0.28928928928928926</c:v>
                </c:pt>
                <c:pt idx="290">
                  <c:v>0.29029029029029024</c:v>
                </c:pt>
                <c:pt idx="291">
                  <c:v>0.29129129129129122</c:v>
                </c:pt>
                <c:pt idx="292">
                  <c:v>0.2922922922922922</c:v>
                </c:pt>
                <c:pt idx="293">
                  <c:v>0.29329329329329318</c:v>
                </c:pt>
                <c:pt idx="294">
                  <c:v>0.29429429429429416</c:v>
                </c:pt>
                <c:pt idx="295">
                  <c:v>0.29529529529529513</c:v>
                </c:pt>
                <c:pt idx="296">
                  <c:v>0.29629629629629611</c:v>
                </c:pt>
                <c:pt idx="297">
                  <c:v>0.29729729729729709</c:v>
                </c:pt>
                <c:pt idx="298">
                  <c:v>0.29829829829829807</c:v>
                </c:pt>
                <c:pt idx="299">
                  <c:v>0.29929929929929905</c:v>
                </c:pt>
                <c:pt idx="300">
                  <c:v>0.30030030030030003</c:v>
                </c:pt>
                <c:pt idx="301">
                  <c:v>0.30130130130130101</c:v>
                </c:pt>
                <c:pt idx="302">
                  <c:v>0.30230230230230198</c:v>
                </c:pt>
                <c:pt idx="303">
                  <c:v>0.30330330330330296</c:v>
                </c:pt>
                <c:pt idx="304">
                  <c:v>0.30430430430430394</c:v>
                </c:pt>
                <c:pt idx="305">
                  <c:v>0.30530530530530492</c:v>
                </c:pt>
                <c:pt idx="306">
                  <c:v>0.3063063063063059</c:v>
                </c:pt>
                <c:pt idx="307">
                  <c:v>0.30730730730730688</c:v>
                </c:pt>
                <c:pt idx="308">
                  <c:v>0.30830830830830785</c:v>
                </c:pt>
                <c:pt idx="309">
                  <c:v>0.30930930930930883</c:v>
                </c:pt>
                <c:pt idx="310">
                  <c:v>0.31031031031030981</c:v>
                </c:pt>
                <c:pt idx="311">
                  <c:v>0.31131131131131079</c:v>
                </c:pt>
                <c:pt idx="312">
                  <c:v>0.31231231231231177</c:v>
                </c:pt>
                <c:pt idx="313">
                  <c:v>0.31331331331331275</c:v>
                </c:pt>
                <c:pt idx="314">
                  <c:v>0.31431431431431373</c:v>
                </c:pt>
                <c:pt idx="315">
                  <c:v>0.3153153153153147</c:v>
                </c:pt>
                <c:pt idx="316">
                  <c:v>0.31631631631631568</c:v>
                </c:pt>
                <c:pt idx="317">
                  <c:v>0.31731731731731666</c:v>
                </c:pt>
                <c:pt idx="318">
                  <c:v>0.31831831831831764</c:v>
                </c:pt>
                <c:pt idx="319">
                  <c:v>0.31931931931931862</c:v>
                </c:pt>
                <c:pt idx="320">
                  <c:v>0.3203203203203196</c:v>
                </c:pt>
                <c:pt idx="321">
                  <c:v>0.32132132132132057</c:v>
                </c:pt>
                <c:pt idx="322">
                  <c:v>0.32232232232232155</c:v>
                </c:pt>
                <c:pt idx="323">
                  <c:v>0.32332332332332253</c:v>
                </c:pt>
                <c:pt idx="324">
                  <c:v>0.32432432432432351</c:v>
                </c:pt>
                <c:pt idx="325">
                  <c:v>0.32532532532532449</c:v>
                </c:pt>
                <c:pt idx="326">
                  <c:v>0.32632632632632547</c:v>
                </c:pt>
                <c:pt idx="327">
                  <c:v>0.32732732732732644</c:v>
                </c:pt>
                <c:pt idx="328">
                  <c:v>0.32832832832832742</c:v>
                </c:pt>
                <c:pt idx="329">
                  <c:v>0.3293293293293284</c:v>
                </c:pt>
                <c:pt idx="330">
                  <c:v>0.33033033033032938</c:v>
                </c:pt>
                <c:pt idx="331">
                  <c:v>0.33133133133133036</c:v>
                </c:pt>
                <c:pt idx="332">
                  <c:v>0.33233233233233134</c:v>
                </c:pt>
                <c:pt idx="333">
                  <c:v>0.33333333333333232</c:v>
                </c:pt>
                <c:pt idx="334">
                  <c:v>0.33433433433433329</c:v>
                </c:pt>
                <c:pt idx="335">
                  <c:v>0.33533533533533427</c:v>
                </c:pt>
                <c:pt idx="336">
                  <c:v>0.33633633633633525</c:v>
                </c:pt>
                <c:pt idx="337">
                  <c:v>0.33733733733733623</c:v>
                </c:pt>
                <c:pt idx="338">
                  <c:v>0.33833833833833721</c:v>
                </c:pt>
                <c:pt idx="339">
                  <c:v>0.33933933933933819</c:v>
                </c:pt>
                <c:pt idx="340">
                  <c:v>0.34034034034033916</c:v>
                </c:pt>
                <c:pt idx="341">
                  <c:v>0.34134134134134014</c:v>
                </c:pt>
                <c:pt idx="342">
                  <c:v>0.34234234234234112</c:v>
                </c:pt>
                <c:pt idx="343">
                  <c:v>0.3433433433433421</c:v>
                </c:pt>
                <c:pt idx="344">
                  <c:v>0.34434434434434308</c:v>
                </c:pt>
                <c:pt idx="345">
                  <c:v>0.34534534534534406</c:v>
                </c:pt>
                <c:pt idx="346">
                  <c:v>0.34634634634634504</c:v>
                </c:pt>
                <c:pt idx="347">
                  <c:v>0.34734734734734601</c:v>
                </c:pt>
                <c:pt idx="348">
                  <c:v>0.34834834834834699</c:v>
                </c:pt>
                <c:pt idx="349">
                  <c:v>0.34934934934934797</c:v>
                </c:pt>
                <c:pt idx="350">
                  <c:v>0.35035035035034895</c:v>
                </c:pt>
                <c:pt idx="351">
                  <c:v>0.35135135135134993</c:v>
                </c:pt>
                <c:pt idx="352">
                  <c:v>0.35235235235235091</c:v>
                </c:pt>
                <c:pt idx="353">
                  <c:v>0.35335335335335188</c:v>
                </c:pt>
                <c:pt idx="354">
                  <c:v>0.35435435435435286</c:v>
                </c:pt>
                <c:pt idx="355">
                  <c:v>0.35535535535535384</c:v>
                </c:pt>
                <c:pt idx="356">
                  <c:v>0.35635635635635482</c:v>
                </c:pt>
                <c:pt idx="357">
                  <c:v>0.3573573573573558</c:v>
                </c:pt>
                <c:pt idx="358">
                  <c:v>0.35835835835835678</c:v>
                </c:pt>
                <c:pt idx="359">
                  <c:v>0.35935935935935776</c:v>
                </c:pt>
                <c:pt idx="360">
                  <c:v>0.36036036036035873</c:v>
                </c:pt>
                <c:pt idx="361">
                  <c:v>0.36136136136135971</c:v>
                </c:pt>
                <c:pt idx="362">
                  <c:v>0.36236236236236069</c:v>
                </c:pt>
                <c:pt idx="363">
                  <c:v>0.36336336336336167</c:v>
                </c:pt>
                <c:pt idx="364">
                  <c:v>0.36436436436436265</c:v>
                </c:pt>
                <c:pt idx="365">
                  <c:v>0.36536536536536363</c:v>
                </c:pt>
                <c:pt idx="366">
                  <c:v>0.3663663663663646</c:v>
                </c:pt>
                <c:pt idx="367">
                  <c:v>0.36736736736736558</c:v>
                </c:pt>
                <c:pt idx="368">
                  <c:v>0.36836836836836656</c:v>
                </c:pt>
                <c:pt idx="369">
                  <c:v>0.36936936936936754</c:v>
                </c:pt>
                <c:pt idx="370">
                  <c:v>0.37037037037036852</c:v>
                </c:pt>
                <c:pt idx="371">
                  <c:v>0.3713713713713695</c:v>
                </c:pt>
                <c:pt idx="372">
                  <c:v>0.37237237237237047</c:v>
                </c:pt>
                <c:pt idx="373">
                  <c:v>0.37337337337337145</c:v>
                </c:pt>
                <c:pt idx="374">
                  <c:v>0.37437437437437243</c:v>
                </c:pt>
                <c:pt idx="375">
                  <c:v>0.37537537537537341</c:v>
                </c:pt>
                <c:pt idx="376">
                  <c:v>0.37637637637637439</c:v>
                </c:pt>
                <c:pt idx="377">
                  <c:v>0.37737737737737537</c:v>
                </c:pt>
                <c:pt idx="378">
                  <c:v>0.37837837837837635</c:v>
                </c:pt>
                <c:pt idx="379">
                  <c:v>0.37937937937937732</c:v>
                </c:pt>
                <c:pt idx="380">
                  <c:v>0.3803803803803783</c:v>
                </c:pt>
                <c:pt idx="381">
                  <c:v>0.38138138138137928</c:v>
                </c:pt>
                <c:pt idx="382">
                  <c:v>0.38238238238238026</c:v>
                </c:pt>
                <c:pt idx="383">
                  <c:v>0.38338338338338124</c:v>
                </c:pt>
                <c:pt idx="384">
                  <c:v>0.38438438438438222</c:v>
                </c:pt>
                <c:pt idx="385">
                  <c:v>0.38538538538538319</c:v>
                </c:pt>
                <c:pt idx="386">
                  <c:v>0.38638638638638417</c:v>
                </c:pt>
                <c:pt idx="387">
                  <c:v>0.38738738738738515</c:v>
                </c:pt>
                <c:pt idx="388">
                  <c:v>0.38838838838838613</c:v>
                </c:pt>
                <c:pt idx="389">
                  <c:v>0.38938938938938711</c:v>
                </c:pt>
                <c:pt idx="390">
                  <c:v>0.39039039039038809</c:v>
                </c:pt>
                <c:pt idx="391">
                  <c:v>0.39139139139138907</c:v>
                </c:pt>
                <c:pt idx="392">
                  <c:v>0.39239239239239004</c:v>
                </c:pt>
                <c:pt idx="393">
                  <c:v>0.39339339339339102</c:v>
                </c:pt>
                <c:pt idx="394">
                  <c:v>0.394394394394392</c:v>
                </c:pt>
                <c:pt idx="395">
                  <c:v>0.39539539539539298</c:v>
                </c:pt>
                <c:pt idx="396">
                  <c:v>0.39639639639639396</c:v>
                </c:pt>
                <c:pt idx="397">
                  <c:v>0.39739739739739494</c:v>
                </c:pt>
                <c:pt idx="398">
                  <c:v>0.39839839839839591</c:v>
                </c:pt>
                <c:pt idx="399">
                  <c:v>0.39939939939939689</c:v>
                </c:pt>
                <c:pt idx="400">
                  <c:v>0.40040040040039787</c:v>
                </c:pt>
                <c:pt idx="401">
                  <c:v>0.40140140140139885</c:v>
                </c:pt>
                <c:pt idx="402">
                  <c:v>0.40240240240239983</c:v>
                </c:pt>
                <c:pt idx="403">
                  <c:v>0.40340340340340081</c:v>
                </c:pt>
                <c:pt idx="404">
                  <c:v>0.40440440440440178</c:v>
                </c:pt>
                <c:pt idx="405">
                  <c:v>0.40540540540540276</c:v>
                </c:pt>
                <c:pt idx="406">
                  <c:v>0.40640640640640374</c:v>
                </c:pt>
                <c:pt idx="407">
                  <c:v>0.40740740740740472</c:v>
                </c:pt>
                <c:pt idx="408">
                  <c:v>0.4084084084084057</c:v>
                </c:pt>
                <c:pt idx="409">
                  <c:v>0.40940940940940668</c:v>
                </c:pt>
                <c:pt idx="410">
                  <c:v>0.41041041041040766</c:v>
                </c:pt>
                <c:pt idx="411">
                  <c:v>0.41141141141140863</c:v>
                </c:pt>
                <c:pt idx="412">
                  <c:v>0.41241241241240961</c:v>
                </c:pt>
                <c:pt idx="413">
                  <c:v>0.41341341341341059</c:v>
                </c:pt>
                <c:pt idx="414">
                  <c:v>0.41441441441441157</c:v>
                </c:pt>
                <c:pt idx="415">
                  <c:v>0.41541541541541255</c:v>
                </c:pt>
                <c:pt idx="416">
                  <c:v>0.41641641641641353</c:v>
                </c:pt>
                <c:pt idx="417">
                  <c:v>0.4174174174174145</c:v>
                </c:pt>
                <c:pt idx="418">
                  <c:v>0.41841841841841548</c:v>
                </c:pt>
                <c:pt idx="419">
                  <c:v>0.41941941941941646</c:v>
                </c:pt>
                <c:pt idx="420">
                  <c:v>0.42042042042041744</c:v>
                </c:pt>
                <c:pt idx="421">
                  <c:v>0.42142142142141842</c:v>
                </c:pt>
                <c:pt idx="422">
                  <c:v>0.4224224224224194</c:v>
                </c:pt>
                <c:pt idx="423">
                  <c:v>0.42342342342342038</c:v>
                </c:pt>
                <c:pt idx="424">
                  <c:v>0.42442442442442135</c:v>
                </c:pt>
                <c:pt idx="425">
                  <c:v>0.42542542542542233</c:v>
                </c:pt>
                <c:pt idx="426">
                  <c:v>0.42642642642642331</c:v>
                </c:pt>
                <c:pt idx="427">
                  <c:v>0.42742742742742429</c:v>
                </c:pt>
                <c:pt idx="428">
                  <c:v>0.42842842842842527</c:v>
                </c:pt>
                <c:pt idx="429">
                  <c:v>0.42942942942942625</c:v>
                </c:pt>
                <c:pt idx="430">
                  <c:v>0.43043043043042722</c:v>
                </c:pt>
                <c:pt idx="431">
                  <c:v>0.4314314314314282</c:v>
                </c:pt>
                <c:pt idx="432">
                  <c:v>0.43243243243242918</c:v>
                </c:pt>
                <c:pt idx="433">
                  <c:v>0.43343343343343016</c:v>
                </c:pt>
                <c:pt idx="434">
                  <c:v>0.43443443443443114</c:v>
                </c:pt>
                <c:pt idx="435">
                  <c:v>0.43543543543543212</c:v>
                </c:pt>
                <c:pt idx="436">
                  <c:v>0.4364364364364331</c:v>
                </c:pt>
                <c:pt idx="437">
                  <c:v>0.43743743743743407</c:v>
                </c:pt>
                <c:pt idx="438">
                  <c:v>0.43843843843843505</c:v>
                </c:pt>
                <c:pt idx="439">
                  <c:v>0.43943943943943603</c:v>
                </c:pt>
                <c:pt idx="440">
                  <c:v>0.44044044044043701</c:v>
                </c:pt>
                <c:pt idx="441">
                  <c:v>0.44144144144143799</c:v>
                </c:pt>
                <c:pt idx="442">
                  <c:v>0.44244244244243897</c:v>
                </c:pt>
                <c:pt idx="443">
                  <c:v>0.44344344344343994</c:v>
                </c:pt>
                <c:pt idx="444">
                  <c:v>0.44444444444444092</c:v>
                </c:pt>
                <c:pt idx="445">
                  <c:v>0.4454454454454419</c:v>
                </c:pt>
                <c:pt idx="446">
                  <c:v>0.44644644644644288</c:v>
                </c:pt>
                <c:pt idx="447">
                  <c:v>0.44744744744744386</c:v>
                </c:pt>
                <c:pt idx="448">
                  <c:v>0.44844844844844484</c:v>
                </c:pt>
                <c:pt idx="449">
                  <c:v>0.44944944944944581</c:v>
                </c:pt>
                <c:pt idx="450">
                  <c:v>0.45045045045044679</c:v>
                </c:pt>
                <c:pt idx="451">
                  <c:v>0.45145145145144777</c:v>
                </c:pt>
                <c:pt idx="452">
                  <c:v>0.45245245245244875</c:v>
                </c:pt>
                <c:pt idx="453">
                  <c:v>0.45345345345344973</c:v>
                </c:pt>
                <c:pt idx="454">
                  <c:v>0.45445445445445071</c:v>
                </c:pt>
                <c:pt idx="455">
                  <c:v>0.45545545545545169</c:v>
                </c:pt>
                <c:pt idx="456">
                  <c:v>0.45645645645645266</c:v>
                </c:pt>
                <c:pt idx="457">
                  <c:v>0.45745745745745364</c:v>
                </c:pt>
                <c:pt idx="458">
                  <c:v>0.45845845845845462</c:v>
                </c:pt>
                <c:pt idx="459">
                  <c:v>0.4594594594594556</c:v>
                </c:pt>
                <c:pt idx="460">
                  <c:v>0.46046046046045658</c:v>
                </c:pt>
                <c:pt idx="461">
                  <c:v>0.46146146146145756</c:v>
                </c:pt>
                <c:pt idx="462">
                  <c:v>0.46246246246245853</c:v>
                </c:pt>
                <c:pt idx="463">
                  <c:v>0.46346346346345951</c:v>
                </c:pt>
                <c:pt idx="464">
                  <c:v>0.46446446446446049</c:v>
                </c:pt>
                <c:pt idx="465">
                  <c:v>0.46546546546546147</c:v>
                </c:pt>
                <c:pt idx="466">
                  <c:v>0.46646646646646245</c:v>
                </c:pt>
                <c:pt idx="467">
                  <c:v>0.46746746746746343</c:v>
                </c:pt>
                <c:pt idx="468">
                  <c:v>0.46846846846846441</c:v>
                </c:pt>
                <c:pt idx="469">
                  <c:v>0.46946946946946538</c:v>
                </c:pt>
                <c:pt idx="470">
                  <c:v>0.47047047047046636</c:v>
                </c:pt>
                <c:pt idx="471">
                  <c:v>0.47147147147146734</c:v>
                </c:pt>
                <c:pt idx="472">
                  <c:v>0.47247247247246832</c:v>
                </c:pt>
                <c:pt idx="473">
                  <c:v>0.4734734734734693</c:v>
                </c:pt>
                <c:pt idx="474">
                  <c:v>0.47447447447447028</c:v>
                </c:pt>
                <c:pt idx="475">
                  <c:v>0.47547547547547125</c:v>
                </c:pt>
                <c:pt idx="476">
                  <c:v>0.47647647647647223</c:v>
                </c:pt>
                <c:pt idx="477">
                  <c:v>0.47747747747747321</c:v>
                </c:pt>
                <c:pt idx="478">
                  <c:v>0.47847847847847419</c:v>
                </c:pt>
                <c:pt idx="479">
                  <c:v>0.47947947947947517</c:v>
                </c:pt>
                <c:pt idx="480">
                  <c:v>0.48048048048047615</c:v>
                </c:pt>
                <c:pt idx="481">
                  <c:v>0.48148148148147712</c:v>
                </c:pt>
                <c:pt idx="482">
                  <c:v>0.4824824824824781</c:v>
                </c:pt>
                <c:pt idx="483">
                  <c:v>0.48348348348347908</c:v>
                </c:pt>
                <c:pt idx="484">
                  <c:v>0.48448448448448006</c:v>
                </c:pt>
                <c:pt idx="485">
                  <c:v>0.48548548548548104</c:v>
                </c:pt>
                <c:pt idx="486">
                  <c:v>0.48648648648648202</c:v>
                </c:pt>
                <c:pt idx="487">
                  <c:v>0.487487487487483</c:v>
                </c:pt>
                <c:pt idx="488">
                  <c:v>0.48848848848848397</c:v>
                </c:pt>
                <c:pt idx="489">
                  <c:v>0.48948948948948495</c:v>
                </c:pt>
                <c:pt idx="490">
                  <c:v>0.49049049049048593</c:v>
                </c:pt>
                <c:pt idx="491">
                  <c:v>0.49149149149148691</c:v>
                </c:pt>
                <c:pt idx="492">
                  <c:v>0.49249249249248789</c:v>
                </c:pt>
                <c:pt idx="493">
                  <c:v>0.49349349349348887</c:v>
                </c:pt>
                <c:pt idx="494">
                  <c:v>0.49449449449448984</c:v>
                </c:pt>
                <c:pt idx="495">
                  <c:v>0.49549549549549082</c:v>
                </c:pt>
                <c:pt idx="496">
                  <c:v>0.4964964964964918</c:v>
                </c:pt>
                <c:pt idx="497">
                  <c:v>0.49749749749749278</c:v>
                </c:pt>
                <c:pt idx="498">
                  <c:v>0.49849849849849376</c:v>
                </c:pt>
                <c:pt idx="499">
                  <c:v>0.49949949949949474</c:v>
                </c:pt>
                <c:pt idx="500">
                  <c:v>0.50050050050049577</c:v>
                </c:pt>
                <c:pt idx="501">
                  <c:v>0.50150150150149675</c:v>
                </c:pt>
                <c:pt idx="502">
                  <c:v>0.50250250250249773</c:v>
                </c:pt>
                <c:pt idx="503">
                  <c:v>0.50350350350349871</c:v>
                </c:pt>
                <c:pt idx="504">
                  <c:v>0.50450450450449968</c:v>
                </c:pt>
                <c:pt idx="505">
                  <c:v>0.50550550550550066</c:v>
                </c:pt>
                <c:pt idx="506">
                  <c:v>0.50650650650650164</c:v>
                </c:pt>
                <c:pt idx="507">
                  <c:v>0.50750750750750262</c:v>
                </c:pt>
                <c:pt idx="508">
                  <c:v>0.5085085085085036</c:v>
                </c:pt>
                <c:pt idx="509">
                  <c:v>0.50950950950950458</c:v>
                </c:pt>
                <c:pt idx="510">
                  <c:v>0.51051051051050556</c:v>
                </c:pt>
                <c:pt idx="511">
                  <c:v>0.51151151151150653</c:v>
                </c:pt>
                <c:pt idx="512">
                  <c:v>0.51251251251250751</c:v>
                </c:pt>
                <c:pt idx="513">
                  <c:v>0.51351351351350849</c:v>
                </c:pt>
                <c:pt idx="514">
                  <c:v>0.51451451451450947</c:v>
                </c:pt>
                <c:pt idx="515">
                  <c:v>0.51551551551551045</c:v>
                </c:pt>
                <c:pt idx="516">
                  <c:v>0.51651651651651143</c:v>
                </c:pt>
                <c:pt idx="517">
                  <c:v>0.5175175175175124</c:v>
                </c:pt>
                <c:pt idx="518">
                  <c:v>0.51851851851851338</c:v>
                </c:pt>
                <c:pt idx="519">
                  <c:v>0.51951951951951436</c:v>
                </c:pt>
                <c:pt idx="520">
                  <c:v>0.52052052052051534</c:v>
                </c:pt>
                <c:pt idx="521">
                  <c:v>0.52152152152151632</c:v>
                </c:pt>
                <c:pt idx="522">
                  <c:v>0.5225225225225173</c:v>
                </c:pt>
                <c:pt idx="523">
                  <c:v>0.52352352352351827</c:v>
                </c:pt>
                <c:pt idx="524">
                  <c:v>0.52452452452451925</c:v>
                </c:pt>
                <c:pt idx="525">
                  <c:v>0.52552552552552023</c:v>
                </c:pt>
                <c:pt idx="526">
                  <c:v>0.52652652652652121</c:v>
                </c:pt>
                <c:pt idx="527">
                  <c:v>0.52752752752752219</c:v>
                </c:pt>
                <c:pt idx="528">
                  <c:v>0.52852852852852317</c:v>
                </c:pt>
                <c:pt idx="529">
                  <c:v>0.52952952952952415</c:v>
                </c:pt>
                <c:pt idx="530">
                  <c:v>0.53053053053052512</c:v>
                </c:pt>
                <c:pt idx="531">
                  <c:v>0.5315315315315261</c:v>
                </c:pt>
                <c:pt idx="532">
                  <c:v>0.53253253253252708</c:v>
                </c:pt>
                <c:pt idx="533">
                  <c:v>0.53353353353352806</c:v>
                </c:pt>
                <c:pt idx="534">
                  <c:v>0.53453453453452904</c:v>
                </c:pt>
                <c:pt idx="535">
                  <c:v>0.53553553553553002</c:v>
                </c:pt>
                <c:pt idx="536">
                  <c:v>0.53653653653653099</c:v>
                </c:pt>
                <c:pt idx="537">
                  <c:v>0.53753753753753197</c:v>
                </c:pt>
                <c:pt idx="538">
                  <c:v>0.53853853853853295</c:v>
                </c:pt>
                <c:pt idx="539">
                  <c:v>0.53953953953953393</c:v>
                </c:pt>
                <c:pt idx="540">
                  <c:v>0.54054054054053491</c:v>
                </c:pt>
                <c:pt idx="541">
                  <c:v>0.54154154154153589</c:v>
                </c:pt>
                <c:pt idx="542">
                  <c:v>0.54254254254253687</c:v>
                </c:pt>
                <c:pt idx="543">
                  <c:v>0.54354354354353784</c:v>
                </c:pt>
                <c:pt idx="544">
                  <c:v>0.54454454454453882</c:v>
                </c:pt>
                <c:pt idx="545">
                  <c:v>0.5455455455455398</c:v>
                </c:pt>
                <c:pt idx="546">
                  <c:v>0.54654654654654078</c:v>
                </c:pt>
                <c:pt idx="547">
                  <c:v>0.54754754754754176</c:v>
                </c:pt>
                <c:pt idx="548">
                  <c:v>0.54854854854854274</c:v>
                </c:pt>
                <c:pt idx="549">
                  <c:v>0.54954954954954371</c:v>
                </c:pt>
                <c:pt idx="550">
                  <c:v>0.55055055055054469</c:v>
                </c:pt>
                <c:pt idx="551">
                  <c:v>0.55155155155154567</c:v>
                </c:pt>
                <c:pt idx="552">
                  <c:v>0.55255255255254665</c:v>
                </c:pt>
                <c:pt idx="553">
                  <c:v>0.55355355355354763</c:v>
                </c:pt>
                <c:pt idx="554">
                  <c:v>0.55455455455454861</c:v>
                </c:pt>
                <c:pt idx="555">
                  <c:v>0.55555555555554959</c:v>
                </c:pt>
                <c:pt idx="556">
                  <c:v>0.55655655655655056</c:v>
                </c:pt>
                <c:pt idx="557">
                  <c:v>0.55755755755755154</c:v>
                </c:pt>
                <c:pt idx="558">
                  <c:v>0.55855855855855252</c:v>
                </c:pt>
                <c:pt idx="559">
                  <c:v>0.5595595595595535</c:v>
                </c:pt>
                <c:pt idx="560">
                  <c:v>0.56056056056055448</c:v>
                </c:pt>
                <c:pt idx="561">
                  <c:v>0.56156156156155546</c:v>
                </c:pt>
                <c:pt idx="562">
                  <c:v>0.56256256256255643</c:v>
                </c:pt>
                <c:pt idx="563">
                  <c:v>0.56356356356355741</c:v>
                </c:pt>
                <c:pt idx="564">
                  <c:v>0.56456456456455839</c:v>
                </c:pt>
                <c:pt idx="565">
                  <c:v>0.56556556556555937</c:v>
                </c:pt>
                <c:pt idx="566">
                  <c:v>0.56656656656656035</c:v>
                </c:pt>
                <c:pt idx="567">
                  <c:v>0.56756756756756133</c:v>
                </c:pt>
                <c:pt idx="568">
                  <c:v>0.5685685685685623</c:v>
                </c:pt>
                <c:pt idx="569">
                  <c:v>0.56956956956956328</c:v>
                </c:pt>
                <c:pt idx="570">
                  <c:v>0.57057057057056426</c:v>
                </c:pt>
                <c:pt idx="571">
                  <c:v>0.57157157157156524</c:v>
                </c:pt>
                <c:pt idx="572">
                  <c:v>0.57257257257256622</c:v>
                </c:pt>
                <c:pt idx="573">
                  <c:v>0.5735735735735672</c:v>
                </c:pt>
                <c:pt idx="574">
                  <c:v>0.57457457457456818</c:v>
                </c:pt>
                <c:pt idx="575">
                  <c:v>0.57557557557556915</c:v>
                </c:pt>
                <c:pt idx="576">
                  <c:v>0.57657657657657013</c:v>
                </c:pt>
                <c:pt idx="577">
                  <c:v>0.57757757757757111</c:v>
                </c:pt>
                <c:pt idx="578">
                  <c:v>0.57857857857857209</c:v>
                </c:pt>
                <c:pt idx="579">
                  <c:v>0.57957957957957307</c:v>
                </c:pt>
                <c:pt idx="580">
                  <c:v>0.58058058058057405</c:v>
                </c:pt>
                <c:pt idx="581">
                  <c:v>0.58158158158157502</c:v>
                </c:pt>
                <c:pt idx="582">
                  <c:v>0.582582582582576</c:v>
                </c:pt>
                <c:pt idx="583">
                  <c:v>0.58358358358357698</c:v>
                </c:pt>
                <c:pt idx="584">
                  <c:v>0.58458458458457796</c:v>
                </c:pt>
                <c:pt idx="585">
                  <c:v>0.58558558558557894</c:v>
                </c:pt>
                <c:pt idx="586">
                  <c:v>0.58658658658657992</c:v>
                </c:pt>
                <c:pt idx="587">
                  <c:v>0.5875875875875809</c:v>
                </c:pt>
                <c:pt idx="588">
                  <c:v>0.58858858858858187</c:v>
                </c:pt>
                <c:pt idx="589">
                  <c:v>0.58958958958958285</c:v>
                </c:pt>
                <c:pt idx="590">
                  <c:v>0.59059059059058383</c:v>
                </c:pt>
                <c:pt idx="591">
                  <c:v>0.59159159159158481</c:v>
                </c:pt>
                <c:pt idx="592">
                  <c:v>0.59259259259258579</c:v>
                </c:pt>
                <c:pt idx="593">
                  <c:v>0.59359359359358677</c:v>
                </c:pt>
                <c:pt idx="594">
                  <c:v>0.59459459459458774</c:v>
                </c:pt>
                <c:pt idx="595">
                  <c:v>0.59559559559558872</c:v>
                </c:pt>
                <c:pt idx="596">
                  <c:v>0.5965965965965897</c:v>
                </c:pt>
                <c:pt idx="597">
                  <c:v>0.59759759759759068</c:v>
                </c:pt>
                <c:pt idx="598">
                  <c:v>0.59859859859859166</c:v>
                </c:pt>
                <c:pt idx="599">
                  <c:v>0.59959959959959264</c:v>
                </c:pt>
                <c:pt idx="600">
                  <c:v>0.60060060060059361</c:v>
                </c:pt>
                <c:pt idx="601">
                  <c:v>0.60160160160159459</c:v>
                </c:pt>
                <c:pt idx="602">
                  <c:v>0.60260260260259557</c:v>
                </c:pt>
                <c:pt idx="603">
                  <c:v>0.60360360360359655</c:v>
                </c:pt>
                <c:pt idx="604">
                  <c:v>0.60460460460459753</c:v>
                </c:pt>
                <c:pt idx="605">
                  <c:v>0.60560560560559851</c:v>
                </c:pt>
                <c:pt idx="606">
                  <c:v>0.60660660660659949</c:v>
                </c:pt>
                <c:pt idx="607">
                  <c:v>0.60760760760760046</c:v>
                </c:pt>
                <c:pt idx="608">
                  <c:v>0.60860860860860144</c:v>
                </c:pt>
                <c:pt idx="609">
                  <c:v>0.60960960960960242</c:v>
                </c:pt>
                <c:pt idx="610">
                  <c:v>0.6106106106106034</c:v>
                </c:pt>
                <c:pt idx="611">
                  <c:v>0.61161161161160438</c:v>
                </c:pt>
                <c:pt idx="612">
                  <c:v>0.61261261261260536</c:v>
                </c:pt>
                <c:pt idx="613">
                  <c:v>0.61361361361360633</c:v>
                </c:pt>
                <c:pt idx="614">
                  <c:v>0.61461461461460731</c:v>
                </c:pt>
                <c:pt idx="615">
                  <c:v>0.61561561561560829</c:v>
                </c:pt>
                <c:pt idx="616">
                  <c:v>0.61661661661660927</c:v>
                </c:pt>
                <c:pt idx="617">
                  <c:v>0.61761761761761025</c:v>
                </c:pt>
                <c:pt idx="618">
                  <c:v>0.61861861861861123</c:v>
                </c:pt>
                <c:pt idx="619">
                  <c:v>0.61961961961961221</c:v>
                </c:pt>
                <c:pt idx="620">
                  <c:v>0.62062062062061318</c:v>
                </c:pt>
                <c:pt idx="621">
                  <c:v>0.62162162162161416</c:v>
                </c:pt>
                <c:pt idx="622">
                  <c:v>0.62262262262261514</c:v>
                </c:pt>
                <c:pt idx="623">
                  <c:v>0.62362362362361612</c:v>
                </c:pt>
                <c:pt idx="624">
                  <c:v>0.6246246246246171</c:v>
                </c:pt>
                <c:pt idx="625">
                  <c:v>0.62562562562561808</c:v>
                </c:pt>
                <c:pt idx="626">
                  <c:v>0.62662662662661905</c:v>
                </c:pt>
                <c:pt idx="627">
                  <c:v>0.62762762762762003</c:v>
                </c:pt>
                <c:pt idx="628">
                  <c:v>0.62862862862862101</c:v>
                </c:pt>
                <c:pt idx="629">
                  <c:v>0.62962962962962199</c:v>
                </c:pt>
                <c:pt idx="630">
                  <c:v>0.63063063063062297</c:v>
                </c:pt>
                <c:pt idx="631">
                  <c:v>0.63163163163162395</c:v>
                </c:pt>
                <c:pt idx="632">
                  <c:v>0.63263263263262492</c:v>
                </c:pt>
                <c:pt idx="633">
                  <c:v>0.6336336336336259</c:v>
                </c:pt>
                <c:pt idx="634">
                  <c:v>0.63463463463462688</c:v>
                </c:pt>
                <c:pt idx="635">
                  <c:v>0.63563563563562786</c:v>
                </c:pt>
                <c:pt idx="636">
                  <c:v>0.63663663663662884</c:v>
                </c:pt>
                <c:pt idx="637">
                  <c:v>0.63763763763762982</c:v>
                </c:pt>
                <c:pt idx="638">
                  <c:v>0.6386386386386308</c:v>
                </c:pt>
                <c:pt idx="639">
                  <c:v>0.63963963963963177</c:v>
                </c:pt>
                <c:pt idx="640">
                  <c:v>0.64064064064063275</c:v>
                </c:pt>
                <c:pt idx="641">
                  <c:v>0.64164164164163373</c:v>
                </c:pt>
                <c:pt idx="642">
                  <c:v>0.64264264264263471</c:v>
                </c:pt>
                <c:pt idx="643">
                  <c:v>0.64364364364363569</c:v>
                </c:pt>
                <c:pt idx="644">
                  <c:v>0.64464464464463667</c:v>
                </c:pt>
                <c:pt idx="645">
                  <c:v>0.64564564564563764</c:v>
                </c:pt>
                <c:pt idx="646">
                  <c:v>0.64664664664663862</c:v>
                </c:pt>
                <c:pt idx="647">
                  <c:v>0.6476476476476396</c:v>
                </c:pt>
                <c:pt idx="648">
                  <c:v>0.64864864864864058</c:v>
                </c:pt>
                <c:pt idx="649">
                  <c:v>0.64964964964964156</c:v>
                </c:pt>
                <c:pt idx="650">
                  <c:v>0.65065065065064254</c:v>
                </c:pt>
                <c:pt idx="651">
                  <c:v>0.65165165165164352</c:v>
                </c:pt>
                <c:pt idx="652">
                  <c:v>0.65265265265264449</c:v>
                </c:pt>
                <c:pt idx="653">
                  <c:v>0.65365365365364547</c:v>
                </c:pt>
                <c:pt idx="654">
                  <c:v>0.65465465465464645</c:v>
                </c:pt>
                <c:pt idx="655">
                  <c:v>0.65565565565564743</c:v>
                </c:pt>
                <c:pt idx="656">
                  <c:v>0.65665665665664841</c:v>
                </c:pt>
                <c:pt idx="657">
                  <c:v>0.65765765765764939</c:v>
                </c:pt>
                <c:pt idx="658">
                  <c:v>0.65865865865865036</c:v>
                </c:pt>
                <c:pt idx="659">
                  <c:v>0.65965965965965134</c:v>
                </c:pt>
                <c:pt idx="660">
                  <c:v>0.66066066066065232</c:v>
                </c:pt>
                <c:pt idx="661">
                  <c:v>0.6616616616616533</c:v>
                </c:pt>
                <c:pt idx="662">
                  <c:v>0.66266266266265428</c:v>
                </c:pt>
                <c:pt idx="663">
                  <c:v>0.66366366366365526</c:v>
                </c:pt>
                <c:pt idx="664">
                  <c:v>0.66466466466465624</c:v>
                </c:pt>
                <c:pt idx="665">
                  <c:v>0.66566566566565721</c:v>
                </c:pt>
                <c:pt idx="666">
                  <c:v>0.66666666666665819</c:v>
                </c:pt>
                <c:pt idx="667">
                  <c:v>0.66766766766765917</c:v>
                </c:pt>
                <c:pt idx="668">
                  <c:v>0.66866866866866015</c:v>
                </c:pt>
                <c:pt idx="669">
                  <c:v>0.66966966966966113</c:v>
                </c:pt>
                <c:pt idx="670">
                  <c:v>0.67067067067066211</c:v>
                </c:pt>
                <c:pt idx="671">
                  <c:v>0.67167167167166308</c:v>
                </c:pt>
                <c:pt idx="672">
                  <c:v>0.67267267267266406</c:v>
                </c:pt>
                <c:pt idx="673">
                  <c:v>0.67367367367366504</c:v>
                </c:pt>
                <c:pt idx="674">
                  <c:v>0.67467467467466602</c:v>
                </c:pt>
                <c:pt idx="675">
                  <c:v>0.675675675675667</c:v>
                </c:pt>
                <c:pt idx="676">
                  <c:v>0.67667667667666798</c:v>
                </c:pt>
                <c:pt idx="677">
                  <c:v>0.67767767767766895</c:v>
                </c:pt>
                <c:pt idx="678">
                  <c:v>0.67867867867866993</c:v>
                </c:pt>
                <c:pt idx="679">
                  <c:v>0.67967967967967091</c:v>
                </c:pt>
                <c:pt idx="680">
                  <c:v>0.68068068068067189</c:v>
                </c:pt>
                <c:pt idx="681">
                  <c:v>0.68168168168167287</c:v>
                </c:pt>
                <c:pt idx="682">
                  <c:v>0.68268268268267385</c:v>
                </c:pt>
                <c:pt idx="683">
                  <c:v>0.68368368368367483</c:v>
                </c:pt>
                <c:pt idx="684">
                  <c:v>0.6846846846846758</c:v>
                </c:pt>
                <c:pt idx="685">
                  <c:v>0.68568568568567678</c:v>
                </c:pt>
                <c:pt idx="686">
                  <c:v>0.68668668668667776</c:v>
                </c:pt>
                <c:pt idx="687">
                  <c:v>0.68768768768767874</c:v>
                </c:pt>
                <c:pt idx="688">
                  <c:v>0.68868868868867972</c:v>
                </c:pt>
                <c:pt idx="689">
                  <c:v>0.6896896896896807</c:v>
                </c:pt>
                <c:pt idx="690">
                  <c:v>0.69069069069068167</c:v>
                </c:pt>
                <c:pt idx="691">
                  <c:v>0.69169169169168265</c:v>
                </c:pt>
                <c:pt idx="692">
                  <c:v>0.69269269269268363</c:v>
                </c:pt>
                <c:pt idx="693">
                  <c:v>0.69369369369368461</c:v>
                </c:pt>
                <c:pt idx="694">
                  <c:v>0.69469469469468559</c:v>
                </c:pt>
                <c:pt idx="695">
                  <c:v>0.69569569569568657</c:v>
                </c:pt>
                <c:pt idx="696">
                  <c:v>0.69669669669668755</c:v>
                </c:pt>
                <c:pt idx="697">
                  <c:v>0.69769769769768852</c:v>
                </c:pt>
                <c:pt idx="698">
                  <c:v>0.6986986986986895</c:v>
                </c:pt>
                <c:pt idx="699">
                  <c:v>0.69969969969969048</c:v>
                </c:pt>
                <c:pt idx="700">
                  <c:v>0.70070070070069146</c:v>
                </c:pt>
                <c:pt idx="701">
                  <c:v>0.70170170170169244</c:v>
                </c:pt>
                <c:pt idx="702">
                  <c:v>0.70270270270269342</c:v>
                </c:pt>
                <c:pt idx="703">
                  <c:v>0.70370370370369439</c:v>
                </c:pt>
                <c:pt idx="704">
                  <c:v>0.70470470470469537</c:v>
                </c:pt>
                <c:pt idx="705">
                  <c:v>0.70570570570569635</c:v>
                </c:pt>
                <c:pt idx="706">
                  <c:v>0.70670670670669733</c:v>
                </c:pt>
                <c:pt idx="707">
                  <c:v>0.70770770770769831</c:v>
                </c:pt>
                <c:pt idx="708">
                  <c:v>0.70870870870869929</c:v>
                </c:pt>
                <c:pt idx="709">
                  <c:v>0.70970970970970026</c:v>
                </c:pt>
                <c:pt idx="710">
                  <c:v>0.71071071071070124</c:v>
                </c:pt>
                <c:pt idx="711">
                  <c:v>0.71171171171170222</c:v>
                </c:pt>
                <c:pt idx="712">
                  <c:v>0.7127127127127032</c:v>
                </c:pt>
                <c:pt idx="713">
                  <c:v>0.71371371371370418</c:v>
                </c:pt>
                <c:pt idx="714">
                  <c:v>0.71471471471470516</c:v>
                </c:pt>
                <c:pt idx="715">
                  <c:v>0.71571571571570614</c:v>
                </c:pt>
                <c:pt idx="716">
                  <c:v>0.71671671671670711</c:v>
                </c:pt>
                <c:pt idx="717">
                  <c:v>0.71771771771770809</c:v>
                </c:pt>
                <c:pt idx="718">
                  <c:v>0.71871871871870907</c:v>
                </c:pt>
                <c:pt idx="719">
                  <c:v>0.71971971971971005</c:v>
                </c:pt>
                <c:pt idx="720">
                  <c:v>0.72072072072071103</c:v>
                </c:pt>
                <c:pt idx="721">
                  <c:v>0.72172172172171201</c:v>
                </c:pt>
                <c:pt idx="722">
                  <c:v>0.72272272272271298</c:v>
                </c:pt>
                <c:pt idx="723">
                  <c:v>0.72372372372371396</c:v>
                </c:pt>
                <c:pt idx="724">
                  <c:v>0.72472472472471494</c:v>
                </c:pt>
                <c:pt idx="725">
                  <c:v>0.72572572572571592</c:v>
                </c:pt>
                <c:pt idx="726">
                  <c:v>0.7267267267267169</c:v>
                </c:pt>
                <c:pt idx="727">
                  <c:v>0.72772772772771788</c:v>
                </c:pt>
                <c:pt idx="728">
                  <c:v>0.72872872872871886</c:v>
                </c:pt>
                <c:pt idx="729">
                  <c:v>0.72972972972971983</c:v>
                </c:pt>
                <c:pt idx="730">
                  <c:v>0.73073073073072081</c:v>
                </c:pt>
                <c:pt idx="731">
                  <c:v>0.73173173173172179</c:v>
                </c:pt>
                <c:pt idx="732">
                  <c:v>0.73273273273272277</c:v>
                </c:pt>
                <c:pt idx="733">
                  <c:v>0.73373373373372375</c:v>
                </c:pt>
                <c:pt idx="734">
                  <c:v>0.73473473473472473</c:v>
                </c:pt>
                <c:pt idx="735">
                  <c:v>0.7357357357357257</c:v>
                </c:pt>
                <c:pt idx="736">
                  <c:v>0.73673673673672668</c:v>
                </c:pt>
                <c:pt idx="737">
                  <c:v>0.73773773773772766</c:v>
                </c:pt>
                <c:pt idx="738">
                  <c:v>0.73873873873872864</c:v>
                </c:pt>
                <c:pt idx="739">
                  <c:v>0.73973973973972962</c:v>
                </c:pt>
                <c:pt idx="740">
                  <c:v>0.7407407407407306</c:v>
                </c:pt>
                <c:pt idx="741">
                  <c:v>0.74174174174173158</c:v>
                </c:pt>
                <c:pt idx="742">
                  <c:v>0.74274274274273255</c:v>
                </c:pt>
                <c:pt idx="743">
                  <c:v>0.74374374374373353</c:v>
                </c:pt>
                <c:pt idx="744">
                  <c:v>0.74474474474473451</c:v>
                </c:pt>
                <c:pt idx="745">
                  <c:v>0.74574574574573549</c:v>
                </c:pt>
                <c:pt idx="746">
                  <c:v>0.74674674674673647</c:v>
                </c:pt>
                <c:pt idx="747">
                  <c:v>0.74774774774773745</c:v>
                </c:pt>
                <c:pt idx="748">
                  <c:v>0.74874874874873842</c:v>
                </c:pt>
                <c:pt idx="749">
                  <c:v>0.7497497497497394</c:v>
                </c:pt>
                <c:pt idx="750">
                  <c:v>0.75075075075074038</c:v>
                </c:pt>
                <c:pt idx="751">
                  <c:v>0.75175175175174136</c:v>
                </c:pt>
                <c:pt idx="752">
                  <c:v>0.75275275275274234</c:v>
                </c:pt>
                <c:pt idx="753">
                  <c:v>0.75375375375374332</c:v>
                </c:pt>
                <c:pt idx="754">
                  <c:v>0.75475475475474429</c:v>
                </c:pt>
                <c:pt idx="755">
                  <c:v>0.75575575575574527</c:v>
                </c:pt>
                <c:pt idx="756">
                  <c:v>0.75675675675674625</c:v>
                </c:pt>
                <c:pt idx="757">
                  <c:v>0.75775775775774723</c:v>
                </c:pt>
                <c:pt idx="758">
                  <c:v>0.75875875875874821</c:v>
                </c:pt>
                <c:pt idx="759">
                  <c:v>0.75975975975974919</c:v>
                </c:pt>
                <c:pt idx="760">
                  <c:v>0.76076076076075017</c:v>
                </c:pt>
                <c:pt idx="761">
                  <c:v>0.76176176176175114</c:v>
                </c:pt>
                <c:pt idx="762">
                  <c:v>0.76276276276275212</c:v>
                </c:pt>
                <c:pt idx="763">
                  <c:v>0.7637637637637531</c:v>
                </c:pt>
                <c:pt idx="764">
                  <c:v>0.76476476476475408</c:v>
                </c:pt>
                <c:pt idx="765">
                  <c:v>0.76576576576575506</c:v>
                </c:pt>
                <c:pt idx="766">
                  <c:v>0.76676676676675604</c:v>
                </c:pt>
                <c:pt idx="767">
                  <c:v>0.76776776776775701</c:v>
                </c:pt>
                <c:pt idx="768">
                  <c:v>0.76876876876875799</c:v>
                </c:pt>
                <c:pt idx="769">
                  <c:v>0.76976976976975897</c:v>
                </c:pt>
                <c:pt idx="770">
                  <c:v>0.77077077077075995</c:v>
                </c:pt>
                <c:pt idx="771">
                  <c:v>0.77177177177176093</c:v>
                </c:pt>
                <c:pt idx="772">
                  <c:v>0.77277277277276191</c:v>
                </c:pt>
                <c:pt idx="773">
                  <c:v>0.77377377377376289</c:v>
                </c:pt>
                <c:pt idx="774">
                  <c:v>0.77477477477476386</c:v>
                </c:pt>
                <c:pt idx="775">
                  <c:v>0.77577577577576484</c:v>
                </c:pt>
                <c:pt idx="776">
                  <c:v>0.77677677677676582</c:v>
                </c:pt>
                <c:pt idx="777">
                  <c:v>0.7777777777777668</c:v>
                </c:pt>
                <c:pt idx="778">
                  <c:v>0.77877877877876778</c:v>
                </c:pt>
                <c:pt idx="779">
                  <c:v>0.77977977977976876</c:v>
                </c:pt>
                <c:pt idx="780">
                  <c:v>0.78078078078076973</c:v>
                </c:pt>
                <c:pt idx="781">
                  <c:v>0.78178178178177071</c:v>
                </c:pt>
                <c:pt idx="782">
                  <c:v>0.78278278278277169</c:v>
                </c:pt>
                <c:pt idx="783">
                  <c:v>0.78378378378377267</c:v>
                </c:pt>
                <c:pt idx="784">
                  <c:v>0.78478478478477365</c:v>
                </c:pt>
                <c:pt idx="785">
                  <c:v>0.78578578578577463</c:v>
                </c:pt>
                <c:pt idx="786">
                  <c:v>0.7867867867867756</c:v>
                </c:pt>
                <c:pt idx="787">
                  <c:v>0.78778778778777658</c:v>
                </c:pt>
                <c:pt idx="788">
                  <c:v>0.78878878878877756</c:v>
                </c:pt>
                <c:pt idx="789">
                  <c:v>0.78978978978977854</c:v>
                </c:pt>
                <c:pt idx="790">
                  <c:v>0.79079079079077952</c:v>
                </c:pt>
                <c:pt idx="791">
                  <c:v>0.7917917917917805</c:v>
                </c:pt>
                <c:pt idx="792">
                  <c:v>0.79279279279278148</c:v>
                </c:pt>
                <c:pt idx="793">
                  <c:v>0.79379379379378245</c:v>
                </c:pt>
                <c:pt idx="794">
                  <c:v>0.79479479479478343</c:v>
                </c:pt>
                <c:pt idx="795">
                  <c:v>0.79579579579578441</c:v>
                </c:pt>
                <c:pt idx="796">
                  <c:v>0.79679679679678539</c:v>
                </c:pt>
                <c:pt idx="797">
                  <c:v>0.79779779779778637</c:v>
                </c:pt>
                <c:pt idx="798">
                  <c:v>0.79879879879878735</c:v>
                </c:pt>
                <c:pt idx="799">
                  <c:v>0.79979979979978832</c:v>
                </c:pt>
                <c:pt idx="800">
                  <c:v>0.8008008008007893</c:v>
                </c:pt>
                <c:pt idx="801">
                  <c:v>0.80180180180179028</c:v>
                </c:pt>
                <c:pt idx="802">
                  <c:v>0.80280280280279126</c:v>
                </c:pt>
                <c:pt idx="803">
                  <c:v>0.80380380380379224</c:v>
                </c:pt>
                <c:pt idx="804">
                  <c:v>0.80480480480479322</c:v>
                </c:pt>
                <c:pt idx="805">
                  <c:v>0.8058058058057942</c:v>
                </c:pt>
                <c:pt idx="806">
                  <c:v>0.80680680680679517</c:v>
                </c:pt>
                <c:pt idx="807">
                  <c:v>0.80780780780779615</c:v>
                </c:pt>
                <c:pt idx="808">
                  <c:v>0.80880880880879713</c:v>
                </c:pt>
                <c:pt idx="809">
                  <c:v>0.80980980980979811</c:v>
                </c:pt>
                <c:pt idx="810">
                  <c:v>0.81081081081079909</c:v>
                </c:pt>
                <c:pt idx="811">
                  <c:v>0.81181181181180007</c:v>
                </c:pt>
                <c:pt idx="812">
                  <c:v>0.81281281281280104</c:v>
                </c:pt>
                <c:pt idx="813">
                  <c:v>0.81381381381380202</c:v>
                </c:pt>
                <c:pt idx="814">
                  <c:v>0.814814814814803</c:v>
                </c:pt>
                <c:pt idx="815">
                  <c:v>0.81581581581580398</c:v>
                </c:pt>
                <c:pt idx="816">
                  <c:v>0.81681681681680496</c:v>
                </c:pt>
                <c:pt idx="817">
                  <c:v>0.81781781781780594</c:v>
                </c:pt>
                <c:pt idx="818">
                  <c:v>0.81881881881880691</c:v>
                </c:pt>
                <c:pt idx="819">
                  <c:v>0.81981981981980789</c:v>
                </c:pt>
                <c:pt idx="820">
                  <c:v>0.82082082082080887</c:v>
                </c:pt>
                <c:pt idx="821">
                  <c:v>0.82182182182180985</c:v>
                </c:pt>
                <c:pt idx="822">
                  <c:v>0.82282282282281083</c:v>
                </c:pt>
                <c:pt idx="823">
                  <c:v>0.82382382382381181</c:v>
                </c:pt>
                <c:pt idx="824">
                  <c:v>0.82482482482481279</c:v>
                </c:pt>
                <c:pt idx="825">
                  <c:v>0.82582582582581376</c:v>
                </c:pt>
                <c:pt idx="826">
                  <c:v>0.82682682682681474</c:v>
                </c:pt>
                <c:pt idx="827">
                  <c:v>0.82782782782781572</c:v>
                </c:pt>
                <c:pt idx="828">
                  <c:v>0.8288288288288167</c:v>
                </c:pt>
                <c:pt idx="829">
                  <c:v>0.82982982982981768</c:v>
                </c:pt>
                <c:pt idx="830">
                  <c:v>0.83083083083081866</c:v>
                </c:pt>
                <c:pt idx="831">
                  <c:v>0.83183183183181963</c:v>
                </c:pt>
                <c:pt idx="832">
                  <c:v>0.83283283283282061</c:v>
                </c:pt>
                <c:pt idx="833">
                  <c:v>0.83383383383382159</c:v>
                </c:pt>
                <c:pt idx="834">
                  <c:v>0.83483483483482257</c:v>
                </c:pt>
                <c:pt idx="835">
                  <c:v>0.83583583583582355</c:v>
                </c:pt>
                <c:pt idx="836">
                  <c:v>0.83683683683682453</c:v>
                </c:pt>
                <c:pt idx="837">
                  <c:v>0.83783783783782551</c:v>
                </c:pt>
                <c:pt idx="838">
                  <c:v>0.83883883883882648</c:v>
                </c:pt>
                <c:pt idx="839">
                  <c:v>0.83983983983982746</c:v>
                </c:pt>
                <c:pt idx="840">
                  <c:v>0.84084084084082844</c:v>
                </c:pt>
                <c:pt idx="841">
                  <c:v>0.84184184184182942</c:v>
                </c:pt>
                <c:pt idx="842">
                  <c:v>0.8428428428428304</c:v>
                </c:pt>
                <c:pt idx="843">
                  <c:v>0.84384384384383138</c:v>
                </c:pt>
                <c:pt idx="844">
                  <c:v>0.84484484484483235</c:v>
                </c:pt>
                <c:pt idx="845">
                  <c:v>0.84584584584583333</c:v>
                </c:pt>
                <c:pt idx="846">
                  <c:v>0.84684684684683431</c:v>
                </c:pt>
                <c:pt idx="847">
                  <c:v>0.84784784784783529</c:v>
                </c:pt>
                <c:pt idx="848">
                  <c:v>0.84884884884883627</c:v>
                </c:pt>
                <c:pt idx="849">
                  <c:v>0.84984984984983725</c:v>
                </c:pt>
                <c:pt idx="850">
                  <c:v>0.85085085085083823</c:v>
                </c:pt>
                <c:pt idx="851">
                  <c:v>0.8518518518518392</c:v>
                </c:pt>
                <c:pt idx="852">
                  <c:v>0.85285285285284018</c:v>
                </c:pt>
                <c:pt idx="853">
                  <c:v>0.85385385385384116</c:v>
                </c:pt>
                <c:pt idx="854">
                  <c:v>0.85485485485484214</c:v>
                </c:pt>
                <c:pt idx="855">
                  <c:v>0.85585585585584312</c:v>
                </c:pt>
                <c:pt idx="856">
                  <c:v>0.8568568568568441</c:v>
                </c:pt>
                <c:pt idx="857">
                  <c:v>0.85785785785784507</c:v>
                </c:pt>
                <c:pt idx="858">
                  <c:v>0.85885885885884605</c:v>
                </c:pt>
                <c:pt idx="859">
                  <c:v>0.85985985985984703</c:v>
                </c:pt>
                <c:pt idx="860">
                  <c:v>0.86086086086084801</c:v>
                </c:pt>
                <c:pt idx="861">
                  <c:v>0.86186186186184899</c:v>
                </c:pt>
                <c:pt idx="862">
                  <c:v>0.86286286286284997</c:v>
                </c:pt>
                <c:pt idx="863">
                  <c:v>0.86386386386385094</c:v>
                </c:pt>
                <c:pt idx="864">
                  <c:v>0.86486486486485192</c:v>
                </c:pt>
                <c:pt idx="865">
                  <c:v>0.8658658658658529</c:v>
                </c:pt>
                <c:pt idx="866">
                  <c:v>0.86686686686685388</c:v>
                </c:pt>
                <c:pt idx="867">
                  <c:v>0.86786786786785486</c:v>
                </c:pt>
                <c:pt idx="868">
                  <c:v>0.86886886886885584</c:v>
                </c:pt>
                <c:pt idx="869">
                  <c:v>0.86986986986985682</c:v>
                </c:pt>
                <c:pt idx="870">
                  <c:v>0.87087087087085779</c:v>
                </c:pt>
                <c:pt idx="871">
                  <c:v>0.87187187187185877</c:v>
                </c:pt>
                <c:pt idx="872">
                  <c:v>0.87287287287285975</c:v>
                </c:pt>
                <c:pt idx="873">
                  <c:v>0.87387387387386073</c:v>
                </c:pt>
                <c:pt idx="874">
                  <c:v>0.87487487487486171</c:v>
                </c:pt>
                <c:pt idx="875">
                  <c:v>0.87587587587586269</c:v>
                </c:pt>
                <c:pt idx="876">
                  <c:v>0.87687687687686366</c:v>
                </c:pt>
                <c:pt idx="877">
                  <c:v>0.87787787787786464</c:v>
                </c:pt>
                <c:pt idx="878">
                  <c:v>0.87887887887886562</c:v>
                </c:pt>
                <c:pt idx="879">
                  <c:v>0.8798798798798666</c:v>
                </c:pt>
                <c:pt idx="880">
                  <c:v>0.88088088088086758</c:v>
                </c:pt>
                <c:pt idx="881">
                  <c:v>0.88188188188186856</c:v>
                </c:pt>
                <c:pt idx="882">
                  <c:v>0.88288288288286954</c:v>
                </c:pt>
                <c:pt idx="883">
                  <c:v>0.88388388388387051</c:v>
                </c:pt>
                <c:pt idx="884">
                  <c:v>0.88488488488487149</c:v>
                </c:pt>
                <c:pt idx="885">
                  <c:v>0.88588588588587247</c:v>
                </c:pt>
                <c:pt idx="886">
                  <c:v>0.88688688688687345</c:v>
                </c:pt>
                <c:pt idx="887">
                  <c:v>0.88788788788787443</c:v>
                </c:pt>
                <c:pt idx="888">
                  <c:v>0.88888888888887541</c:v>
                </c:pt>
                <c:pt idx="889">
                  <c:v>0.88988988988987638</c:v>
                </c:pt>
                <c:pt idx="890">
                  <c:v>0.89089089089087736</c:v>
                </c:pt>
                <c:pt idx="891">
                  <c:v>0.89189189189187834</c:v>
                </c:pt>
                <c:pt idx="892">
                  <c:v>0.89289289289287932</c:v>
                </c:pt>
                <c:pt idx="893">
                  <c:v>0.8938938938938803</c:v>
                </c:pt>
                <c:pt idx="894">
                  <c:v>0.89489489489488128</c:v>
                </c:pt>
                <c:pt idx="895">
                  <c:v>0.89589589589588225</c:v>
                </c:pt>
                <c:pt idx="896">
                  <c:v>0.89689689689688323</c:v>
                </c:pt>
                <c:pt idx="897">
                  <c:v>0.89789789789788421</c:v>
                </c:pt>
                <c:pt idx="898">
                  <c:v>0.89889889889888519</c:v>
                </c:pt>
                <c:pt idx="899">
                  <c:v>0.89989989989988617</c:v>
                </c:pt>
                <c:pt idx="900">
                  <c:v>0.90090090090088715</c:v>
                </c:pt>
                <c:pt idx="901">
                  <c:v>0.90190190190188813</c:v>
                </c:pt>
                <c:pt idx="902">
                  <c:v>0.9029029029028891</c:v>
                </c:pt>
                <c:pt idx="903">
                  <c:v>0.90390390390389008</c:v>
                </c:pt>
                <c:pt idx="904">
                  <c:v>0.90490490490489106</c:v>
                </c:pt>
                <c:pt idx="905">
                  <c:v>0.90590590590589204</c:v>
                </c:pt>
                <c:pt idx="906">
                  <c:v>0.90690690690689302</c:v>
                </c:pt>
                <c:pt idx="907">
                  <c:v>0.907907907907894</c:v>
                </c:pt>
                <c:pt idx="908">
                  <c:v>0.90890890890889497</c:v>
                </c:pt>
                <c:pt idx="909">
                  <c:v>0.90990990990989595</c:v>
                </c:pt>
                <c:pt idx="910">
                  <c:v>0.91091091091089693</c:v>
                </c:pt>
                <c:pt idx="911">
                  <c:v>0.91191191191189791</c:v>
                </c:pt>
                <c:pt idx="912">
                  <c:v>0.91291291291289889</c:v>
                </c:pt>
                <c:pt idx="913">
                  <c:v>0.91391391391389987</c:v>
                </c:pt>
                <c:pt idx="914">
                  <c:v>0.91491491491490085</c:v>
                </c:pt>
                <c:pt idx="915">
                  <c:v>0.91591591591590182</c:v>
                </c:pt>
                <c:pt idx="916">
                  <c:v>0.9169169169169028</c:v>
                </c:pt>
                <c:pt idx="917">
                  <c:v>0.91791791791790378</c:v>
                </c:pt>
                <c:pt idx="918">
                  <c:v>0.91891891891890476</c:v>
                </c:pt>
                <c:pt idx="919">
                  <c:v>0.91991991991990574</c:v>
                </c:pt>
                <c:pt idx="920">
                  <c:v>0.92092092092090672</c:v>
                </c:pt>
                <c:pt idx="921">
                  <c:v>0.92192192192190769</c:v>
                </c:pt>
                <c:pt idx="922">
                  <c:v>0.92292292292290867</c:v>
                </c:pt>
                <c:pt idx="923">
                  <c:v>0.92392392392390965</c:v>
                </c:pt>
                <c:pt idx="924">
                  <c:v>0.92492492492491063</c:v>
                </c:pt>
                <c:pt idx="925">
                  <c:v>0.92592592592591161</c:v>
                </c:pt>
                <c:pt idx="926">
                  <c:v>0.92692692692691259</c:v>
                </c:pt>
                <c:pt idx="927">
                  <c:v>0.92792792792791357</c:v>
                </c:pt>
                <c:pt idx="928">
                  <c:v>0.92892892892891454</c:v>
                </c:pt>
                <c:pt idx="929">
                  <c:v>0.92992992992991552</c:v>
                </c:pt>
                <c:pt idx="930">
                  <c:v>0.9309309309309165</c:v>
                </c:pt>
                <c:pt idx="931">
                  <c:v>0.93193193193191748</c:v>
                </c:pt>
                <c:pt idx="932">
                  <c:v>0.93293293293291846</c:v>
                </c:pt>
                <c:pt idx="933">
                  <c:v>0.93393393393391944</c:v>
                </c:pt>
                <c:pt idx="934">
                  <c:v>0.93493493493492041</c:v>
                </c:pt>
                <c:pt idx="935">
                  <c:v>0.93593593593592139</c:v>
                </c:pt>
                <c:pt idx="936">
                  <c:v>0.93693693693692237</c:v>
                </c:pt>
                <c:pt idx="937">
                  <c:v>0.93793793793792335</c:v>
                </c:pt>
                <c:pt idx="938">
                  <c:v>0.93893893893892433</c:v>
                </c:pt>
                <c:pt idx="939">
                  <c:v>0.93993993993992531</c:v>
                </c:pt>
                <c:pt idx="940">
                  <c:v>0.94094094094092628</c:v>
                </c:pt>
                <c:pt idx="941">
                  <c:v>0.94194194194192726</c:v>
                </c:pt>
                <c:pt idx="942">
                  <c:v>0.94294294294292824</c:v>
                </c:pt>
                <c:pt idx="943">
                  <c:v>0.94394394394392922</c:v>
                </c:pt>
                <c:pt idx="944">
                  <c:v>0.9449449449449302</c:v>
                </c:pt>
                <c:pt idx="945">
                  <c:v>0.94594594594593118</c:v>
                </c:pt>
                <c:pt idx="946">
                  <c:v>0.94694694694693216</c:v>
                </c:pt>
                <c:pt idx="947">
                  <c:v>0.94794794794793313</c:v>
                </c:pt>
                <c:pt idx="948">
                  <c:v>0.94894894894893411</c:v>
                </c:pt>
                <c:pt idx="949">
                  <c:v>0.94994994994993509</c:v>
                </c:pt>
                <c:pt idx="950">
                  <c:v>0.95095095095093607</c:v>
                </c:pt>
                <c:pt idx="951">
                  <c:v>0.95195195195193705</c:v>
                </c:pt>
                <c:pt idx="952">
                  <c:v>0.95295295295293803</c:v>
                </c:pt>
                <c:pt idx="953">
                  <c:v>0.953953953953939</c:v>
                </c:pt>
                <c:pt idx="954">
                  <c:v>0.95495495495493998</c:v>
                </c:pt>
                <c:pt idx="955">
                  <c:v>0.95595595595594096</c:v>
                </c:pt>
                <c:pt idx="956">
                  <c:v>0.95695695695694194</c:v>
                </c:pt>
                <c:pt idx="957">
                  <c:v>0.95795795795794292</c:v>
                </c:pt>
                <c:pt idx="958">
                  <c:v>0.9589589589589439</c:v>
                </c:pt>
                <c:pt idx="959">
                  <c:v>0.95995995995994488</c:v>
                </c:pt>
                <c:pt idx="960">
                  <c:v>0.96096096096094585</c:v>
                </c:pt>
                <c:pt idx="961">
                  <c:v>0.96196196196194683</c:v>
                </c:pt>
                <c:pt idx="962">
                  <c:v>0.96296296296294781</c:v>
                </c:pt>
                <c:pt idx="963">
                  <c:v>0.96396396396394879</c:v>
                </c:pt>
                <c:pt idx="964">
                  <c:v>0.96496496496494977</c:v>
                </c:pt>
                <c:pt idx="965">
                  <c:v>0.96596596596595075</c:v>
                </c:pt>
                <c:pt idx="966">
                  <c:v>0.96696696696695172</c:v>
                </c:pt>
                <c:pt idx="967">
                  <c:v>0.9679679679679527</c:v>
                </c:pt>
                <c:pt idx="968">
                  <c:v>0.96896896896895368</c:v>
                </c:pt>
                <c:pt idx="969">
                  <c:v>0.96996996996995466</c:v>
                </c:pt>
                <c:pt idx="970">
                  <c:v>0.97097097097095564</c:v>
                </c:pt>
                <c:pt idx="971">
                  <c:v>0.97197197197195662</c:v>
                </c:pt>
                <c:pt idx="972">
                  <c:v>0.97297297297295759</c:v>
                </c:pt>
                <c:pt idx="973">
                  <c:v>0.97397397397395857</c:v>
                </c:pt>
                <c:pt idx="974">
                  <c:v>0.97497497497495955</c:v>
                </c:pt>
                <c:pt idx="975">
                  <c:v>0.97597597597596053</c:v>
                </c:pt>
                <c:pt idx="976">
                  <c:v>0.97697697697696151</c:v>
                </c:pt>
                <c:pt idx="977">
                  <c:v>0.97797797797796249</c:v>
                </c:pt>
                <c:pt idx="978">
                  <c:v>0.97897897897896347</c:v>
                </c:pt>
                <c:pt idx="979">
                  <c:v>0.97997997997996444</c:v>
                </c:pt>
                <c:pt idx="980">
                  <c:v>0.98098098098096542</c:v>
                </c:pt>
                <c:pt idx="981">
                  <c:v>0.9819819819819664</c:v>
                </c:pt>
                <c:pt idx="982">
                  <c:v>0.98298298298296738</c:v>
                </c:pt>
                <c:pt idx="983">
                  <c:v>0.98398398398396836</c:v>
                </c:pt>
                <c:pt idx="984">
                  <c:v>0.98498498498496934</c:v>
                </c:pt>
                <c:pt idx="985">
                  <c:v>0.98598598598597031</c:v>
                </c:pt>
                <c:pt idx="986">
                  <c:v>0.98698698698697129</c:v>
                </c:pt>
                <c:pt idx="987">
                  <c:v>0.98798798798797227</c:v>
                </c:pt>
                <c:pt idx="988">
                  <c:v>0.98898898898897325</c:v>
                </c:pt>
                <c:pt idx="989">
                  <c:v>0.98998998998997423</c:v>
                </c:pt>
                <c:pt idx="990">
                  <c:v>0.99099099099097521</c:v>
                </c:pt>
                <c:pt idx="991">
                  <c:v>0.99199199199197619</c:v>
                </c:pt>
                <c:pt idx="992">
                  <c:v>0.99299299299297716</c:v>
                </c:pt>
                <c:pt idx="993">
                  <c:v>0.99399399399397814</c:v>
                </c:pt>
                <c:pt idx="994">
                  <c:v>0.99499499499497912</c:v>
                </c:pt>
                <c:pt idx="995">
                  <c:v>0.9959959959959801</c:v>
                </c:pt>
                <c:pt idx="996">
                  <c:v>0.99699699699698108</c:v>
                </c:pt>
                <c:pt idx="997">
                  <c:v>0.99799799799798206</c:v>
                </c:pt>
                <c:pt idx="998">
                  <c:v>0.99899899899898303</c:v>
                </c:pt>
                <c:pt idx="999">
                  <c:v>0.99999999999998401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SimData1000!$L$1009</c:f>
              <c:strCache>
                <c:ptCount val="1"/>
                <c:pt idx="0">
                  <c:v>Monte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SimData1000!$L$1010:$L$2009</c:f>
              <c:numCache>
                <c:formatCode>General</c:formatCode>
                <c:ptCount val="1000"/>
                <c:pt idx="0">
                  <c:v>1.3541062799049541E-3</c:v>
                </c:pt>
                <c:pt idx="1">
                  <c:v>1.6915183850869653E-3</c:v>
                </c:pt>
                <c:pt idx="2">
                  <c:v>2.1343523594623548E-3</c:v>
                </c:pt>
                <c:pt idx="3">
                  <c:v>3.9900616402519518E-3</c:v>
                </c:pt>
                <c:pt idx="4">
                  <c:v>5.7340219100296963E-3</c:v>
                </c:pt>
                <c:pt idx="5">
                  <c:v>6.1053197887304123E-3</c:v>
                </c:pt>
                <c:pt idx="6">
                  <c:v>6.1953352505952353E-3</c:v>
                </c:pt>
                <c:pt idx="7">
                  <c:v>6.7399017652860493E-3</c:v>
                </c:pt>
                <c:pt idx="8">
                  <c:v>8.7011098921720986E-3</c:v>
                </c:pt>
                <c:pt idx="9">
                  <c:v>8.7280524785455782E-3</c:v>
                </c:pt>
                <c:pt idx="10">
                  <c:v>9.637631565965421E-3</c:v>
                </c:pt>
                <c:pt idx="11">
                  <c:v>9.776662863259844E-3</c:v>
                </c:pt>
                <c:pt idx="12">
                  <c:v>1.0215160431471304E-2</c:v>
                </c:pt>
                <c:pt idx="13">
                  <c:v>1.1211351866222685E-2</c:v>
                </c:pt>
                <c:pt idx="14">
                  <c:v>1.1858088029839564E-2</c:v>
                </c:pt>
                <c:pt idx="15">
                  <c:v>1.3598933372122701E-2</c:v>
                </c:pt>
                <c:pt idx="16">
                  <c:v>1.4475112452601024E-2</c:v>
                </c:pt>
                <c:pt idx="17">
                  <c:v>1.4872851552354405E-2</c:v>
                </c:pt>
                <c:pt idx="18">
                  <c:v>1.6182267712792964E-2</c:v>
                </c:pt>
                <c:pt idx="19">
                  <c:v>1.6810126519885671E-2</c:v>
                </c:pt>
                <c:pt idx="20">
                  <c:v>1.7457077196013415E-2</c:v>
                </c:pt>
                <c:pt idx="21">
                  <c:v>1.7608963148632029E-2</c:v>
                </c:pt>
                <c:pt idx="22">
                  <c:v>1.9651275393698597E-2</c:v>
                </c:pt>
                <c:pt idx="23">
                  <c:v>1.9754879182983132E-2</c:v>
                </c:pt>
                <c:pt idx="24">
                  <c:v>2.1180632570576563E-2</c:v>
                </c:pt>
                <c:pt idx="25">
                  <c:v>2.219845684885513E-2</c:v>
                </c:pt>
                <c:pt idx="26">
                  <c:v>2.4623832653560385E-2</c:v>
                </c:pt>
                <c:pt idx="27">
                  <c:v>2.5346385492412082E-2</c:v>
                </c:pt>
                <c:pt idx="28">
                  <c:v>2.5585112215594563E-2</c:v>
                </c:pt>
                <c:pt idx="29">
                  <c:v>3.0662406963529065E-2</c:v>
                </c:pt>
                <c:pt idx="30">
                  <c:v>3.1465156617741741E-2</c:v>
                </c:pt>
                <c:pt idx="31">
                  <c:v>3.2954708040051628E-2</c:v>
                </c:pt>
                <c:pt idx="32">
                  <c:v>3.4229346257234283E-2</c:v>
                </c:pt>
                <c:pt idx="33">
                  <c:v>3.5035172359130229E-2</c:v>
                </c:pt>
                <c:pt idx="34">
                  <c:v>3.5850358423886064E-2</c:v>
                </c:pt>
                <c:pt idx="35">
                  <c:v>3.8460968570689147E-2</c:v>
                </c:pt>
                <c:pt idx="36">
                  <c:v>3.9676028753092396E-2</c:v>
                </c:pt>
                <c:pt idx="37">
                  <c:v>4.1364951142895734E-2</c:v>
                </c:pt>
                <c:pt idx="38">
                  <c:v>4.1417087769332284E-2</c:v>
                </c:pt>
                <c:pt idx="39">
                  <c:v>4.2773981163009012E-2</c:v>
                </c:pt>
                <c:pt idx="40">
                  <c:v>4.6573462764172291E-2</c:v>
                </c:pt>
                <c:pt idx="41">
                  <c:v>4.7318216405074054E-2</c:v>
                </c:pt>
                <c:pt idx="42">
                  <c:v>4.7405520890606567E-2</c:v>
                </c:pt>
                <c:pt idx="43">
                  <c:v>4.9244369748521422E-2</c:v>
                </c:pt>
                <c:pt idx="44">
                  <c:v>4.9619463712588185E-2</c:v>
                </c:pt>
                <c:pt idx="45">
                  <c:v>5.0085400844182004E-2</c:v>
                </c:pt>
                <c:pt idx="46">
                  <c:v>5.3026577601485769E-2</c:v>
                </c:pt>
                <c:pt idx="47">
                  <c:v>5.5186146707455919E-2</c:v>
                </c:pt>
                <c:pt idx="48">
                  <c:v>5.6125780625734478E-2</c:v>
                </c:pt>
                <c:pt idx="49">
                  <c:v>5.6669475039598183E-2</c:v>
                </c:pt>
                <c:pt idx="50">
                  <c:v>5.7200194591132458E-2</c:v>
                </c:pt>
                <c:pt idx="51">
                  <c:v>5.7870081588589528E-2</c:v>
                </c:pt>
                <c:pt idx="52">
                  <c:v>5.9466636594152078E-2</c:v>
                </c:pt>
                <c:pt idx="53">
                  <c:v>6.0616261922859849E-2</c:v>
                </c:pt>
                <c:pt idx="54">
                  <c:v>6.1184940773273411E-2</c:v>
                </c:pt>
                <c:pt idx="55">
                  <c:v>6.1290174009627663E-2</c:v>
                </c:pt>
                <c:pt idx="56">
                  <c:v>6.2322208959812997E-2</c:v>
                </c:pt>
                <c:pt idx="57">
                  <c:v>6.313671932912257E-2</c:v>
                </c:pt>
                <c:pt idx="58">
                  <c:v>6.3751215485353896E-2</c:v>
                </c:pt>
                <c:pt idx="59">
                  <c:v>6.4133336339182279E-2</c:v>
                </c:pt>
                <c:pt idx="60">
                  <c:v>6.4766973167934339E-2</c:v>
                </c:pt>
                <c:pt idx="61">
                  <c:v>6.6651941478994559E-2</c:v>
                </c:pt>
                <c:pt idx="62">
                  <c:v>6.7452163040798041E-2</c:v>
                </c:pt>
                <c:pt idx="63">
                  <c:v>6.7718517536377476E-2</c:v>
                </c:pt>
                <c:pt idx="64">
                  <c:v>6.7729326600783679E-2</c:v>
                </c:pt>
                <c:pt idx="65">
                  <c:v>6.779643397021573E-2</c:v>
                </c:pt>
                <c:pt idx="66">
                  <c:v>6.8769444711506367E-2</c:v>
                </c:pt>
                <c:pt idx="67">
                  <c:v>6.9844415974330332E-2</c:v>
                </c:pt>
                <c:pt idx="68">
                  <c:v>7.0581609260443656E-2</c:v>
                </c:pt>
                <c:pt idx="69">
                  <c:v>7.0603153805677721E-2</c:v>
                </c:pt>
                <c:pt idx="70">
                  <c:v>7.3181685279450903E-2</c:v>
                </c:pt>
                <c:pt idx="71">
                  <c:v>7.3585749507401488E-2</c:v>
                </c:pt>
                <c:pt idx="72">
                  <c:v>7.4625878911319887E-2</c:v>
                </c:pt>
                <c:pt idx="73">
                  <c:v>7.5072056588396663E-2</c:v>
                </c:pt>
                <c:pt idx="74">
                  <c:v>7.5478787507563538E-2</c:v>
                </c:pt>
                <c:pt idx="75">
                  <c:v>7.5908599094873352E-2</c:v>
                </c:pt>
                <c:pt idx="76">
                  <c:v>7.5927759563455766E-2</c:v>
                </c:pt>
                <c:pt idx="77">
                  <c:v>7.7126953827246325E-2</c:v>
                </c:pt>
                <c:pt idx="78">
                  <c:v>7.8167716152165667E-2</c:v>
                </c:pt>
                <c:pt idx="79">
                  <c:v>7.9111905313766329E-2</c:v>
                </c:pt>
                <c:pt idx="80">
                  <c:v>7.9114407742054027E-2</c:v>
                </c:pt>
                <c:pt idx="81">
                  <c:v>8.0550030313133902E-2</c:v>
                </c:pt>
                <c:pt idx="82">
                  <c:v>8.1371748452511383E-2</c:v>
                </c:pt>
                <c:pt idx="83">
                  <c:v>8.2086765857638966E-2</c:v>
                </c:pt>
                <c:pt idx="84">
                  <c:v>8.2411339530153782E-2</c:v>
                </c:pt>
                <c:pt idx="85">
                  <c:v>8.4886834432836622E-2</c:v>
                </c:pt>
                <c:pt idx="86">
                  <c:v>8.5056970044206537E-2</c:v>
                </c:pt>
                <c:pt idx="87">
                  <c:v>8.5208603014507389E-2</c:v>
                </c:pt>
                <c:pt idx="88">
                  <c:v>8.637576969613292E-2</c:v>
                </c:pt>
                <c:pt idx="89">
                  <c:v>8.6698461459519649E-2</c:v>
                </c:pt>
                <c:pt idx="90">
                  <c:v>8.8533418977021938E-2</c:v>
                </c:pt>
                <c:pt idx="91">
                  <c:v>8.9283092125697294E-2</c:v>
                </c:pt>
                <c:pt idx="92">
                  <c:v>8.9510644369511283E-2</c:v>
                </c:pt>
                <c:pt idx="93">
                  <c:v>8.9712644357859972E-2</c:v>
                </c:pt>
                <c:pt idx="94">
                  <c:v>9.1435151643963763E-2</c:v>
                </c:pt>
                <c:pt idx="95">
                  <c:v>9.2433231820905348E-2</c:v>
                </c:pt>
                <c:pt idx="96">
                  <c:v>9.2446410824777558E-2</c:v>
                </c:pt>
                <c:pt idx="97">
                  <c:v>9.2658725235196471E-2</c:v>
                </c:pt>
                <c:pt idx="98">
                  <c:v>9.3678516965155723E-2</c:v>
                </c:pt>
                <c:pt idx="99">
                  <c:v>9.3854593867945368E-2</c:v>
                </c:pt>
                <c:pt idx="100">
                  <c:v>9.4993514558154857E-2</c:v>
                </c:pt>
                <c:pt idx="101">
                  <c:v>9.6180386862215528E-2</c:v>
                </c:pt>
                <c:pt idx="102">
                  <c:v>9.8295434565471851E-2</c:v>
                </c:pt>
                <c:pt idx="103">
                  <c:v>9.9767317274228162E-2</c:v>
                </c:pt>
                <c:pt idx="104">
                  <c:v>9.9984885983758431E-2</c:v>
                </c:pt>
                <c:pt idx="105">
                  <c:v>0.10066162333168904</c:v>
                </c:pt>
                <c:pt idx="106">
                  <c:v>0.10339972395286168</c:v>
                </c:pt>
                <c:pt idx="107">
                  <c:v>0.10361097731038171</c:v>
                </c:pt>
                <c:pt idx="108">
                  <c:v>0.10462125325648231</c:v>
                </c:pt>
                <c:pt idx="109">
                  <c:v>0.10690202704608964</c:v>
                </c:pt>
                <c:pt idx="110">
                  <c:v>0.11204560420446796</c:v>
                </c:pt>
                <c:pt idx="111">
                  <c:v>0.1142468187636041</c:v>
                </c:pt>
                <c:pt idx="112">
                  <c:v>0.11520144727546722</c:v>
                </c:pt>
                <c:pt idx="113">
                  <c:v>0.11545731188653008</c:v>
                </c:pt>
                <c:pt idx="114">
                  <c:v>0.11589875245772419</c:v>
                </c:pt>
                <c:pt idx="115">
                  <c:v>0.11632891845329141</c:v>
                </c:pt>
                <c:pt idx="116">
                  <c:v>0.1177161209834594</c:v>
                </c:pt>
                <c:pt idx="117">
                  <c:v>0.11794379117691278</c:v>
                </c:pt>
                <c:pt idx="118">
                  <c:v>0.11857215411964717</c:v>
                </c:pt>
                <c:pt idx="119">
                  <c:v>0.11858161232157727</c:v>
                </c:pt>
                <c:pt idx="120">
                  <c:v>0.12095238563779276</c:v>
                </c:pt>
                <c:pt idx="121">
                  <c:v>0.12119521447357329</c:v>
                </c:pt>
                <c:pt idx="122">
                  <c:v>0.12154684669985727</c:v>
                </c:pt>
                <c:pt idx="123">
                  <c:v>0.1220198289011023</c:v>
                </c:pt>
                <c:pt idx="124">
                  <c:v>0.12235107513242838</c:v>
                </c:pt>
                <c:pt idx="125">
                  <c:v>0.12246310320279008</c:v>
                </c:pt>
                <c:pt idx="126">
                  <c:v>0.12295190836994152</c:v>
                </c:pt>
                <c:pt idx="127">
                  <c:v>0.12378173367505951</c:v>
                </c:pt>
                <c:pt idx="128">
                  <c:v>0.12566497757234174</c:v>
                </c:pt>
                <c:pt idx="129">
                  <c:v>0.12581602437876427</c:v>
                </c:pt>
                <c:pt idx="130">
                  <c:v>0.12641923727190374</c:v>
                </c:pt>
                <c:pt idx="131">
                  <c:v>0.12701995021143375</c:v>
                </c:pt>
                <c:pt idx="132">
                  <c:v>0.12774671748491073</c:v>
                </c:pt>
                <c:pt idx="133">
                  <c:v>0.12796282010276627</c:v>
                </c:pt>
                <c:pt idx="134">
                  <c:v>0.12812633943212859</c:v>
                </c:pt>
                <c:pt idx="135">
                  <c:v>0.12864359425748262</c:v>
                </c:pt>
                <c:pt idx="136">
                  <c:v>0.1305280697552007</c:v>
                </c:pt>
                <c:pt idx="137">
                  <c:v>0.13086145589295484</c:v>
                </c:pt>
                <c:pt idx="138">
                  <c:v>0.13176310583003215</c:v>
                </c:pt>
                <c:pt idx="139">
                  <c:v>0.13317093108616973</c:v>
                </c:pt>
                <c:pt idx="140">
                  <c:v>0.13468638914946496</c:v>
                </c:pt>
                <c:pt idx="141">
                  <c:v>0.13477070219325071</c:v>
                </c:pt>
                <c:pt idx="142">
                  <c:v>0.13477509571839619</c:v>
                </c:pt>
                <c:pt idx="143">
                  <c:v>0.13739435827028501</c:v>
                </c:pt>
                <c:pt idx="144">
                  <c:v>0.13749611074217682</c:v>
                </c:pt>
                <c:pt idx="145">
                  <c:v>0.13873947016418242</c:v>
                </c:pt>
                <c:pt idx="146">
                  <c:v>0.13979048666442395</c:v>
                </c:pt>
                <c:pt idx="147">
                  <c:v>0.13993456459866138</c:v>
                </c:pt>
                <c:pt idx="148">
                  <c:v>0.14005904176883632</c:v>
                </c:pt>
                <c:pt idx="149">
                  <c:v>0.14031399861414684</c:v>
                </c:pt>
                <c:pt idx="150">
                  <c:v>0.14224409577673214</c:v>
                </c:pt>
                <c:pt idx="151">
                  <c:v>0.14240312412766798</c:v>
                </c:pt>
                <c:pt idx="152">
                  <c:v>0.14253625710534834</c:v>
                </c:pt>
                <c:pt idx="153">
                  <c:v>0.14257018552325462</c:v>
                </c:pt>
                <c:pt idx="154">
                  <c:v>0.14296546031619073</c:v>
                </c:pt>
                <c:pt idx="155">
                  <c:v>0.14414175132696982</c:v>
                </c:pt>
                <c:pt idx="156">
                  <c:v>0.14420157507720432</c:v>
                </c:pt>
                <c:pt idx="157">
                  <c:v>0.14806320895149838</c:v>
                </c:pt>
                <c:pt idx="158">
                  <c:v>0.14829745900078706</c:v>
                </c:pt>
                <c:pt idx="159">
                  <c:v>0.14866608178726892</c:v>
                </c:pt>
                <c:pt idx="160">
                  <c:v>0.14875065864816861</c:v>
                </c:pt>
                <c:pt idx="161">
                  <c:v>0.14932944509200752</c:v>
                </c:pt>
                <c:pt idx="162">
                  <c:v>0.15052026236753591</c:v>
                </c:pt>
                <c:pt idx="163">
                  <c:v>0.15122806285216939</c:v>
                </c:pt>
                <c:pt idx="164">
                  <c:v>0.1539916617448398</c:v>
                </c:pt>
                <c:pt idx="165">
                  <c:v>0.1550285696193896</c:v>
                </c:pt>
                <c:pt idx="166">
                  <c:v>0.15525843317300314</c:v>
                </c:pt>
                <c:pt idx="167">
                  <c:v>0.15576672203951603</c:v>
                </c:pt>
                <c:pt idx="168">
                  <c:v>0.15588621823098947</c:v>
                </c:pt>
                <c:pt idx="169">
                  <c:v>0.16287136202299735</c:v>
                </c:pt>
                <c:pt idx="170">
                  <c:v>0.16665519943762774</c:v>
                </c:pt>
                <c:pt idx="171">
                  <c:v>0.167092307623534</c:v>
                </c:pt>
                <c:pt idx="172">
                  <c:v>0.16792007715048385</c:v>
                </c:pt>
                <c:pt idx="173">
                  <c:v>0.17116357205577515</c:v>
                </c:pt>
                <c:pt idx="174">
                  <c:v>0.1718246622785955</c:v>
                </c:pt>
                <c:pt idx="175">
                  <c:v>0.17184062359501695</c:v>
                </c:pt>
                <c:pt idx="176">
                  <c:v>0.17214207994811659</c:v>
                </c:pt>
                <c:pt idx="177">
                  <c:v>0.17234301243661321</c:v>
                </c:pt>
                <c:pt idx="178">
                  <c:v>0.17330018997745356</c:v>
                </c:pt>
                <c:pt idx="179">
                  <c:v>0.17331556407498283</c:v>
                </c:pt>
                <c:pt idx="180">
                  <c:v>0.17455968860485882</c:v>
                </c:pt>
                <c:pt idx="181">
                  <c:v>0.17772801541468652</c:v>
                </c:pt>
                <c:pt idx="182">
                  <c:v>0.17959841013271216</c:v>
                </c:pt>
                <c:pt idx="183">
                  <c:v>0.1796294254336317</c:v>
                </c:pt>
                <c:pt idx="184">
                  <c:v>0.18194433067310456</c:v>
                </c:pt>
                <c:pt idx="185">
                  <c:v>0.1823722428707697</c:v>
                </c:pt>
                <c:pt idx="186">
                  <c:v>0.18264573962915165</c:v>
                </c:pt>
                <c:pt idx="187">
                  <c:v>0.18268209954388226</c:v>
                </c:pt>
                <c:pt idx="188">
                  <c:v>0.1828568440860181</c:v>
                </c:pt>
                <c:pt idx="189">
                  <c:v>0.18304104221078887</c:v>
                </c:pt>
                <c:pt idx="190">
                  <c:v>0.18389494629991532</c:v>
                </c:pt>
                <c:pt idx="191">
                  <c:v>0.18559310525870387</c:v>
                </c:pt>
                <c:pt idx="192">
                  <c:v>0.18824948865221813</c:v>
                </c:pt>
                <c:pt idx="193">
                  <c:v>0.18927491119302431</c:v>
                </c:pt>
                <c:pt idx="194">
                  <c:v>0.18980447274407197</c:v>
                </c:pt>
                <c:pt idx="195">
                  <c:v>0.19121212681147881</c:v>
                </c:pt>
                <c:pt idx="196">
                  <c:v>0.19337644457846181</c:v>
                </c:pt>
                <c:pt idx="197">
                  <c:v>0.19592009082771256</c:v>
                </c:pt>
                <c:pt idx="198">
                  <c:v>0.19665817864279234</c:v>
                </c:pt>
                <c:pt idx="199">
                  <c:v>0.19712435427572927</c:v>
                </c:pt>
                <c:pt idx="200">
                  <c:v>0.19850580271577201</c:v>
                </c:pt>
                <c:pt idx="201">
                  <c:v>0.19876996492166654</c:v>
                </c:pt>
                <c:pt idx="202">
                  <c:v>0.19882929489722301</c:v>
                </c:pt>
                <c:pt idx="203">
                  <c:v>0.20094718594555161</c:v>
                </c:pt>
                <c:pt idx="204">
                  <c:v>0.20110635706259927</c:v>
                </c:pt>
                <c:pt idx="205">
                  <c:v>0.20122626526426757</c:v>
                </c:pt>
                <c:pt idx="206">
                  <c:v>0.20375365903055354</c:v>
                </c:pt>
                <c:pt idx="207">
                  <c:v>0.2042467570881854</c:v>
                </c:pt>
                <c:pt idx="208">
                  <c:v>0.20468199382958119</c:v>
                </c:pt>
                <c:pt idx="209">
                  <c:v>0.20816924645532708</c:v>
                </c:pt>
                <c:pt idx="210">
                  <c:v>0.20852693174037995</c:v>
                </c:pt>
                <c:pt idx="211">
                  <c:v>0.20853419544982899</c:v>
                </c:pt>
                <c:pt idx="212">
                  <c:v>0.20856358485525561</c:v>
                </c:pt>
                <c:pt idx="213">
                  <c:v>0.2086689572161049</c:v>
                </c:pt>
                <c:pt idx="214">
                  <c:v>0.2109049469090678</c:v>
                </c:pt>
                <c:pt idx="215">
                  <c:v>0.21116439590423397</c:v>
                </c:pt>
                <c:pt idx="216">
                  <c:v>0.2112260154390242</c:v>
                </c:pt>
                <c:pt idx="217">
                  <c:v>0.21322359210716968</c:v>
                </c:pt>
                <c:pt idx="218">
                  <c:v>0.21464673546597623</c:v>
                </c:pt>
                <c:pt idx="219">
                  <c:v>0.21490836291286541</c:v>
                </c:pt>
                <c:pt idx="220">
                  <c:v>0.21753738029292435</c:v>
                </c:pt>
                <c:pt idx="221">
                  <c:v>0.21804524127946934</c:v>
                </c:pt>
                <c:pt idx="222">
                  <c:v>0.22164918175258208</c:v>
                </c:pt>
                <c:pt idx="223">
                  <c:v>0.22214965293187561</c:v>
                </c:pt>
                <c:pt idx="224">
                  <c:v>0.22247557032733312</c:v>
                </c:pt>
                <c:pt idx="225">
                  <c:v>0.22596488724866504</c:v>
                </c:pt>
                <c:pt idx="226">
                  <c:v>0.22663726956579922</c:v>
                </c:pt>
                <c:pt idx="227">
                  <c:v>0.22736782884294371</c:v>
                </c:pt>
                <c:pt idx="228">
                  <c:v>0.23123613498682971</c:v>
                </c:pt>
                <c:pt idx="229">
                  <c:v>0.23360959228557476</c:v>
                </c:pt>
                <c:pt idx="230">
                  <c:v>0.23370129555041785</c:v>
                </c:pt>
                <c:pt idx="231">
                  <c:v>0.23401609671782353</c:v>
                </c:pt>
                <c:pt idx="232">
                  <c:v>0.23593191743475472</c:v>
                </c:pt>
                <c:pt idx="233">
                  <c:v>0.23642485586242401</c:v>
                </c:pt>
                <c:pt idx="234">
                  <c:v>0.23713252089692105</c:v>
                </c:pt>
                <c:pt idx="235">
                  <c:v>0.2385945088826702</c:v>
                </c:pt>
                <c:pt idx="236">
                  <c:v>0.23911188559486618</c:v>
                </c:pt>
                <c:pt idx="237">
                  <c:v>0.23927700463354995</c:v>
                </c:pt>
                <c:pt idx="238">
                  <c:v>0.23960426488702069</c:v>
                </c:pt>
                <c:pt idx="239">
                  <c:v>0.24001445007525035</c:v>
                </c:pt>
                <c:pt idx="240">
                  <c:v>0.24030060931727348</c:v>
                </c:pt>
                <c:pt idx="241">
                  <c:v>0.24046622457717604</c:v>
                </c:pt>
                <c:pt idx="242">
                  <c:v>0.24234927344696189</c:v>
                </c:pt>
                <c:pt idx="243">
                  <c:v>0.24264374302492797</c:v>
                </c:pt>
                <c:pt idx="244">
                  <c:v>0.243104803512324</c:v>
                </c:pt>
                <c:pt idx="245">
                  <c:v>0.24348613125675911</c:v>
                </c:pt>
                <c:pt idx="246">
                  <c:v>0.24500987576357147</c:v>
                </c:pt>
                <c:pt idx="247">
                  <c:v>0.24516444307664642</c:v>
                </c:pt>
                <c:pt idx="248">
                  <c:v>0.24906562103387841</c:v>
                </c:pt>
                <c:pt idx="249">
                  <c:v>0.24924204435046704</c:v>
                </c:pt>
                <c:pt idx="250">
                  <c:v>0.24965677803356812</c:v>
                </c:pt>
                <c:pt idx="251">
                  <c:v>0.24968690789683023</c:v>
                </c:pt>
                <c:pt idx="252">
                  <c:v>0.25018821095090971</c:v>
                </c:pt>
                <c:pt idx="253">
                  <c:v>0.25175295530334552</c:v>
                </c:pt>
                <c:pt idx="254">
                  <c:v>0.25288063476364186</c:v>
                </c:pt>
                <c:pt idx="255">
                  <c:v>0.25398549304009066</c:v>
                </c:pt>
                <c:pt idx="256">
                  <c:v>0.25409447286801878</c:v>
                </c:pt>
                <c:pt idx="257">
                  <c:v>0.25473558471821889</c:v>
                </c:pt>
                <c:pt idx="258">
                  <c:v>0.26014276296427852</c:v>
                </c:pt>
                <c:pt idx="259">
                  <c:v>0.26162993422531144</c:v>
                </c:pt>
                <c:pt idx="260">
                  <c:v>0.2640569900686387</c:v>
                </c:pt>
                <c:pt idx="261">
                  <c:v>0.26430631068069488</c:v>
                </c:pt>
                <c:pt idx="262">
                  <c:v>0.26475417244637356</c:v>
                </c:pt>
                <c:pt idx="263">
                  <c:v>0.26503907991991582</c:v>
                </c:pt>
                <c:pt idx="264">
                  <c:v>0.26544222295797226</c:v>
                </c:pt>
                <c:pt idx="265">
                  <c:v>0.26688230859599571</c:v>
                </c:pt>
                <c:pt idx="266">
                  <c:v>0.26798303005762136</c:v>
                </c:pt>
                <c:pt idx="267">
                  <c:v>0.27011121740724775</c:v>
                </c:pt>
                <c:pt idx="268">
                  <c:v>0.27028623929709283</c:v>
                </c:pt>
                <c:pt idx="269">
                  <c:v>0.2703766948707198</c:v>
                </c:pt>
                <c:pt idx="270">
                  <c:v>0.27059642691438057</c:v>
                </c:pt>
                <c:pt idx="271">
                  <c:v>0.27073589260453446</c:v>
                </c:pt>
                <c:pt idx="272">
                  <c:v>0.27175056943087839</c:v>
                </c:pt>
                <c:pt idx="273">
                  <c:v>0.27190750237605243</c:v>
                </c:pt>
                <c:pt idx="274">
                  <c:v>0.27364792109619884</c:v>
                </c:pt>
                <c:pt idx="275">
                  <c:v>0.2738405067466374</c:v>
                </c:pt>
                <c:pt idx="276">
                  <c:v>0.27444819771608309</c:v>
                </c:pt>
                <c:pt idx="277">
                  <c:v>0.27605206057614851</c:v>
                </c:pt>
                <c:pt idx="278">
                  <c:v>0.2760937085331534</c:v>
                </c:pt>
                <c:pt idx="279">
                  <c:v>0.27647046505808248</c:v>
                </c:pt>
                <c:pt idx="280">
                  <c:v>0.27672107212856645</c:v>
                </c:pt>
                <c:pt idx="281">
                  <c:v>0.27772327210550429</c:v>
                </c:pt>
                <c:pt idx="282">
                  <c:v>0.27791284618342615</c:v>
                </c:pt>
                <c:pt idx="283">
                  <c:v>0.27853090019289084</c:v>
                </c:pt>
                <c:pt idx="284">
                  <c:v>0.27880831695165398</c:v>
                </c:pt>
                <c:pt idx="285">
                  <c:v>0.27916761522646993</c:v>
                </c:pt>
                <c:pt idx="286">
                  <c:v>0.28056619398466864</c:v>
                </c:pt>
                <c:pt idx="287">
                  <c:v>0.28068192672708392</c:v>
                </c:pt>
                <c:pt idx="288">
                  <c:v>0.28108064131811261</c:v>
                </c:pt>
                <c:pt idx="289">
                  <c:v>0.28119547501592024</c:v>
                </c:pt>
                <c:pt idx="290">
                  <c:v>0.28145624904209399</c:v>
                </c:pt>
                <c:pt idx="291">
                  <c:v>0.28159214782408526</c:v>
                </c:pt>
                <c:pt idx="292">
                  <c:v>0.28415492639580009</c:v>
                </c:pt>
                <c:pt idx="293">
                  <c:v>0.28726741998798389</c:v>
                </c:pt>
                <c:pt idx="294">
                  <c:v>0.28888959381129098</c:v>
                </c:pt>
                <c:pt idx="295">
                  <c:v>0.28923570066126558</c:v>
                </c:pt>
                <c:pt idx="296">
                  <c:v>0.28983927239460172</c:v>
                </c:pt>
                <c:pt idx="297">
                  <c:v>0.29059891763881751</c:v>
                </c:pt>
                <c:pt idx="298">
                  <c:v>0.29217183981199923</c:v>
                </c:pt>
                <c:pt idx="299">
                  <c:v>0.29317600681406475</c:v>
                </c:pt>
                <c:pt idx="300">
                  <c:v>0.29401660024177545</c:v>
                </c:pt>
                <c:pt idx="301">
                  <c:v>0.29441384320307407</c:v>
                </c:pt>
                <c:pt idx="302">
                  <c:v>0.29461533405537921</c:v>
                </c:pt>
                <c:pt idx="303">
                  <c:v>0.29473292099100945</c:v>
                </c:pt>
                <c:pt idx="304">
                  <c:v>0.29570652678103215</c:v>
                </c:pt>
                <c:pt idx="305">
                  <c:v>0.2978686901715264</c:v>
                </c:pt>
                <c:pt idx="306">
                  <c:v>0.29886063253434259</c:v>
                </c:pt>
                <c:pt idx="307">
                  <c:v>0.2992576046517712</c:v>
                </c:pt>
                <c:pt idx="308">
                  <c:v>0.29957750196990673</c:v>
                </c:pt>
                <c:pt idx="309">
                  <c:v>0.30095983162894413</c:v>
                </c:pt>
                <c:pt idx="310">
                  <c:v>0.3019710314756594</c:v>
                </c:pt>
                <c:pt idx="311">
                  <c:v>0.30493725582527986</c:v>
                </c:pt>
                <c:pt idx="312">
                  <c:v>0.30502930725560873</c:v>
                </c:pt>
                <c:pt idx="313">
                  <c:v>0.30512906826515973</c:v>
                </c:pt>
                <c:pt idx="314">
                  <c:v>0.30599089498173271</c:v>
                </c:pt>
                <c:pt idx="315">
                  <c:v>0.30677981593544246</c:v>
                </c:pt>
                <c:pt idx="316">
                  <c:v>0.30961602991101245</c:v>
                </c:pt>
                <c:pt idx="317">
                  <c:v>0.30962999830626359</c:v>
                </c:pt>
                <c:pt idx="318">
                  <c:v>0.3121393452393022</c:v>
                </c:pt>
                <c:pt idx="319">
                  <c:v>0.3129577178215186</c:v>
                </c:pt>
                <c:pt idx="320">
                  <c:v>0.31342194446096983</c:v>
                </c:pt>
                <c:pt idx="321">
                  <c:v>0.31419831569746748</c:v>
                </c:pt>
                <c:pt idx="322">
                  <c:v>0.31488633305434632</c:v>
                </c:pt>
                <c:pt idx="323">
                  <c:v>0.31546363650977582</c:v>
                </c:pt>
                <c:pt idx="324">
                  <c:v>0.31596744374110131</c:v>
                </c:pt>
                <c:pt idx="325">
                  <c:v>0.31597364853314502</c:v>
                </c:pt>
                <c:pt idx="326">
                  <c:v>0.31598639556614216</c:v>
                </c:pt>
                <c:pt idx="327">
                  <c:v>0.31634418833982636</c:v>
                </c:pt>
                <c:pt idx="328">
                  <c:v>0.31638221481080109</c:v>
                </c:pt>
                <c:pt idx="329">
                  <c:v>0.31689544848813966</c:v>
                </c:pt>
                <c:pt idx="330">
                  <c:v>0.31837282900323771</c:v>
                </c:pt>
                <c:pt idx="331">
                  <c:v>0.31914641256662435</c:v>
                </c:pt>
                <c:pt idx="332">
                  <c:v>0.32024040990381764</c:v>
                </c:pt>
                <c:pt idx="333">
                  <c:v>0.32255886081202334</c:v>
                </c:pt>
                <c:pt idx="334">
                  <c:v>0.32290114903116773</c:v>
                </c:pt>
                <c:pt idx="335">
                  <c:v>0.32301644320796186</c:v>
                </c:pt>
                <c:pt idx="336">
                  <c:v>0.32528553066367749</c:v>
                </c:pt>
                <c:pt idx="337">
                  <c:v>0.32601795886603213</c:v>
                </c:pt>
                <c:pt idx="338">
                  <c:v>0.3270153138673777</c:v>
                </c:pt>
                <c:pt idx="339">
                  <c:v>0.32794278641449637</c:v>
                </c:pt>
                <c:pt idx="340">
                  <c:v>0.33204514208864566</c:v>
                </c:pt>
                <c:pt idx="341">
                  <c:v>0.33269595359615778</c:v>
                </c:pt>
                <c:pt idx="342">
                  <c:v>0.33337159792154125</c:v>
                </c:pt>
                <c:pt idx="343">
                  <c:v>0.33627841973793693</c:v>
                </c:pt>
                <c:pt idx="344">
                  <c:v>0.33691931359498994</c:v>
                </c:pt>
                <c:pt idx="345">
                  <c:v>0.33941879252415674</c:v>
                </c:pt>
                <c:pt idx="346">
                  <c:v>0.34301351003341551</c:v>
                </c:pt>
                <c:pt idx="347">
                  <c:v>0.34307509177415341</c:v>
                </c:pt>
                <c:pt idx="348">
                  <c:v>0.34538369028814486</c:v>
                </c:pt>
                <c:pt idx="349">
                  <c:v>0.34541044804154808</c:v>
                </c:pt>
                <c:pt idx="350">
                  <c:v>0.34663910429753741</c:v>
                </c:pt>
                <c:pt idx="351">
                  <c:v>0.34679093548493256</c:v>
                </c:pt>
                <c:pt idx="352">
                  <c:v>0.34680840028067905</c:v>
                </c:pt>
                <c:pt idx="353">
                  <c:v>0.34723145969110192</c:v>
                </c:pt>
                <c:pt idx="354">
                  <c:v>0.34806509211466619</c:v>
                </c:pt>
                <c:pt idx="355">
                  <c:v>0.35022742743694835</c:v>
                </c:pt>
                <c:pt idx="356">
                  <c:v>0.35169504402711027</c:v>
                </c:pt>
                <c:pt idx="357">
                  <c:v>0.3517841401953774</c:v>
                </c:pt>
                <c:pt idx="358">
                  <c:v>0.35340819403245405</c:v>
                </c:pt>
                <c:pt idx="359">
                  <c:v>0.35357495501830272</c:v>
                </c:pt>
                <c:pt idx="360">
                  <c:v>0.35388406619404122</c:v>
                </c:pt>
                <c:pt idx="361">
                  <c:v>0.35448474416261888</c:v>
                </c:pt>
                <c:pt idx="362">
                  <c:v>0.35491415938668069</c:v>
                </c:pt>
                <c:pt idx="363">
                  <c:v>0.3559429617407659</c:v>
                </c:pt>
                <c:pt idx="364">
                  <c:v>0.35703364805249294</c:v>
                </c:pt>
                <c:pt idx="365">
                  <c:v>0.3603785683217211</c:v>
                </c:pt>
                <c:pt idx="366">
                  <c:v>0.36234473686272395</c:v>
                </c:pt>
                <c:pt idx="367">
                  <c:v>0.36348921390708711</c:v>
                </c:pt>
                <c:pt idx="368">
                  <c:v>0.3653949239933354</c:v>
                </c:pt>
                <c:pt idx="369">
                  <c:v>0.36720495400459185</c:v>
                </c:pt>
                <c:pt idx="370">
                  <c:v>0.36757667632173252</c:v>
                </c:pt>
                <c:pt idx="371">
                  <c:v>0.36781567452089803</c:v>
                </c:pt>
                <c:pt idx="372">
                  <c:v>0.36786580543684977</c:v>
                </c:pt>
                <c:pt idx="373">
                  <c:v>0.3683147834135525</c:v>
                </c:pt>
                <c:pt idx="374">
                  <c:v>0.37078838344859832</c:v>
                </c:pt>
                <c:pt idx="375">
                  <c:v>0.3709702764681424</c:v>
                </c:pt>
                <c:pt idx="376">
                  <c:v>0.37489216112135182</c:v>
                </c:pt>
                <c:pt idx="377">
                  <c:v>0.37506596184084628</c:v>
                </c:pt>
                <c:pt idx="378">
                  <c:v>0.37541726754625415</c:v>
                </c:pt>
                <c:pt idx="379">
                  <c:v>0.37638336416057427</c:v>
                </c:pt>
                <c:pt idx="380">
                  <c:v>0.37680810479105276</c:v>
                </c:pt>
                <c:pt idx="381">
                  <c:v>0.37821797579999838</c:v>
                </c:pt>
                <c:pt idx="382">
                  <c:v>0.38066422262727428</c:v>
                </c:pt>
                <c:pt idx="383">
                  <c:v>0.38072295174697501</c:v>
                </c:pt>
                <c:pt idx="384">
                  <c:v>0.38110401430367347</c:v>
                </c:pt>
                <c:pt idx="385">
                  <c:v>0.38212346540512954</c:v>
                </c:pt>
                <c:pt idx="386">
                  <c:v>0.38253624215212767</c:v>
                </c:pt>
                <c:pt idx="387">
                  <c:v>0.3834104544012007</c:v>
                </c:pt>
                <c:pt idx="388">
                  <c:v>0.38483097153130075</c:v>
                </c:pt>
                <c:pt idx="389">
                  <c:v>0.3858449612489494</c:v>
                </c:pt>
                <c:pt idx="390">
                  <c:v>0.38642328119749436</c:v>
                </c:pt>
                <c:pt idx="391">
                  <c:v>0.38747762818456977</c:v>
                </c:pt>
                <c:pt idx="392">
                  <c:v>0.38752027733971772</c:v>
                </c:pt>
                <c:pt idx="393">
                  <c:v>0.38776236011563014</c:v>
                </c:pt>
                <c:pt idx="394">
                  <c:v>0.38892508618118882</c:v>
                </c:pt>
                <c:pt idx="395">
                  <c:v>0.38975029110042669</c:v>
                </c:pt>
                <c:pt idx="396">
                  <c:v>0.39090351838240167</c:v>
                </c:pt>
                <c:pt idx="397">
                  <c:v>0.39281995855435525</c:v>
                </c:pt>
                <c:pt idx="398">
                  <c:v>0.39383874609484337</c:v>
                </c:pt>
                <c:pt idx="399">
                  <c:v>0.39460370625693031</c:v>
                </c:pt>
                <c:pt idx="400">
                  <c:v>0.3948980562900033</c:v>
                </c:pt>
                <c:pt idx="401">
                  <c:v>0.39627854788068362</c:v>
                </c:pt>
                <c:pt idx="402">
                  <c:v>0.39692118219045369</c:v>
                </c:pt>
                <c:pt idx="403">
                  <c:v>0.40073691393990885</c:v>
                </c:pt>
                <c:pt idx="404">
                  <c:v>0.40108244006205496</c:v>
                </c:pt>
                <c:pt idx="405">
                  <c:v>0.40241369279010542</c:v>
                </c:pt>
                <c:pt idx="406">
                  <c:v>0.40282953860878479</c:v>
                </c:pt>
                <c:pt idx="407">
                  <c:v>0.40402419782822108</c:v>
                </c:pt>
                <c:pt idx="408">
                  <c:v>0.40468014394991769</c:v>
                </c:pt>
                <c:pt idx="409">
                  <c:v>0.40484948276207433</c:v>
                </c:pt>
                <c:pt idx="410">
                  <c:v>0.40571831842316897</c:v>
                </c:pt>
                <c:pt idx="411">
                  <c:v>0.40573578970634117</c:v>
                </c:pt>
                <c:pt idx="412">
                  <c:v>0.40579505188634357</c:v>
                </c:pt>
                <c:pt idx="413">
                  <c:v>0.40602156301611103</c:v>
                </c:pt>
                <c:pt idx="414">
                  <c:v>0.40994146398317355</c:v>
                </c:pt>
                <c:pt idx="415">
                  <c:v>0.41023555636547826</c:v>
                </c:pt>
                <c:pt idx="416">
                  <c:v>0.41073821998998028</c:v>
                </c:pt>
                <c:pt idx="417">
                  <c:v>0.41098349089770636</c:v>
                </c:pt>
                <c:pt idx="418">
                  <c:v>0.41116457814041496</c:v>
                </c:pt>
                <c:pt idx="419">
                  <c:v>0.41137501769301821</c:v>
                </c:pt>
                <c:pt idx="420">
                  <c:v>0.41430827497242717</c:v>
                </c:pt>
                <c:pt idx="421">
                  <c:v>0.41485853944777773</c:v>
                </c:pt>
                <c:pt idx="422">
                  <c:v>0.4164118026073993</c:v>
                </c:pt>
                <c:pt idx="423">
                  <c:v>0.41992112870593701</c:v>
                </c:pt>
                <c:pt idx="424">
                  <c:v>0.42165063945139991</c:v>
                </c:pt>
                <c:pt idx="425">
                  <c:v>0.42186645443143789</c:v>
                </c:pt>
                <c:pt idx="426">
                  <c:v>0.42221240180242603</c:v>
                </c:pt>
                <c:pt idx="427">
                  <c:v>0.42450632259715348</c:v>
                </c:pt>
                <c:pt idx="428">
                  <c:v>0.42462787644763011</c:v>
                </c:pt>
                <c:pt idx="429">
                  <c:v>0.42580793574143172</c:v>
                </c:pt>
                <c:pt idx="430">
                  <c:v>0.42595041485674301</c:v>
                </c:pt>
                <c:pt idx="431">
                  <c:v>0.42636714610216586</c:v>
                </c:pt>
                <c:pt idx="432">
                  <c:v>0.42674811341476016</c:v>
                </c:pt>
                <c:pt idx="433">
                  <c:v>0.42729586083260074</c:v>
                </c:pt>
                <c:pt idx="434">
                  <c:v>0.42785604978598712</c:v>
                </c:pt>
                <c:pt idx="435">
                  <c:v>0.42851340890865686</c:v>
                </c:pt>
                <c:pt idx="436">
                  <c:v>0.42937940469983005</c:v>
                </c:pt>
                <c:pt idx="437">
                  <c:v>0.42947665598785534</c:v>
                </c:pt>
                <c:pt idx="438">
                  <c:v>0.43073627498142741</c:v>
                </c:pt>
                <c:pt idx="439">
                  <c:v>0.43084163194816938</c:v>
                </c:pt>
                <c:pt idx="440">
                  <c:v>0.43167025890852528</c:v>
                </c:pt>
                <c:pt idx="441">
                  <c:v>0.43167293896567571</c:v>
                </c:pt>
                <c:pt idx="442">
                  <c:v>0.4320989307916534</c:v>
                </c:pt>
                <c:pt idx="443">
                  <c:v>0.43496315090487769</c:v>
                </c:pt>
                <c:pt idx="444">
                  <c:v>0.4358467830970767</c:v>
                </c:pt>
                <c:pt idx="445">
                  <c:v>0.43640654359023756</c:v>
                </c:pt>
                <c:pt idx="446">
                  <c:v>0.43757611748424097</c:v>
                </c:pt>
                <c:pt idx="447">
                  <c:v>0.43772230149625102</c:v>
                </c:pt>
                <c:pt idx="448">
                  <c:v>0.43806320784824493</c:v>
                </c:pt>
                <c:pt idx="449">
                  <c:v>0.43843877958988742</c:v>
                </c:pt>
                <c:pt idx="450">
                  <c:v>0.44029054658767564</c:v>
                </c:pt>
                <c:pt idx="451">
                  <c:v>0.44085233415080438</c:v>
                </c:pt>
                <c:pt idx="452">
                  <c:v>0.44337858577546285</c:v>
                </c:pt>
                <c:pt idx="453">
                  <c:v>0.44371546007096185</c:v>
                </c:pt>
                <c:pt idx="454">
                  <c:v>0.44436099736230972</c:v>
                </c:pt>
                <c:pt idx="455">
                  <c:v>0.44447717693947197</c:v>
                </c:pt>
                <c:pt idx="456">
                  <c:v>0.44496200746289105</c:v>
                </c:pt>
                <c:pt idx="457">
                  <c:v>0.44625646310669254</c:v>
                </c:pt>
                <c:pt idx="458">
                  <c:v>0.44631403383755242</c:v>
                </c:pt>
                <c:pt idx="459">
                  <c:v>0.4466651147849916</c:v>
                </c:pt>
                <c:pt idx="460">
                  <c:v>0.44880466156337206</c:v>
                </c:pt>
                <c:pt idx="461">
                  <c:v>0.44914011639775708</c:v>
                </c:pt>
                <c:pt idx="462">
                  <c:v>0.4493603659366272</c:v>
                </c:pt>
                <c:pt idx="463">
                  <c:v>0.45061256986264198</c:v>
                </c:pt>
                <c:pt idx="464">
                  <c:v>0.45119489521493961</c:v>
                </c:pt>
                <c:pt idx="465">
                  <c:v>0.45320939898738288</c:v>
                </c:pt>
                <c:pt idx="466">
                  <c:v>0.45339209054873209</c:v>
                </c:pt>
                <c:pt idx="467">
                  <c:v>0.45451538192264707</c:v>
                </c:pt>
                <c:pt idx="468">
                  <c:v>0.4550469560745114</c:v>
                </c:pt>
                <c:pt idx="469">
                  <c:v>0.45542064315577591</c:v>
                </c:pt>
                <c:pt idx="470">
                  <c:v>0.45641041712769947</c:v>
                </c:pt>
                <c:pt idx="471">
                  <c:v>0.45755011645360355</c:v>
                </c:pt>
                <c:pt idx="472">
                  <c:v>0.45877320046110981</c:v>
                </c:pt>
                <c:pt idx="473">
                  <c:v>0.45916846963973512</c:v>
                </c:pt>
                <c:pt idx="474">
                  <c:v>0.45940595020238106</c:v>
                </c:pt>
                <c:pt idx="475">
                  <c:v>0.46047418450143596</c:v>
                </c:pt>
                <c:pt idx="476">
                  <c:v>0.46147826164906292</c:v>
                </c:pt>
                <c:pt idx="477">
                  <c:v>0.4617304579460324</c:v>
                </c:pt>
                <c:pt idx="478">
                  <c:v>0.46257940633677208</c:v>
                </c:pt>
                <c:pt idx="479">
                  <c:v>0.46261683718785207</c:v>
                </c:pt>
                <c:pt idx="480">
                  <c:v>0.46433187934417219</c:v>
                </c:pt>
                <c:pt idx="481">
                  <c:v>0.46454386447021534</c:v>
                </c:pt>
                <c:pt idx="482">
                  <c:v>0.46681812162569258</c:v>
                </c:pt>
                <c:pt idx="483">
                  <c:v>0.46905111758496787</c:v>
                </c:pt>
                <c:pt idx="484">
                  <c:v>0.46911401085162652</c:v>
                </c:pt>
                <c:pt idx="485">
                  <c:v>0.47133709723402717</c:v>
                </c:pt>
                <c:pt idx="486">
                  <c:v>0.47134103033931751</c:v>
                </c:pt>
                <c:pt idx="487">
                  <c:v>0.47140877932361036</c:v>
                </c:pt>
                <c:pt idx="488">
                  <c:v>0.47147042195592803</c:v>
                </c:pt>
                <c:pt idx="489">
                  <c:v>0.47178048574552633</c:v>
                </c:pt>
                <c:pt idx="490">
                  <c:v>0.47336113527217094</c:v>
                </c:pt>
                <c:pt idx="491">
                  <c:v>0.47770883753764792</c:v>
                </c:pt>
                <c:pt idx="492">
                  <c:v>0.47775459673721343</c:v>
                </c:pt>
                <c:pt idx="493">
                  <c:v>0.47865455654391553</c:v>
                </c:pt>
                <c:pt idx="494">
                  <c:v>0.48169186532962271</c:v>
                </c:pt>
                <c:pt idx="495">
                  <c:v>0.48709744000916544</c:v>
                </c:pt>
                <c:pt idx="496">
                  <c:v>0.49077417528042133</c:v>
                </c:pt>
                <c:pt idx="497">
                  <c:v>0.49156780534394784</c:v>
                </c:pt>
                <c:pt idx="498">
                  <c:v>0.49219854564034904</c:v>
                </c:pt>
                <c:pt idx="499">
                  <c:v>0.49250627188939688</c:v>
                </c:pt>
                <c:pt idx="500">
                  <c:v>0.49704976888824604</c:v>
                </c:pt>
                <c:pt idx="501">
                  <c:v>0.49858657817276253</c:v>
                </c:pt>
                <c:pt idx="502">
                  <c:v>0.49865074897570594</c:v>
                </c:pt>
                <c:pt idx="503">
                  <c:v>0.49991818451781</c:v>
                </c:pt>
                <c:pt idx="504">
                  <c:v>0.49992359939005837</c:v>
                </c:pt>
                <c:pt idx="505">
                  <c:v>0.5027734619243347</c:v>
                </c:pt>
                <c:pt idx="506">
                  <c:v>0.50310082804026024</c:v>
                </c:pt>
                <c:pt idx="507">
                  <c:v>0.50769233861865359</c:v>
                </c:pt>
                <c:pt idx="508">
                  <c:v>0.50808111994228966</c:v>
                </c:pt>
                <c:pt idx="509">
                  <c:v>0.50864953247128142</c:v>
                </c:pt>
                <c:pt idx="510">
                  <c:v>0.50965588690814911</c:v>
                </c:pt>
                <c:pt idx="511">
                  <c:v>0.51010528751066886</c:v>
                </c:pt>
                <c:pt idx="512">
                  <c:v>0.510470550259015</c:v>
                </c:pt>
                <c:pt idx="513">
                  <c:v>0.51145803640793019</c:v>
                </c:pt>
                <c:pt idx="514">
                  <c:v>0.51164029142273648</c:v>
                </c:pt>
                <c:pt idx="515">
                  <c:v>0.51322914557931654</c:v>
                </c:pt>
                <c:pt idx="516">
                  <c:v>0.51340569598232833</c:v>
                </c:pt>
                <c:pt idx="517">
                  <c:v>0.51915665349315532</c:v>
                </c:pt>
                <c:pt idx="518">
                  <c:v>0.52123970360844396</c:v>
                </c:pt>
                <c:pt idx="519">
                  <c:v>0.52159520527038694</c:v>
                </c:pt>
                <c:pt idx="520">
                  <c:v>0.52255323241843143</c:v>
                </c:pt>
                <c:pt idx="521">
                  <c:v>0.52365239494156413</c:v>
                </c:pt>
                <c:pt idx="522">
                  <c:v>0.52450521691207541</c:v>
                </c:pt>
                <c:pt idx="523">
                  <c:v>0.52540664642674528</c:v>
                </c:pt>
                <c:pt idx="524">
                  <c:v>0.52679271468696243</c:v>
                </c:pt>
                <c:pt idx="525">
                  <c:v>0.52716208330366499</c:v>
                </c:pt>
                <c:pt idx="526">
                  <c:v>0.52890887514513452</c:v>
                </c:pt>
                <c:pt idx="527">
                  <c:v>0.52972662807587767</c:v>
                </c:pt>
                <c:pt idx="528">
                  <c:v>0.53271457556729729</c:v>
                </c:pt>
                <c:pt idx="529">
                  <c:v>0.53305991800607444</c:v>
                </c:pt>
                <c:pt idx="530">
                  <c:v>0.53364984019754047</c:v>
                </c:pt>
                <c:pt idx="531">
                  <c:v>0.53416618586834375</c:v>
                </c:pt>
                <c:pt idx="532">
                  <c:v>0.53470918527909816</c:v>
                </c:pt>
                <c:pt idx="533">
                  <c:v>0.53508545986642275</c:v>
                </c:pt>
                <c:pt idx="534">
                  <c:v>0.53998343915043279</c:v>
                </c:pt>
                <c:pt idx="535">
                  <c:v>0.54060405989730498</c:v>
                </c:pt>
                <c:pt idx="536">
                  <c:v>0.54261405585839384</c:v>
                </c:pt>
                <c:pt idx="537">
                  <c:v>0.54409159986698796</c:v>
                </c:pt>
                <c:pt idx="538">
                  <c:v>0.54674145863555168</c:v>
                </c:pt>
                <c:pt idx="539">
                  <c:v>0.5471812419964408</c:v>
                </c:pt>
                <c:pt idx="540">
                  <c:v>0.551465212201947</c:v>
                </c:pt>
                <c:pt idx="541">
                  <c:v>0.55347261179122142</c:v>
                </c:pt>
                <c:pt idx="542">
                  <c:v>0.55431157408656873</c:v>
                </c:pt>
                <c:pt idx="543">
                  <c:v>0.55453297369695065</c:v>
                </c:pt>
                <c:pt idx="544">
                  <c:v>0.55597912781831837</c:v>
                </c:pt>
                <c:pt idx="545">
                  <c:v>0.5582450150832301</c:v>
                </c:pt>
                <c:pt idx="546">
                  <c:v>0.55910674265942362</c:v>
                </c:pt>
                <c:pt idx="547">
                  <c:v>0.56012341007044597</c:v>
                </c:pt>
                <c:pt idx="548">
                  <c:v>0.56063955483205064</c:v>
                </c:pt>
                <c:pt idx="549">
                  <c:v>0.56113429449489516</c:v>
                </c:pt>
                <c:pt idx="550">
                  <c:v>0.56182312865712447</c:v>
                </c:pt>
                <c:pt idx="551">
                  <c:v>0.56195408446637884</c:v>
                </c:pt>
                <c:pt idx="552">
                  <c:v>0.5630778193117294</c:v>
                </c:pt>
                <c:pt idx="553">
                  <c:v>0.56311813146749046</c:v>
                </c:pt>
                <c:pt idx="554">
                  <c:v>0.56370157947276311</c:v>
                </c:pt>
                <c:pt idx="555">
                  <c:v>0.56436818185102311</c:v>
                </c:pt>
                <c:pt idx="556">
                  <c:v>0.56646349930815632</c:v>
                </c:pt>
                <c:pt idx="557">
                  <c:v>0.56706229439350864</c:v>
                </c:pt>
                <c:pt idx="558">
                  <c:v>0.56777245890771155</c:v>
                </c:pt>
                <c:pt idx="559">
                  <c:v>0.56848995892596577</c:v>
                </c:pt>
                <c:pt idx="560">
                  <c:v>0.57012569429025461</c:v>
                </c:pt>
                <c:pt idx="561">
                  <c:v>0.57036920544487657</c:v>
                </c:pt>
                <c:pt idx="562">
                  <c:v>0.57081296183787344</c:v>
                </c:pt>
                <c:pt idx="563">
                  <c:v>0.57145845329432632</c:v>
                </c:pt>
                <c:pt idx="564">
                  <c:v>0.57192242628752865</c:v>
                </c:pt>
                <c:pt idx="565">
                  <c:v>0.5722961044875774</c:v>
                </c:pt>
                <c:pt idx="566">
                  <c:v>0.57246812096855137</c:v>
                </c:pt>
                <c:pt idx="567">
                  <c:v>0.5728932345055</c:v>
                </c:pt>
                <c:pt idx="568">
                  <c:v>0.57480201749240223</c:v>
                </c:pt>
                <c:pt idx="569">
                  <c:v>0.57528032375466864</c:v>
                </c:pt>
                <c:pt idx="570">
                  <c:v>0.57602915501593088</c:v>
                </c:pt>
                <c:pt idx="571">
                  <c:v>0.57619874127067305</c:v>
                </c:pt>
                <c:pt idx="572">
                  <c:v>0.57727785606493853</c:v>
                </c:pt>
                <c:pt idx="573">
                  <c:v>0.57900371583127708</c:v>
                </c:pt>
                <c:pt idx="574">
                  <c:v>0.58098772387802455</c:v>
                </c:pt>
                <c:pt idx="575">
                  <c:v>0.58326307818606438</c:v>
                </c:pt>
                <c:pt idx="576">
                  <c:v>0.5838281658179767</c:v>
                </c:pt>
                <c:pt idx="577">
                  <c:v>0.58455546535788017</c:v>
                </c:pt>
                <c:pt idx="578">
                  <c:v>0.5848307823007417</c:v>
                </c:pt>
                <c:pt idx="579">
                  <c:v>0.58537743740271253</c:v>
                </c:pt>
                <c:pt idx="580">
                  <c:v>0.58632247265086335</c:v>
                </c:pt>
                <c:pt idx="581">
                  <c:v>0.58635464338840393</c:v>
                </c:pt>
                <c:pt idx="582">
                  <c:v>0.5865219197485203</c:v>
                </c:pt>
                <c:pt idx="583">
                  <c:v>0.58761710794897226</c:v>
                </c:pt>
                <c:pt idx="584">
                  <c:v>0.58895861602559307</c:v>
                </c:pt>
                <c:pt idx="585">
                  <c:v>0.59135970350689604</c:v>
                </c:pt>
                <c:pt idx="586">
                  <c:v>0.59165008011586906</c:v>
                </c:pt>
                <c:pt idx="587">
                  <c:v>0.59192875300141168</c:v>
                </c:pt>
                <c:pt idx="588">
                  <c:v>0.59643778062218189</c:v>
                </c:pt>
                <c:pt idx="589">
                  <c:v>0.59728584724871325</c:v>
                </c:pt>
                <c:pt idx="590">
                  <c:v>0.59741750183366094</c:v>
                </c:pt>
                <c:pt idx="591">
                  <c:v>0.59748586817568139</c:v>
                </c:pt>
                <c:pt idx="592">
                  <c:v>0.59756132953407359</c:v>
                </c:pt>
                <c:pt idx="593">
                  <c:v>0.59791619012412411</c:v>
                </c:pt>
                <c:pt idx="594">
                  <c:v>0.59818941653793445</c:v>
                </c:pt>
                <c:pt idx="595">
                  <c:v>0.59848882553887961</c:v>
                </c:pt>
                <c:pt idx="596">
                  <c:v>0.59991843751686247</c:v>
                </c:pt>
                <c:pt idx="597">
                  <c:v>0.60021050975410617</c:v>
                </c:pt>
                <c:pt idx="598">
                  <c:v>0.60188635486156272</c:v>
                </c:pt>
                <c:pt idx="599">
                  <c:v>0.60352132406296732</c:v>
                </c:pt>
                <c:pt idx="600">
                  <c:v>0.60414894976747746</c:v>
                </c:pt>
                <c:pt idx="601">
                  <c:v>0.60716215781212668</c:v>
                </c:pt>
                <c:pt idx="602">
                  <c:v>0.60716668420445785</c:v>
                </c:pt>
                <c:pt idx="603">
                  <c:v>0.60761428138630436</c:v>
                </c:pt>
                <c:pt idx="604">
                  <c:v>0.60818402490531298</c:v>
                </c:pt>
                <c:pt idx="605">
                  <c:v>0.61268728870710731</c:v>
                </c:pt>
                <c:pt idx="606">
                  <c:v>0.61321152800701384</c:v>
                </c:pt>
                <c:pt idx="607">
                  <c:v>0.61384718891713419</c:v>
                </c:pt>
                <c:pt idx="608">
                  <c:v>0.61624676004430512</c:v>
                </c:pt>
                <c:pt idx="609">
                  <c:v>0.61647728255775291</c:v>
                </c:pt>
                <c:pt idx="610">
                  <c:v>0.61918620299456961</c:v>
                </c:pt>
                <c:pt idx="611">
                  <c:v>0.61924316611839458</c:v>
                </c:pt>
                <c:pt idx="612">
                  <c:v>0.62177289581359219</c:v>
                </c:pt>
                <c:pt idx="613">
                  <c:v>0.62285364005947486</c:v>
                </c:pt>
                <c:pt idx="614">
                  <c:v>0.62411452308970183</c:v>
                </c:pt>
                <c:pt idx="615">
                  <c:v>0.62413702898811607</c:v>
                </c:pt>
                <c:pt idx="616">
                  <c:v>0.62517656488398643</c:v>
                </c:pt>
                <c:pt idx="617">
                  <c:v>0.62534255293849128</c:v>
                </c:pt>
                <c:pt idx="618">
                  <c:v>0.62585863891581539</c:v>
                </c:pt>
                <c:pt idx="619">
                  <c:v>0.62630863142021553</c:v>
                </c:pt>
                <c:pt idx="620">
                  <c:v>0.62941049054279574</c:v>
                </c:pt>
                <c:pt idx="621">
                  <c:v>0.63058535879918054</c:v>
                </c:pt>
                <c:pt idx="622">
                  <c:v>0.63085004297681735</c:v>
                </c:pt>
                <c:pt idx="623">
                  <c:v>0.63198150013977283</c:v>
                </c:pt>
                <c:pt idx="624">
                  <c:v>0.6337790408224464</c:v>
                </c:pt>
                <c:pt idx="625">
                  <c:v>0.63868898534110485</c:v>
                </c:pt>
                <c:pt idx="626">
                  <c:v>0.64002171792074591</c:v>
                </c:pt>
                <c:pt idx="627">
                  <c:v>0.64048786663988722</c:v>
                </c:pt>
                <c:pt idx="628">
                  <c:v>0.64149573272698035</c:v>
                </c:pt>
                <c:pt idx="629">
                  <c:v>0.64338315172608418</c:v>
                </c:pt>
                <c:pt idx="630">
                  <c:v>0.64403687044159597</c:v>
                </c:pt>
                <c:pt idx="631">
                  <c:v>0.64499929159501335</c:v>
                </c:pt>
                <c:pt idx="632">
                  <c:v>0.64560729834556696</c:v>
                </c:pt>
                <c:pt idx="633">
                  <c:v>0.64597992667768267</c:v>
                </c:pt>
                <c:pt idx="634">
                  <c:v>0.64643109775897756</c:v>
                </c:pt>
                <c:pt idx="635">
                  <c:v>0.64657923258346273</c:v>
                </c:pt>
                <c:pt idx="636">
                  <c:v>0.65164229952006281</c:v>
                </c:pt>
                <c:pt idx="637">
                  <c:v>0.65295221809810755</c:v>
                </c:pt>
                <c:pt idx="638">
                  <c:v>0.65324215922373696</c:v>
                </c:pt>
                <c:pt idx="639">
                  <c:v>0.65387954883408383</c:v>
                </c:pt>
                <c:pt idx="640">
                  <c:v>0.65467555821669521</c:v>
                </c:pt>
                <c:pt idx="641">
                  <c:v>0.65582397986781871</c:v>
                </c:pt>
                <c:pt idx="642">
                  <c:v>0.65646080310671096</c:v>
                </c:pt>
                <c:pt idx="643">
                  <c:v>0.65684751647404482</c:v>
                </c:pt>
                <c:pt idx="644">
                  <c:v>0.66069327099012298</c:v>
                </c:pt>
                <c:pt idx="645">
                  <c:v>0.66252409821026959</c:v>
                </c:pt>
                <c:pt idx="646">
                  <c:v>0.66457336329949612</c:v>
                </c:pt>
                <c:pt idx="647">
                  <c:v>0.66480672298894206</c:v>
                </c:pt>
                <c:pt idx="648">
                  <c:v>0.6649478843878569</c:v>
                </c:pt>
                <c:pt idx="649">
                  <c:v>0.66544606825209485</c:v>
                </c:pt>
                <c:pt idx="650">
                  <c:v>0.66846964420255972</c:v>
                </c:pt>
                <c:pt idx="651">
                  <c:v>0.6685809960390543</c:v>
                </c:pt>
                <c:pt idx="652">
                  <c:v>0.66953612393808726</c:v>
                </c:pt>
                <c:pt idx="653">
                  <c:v>0.67082098672835855</c:v>
                </c:pt>
                <c:pt idx="654">
                  <c:v>0.67089675309489394</c:v>
                </c:pt>
                <c:pt idx="655">
                  <c:v>0.6722677920561182</c:v>
                </c:pt>
                <c:pt idx="656">
                  <c:v>0.67314432911553013</c:v>
                </c:pt>
                <c:pt idx="657">
                  <c:v>0.67413370506983483</c:v>
                </c:pt>
                <c:pt idx="658">
                  <c:v>0.67636473949278297</c:v>
                </c:pt>
                <c:pt idx="659">
                  <c:v>0.67801829313430062</c:v>
                </c:pt>
                <c:pt idx="660">
                  <c:v>0.67852694802786573</c:v>
                </c:pt>
                <c:pt idx="661">
                  <c:v>0.67880071351191873</c:v>
                </c:pt>
                <c:pt idx="662">
                  <c:v>0.67905947210965678</c:v>
                </c:pt>
                <c:pt idx="663">
                  <c:v>0.67922662035380199</c:v>
                </c:pt>
                <c:pt idx="664">
                  <c:v>0.67937099904156639</c:v>
                </c:pt>
                <c:pt idx="665">
                  <c:v>0.68421274418869871</c:v>
                </c:pt>
                <c:pt idx="666">
                  <c:v>0.68590618699454353</c:v>
                </c:pt>
                <c:pt idx="667">
                  <c:v>0.68653343366349873</c:v>
                </c:pt>
                <c:pt idx="668">
                  <c:v>0.68764020429534867</c:v>
                </c:pt>
                <c:pt idx="669">
                  <c:v>0.68818907093827875</c:v>
                </c:pt>
                <c:pt idx="670">
                  <c:v>0.68852516524657403</c:v>
                </c:pt>
                <c:pt idx="671">
                  <c:v>0.68987581660712749</c:v>
                </c:pt>
                <c:pt idx="672">
                  <c:v>0.690007689057893</c:v>
                </c:pt>
                <c:pt idx="673">
                  <c:v>0.69022376991779311</c:v>
                </c:pt>
                <c:pt idx="674">
                  <c:v>0.69070904248565057</c:v>
                </c:pt>
                <c:pt idx="675">
                  <c:v>0.69249590341314615</c:v>
                </c:pt>
                <c:pt idx="676">
                  <c:v>0.6925228079298904</c:v>
                </c:pt>
                <c:pt idx="677">
                  <c:v>0.69284044241067022</c:v>
                </c:pt>
                <c:pt idx="678">
                  <c:v>0.69342594569570792</c:v>
                </c:pt>
                <c:pt idx="679">
                  <c:v>0.69400051659067685</c:v>
                </c:pt>
                <c:pt idx="680">
                  <c:v>0.69414146704275481</c:v>
                </c:pt>
                <c:pt idx="681">
                  <c:v>0.69557953748426371</c:v>
                </c:pt>
                <c:pt idx="682">
                  <c:v>0.69669109199230661</c:v>
                </c:pt>
                <c:pt idx="683">
                  <c:v>0.69702433614565962</c:v>
                </c:pt>
                <c:pt idx="684">
                  <c:v>0.69720927547587053</c:v>
                </c:pt>
                <c:pt idx="685">
                  <c:v>0.69762991147035791</c:v>
                </c:pt>
                <c:pt idx="686">
                  <c:v>0.69767062781284039</c:v>
                </c:pt>
                <c:pt idx="687">
                  <c:v>0.69961061000049085</c:v>
                </c:pt>
                <c:pt idx="688">
                  <c:v>0.70535655036383105</c:v>
                </c:pt>
                <c:pt idx="689">
                  <c:v>0.71065048013042542</c:v>
                </c:pt>
                <c:pt idx="690">
                  <c:v>0.71099291746304516</c:v>
                </c:pt>
                <c:pt idx="691">
                  <c:v>0.71163366854125343</c:v>
                </c:pt>
                <c:pt idx="692">
                  <c:v>0.71198228797857155</c:v>
                </c:pt>
                <c:pt idx="693">
                  <c:v>0.7126099371471355</c:v>
                </c:pt>
                <c:pt idx="694">
                  <c:v>0.71271031523428974</c:v>
                </c:pt>
                <c:pt idx="695">
                  <c:v>0.71312437234064419</c:v>
                </c:pt>
                <c:pt idx="696">
                  <c:v>0.71353758498571551</c:v>
                </c:pt>
                <c:pt idx="697">
                  <c:v>0.71355373226288066</c:v>
                </c:pt>
                <c:pt idx="698">
                  <c:v>0.7146033065746451</c:v>
                </c:pt>
                <c:pt idx="699">
                  <c:v>0.71499903698349954</c:v>
                </c:pt>
                <c:pt idx="700">
                  <c:v>0.71584233395151387</c:v>
                </c:pt>
                <c:pt idx="701">
                  <c:v>0.71665390675298113</c:v>
                </c:pt>
                <c:pt idx="702">
                  <c:v>0.71863126572316105</c:v>
                </c:pt>
                <c:pt idx="703">
                  <c:v>0.7187320198127054</c:v>
                </c:pt>
                <c:pt idx="704">
                  <c:v>0.7196576632304641</c:v>
                </c:pt>
                <c:pt idx="705">
                  <c:v>0.72039382176717481</c:v>
                </c:pt>
                <c:pt idx="706">
                  <c:v>0.72162215921434836</c:v>
                </c:pt>
                <c:pt idx="707">
                  <c:v>0.72167692540278949</c:v>
                </c:pt>
                <c:pt idx="708">
                  <c:v>0.72346077570455236</c:v>
                </c:pt>
                <c:pt idx="709">
                  <c:v>0.72359124665126728</c:v>
                </c:pt>
                <c:pt idx="710">
                  <c:v>0.72379080694099684</c:v>
                </c:pt>
                <c:pt idx="711">
                  <c:v>0.72410950141147623</c:v>
                </c:pt>
                <c:pt idx="712">
                  <c:v>0.72499969336968206</c:v>
                </c:pt>
                <c:pt idx="713">
                  <c:v>0.72526797954742506</c:v>
                </c:pt>
                <c:pt idx="714">
                  <c:v>0.72572060326729115</c:v>
                </c:pt>
                <c:pt idx="715">
                  <c:v>0.72596872136637103</c:v>
                </c:pt>
                <c:pt idx="716">
                  <c:v>0.72599417171022651</c:v>
                </c:pt>
                <c:pt idx="717">
                  <c:v>0.72609421212018788</c:v>
                </c:pt>
                <c:pt idx="718">
                  <c:v>0.72669901884000865</c:v>
                </c:pt>
                <c:pt idx="719">
                  <c:v>0.72740181364315504</c:v>
                </c:pt>
                <c:pt idx="720">
                  <c:v>0.72755115150175698</c:v>
                </c:pt>
                <c:pt idx="721">
                  <c:v>0.72757546508910309</c:v>
                </c:pt>
                <c:pt idx="722">
                  <c:v>0.72896554950420978</c:v>
                </c:pt>
                <c:pt idx="723">
                  <c:v>0.72974117471312638</c:v>
                </c:pt>
                <c:pt idx="724">
                  <c:v>0.73065162816419615</c:v>
                </c:pt>
                <c:pt idx="725">
                  <c:v>0.73115578150191141</c:v>
                </c:pt>
                <c:pt idx="726">
                  <c:v>0.7322390755662127</c:v>
                </c:pt>
                <c:pt idx="727">
                  <c:v>0.73270541633246467</c:v>
                </c:pt>
                <c:pt idx="728">
                  <c:v>0.73276416439512104</c:v>
                </c:pt>
                <c:pt idx="729">
                  <c:v>0.73370020669153746</c:v>
                </c:pt>
                <c:pt idx="730">
                  <c:v>0.73389185857013217</c:v>
                </c:pt>
                <c:pt idx="731">
                  <c:v>0.73637939480613568</c:v>
                </c:pt>
                <c:pt idx="732">
                  <c:v>0.73749485772623302</c:v>
                </c:pt>
                <c:pt idx="733">
                  <c:v>0.73785113313988404</c:v>
                </c:pt>
                <c:pt idx="734">
                  <c:v>0.73789562923138874</c:v>
                </c:pt>
                <c:pt idx="735">
                  <c:v>0.74005953161031357</c:v>
                </c:pt>
                <c:pt idx="736">
                  <c:v>0.7438303721801276</c:v>
                </c:pt>
                <c:pt idx="737">
                  <c:v>0.74523847288584477</c:v>
                </c:pt>
                <c:pt idx="738">
                  <c:v>0.74648158603213233</c:v>
                </c:pt>
                <c:pt idx="739">
                  <c:v>0.74953925657337095</c:v>
                </c:pt>
                <c:pt idx="740">
                  <c:v>0.75086136362642719</c:v>
                </c:pt>
                <c:pt idx="741">
                  <c:v>0.75257298714768694</c:v>
                </c:pt>
                <c:pt idx="742">
                  <c:v>0.75272891046824952</c:v>
                </c:pt>
                <c:pt idx="743">
                  <c:v>0.75601721350631124</c:v>
                </c:pt>
                <c:pt idx="744">
                  <c:v>0.7572515536321589</c:v>
                </c:pt>
                <c:pt idx="745">
                  <c:v>0.75875065598938818</c:v>
                </c:pt>
                <c:pt idx="746">
                  <c:v>0.76004762084266986</c:v>
                </c:pt>
                <c:pt idx="747">
                  <c:v>0.7602289505139197</c:v>
                </c:pt>
                <c:pt idx="748">
                  <c:v>0.76072300502073631</c:v>
                </c:pt>
                <c:pt idx="749">
                  <c:v>0.76106156962305249</c:v>
                </c:pt>
                <c:pt idx="750">
                  <c:v>0.76149610074935481</c:v>
                </c:pt>
                <c:pt idx="751">
                  <c:v>0.76223185879553057</c:v>
                </c:pt>
                <c:pt idx="752">
                  <c:v>0.76271080060905661</c:v>
                </c:pt>
                <c:pt idx="753">
                  <c:v>0.76488259567122441</c:v>
                </c:pt>
                <c:pt idx="754">
                  <c:v>0.76497988029041153</c:v>
                </c:pt>
                <c:pt idx="755">
                  <c:v>0.765210472295621</c:v>
                </c:pt>
                <c:pt idx="756">
                  <c:v>0.76618895395495201</c:v>
                </c:pt>
                <c:pt idx="757">
                  <c:v>0.7667252253722836</c:v>
                </c:pt>
                <c:pt idx="758">
                  <c:v>0.76715316024728963</c:v>
                </c:pt>
                <c:pt idx="759">
                  <c:v>0.76759250475697627</c:v>
                </c:pt>
                <c:pt idx="760">
                  <c:v>0.7682400824405704</c:v>
                </c:pt>
                <c:pt idx="761">
                  <c:v>0.77027808194270619</c:v>
                </c:pt>
                <c:pt idx="762">
                  <c:v>0.77043876223615371</c:v>
                </c:pt>
                <c:pt idx="763">
                  <c:v>0.77057075981156231</c:v>
                </c:pt>
                <c:pt idx="764">
                  <c:v>0.77060163331680087</c:v>
                </c:pt>
                <c:pt idx="765">
                  <c:v>0.77238745451995783</c:v>
                </c:pt>
                <c:pt idx="766">
                  <c:v>0.77338045784381393</c:v>
                </c:pt>
                <c:pt idx="767">
                  <c:v>0.77345089123627986</c:v>
                </c:pt>
                <c:pt idx="768">
                  <c:v>0.77537238994500512</c:v>
                </c:pt>
                <c:pt idx="769">
                  <c:v>0.77572177884849225</c:v>
                </c:pt>
                <c:pt idx="770">
                  <c:v>0.77617174779061315</c:v>
                </c:pt>
                <c:pt idx="771">
                  <c:v>0.7765289766866772</c:v>
                </c:pt>
                <c:pt idx="772">
                  <c:v>0.77720025398684811</c:v>
                </c:pt>
                <c:pt idx="773">
                  <c:v>0.77780808137765689</c:v>
                </c:pt>
                <c:pt idx="774">
                  <c:v>0.77846895064885757</c:v>
                </c:pt>
                <c:pt idx="775">
                  <c:v>0.77849731734931993</c:v>
                </c:pt>
                <c:pt idx="776">
                  <c:v>0.77880237924910034</c:v>
                </c:pt>
                <c:pt idx="777">
                  <c:v>0.77992987184552476</c:v>
                </c:pt>
                <c:pt idx="778">
                  <c:v>0.78010737011572928</c:v>
                </c:pt>
                <c:pt idx="779">
                  <c:v>0.78090730154599441</c:v>
                </c:pt>
                <c:pt idx="780">
                  <c:v>0.78244427614299639</c:v>
                </c:pt>
                <c:pt idx="781">
                  <c:v>0.78684633772627421</c:v>
                </c:pt>
                <c:pt idx="782">
                  <c:v>0.78778476277693699</c:v>
                </c:pt>
                <c:pt idx="783">
                  <c:v>0.78839414218236925</c:v>
                </c:pt>
                <c:pt idx="784">
                  <c:v>0.79073019255883992</c:v>
                </c:pt>
                <c:pt idx="785">
                  <c:v>0.79139856009987852</c:v>
                </c:pt>
                <c:pt idx="786">
                  <c:v>0.79496954564274347</c:v>
                </c:pt>
                <c:pt idx="787">
                  <c:v>0.79558003371494124</c:v>
                </c:pt>
                <c:pt idx="788">
                  <c:v>0.79615195633959956</c:v>
                </c:pt>
                <c:pt idx="789">
                  <c:v>0.79650574645165761</c:v>
                </c:pt>
                <c:pt idx="790">
                  <c:v>0.79679797752760351</c:v>
                </c:pt>
                <c:pt idx="791">
                  <c:v>0.80054947831922618</c:v>
                </c:pt>
                <c:pt idx="792">
                  <c:v>0.80076939302671235</c:v>
                </c:pt>
                <c:pt idx="793">
                  <c:v>0.80219974133251526</c:v>
                </c:pt>
                <c:pt idx="794">
                  <c:v>0.80304482507017383</c:v>
                </c:pt>
                <c:pt idx="795">
                  <c:v>0.80517359230179864</c:v>
                </c:pt>
                <c:pt idx="796">
                  <c:v>0.80799527003910043</c:v>
                </c:pt>
                <c:pt idx="797">
                  <c:v>0.80859353302548698</c:v>
                </c:pt>
                <c:pt idx="798">
                  <c:v>0.80948647834884468</c:v>
                </c:pt>
                <c:pt idx="799">
                  <c:v>0.8095872410958691</c:v>
                </c:pt>
                <c:pt idx="800">
                  <c:v>0.8098844990336147</c:v>
                </c:pt>
                <c:pt idx="801">
                  <c:v>0.8117268876549133</c:v>
                </c:pt>
                <c:pt idx="802">
                  <c:v>0.81190988582056889</c:v>
                </c:pt>
                <c:pt idx="803">
                  <c:v>0.81255155289909453</c:v>
                </c:pt>
                <c:pt idx="804">
                  <c:v>0.81316905278799823</c:v>
                </c:pt>
                <c:pt idx="805">
                  <c:v>0.81468572247740667</c:v>
                </c:pt>
                <c:pt idx="806">
                  <c:v>0.81613439558077516</c:v>
                </c:pt>
                <c:pt idx="807">
                  <c:v>0.81685195036970981</c:v>
                </c:pt>
                <c:pt idx="808">
                  <c:v>0.81922624388971599</c:v>
                </c:pt>
                <c:pt idx="809">
                  <c:v>0.81984975390150794</c:v>
                </c:pt>
                <c:pt idx="810">
                  <c:v>0.82014801379682467</c:v>
                </c:pt>
                <c:pt idx="811">
                  <c:v>0.82021759657709481</c:v>
                </c:pt>
                <c:pt idx="812">
                  <c:v>0.82153051697241608</c:v>
                </c:pt>
                <c:pt idx="813">
                  <c:v>0.82215299775270978</c:v>
                </c:pt>
                <c:pt idx="814">
                  <c:v>0.82225276733333885</c:v>
                </c:pt>
                <c:pt idx="815">
                  <c:v>0.82268778862271574</c:v>
                </c:pt>
                <c:pt idx="816">
                  <c:v>0.82277865856576682</c:v>
                </c:pt>
                <c:pt idx="817">
                  <c:v>0.8258204758994907</c:v>
                </c:pt>
                <c:pt idx="818">
                  <c:v>0.82673560678995273</c:v>
                </c:pt>
                <c:pt idx="819">
                  <c:v>0.82695138258441148</c:v>
                </c:pt>
                <c:pt idx="820">
                  <c:v>0.82747371812001802</c:v>
                </c:pt>
                <c:pt idx="821">
                  <c:v>0.82919368332477461</c:v>
                </c:pt>
                <c:pt idx="822">
                  <c:v>0.83055945326306713</c:v>
                </c:pt>
                <c:pt idx="823">
                  <c:v>0.83062750261797191</c:v>
                </c:pt>
                <c:pt idx="824">
                  <c:v>0.83100903702688811</c:v>
                </c:pt>
                <c:pt idx="825">
                  <c:v>0.83105477192475519</c:v>
                </c:pt>
                <c:pt idx="826">
                  <c:v>0.83170917319330329</c:v>
                </c:pt>
                <c:pt idx="827">
                  <c:v>0.83228986097130075</c:v>
                </c:pt>
                <c:pt idx="828">
                  <c:v>0.83330718954312033</c:v>
                </c:pt>
                <c:pt idx="829">
                  <c:v>0.83458201761095552</c:v>
                </c:pt>
                <c:pt idx="830">
                  <c:v>0.83618771260080393</c:v>
                </c:pt>
                <c:pt idx="831">
                  <c:v>0.83640567773454677</c:v>
                </c:pt>
                <c:pt idx="832">
                  <c:v>0.83651759474105347</c:v>
                </c:pt>
                <c:pt idx="833">
                  <c:v>0.83680124634338426</c:v>
                </c:pt>
                <c:pt idx="834">
                  <c:v>0.83691953719699086</c:v>
                </c:pt>
                <c:pt idx="835">
                  <c:v>0.84175409339650287</c:v>
                </c:pt>
                <c:pt idx="836">
                  <c:v>0.84304602224801783</c:v>
                </c:pt>
                <c:pt idx="837">
                  <c:v>0.84471882810612442</c:v>
                </c:pt>
                <c:pt idx="838">
                  <c:v>0.8449904979834173</c:v>
                </c:pt>
                <c:pt idx="839">
                  <c:v>0.84625704393693013</c:v>
                </c:pt>
                <c:pt idx="840">
                  <c:v>0.84679934702035098</c:v>
                </c:pt>
                <c:pt idx="841">
                  <c:v>0.8475030132676693</c:v>
                </c:pt>
                <c:pt idx="842">
                  <c:v>0.84865515832552774</c:v>
                </c:pt>
                <c:pt idx="843">
                  <c:v>0.84949567095100065</c:v>
                </c:pt>
                <c:pt idx="844">
                  <c:v>0.85014557462318407</c:v>
                </c:pt>
                <c:pt idx="845">
                  <c:v>0.85026120443671971</c:v>
                </c:pt>
                <c:pt idx="846">
                  <c:v>0.85032806432539587</c:v>
                </c:pt>
                <c:pt idx="847">
                  <c:v>0.85039751319345669</c:v>
                </c:pt>
                <c:pt idx="848">
                  <c:v>0.8527877181822987</c:v>
                </c:pt>
                <c:pt idx="849">
                  <c:v>0.85373983755562222</c:v>
                </c:pt>
                <c:pt idx="850">
                  <c:v>0.85418413361003331</c:v>
                </c:pt>
                <c:pt idx="851">
                  <c:v>0.85488681614515372</c:v>
                </c:pt>
                <c:pt idx="852">
                  <c:v>0.85622485152180161</c:v>
                </c:pt>
                <c:pt idx="853">
                  <c:v>0.85767972178291529</c:v>
                </c:pt>
                <c:pt idx="854">
                  <c:v>0.85786455630477576</c:v>
                </c:pt>
                <c:pt idx="855">
                  <c:v>0.8580041649101986</c:v>
                </c:pt>
                <c:pt idx="856">
                  <c:v>0.85826560392797546</c:v>
                </c:pt>
                <c:pt idx="857">
                  <c:v>0.85884389926198423</c:v>
                </c:pt>
                <c:pt idx="858">
                  <c:v>0.85885128346581041</c:v>
                </c:pt>
                <c:pt idx="859">
                  <c:v>0.85897643282351055</c:v>
                </c:pt>
                <c:pt idx="860">
                  <c:v>0.8615948895112524</c:v>
                </c:pt>
                <c:pt idx="861">
                  <c:v>0.86438267019821069</c:v>
                </c:pt>
                <c:pt idx="862">
                  <c:v>0.86513249309155071</c:v>
                </c:pt>
                <c:pt idx="863">
                  <c:v>0.86665274431743455</c:v>
                </c:pt>
                <c:pt idx="864">
                  <c:v>0.86820171762155951</c:v>
                </c:pt>
                <c:pt idx="865">
                  <c:v>0.86853126696405525</c:v>
                </c:pt>
                <c:pt idx="866">
                  <c:v>0.87197915485376143</c:v>
                </c:pt>
                <c:pt idx="867">
                  <c:v>0.8722354996989452</c:v>
                </c:pt>
                <c:pt idx="868">
                  <c:v>0.87381883972011565</c:v>
                </c:pt>
                <c:pt idx="869">
                  <c:v>0.87525524830198265</c:v>
                </c:pt>
                <c:pt idx="870">
                  <c:v>0.87997934761187935</c:v>
                </c:pt>
                <c:pt idx="871">
                  <c:v>0.88030614219587733</c:v>
                </c:pt>
                <c:pt idx="872">
                  <c:v>0.88169139013552922</c:v>
                </c:pt>
                <c:pt idx="873">
                  <c:v>0.88202298518808675</c:v>
                </c:pt>
                <c:pt idx="874">
                  <c:v>0.88293652376978571</c:v>
                </c:pt>
                <c:pt idx="875">
                  <c:v>0.88317118227132596</c:v>
                </c:pt>
                <c:pt idx="876">
                  <c:v>0.88328667397036043</c:v>
                </c:pt>
                <c:pt idx="877">
                  <c:v>0.88408386593891919</c:v>
                </c:pt>
                <c:pt idx="878">
                  <c:v>0.88439864600877627</c:v>
                </c:pt>
                <c:pt idx="879">
                  <c:v>0.88720635695064232</c:v>
                </c:pt>
                <c:pt idx="880">
                  <c:v>0.88765662386867916</c:v>
                </c:pt>
                <c:pt idx="881">
                  <c:v>0.88886702168201737</c:v>
                </c:pt>
                <c:pt idx="882">
                  <c:v>0.89180758055863407</c:v>
                </c:pt>
                <c:pt idx="883">
                  <c:v>0.89231223170372687</c:v>
                </c:pt>
                <c:pt idx="884">
                  <c:v>0.89248467413020194</c:v>
                </c:pt>
                <c:pt idx="885">
                  <c:v>0.89289960372934729</c:v>
                </c:pt>
                <c:pt idx="886">
                  <c:v>0.89661515691386739</c:v>
                </c:pt>
                <c:pt idx="887">
                  <c:v>0.89744408755086624</c:v>
                </c:pt>
                <c:pt idx="888">
                  <c:v>0.89805918282854691</c:v>
                </c:pt>
                <c:pt idx="889">
                  <c:v>0.89938482189157298</c:v>
                </c:pt>
                <c:pt idx="890">
                  <c:v>0.8996989098859558</c:v>
                </c:pt>
                <c:pt idx="891">
                  <c:v>0.89977254776840709</c:v>
                </c:pt>
                <c:pt idx="892">
                  <c:v>0.90084247243339632</c:v>
                </c:pt>
                <c:pt idx="893">
                  <c:v>0.90118241113214026</c:v>
                </c:pt>
                <c:pt idx="894">
                  <c:v>0.90123890086670144</c:v>
                </c:pt>
                <c:pt idx="895">
                  <c:v>0.90346178428626445</c:v>
                </c:pt>
                <c:pt idx="896">
                  <c:v>0.90400538492667692</c:v>
                </c:pt>
                <c:pt idx="897">
                  <c:v>0.90498777965785848</c:v>
                </c:pt>
                <c:pt idx="898">
                  <c:v>0.90867303863433335</c:v>
                </c:pt>
                <c:pt idx="899">
                  <c:v>0.90959196527910535</c:v>
                </c:pt>
                <c:pt idx="900">
                  <c:v>0.91047418771813682</c:v>
                </c:pt>
                <c:pt idx="901">
                  <c:v>0.91130472509212268</c:v>
                </c:pt>
                <c:pt idx="902">
                  <c:v>0.91240697912780888</c:v>
                </c:pt>
                <c:pt idx="903">
                  <c:v>0.91251152165568783</c:v>
                </c:pt>
                <c:pt idx="904">
                  <c:v>0.91329601434608776</c:v>
                </c:pt>
                <c:pt idx="905">
                  <c:v>0.91389334499945107</c:v>
                </c:pt>
                <c:pt idx="906">
                  <c:v>0.91405702342945006</c:v>
                </c:pt>
                <c:pt idx="907">
                  <c:v>0.91459075479269814</c:v>
                </c:pt>
                <c:pt idx="908">
                  <c:v>0.91487911742660799</c:v>
                </c:pt>
                <c:pt idx="909">
                  <c:v>0.91588478277117247</c:v>
                </c:pt>
                <c:pt idx="910">
                  <c:v>0.91664060296352545</c:v>
                </c:pt>
                <c:pt idx="911">
                  <c:v>0.9183827348460909</c:v>
                </c:pt>
                <c:pt idx="912">
                  <c:v>0.91963829460564739</c:v>
                </c:pt>
                <c:pt idx="913">
                  <c:v>0.91994314602925442</c:v>
                </c:pt>
                <c:pt idx="914">
                  <c:v>0.9206113036516399</c:v>
                </c:pt>
                <c:pt idx="915">
                  <c:v>0.92124879492439504</c:v>
                </c:pt>
                <c:pt idx="916">
                  <c:v>0.92312180910630559</c:v>
                </c:pt>
                <c:pt idx="917">
                  <c:v>0.924019530753867</c:v>
                </c:pt>
                <c:pt idx="918">
                  <c:v>0.92510919519099843</c:v>
                </c:pt>
                <c:pt idx="919">
                  <c:v>0.92521802245209983</c:v>
                </c:pt>
                <c:pt idx="920">
                  <c:v>0.92769186428995454</c:v>
                </c:pt>
                <c:pt idx="921">
                  <c:v>0.92776442164904438</c:v>
                </c:pt>
                <c:pt idx="922">
                  <c:v>0.92984913565214811</c:v>
                </c:pt>
                <c:pt idx="923">
                  <c:v>0.93113263744817232</c:v>
                </c:pt>
                <c:pt idx="924">
                  <c:v>0.93519278509666037</c:v>
                </c:pt>
                <c:pt idx="925">
                  <c:v>0.93679421620345238</c:v>
                </c:pt>
                <c:pt idx="926">
                  <c:v>0.93836017726880527</c:v>
                </c:pt>
                <c:pt idx="927">
                  <c:v>0.94105559517083748</c:v>
                </c:pt>
                <c:pt idx="928">
                  <c:v>0.94295847858847992</c:v>
                </c:pt>
                <c:pt idx="929">
                  <c:v>0.94317393051642284</c:v>
                </c:pt>
                <c:pt idx="930">
                  <c:v>0.94566757253323885</c:v>
                </c:pt>
                <c:pt idx="931">
                  <c:v>0.94731755028533371</c:v>
                </c:pt>
                <c:pt idx="932">
                  <c:v>0.94849866640288383</c:v>
                </c:pt>
                <c:pt idx="933">
                  <c:v>0.95018477485336916</c:v>
                </c:pt>
                <c:pt idx="934">
                  <c:v>0.95018628761499713</c:v>
                </c:pt>
                <c:pt idx="935">
                  <c:v>0.95024298435509991</c:v>
                </c:pt>
                <c:pt idx="936">
                  <c:v>0.95083732684724964</c:v>
                </c:pt>
                <c:pt idx="937">
                  <c:v>0.95244945328704489</c:v>
                </c:pt>
                <c:pt idx="938">
                  <c:v>0.95330754346286994</c:v>
                </c:pt>
                <c:pt idx="939">
                  <c:v>0.95334774205275608</c:v>
                </c:pt>
                <c:pt idx="940">
                  <c:v>0.95613194783618383</c:v>
                </c:pt>
                <c:pt idx="941">
                  <c:v>0.9572123998468669</c:v>
                </c:pt>
                <c:pt idx="942">
                  <c:v>0.95796621223962575</c:v>
                </c:pt>
                <c:pt idx="943">
                  <c:v>0.95818970272648585</c:v>
                </c:pt>
                <c:pt idx="944">
                  <c:v>0.96165950185513793</c:v>
                </c:pt>
                <c:pt idx="945">
                  <c:v>0.96198868049577868</c:v>
                </c:pt>
                <c:pt idx="946">
                  <c:v>0.96234462529537268</c:v>
                </c:pt>
                <c:pt idx="947">
                  <c:v>0.96276238014161208</c:v>
                </c:pt>
                <c:pt idx="948">
                  <c:v>0.9635206690772975</c:v>
                </c:pt>
                <c:pt idx="949">
                  <c:v>0.96480680523382034</c:v>
                </c:pt>
                <c:pt idx="950">
                  <c:v>0.96486202681990108</c:v>
                </c:pt>
                <c:pt idx="951">
                  <c:v>0.96490225693105458</c:v>
                </c:pt>
                <c:pt idx="952">
                  <c:v>0.96649082482508675</c:v>
                </c:pt>
                <c:pt idx="953">
                  <c:v>0.9667948026835802</c:v>
                </c:pt>
                <c:pt idx="954">
                  <c:v>0.96707505643917102</c:v>
                </c:pt>
                <c:pt idx="955">
                  <c:v>0.9673346397385103</c:v>
                </c:pt>
                <c:pt idx="956">
                  <c:v>0.9675415677465935</c:v>
                </c:pt>
                <c:pt idx="957">
                  <c:v>0.96913666897580697</c:v>
                </c:pt>
                <c:pt idx="958">
                  <c:v>0.96918410968282842</c:v>
                </c:pt>
                <c:pt idx="959">
                  <c:v>0.97028151925042039</c:v>
                </c:pt>
                <c:pt idx="960">
                  <c:v>0.97148636771271413</c:v>
                </c:pt>
                <c:pt idx="961">
                  <c:v>0.9748420887372049</c:v>
                </c:pt>
                <c:pt idx="962">
                  <c:v>0.9768120458620615</c:v>
                </c:pt>
                <c:pt idx="963">
                  <c:v>0.97732044789154315</c:v>
                </c:pt>
                <c:pt idx="964">
                  <c:v>0.98022982498514466</c:v>
                </c:pt>
                <c:pt idx="965">
                  <c:v>0.98130023153589718</c:v>
                </c:pt>
                <c:pt idx="966">
                  <c:v>0.98152402967934904</c:v>
                </c:pt>
                <c:pt idx="967">
                  <c:v>0.98189988151716534</c:v>
                </c:pt>
                <c:pt idx="968">
                  <c:v>0.98224865262818639</c:v>
                </c:pt>
                <c:pt idx="969">
                  <c:v>0.98286481494869804</c:v>
                </c:pt>
                <c:pt idx="970">
                  <c:v>0.9857604806411473</c:v>
                </c:pt>
                <c:pt idx="971">
                  <c:v>0.98604902944134665</c:v>
                </c:pt>
                <c:pt idx="972">
                  <c:v>0.98646332476437237</c:v>
                </c:pt>
                <c:pt idx="973">
                  <c:v>0.98677218408920453</c:v>
                </c:pt>
                <c:pt idx="974">
                  <c:v>0.98702505354685854</c:v>
                </c:pt>
                <c:pt idx="975">
                  <c:v>0.98739930162344081</c:v>
                </c:pt>
                <c:pt idx="976">
                  <c:v>0.98861723686150071</c:v>
                </c:pt>
                <c:pt idx="977">
                  <c:v>0.98895069976242667</c:v>
                </c:pt>
                <c:pt idx="978">
                  <c:v>0.98910734637047426</c:v>
                </c:pt>
                <c:pt idx="979">
                  <c:v>0.98920447871296346</c:v>
                </c:pt>
                <c:pt idx="980">
                  <c:v>0.99034034953729133</c:v>
                </c:pt>
                <c:pt idx="981">
                  <c:v>0.99100932646706497</c:v>
                </c:pt>
                <c:pt idx="982">
                  <c:v>0.99193402930086449</c:v>
                </c:pt>
                <c:pt idx="983">
                  <c:v>0.99211602739433147</c:v>
                </c:pt>
                <c:pt idx="984">
                  <c:v>0.99245110388892499</c:v>
                </c:pt>
                <c:pt idx="985">
                  <c:v>0.99247562022810598</c:v>
                </c:pt>
                <c:pt idx="986">
                  <c:v>0.99271000548196753</c:v>
                </c:pt>
                <c:pt idx="987">
                  <c:v>0.99313408629677724</c:v>
                </c:pt>
                <c:pt idx="988">
                  <c:v>0.99355911416660092</c:v>
                </c:pt>
                <c:pt idx="989">
                  <c:v>0.99458213950856589</c:v>
                </c:pt>
                <c:pt idx="990">
                  <c:v>0.994636948959851</c:v>
                </c:pt>
                <c:pt idx="991">
                  <c:v>0.99619776215422462</c:v>
                </c:pt>
                <c:pt idx="992">
                  <c:v>0.99651625586375303</c:v>
                </c:pt>
                <c:pt idx="993">
                  <c:v>0.99736542394020944</c:v>
                </c:pt>
                <c:pt idx="994">
                  <c:v>0.99799577158501052</c:v>
                </c:pt>
                <c:pt idx="995">
                  <c:v>0.99942941137123853</c:v>
                </c:pt>
                <c:pt idx="996">
                  <c:v>0.99945853382178029</c:v>
                </c:pt>
                <c:pt idx="997">
                  <c:v>0.99950051948599139</c:v>
                </c:pt>
                <c:pt idx="998">
                  <c:v>0.99969829073233996</c:v>
                </c:pt>
                <c:pt idx="999">
                  <c:v>0.99997557083042921</c:v>
                </c:pt>
              </c:numCache>
            </c:numRef>
          </c:xVal>
          <c:yVal>
            <c:numRef>
              <c:f>SimData1000!$M$1010:$M$2009</c:f>
              <c:numCache>
                <c:formatCode>General</c:formatCode>
                <c:ptCount val="1000"/>
                <c:pt idx="0">
                  <c:v>0</c:v>
                </c:pt>
                <c:pt idx="1">
                  <c:v>1.001001001001001E-3</c:v>
                </c:pt>
                <c:pt idx="2">
                  <c:v>2.002002002002002E-3</c:v>
                </c:pt>
                <c:pt idx="3">
                  <c:v>3.003003003003003E-3</c:v>
                </c:pt>
                <c:pt idx="4">
                  <c:v>4.004004004004004E-3</c:v>
                </c:pt>
                <c:pt idx="5">
                  <c:v>5.005005005005005E-3</c:v>
                </c:pt>
                <c:pt idx="6">
                  <c:v>6.006006006006006E-3</c:v>
                </c:pt>
                <c:pt idx="7">
                  <c:v>7.0070070070070069E-3</c:v>
                </c:pt>
                <c:pt idx="8">
                  <c:v>8.0080080080080079E-3</c:v>
                </c:pt>
                <c:pt idx="9">
                  <c:v>9.0090090090090089E-3</c:v>
                </c:pt>
                <c:pt idx="10">
                  <c:v>1.001001001001001E-2</c:v>
                </c:pt>
                <c:pt idx="11">
                  <c:v>1.1011011011011011E-2</c:v>
                </c:pt>
                <c:pt idx="12">
                  <c:v>1.2012012012012012E-2</c:v>
                </c:pt>
                <c:pt idx="13">
                  <c:v>1.3013013013013013E-2</c:v>
                </c:pt>
                <c:pt idx="14">
                  <c:v>1.4014014014014014E-2</c:v>
                </c:pt>
                <c:pt idx="15">
                  <c:v>1.5015015015015015E-2</c:v>
                </c:pt>
                <c:pt idx="16">
                  <c:v>1.6016016016016016E-2</c:v>
                </c:pt>
                <c:pt idx="17">
                  <c:v>1.7017017017017015E-2</c:v>
                </c:pt>
                <c:pt idx="18">
                  <c:v>1.8018018018018014E-2</c:v>
                </c:pt>
                <c:pt idx="19">
                  <c:v>1.9019019019019014E-2</c:v>
                </c:pt>
                <c:pt idx="20">
                  <c:v>2.0020020020020013E-2</c:v>
                </c:pt>
                <c:pt idx="21">
                  <c:v>2.1021021021021012E-2</c:v>
                </c:pt>
                <c:pt idx="22">
                  <c:v>2.2022022022022011E-2</c:v>
                </c:pt>
                <c:pt idx="23">
                  <c:v>2.3023023023023011E-2</c:v>
                </c:pt>
                <c:pt idx="24">
                  <c:v>2.402402402402401E-2</c:v>
                </c:pt>
                <c:pt idx="25">
                  <c:v>2.5025025025025009E-2</c:v>
                </c:pt>
                <c:pt idx="26">
                  <c:v>2.6026026026026008E-2</c:v>
                </c:pt>
                <c:pt idx="27">
                  <c:v>2.7027027027027008E-2</c:v>
                </c:pt>
                <c:pt idx="28">
                  <c:v>2.8028028028028007E-2</c:v>
                </c:pt>
                <c:pt idx="29">
                  <c:v>2.9029029029029006E-2</c:v>
                </c:pt>
                <c:pt idx="30">
                  <c:v>3.0030030030030005E-2</c:v>
                </c:pt>
                <c:pt idx="31">
                  <c:v>3.1031031031031005E-2</c:v>
                </c:pt>
                <c:pt idx="32">
                  <c:v>3.2032032032032004E-2</c:v>
                </c:pt>
                <c:pt idx="33">
                  <c:v>3.3033033033033003E-2</c:v>
                </c:pt>
                <c:pt idx="34">
                  <c:v>3.4034034034034003E-2</c:v>
                </c:pt>
                <c:pt idx="35">
                  <c:v>3.5035035035035002E-2</c:v>
                </c:pt>
                <c:pt idx="36">
                  <c:v>3.6036036036036001E-2</c:v>
                </c:pt>
                <c:pt idx="37">
                  <c:v>3.7037037037037E-2</c:v>
                </c:pt>
                <c:pt idx="38">
                  <c:v>3.8038038038038E-2</c:v>
                </c:pt>
                <c:pt idx="39">
                  <c:v>3.9039039039038999E-2</c:v>
                </c:pt>
                <c:pt idx="40">
                  <c:v>4.0040040040039998E-2</c:v>
                </c:pt>
                <c:pt idx="41">
                  <c:v>4.1041041041040997E-2</c:v>
                </c:pt>
                <c:pt idx="42">
                  <c:v>4.2042042042041997E-2</c:v>
                </c:pt>
                <c:pt idx="43">
                  <c:v>4.3043043043042996E-2</c:v>
                </c:pt>
                <c:pt idx="44">
                  <c:v>4.4044044044043995E-2</c:v>
                </c:pt>
                <c:pt idx="45">
                  <c:v>4.5045045045044994E-2</c:v>
                </c:pt>
                <c:pt idx="46">
                  <c:v>4.6046046046045994E-2</c:v>
                </c:pt>
                <c:pt idx="47">
                  <c:v>4.7047047047046993E-2</c:v>
                </c:pt>
                <c:pt idx="48">
                  <c:v>4.8048048048047992E-2</c:v>
                </c:pt>
                <c:pt idx="49">
                  <c:v>4.9049049049048991E-2</c:v>
                </c:pt>
                <c:pt idx="50">
                  <c:v>5.0050050050049991E-2</c:v>
                </c:pt>
                <c:pt idx="51">
                  <c:v>5.105105105105099E-2</c:v>
                </c:pt>
                <c:pt idx="52">
                  <c:v>5.2052052052051989E-2</c:v>
                </c:pt>
                <c:pt idx="53">
                  <c:v>5.3053053053052988E-2</c:v>
                </c:pt>
                <c:pt idx="54">
                  <c:v>5.4054054054053988E-2</c:v>
                </c:pt>
                <c:pt idx="55">
                  <c:v>5.5055055055054987E-2</c:v>
                </c:pt>
                <c:pt idx="56">
                  <c:v>5.6056056056055986E-2</c:v>
                </c:pt>
                <c:pt idx="57">
                  <c:v>5.7057057057056985E-2</c:v>
                </c:pt>
                <c:pt idx="58">
                  <c:v>5.8058058058057985E-2</c:v>
                </c:pt>
                <c:pt idx="59">
                  <c:v>5.9059059059058984E-2</c:v>
                </c:pt>
                <c:pt idx="60">
                  <c:v>6.0060060060059983E-2</c:v>
                </c:pt>
                <c:pt idx="61">
                  <c:v>6.1061061061060982E-2</c:v>
                </c:pt>
                <c:pt idx="62">
                  <c:v>6.2062062062061982E-2</c:v>
                </c:pt>
                <c:pt idx="63">
                  <c:v>6.3063063063062988E-2</c:v>
                </c:pt>
                <c:pt idx="64">
                  <c:v>6.4064064064063994E-2</c:v>
                </c:pt>
                <c:pt idx="65">
                  <c:v>6.5065065065065E-2</c:v>
                </c:pt>
                <c:pt idx="66">
                  <c:v>6.6066066066066007E-2</c:v>
                </c:pt>
                <c:pt idx="67">
                  <c:v>6.7067067067067013E-2</c:v>
                </c:pt>
                <c:pt idx="68">
                  <c:v>6.8068068068068019E-2</c:v>
                </c:pt>
                <c:pt idx="69">
                  <c:v>6.9069069069069025E-2</c:v>
                </c:pt>
                <c:pt idx="70">
                  <c:v>7.0070070070070031E-2</c:v>
                </c:pt>
                <c:pt idx="71">
                  <c:v>7.1071071071071037E-2</c:v>
                </c:pt>
                <c:pt idx="72">
                  <c:v>7.2072072072072044E-2</c:v>
                </c:pt>
                <c:pt idx="73">
                  <c:v>7.307307307307305E-2</c:v>
                </c:pt>
                <c:pt idx="74">
                  <c:v>7.4074074074074056E-2</c:v>
                </c:pt>
                <c:pt idx="75">
                  <c:v>7.5075075075075062E-2</c:v>
                </c:pt>
                <c:pt idx="76">
                  <c:v>7.6076076076076068E-2</c:v>
                </c:pt>
                <c:pt idx="77">
                  <c:v>7.7077077077077075E-2</c:v>
                </c:pt>
                <c:pt idx="78">
                  <c:v>7.8078078078078081E-2</c:v>
                </c:pt>
                <c:pt idx="79">
                  <c:v>7.9079079079079087E-2</c:v>
                </c:pt>
                <c:pt idx="80">
                  <c:v>8.0080080080080093E-2</c:v>
                </c:pt>
                <c:pt idx="81">
                  <c:v>8.1081081081081099E-2</c:v>
                </c:pt>
                <c:pt idx="82">
                  <c:v>8.2082082082082106E-2</c:v>
                </c:pt>
                <c:pt idx="83">
                  <c:v>8.3083083083083112E-2</c:v>
                </c:pt>
                <c:pt idx="84">
                  <c:v>8.4084084084084118E-2</c:v>
                </c:pt>
                <c:pt idx="85">
                  <c:v>8.5085085085085124E-2</c:v>
                </c:pt>
                <c:pt idx="86">
                  <c:v>8.608608608608613E-2</c:v>
                </c:pt>
                <c:pt idx="87">
                  <c:v>8.7087087087087137E-2</c:v>
                </c:pt>
                <c:pt idx="88">
                  <c:v>8.8088088088088143E-2</c:v>
                </c:pt>
                <c:pt idx="89">
                  <c:v>8.9089089089089149E-2</c:v>
                </c:pt>
                <c:pt idx="90">
                  <c:v>9.0090090090090155E-2</c:v>
                </c:pt>
                <c:pt idx="91">
                  <c:v>9.1091091091091161E-2</c:v>
                </c:pt>
                <c:pt idx="92">
                  <c:v>9.2092092092092168E-2</c:v>
                </c:pt>
                <c:pt idx="93">
                  <c:v>9.3093093093093174E-2</c:v>
                </c:pt>
                <c:pt idx="94">
                  <c:v>9.409409409409418E-2</c:v>
                </c:pt>
                <c:pt idx="95">
                  <c:v>9.5095095095095186E-2</c:v>
                </c:pt>
                <c:pt idx="96">
                  <c:v>9.6096096096096192E-2</c:v>
                </c:pt>
                <c:pt idx="97">
                  <c:v>9.7097097097097199E-2</c:v>
                </c:pt>
                <c:pt idx="98">
                  <c:v>9.8098098098098205E-2</c:v>
                </c:pt>
                <c:pt idx="99">
                  <c:v>9.9099099099099211E-2</c:v>
                </c:pt>
                <c:pt idx="100">
                  <c:v>0.10010010010010022</c:v>
                </c:pt>
                <c:pt idx="101">
                  <c:v>0.10110110110110122</c:v>
                </c:pt>
                <c:pt idx="102">
                  <c:v>0.10210210210210223</c:v>
                </c:pt>
                <c:pt idx="103">
                  <c:v>0.10310310310310324</c:v>
                </c:pt>
                <c:pt idx="104">
                  <c:v>0.10410410410410424</c:v>
                </c:pt>
                <c:pt idx="105">
                  <c:v>0.10510510510510525</c:v>
                </c:pt>
                <c:pt idx="106">
                  <c:v>0.10610610610610625</c:v>
                </c:pt>
                <c:pt idx="107">
                  <c:v>0.10710710710710726</c:v>
                </c:pt>
                <c:pt idx="108">
                  <c:v>0.10810810810810827</c:v>
                </c:pt>
                <c:pt idx="109">
                  <c:v>0.10910910910910927</c:v>
                </c:pt>
                <c:pt idx="110">
                  <c:v>0.11011011011011028</c:v>
                </c:pt>
                <c:pt idx="111">
                  <c:v>0.11111111111111129</c:v>
                </c:pt>
                <c:pt idx="112">
                  <c:v>0.11211211211211229</c:v>
                </c:pt>
                <c:pt idx="113">
                  <c:v>0.1131131131131133</c:v>
                </c:pt>
                <c:pt idx="114">
                  <c:v>0.1141141141141143</c:v>
                </c:pt>
                <c:pt idx="115">
                  <c:v>0.11511511511511531</c:v>
                </c:pt>
                <c:pt idx="116">
                  <c:v>0.11611611611611632</c:v>
                </c:pt>
                <c:pt idx="117">
                  <c:v>0.11711711711711732</c:v>
                </c:pt>
                <c:pt idx="118">
                  <c:v>0.11811811811811833</c:v>
                </c:pt>
                <c:pt idx="119">
                  <c:v>0.11911911911911933</c:v>
                </c:pt>
                <c:pt idx="120">
                  <c:v>0.12012012012012034</c:v>
                </c:pt>
                <c:pt idx="121">
                  <c:v>0.12112112112112135</c:v>
                </c:pt>
                <c:pt idx="122">
                  <c:v>0.12212212212212235</c:v>
                </c:pt>
                <c:pt idx="123">
                  <c:v>0.12312312312312336</c:v>
                </c:pt>
                <c:pt idx="124">
                  <c:v>0.12412412412412437</c:v>
                </c:pt>
                <c:pt idx="125">
                  <c:v>0.12512512512512536</c:v>
                </c:pt>
                <c:pt idx="126">
                  <c:v>0.12612612612612636</c:v>
                </c:pt>
                <c:pt idx="127">
                  <c:v>0.12712712712712737</c:v>
                </c:pt>
                <c:pt idx="128">
                  <c:v>0.12812812812812838</c:v>
                </c:pt>
                <c:pt idx="129">
                  <c:v>0.12912912912912938</c:v>
                </c:pt>
                <c:pt idx="130">
                  <c:v>0.13013013013013039</c:v>
                </c:pt>
                <c:pt idx="131">
                  <c:v>0.1311311311311314</c:v>
                </c:pt>
                <c:pt idx="132">
                  <c:v>0.1321321321321324</c:v>
                </c:pt>
                <c:pt idx="133">
                  <c:v>0.13313313313313341</c:v>
                </c:pt>
                <c:pt idx="134">
                  <c:v>0.13413413413413441</c:v>
                </c:pt>
                <c:pt idx="135">
                  <c:v>0.13513513513513542</c:v>
                </c:pt>
                <c:pt idx="136">
                  <c:v>0.13613613613613643</c:v>
                </c:pt>
                <c:pt idx="137">
                  <c:v>0.13713713713713743</c:v>
                </c:pt>
                <c:pt idx="138">
                  <c:v>0.13813813813813844</c:v>
                </c:pt>
                <c:pt idx="139">
                  <c:v>0.13913913913913944</c:v>
                </c:pt>
                <c:pt idx="140">
                  <c:v>0.14014014014014045</c:v>
                </c:pt>
                <c:pt idx="141">
                  <c:v>0.14114114114114146</c:v>
                </c:pt>
                <c:pt idx="142">
                  <c:v>0.14214214214214246</c:v>
                </c:pt>
                <c:pt idx="143">
                  <c:v>0.14314314314314347</c:v>
                </c:pt>
                <c:pt idx="144">
                  <c:v>0.14414414414414448</c:v>
                </c:pt>
                <c:pt idx="145">
                  <c:v>0.14514514514514548</c:v>
                </c:pt>
                <c:pt idx="146">
                  <c:v>0.14614614614614649</c:v>
                </c:pt>
                <c:pt idx="147">
                  <c:v>0.14714714714714749</c:v>
                </c:pt>
                <c:pt idx="148">
                  <c:v>0.1481481481481485</c:v>
                </c:pt>
                <c:pt idx="149">
                  <c:v>0.14914914914914951</c:v>
                </c:pt>
                <c:pt idx="150">
                  <c:v>0.15015015015015051</c:v>
                </c:pt>
                <c:pt idx="151">
                  <c:v>0.15115115115115152</c:v>
                </c:pt>
                <c:pt idx="152">
                  <c:v>0.15215215215215253</c:v>
                </c:pt>
                <c:pt idx="153">
                  <c:v>0.15315315315315353</c:v>
                </c:pt>
                <c:pt idx="154">
                  <c:v>0.15415415415415454</c:v>
                </c:pt>
                <c:pt idx="155">
                  <c:v>0.15515515515515554</c:v>
                </c:pt>
                <c:pt idx="156">
                  <c:v>0.15615615615615655</c:v>
                </c:pt>
                <c:pt idx="157">
                  <c:v>0.15715715715715756</c:v>
                </c:pt>
                <c:pt idx="158">
                  <c:v>0.15815815815815856</c:v>
                </c:pt>
                <c:pt idx="159">
                  <c:v>0.15915915915915957</c:v>
                </c:pt>
                <c:pt idx="160">
                  <c:v>0.16016016016016058</c:v>
                </c:pt>
                <c:pt idx="161">
                  <c:v>0.16116116116116158</c:v>
                </c:pt>
                <c:pt idx="162">
                  <c:v>0.16216216216216259</c:v>
                </c:pt>
                <c:pt idx="163">
                  <c:v>0.16316316316316359</c:v>
                </c:pt>
                <c:pt idx="164">
                  <c:v>0.1641641641641646</c:v>
                </c:pt>
                <c:pt idx="165">
                  <c:v>0.16516516516516561</c:v>
                </c:pt>
                <c:pt idx="166">
                  <c:v>0.16616616616616661</c:v>
                </c:pt>
                <c:pt idx="167">
                  <c:v>0.16716716716716762</c:v>
                </c:pt>
                <c:pt idx="168">
                  <c:v>0.16816816816816862</c:v>
                </c:pt>
                <c:pt idx="169">
                  <c:v>0.16916916916916963</c:v>
                </c:pt>
                <c:pt idx="170">
                  <c:v>0.17017017017017064</c:v>
                </c:pt>
                <c:pt idx="171">
                  <c:v>0.17117117117117164</c:v>
                </c:pt>
                <c:pt idx="172">
                  <c:v>0.17217217217217265</c:v>
                </c:pt>
                <c:pt idx="173">
                  <c:v>0.17317317317317366</c:v>
                </c:pt>
                <c:pt idx="174">
                  <c:v>0.17417417417417466</c:v>
                </c:pt>
                <c:pt idx="175">
                  <c:v>0.17517517517517567</c:v>
                </c:pt>
                <c:pt idx="176">
                  <c:v>0.17617617617617667</c:v>
                </c:pt>
                <c:pt idx="177">
                  <c:v>0.17717717717717768</c:v>
                </c:pt>
                <c:pt idx="178">
                  <c:v>0.17817817817817869</c:v>
                </c:pt>
                <c:pt idx="179">
                  <c:v>0.17917917917917969</c:v>
                </c:pt>
                <c:pt idx="180">
                  <c:v>0.1801801801801807</c:v>
                </c:pt>
                <c:pt idx="181">
                  <c:v>0.18118118118118171</c:v>
                </c:pt>
                <c:pt idx="182">
                  <c:v>0.18218218218218271</c:v>
                </c:pt>
                <c:pt idx="183">
                  <c:v>0.18318318318318372</c:v>
                </c:pt>
                <c:pt idx="184">
                  <c:v>0.18418418418418472</c:v>
                </c:pt>
                <c:pt idx="185">
                  <c:v>0.18518518518518573</c:v>
                </c:pt>
                <c:pt idx="186">
                  <c:v>0.18618618618618674</c:v>
                </c:pt>
                <c:pt idx="187">
                  <c:v>0.18718718718718774</c:v>
                </c:pt>
                <c:pt idx="188">
                  <c:v>0.18818818818818875</c:v>
                </c:pt>
                <c:pt idx="189">
                  <c:v>0.18918918918918975</c:v>
                </c:pt>
                <c:pt idx="190">
                  <c:v>0.19019019019019076</c:v>
                </c:pt>
                <c:pt idx="191">
                  <c:v>0.19119119119119177</c:v>
                </c:pt>
                <c:pt idx="192">
                  <c:v>0.19219219219219277</c:v>
                </c:pt>
                <c:pt idx="193">
                  <c:v>0.19319319319319378</c:v>
                </c:pt>
                <c:pt idx="194">
                  <c:v>0.19419419419419479</c:v>
                </c:pt>
                <c:pt idx="195">
                  <c:v>0.19519519519519579</c:v>
                </c:pt>
                <c:pt idx="196">
                  <c:v>0.1961961961961968</c:v>
                </c:pt>
                <c:pt idx="197">
                  <c:v>0.1971971971971978</c:v>
                </c:pt>
                <c:pt idx="198">
                  <c:v>0.19819819819819881</c:v>
                </c:pt>
                <c:pt idx="199">
                  <c:v>0.19919919919919982</c:v>
                </c:pt>
                <c:pt idx="200">
                  <c:v>0.20020020020020082</c:v>
                </c:pt>
                <c:pt idx="201">
                  <c:v>0.20120120120120183</c:v>
                </c:pt>
                <c:pt idx="202">
                  <c:v>0.20220220220220284</c:v>
                </c:pt>
                <c:pt idx="203">
                  <c:v>0.20320320320320384</c:v>
                </c:pt>
                <c:pt idx="204">
                  <c:v>0.20420420420420485</c:v>
                </c:pt>
                <c:pt idx="205">
                  <c:v>0.20520520520520585</c:v>
                </c:pt>
                <c:pt idx="206">
                  <c:v>0.20620620620620686</c:v>
                </c:pt>
                <c:pt idx="207">
                  <c:v>0.20720720720720787</c:v>
                </c:pt>
                <c:pt idx="208">
                  <c:v>0.20820820820820887</c:v>
                </c:pt>
                <c:pt idx="209">
                  <c:v>0.20920920920920988</c:v>
                </c:pt>
                <c:pt idx="210">
                  <c:v>0.21021021021021088</c:v>
                </c:pt>
                <c:pt idx="211">
                  <c:v>0.21121121121121189</c:v>
                </c:pt>
                <c:pt idx="212">
                  <c:v>0.2122122122122129</c:v>
                </c:pt>
                <c:pt idx="213">
                  <c:v>0.2132132132132139</c:v>
                </c:pt>
                <c:pt idx="214">
                  <c:v>0.21421421421421491</c:v>
                </c:pt>
                <c:pt idx="215">
                  <c:v>0.21521521521521592</c:v>
                </c:pt>
                <c:pt idx="216">
                  <c:v>0.21621621621621692</c:v>
                </c:pt>
                <c:pt idx="217">
                  <c:v>0.21721721721721793</c:v>
                </c:pt>
                <c:pt idx="218">
                  <c:v>0.21821821821821893</c:v>
                </c:pt>
                <c:pt idx="219">
                  <c:v>0.21921921921921994</c:v>
                </c:pt>
                <c:pt idx="220">
                  <c:v>0.22022022022022095</c:v>
                </c:pt>
                <c:pt idx="221">
                  <c:v>0.22122122122122195</c:v>
                </c:pt>
                <c:pt idx="222">
                  <c:v>0.22222222222222296</c:v>
                </c:pt>
                <c:pt idx="223">
                  <c:v>0.22322322322322397</c:v>
                </c:pt>
                <c:pt idx="224">
                  <c:v>0.22422422422422497</c:v>
                </c:pt>
                <c:pt idx="225">
                  <c:v>0.22522522522522598</c:v>
                </c:pt>
                <c:pt idx="226">
                  <c:v>0.22622622622622698</c:v>
                </c:pt>
                <c:pt idx="227">
                  <c:v>0.22722722722722799</c:v>
                </c:pt>
                <c:pt idx="228">
                  <c:v>0.228228228228229</c:v>
                </c:pt>
                <c:pt idx="229">
                  <c:v>0.22922922922923</c:v>
                </c:pt>
                <c:pt idx="230">
                  <c:v>0.23023023023023101</c:v>
                </c:pt>
                <c:pt idx="231">
                  <c:v>0.23123123123123202</c:v>
                </c:pt>
                <c:pt idx="232">
                  <c:v>0.23223223223223302</c:v>
                </c:pt>
                <c:pt idx="233">
                  <c:v>0.23323323323323403</c:v>
                </c:pt>
                <c:pt idx="234">
                  <c:v>0.23423423423423503</c:v>
                </c:pt>
                <c:pt idx="235">
                  <c:v>0.23523523523523604</c:v>
                </c:pt>
                <c:pt idx="236">
                  <c:v>0.23623623623623705</c:v>
                </c:pt>
                <c:pt idx="237">
                  <c:v>0.23723723723723805</c:v>
                </c:pt>
                <c:pt idx="238">
                  <c:v>0.23823823823823906</c:v>
                </c:pt>
                <c:pt idx="239">
                  <c:v>0.23923923923924006</c:v>
                </c:pt>
                <c:pt idx="240">
                  <c:v>0.24024024024024107</c:v>
                </c:pt>
                <c:pt idx="241">
                  <c:v>0.24124124124124208</c:v>
                </c:pt>
                <c:pt idx="242">
                  <c:v>0.24224224224224308</c:v>
                </c:pt>
                <c:pt idx="243">
                  <c:v>0.24324324324324409</c:v>
                </c:pt>
                <c:pt idx="244">
                  <c:v>0.2442442442442451</c:v>
                </c:pt>
                <c:pt idx="245">
                  <c:v>0.2452452452452461</c:v>
                </c:pt>
                <c:pt idx="246">
                  <c:v>0.24624624624624711</c:v>
                </c:pt>
                <c:pt idx="247">
                  <c:v>0.24724724724724811</c:v>
                </c:pt>
                <c:pt idx="248">
                  <c:v>0.24824824824824912</c:v>
                </c:pt>
                <c:pt idx="249">
                  <c:v>0.24924924924925013</c:v>
                </c:pt>
                <c:pt idx="250">
                  <c:v>0.25025025025025111</c:v>
                </c:pt>
                <c:pt idx="251">
                  <c:v>0.25125125125125208</c:v>
                </c:pt>
                <c:pt idx="252">
                  <c:v>0.25225225225225306</c:v>
                </c:pt>
                <c:pt idx="253">
                  <c:v>0.25325325325325404</c:v>
                </c:pt>
                <c:pt idx="254">
                  <c:v>0.25425425425425502</c:v>
                </c:pt>
                <c:pt idx="255">
                  <c:v>0.255255255255256</c:v>
                </c:pt>
                <c:pt idx="256">
                  <c:v>0.25625625625625698</c:v>
                </c:pt>
                <c:pt idx="257">
                  <c:v>0.25725725725725795</c:v>
                </c:pt>
                <c:pt idx="258">
                  <c:v>0.25825825825825893</c:v>
                </c:pt>
                <c:pt idx="259">
                  <c:v>0.25925925925925991</c:v>
                </c:pt>
                <c:pt idx="260">
                  <c:v>0.26026026026026089</c:v>
                </c:pt>
                <c:pt idx="261">
                  <c:v>0.26126126126126187</c:v>
                </c:pt>
                <c:pt idx="262">
                  <c:v>0.26226226226226285</c:v>
                </c:pt>
                <c:pt idx="263">
                  <c:v>0.26326326326326382</c:v>
                </c:pt>
                <c:pt idx="264">
                  <c:v>0.2642642642642648</c:v>
                </c:pt>
                <c:pt idx="265">
                  <c:v>0.26526526526526578</c:v>
                </c:pt>
                <c:pt idx="266">
                  <c:v>0.26626626626626676</c:v>
                </c:pt>
                <c:pt idx="267">
                  <c:v>0.26726726726726774</c:v>
                </c:pt>
                <c:pt idx="268">
                  <c:v>0.26826826826826872</c:v>
                </c:pt>
                <c:pt idx="269">
                  <c:v>0.2692692692692697</c:v>
                </c:pt>
                <c:pt idx="270">
                  <c:v>0.27027027027027067</c:v>
                </c:pt>
                <c:pt idx="271">
                  <c:v>0.27127127127127165</c:v>
                </c:pt>
                <c:pt idx="272">
                  <c:v>0.27227227227227263</c:v>
                </c:pt>
                <c:pt idx="273">
                  <c:v>0.27327327327327361</c:v>
                </c:pt>
                <c:pt idx="274">
                  <c:v>0.27427427427427459</c:v>
                </c:pt>
                <c:pt idx="275">
                  <c:v>0.27527527527527557</c:v>
                </c:pt>
                <c:pt idx="276">
                  <c:v>0.27627627627627654</c:v>
                </c:pt>
                <c:pt idx="277">
                  <c:v>0.27727727727727752</c:v>
                </c:pt>
                <c:pt idx="278">
                  <c:v>0.2782782782782785</c:v>
                </c:pt>
                <c:pt idx="279">
                  <c:v>0.27927927927927948</c:v>
                </c:pt>
                <c:pt idx="280">
                  <c:v>0.28028028028028046</c:v>
                </c:pt>
                <c:pt idx="281">
                  <c:v>0.28128128128128144</c:v>
                </c:pt>
                <c:pt idx="282">
                  <c:v>0.28228228228228242</c:v>
                </c:pt>
                <c:pt idx="283">
                  <c:v>0.28328328328328339</c:v>
                </c:pt>
                <c:pt idx="284">
                  <c:v>0.28428428428428437</c:v>
                </c:pt>
                <c:pt idx="285">
                  <c:v>0.28528528528528535</c:v>
                </c:pt>
                <c:pt idx="286">
                  <c:v>0.28628628628628633</c:v>
                </c:pt>
                <c:pt idx="287">
                  <c:v>0.28728728728728731</c:v>
                </c:pt>
                <c:pt idx="288">
                  <c:v>0.28828828828828829</c:v>
                </c:pt>
                <c:pt idx="289">
                  <c:v>0.28928928928928926</c:v>
                </c:pt>
                <c:pt idx="290">
                  <c:v>0.29029029029029024</c:v>
                </c:pt>
                <c:pt idx="291">
                  <c:v>0.29129129129129122</c:v>
                </c:pt>
                <c:pt idx="292">
                  <c:v>0.2922922922922922</c:v>
                </c:pt>
                <c:pt idx="293">
                  <c:v>0.29329329329329318</c:v>
                </c:pt>
                <c:pt idx="294">
                  <c:v>0.29429429429429416</c:v>
                </c:pt>
                <c:pt idx="295">
                  <c:v>0.29529529529529513</c:v>
                </c:pt>
                <c:pt idx="296">
                  <c:v>0.29629629629629611</c:v>
                </c:pt>
                <c:pt idx="297">
                  <c:v>0.29729729729729709</c:v>
                </c:pt>
                <c:pt idx="298">
                  <c:v>0.29829829829829807</c:v>
                </c:pt>
                <c:pt idx="299">
                  <c:v>0.29929929929929905</c:v>
                </c:pt>
                <c:pt idx="300">
                  <c:v>0.30030030030030003</c:v>
                </c:pt>
                <c:pt idx="301">
                  <c:v>0.30130130130130101</c:v>
                </c:pt>
                <c:pt idx="302">
                  <c:v>0.30230230230230198</c:v>
                </c:pt>
                <c:pt idx="303">
                  <c:v>0.30330330330330296</c:v>
                </c:pt>
                <c:pt idx="304">
                  <c:v>0.30430430430430394</c:v>
                </c:pt>
                <c:pt idx="305">
                  <c:v>0.30530530530530492</c:v>
                </c:pt>
                <c:pt idx="306">
                  <c:v>0.3063063063063059</c:v>
                </c:pt>
                <c:pt idx="307">
                  <c:v>0.30730730730730688</c:v>
                </c:pt>
                <c:pt idx="308">
                  <c:v>0.30830830830830785</c:v>
                </c:pt>
                <c:pt idx="309">
                  <c:v>0.30930930930930883</c:v>
                </c:pt>
                <c:pt idx="310">
                  <c:v>0.31031031031030981</c:v>
                </c:pt>
                <c:pt idx="311">
                  <c:v>0.31131131131131079</c:v>
                </c:pt>
                <c:pt idx="312">
                  <c:v>0.31231231231231177</c:v>
                </c:pt>
                <c:pt idx="313">
                  <c:v>0.31331331331331275</c:v>
                </c:pt>
                <c:pt idx="314">
                  <c:v>0.31431431431431373</c:v>
                </c:pt>
                <c:pt idx="315">
                  <c:v>0.3153153153153147</c:v>
                </c:pt>
                <c:pt idx="316">
                  <c:v>0.31631631631631568</c:v>
                </c:pt>
                <c:pt idx="317">
                  <c:v>0.31731731731731666</c:v>
                </c:pt>
                <c:pt idx="318">
                  <c:v>0.31831831831831764</c:v>
                </c:pt>
                <c:pt idx="319">
                  <c:v>0.31931931931931862</c:v>
                </c:pt>
                <c:pt idx="320">
                  <c:v>0.3203203203203196</c:v>
                </c:pt>
                <c:pt idx="321">
                  <c:v>0.32132132132132057</c:v>
                </c:pt>
                <c:pt idx="322">
                  <c:v>0.32232232232232155</c:v>
                </c:pt>
                <c:pt idx="323">
                  <c:v>0.32332332332332253</c:v>
                </c:pt>
                <c:pt idx="324">
                  <c:v>0.32432432432432351</c:v>
                </c:pt>
                <c:pt idx="325">
                  <c:v>0.32532532532532449</c:v>
                </c:pt>
                <c:pt idx="326">
                  <c:v>0.32632632632632547</c:v>
                </c:pt>
                <c:pt idx="327">
                  <c:v>0.32732732732732644</c:v>
                </c:pt>
                <c:pt idx="328">
                  <c:v>0.32832832832832742</c:v>
                </c:pt>
                <c:pt idx="329">
                  <c:v>0.3293293293293284</c:v>
                </c:pt>
                <c:pt idx="330">
                  <c:v>0.33033033033032938</c:v>
                </c:pt>
                <c:pt idx="331">
                  <c:v>0.33133133133133036</c:v>
                </c:pt>
                <c:pt idx="332">
                  <c:v>0.33233233233233134</c:v>
                </c:pt>
                <c:pt idx="333">
                  <c:v>0.33333333333333232</c:v>
                </c:pt>
                <c:pt idx="334">
                  <c:v>0.33433433433433329</c:v>
                </c:pt>
                <c:pt idx="335">
                  <c:v>0.33533533533533427</c:v>
                </c:pt>
                <c:pt idx="336">
                  <c:v>0.33633633633633525</c:v>
                </c:pt>
                <c:pt idx="337">
                  <c:v>0.33733733733733623</c:v>
                </c:pt>
                <c:pt idx="338">
                  <c:v>0.33833833833833721</c:v>
                </c:pt>
                <c:pt idx="339">
                  <c:v>0.33933933933933819</c:v>
                </c:pt>
                <c:pt idx="340">
                  <c:v>0.34034034034033916</c:v>
                </c:pt>
                <c:pt idx="341">
                  <c:v>0.34134134134134014</c:v>
                </c:pt>
                <c:pt idx="342">
                  <c:v>0.34234234234234112</c:v>
                </c:pt>
                <c:pt idx="343">
                  <c:v>0.3433433433433421</c:v>
                </c:pt>
                <c:pt idx="344">
                  <c:v>0.34434434434434308</c:v>
                </c:pt>
                <c:pt idx="345">
                  <c:v>0.34534534534534406</c:v>
                </c:pt>
                <c:pt idx="346">
                  <c:v>0.34634634634634504</c:v>
                </c:pt>
                <c:pt idx="347">
                  <c:v>0.34734734734734601</c:v>
                </c:pt>
                <c:pt idx="348">
                  <c:v>0.34834834834834699</c:v>
                </c:pt>
                <c:pt idx="349">
                  <c:v>0.34934934934934797</c:v>
                </c:pt>
                <c:pt idx="350">
                  <c:v>0.35035035035034895</c:v>
                </c:pt>
                <c:pt idx="351">
                  <c:v>0.35135135135134993</c:v>
                </c:pt>
                <c:pt idx="352">
                  <c:v>0.35235235235235091</c:v>
                </c:pt>
                <c:pt idx="353">
                  <c:v>0.35335335335335188</c:v>
                </c:pt>
                <c:pt idx="354">
                  <c:v>0.35435435435435286</c:v>
                </c:pt>
                <c:pt idx="355">
                  <c:v>0.35535535535535384</c:v>
                </c:pt>
                <c:pt idx="356">
                  <c:v>0.35635635635635482</c:v>
                </c:pt>
                <c:pt idx="357">
                  <c:v>0.3573573573573558</c:v>
                </c:pt>
                <c:pt idx="358">
                  <c:v>0.35835835835835678</c:v>
                </c:pt>
                <c:pt idx="359">
                  <c:v>0.35935935935935776</c:v>
                </c:pt>
                <c:pt idx="360">
                  <c:v>0.36036036036035873</c:v>
                </c:pt>
                <c:pt idx="361">
                  <c:v>0.36136136136135971</c:v>
                </c:pt>
                <c:pt idx="362">
                  <c:v>0.36236236236236069</c:v>
                </c:pt>
                <c:pt idx="363">
                  <c:v>0.36336336336336167</c:v>
                </c:pt>
                <c:pt idx="364">
                  <c:v>0.36436436436436265</c:v>
                </c:pt>
                <c:pt idx="365">
                  <c:v>0.36536536536536363</c:v>
                </c:pt>
                <c:pt idx="366">
                  <c:v>0.3663663663663646</c:v>
                </c:pt>
                <c:pt idx="367">
                  <c:v>0.36736736736736558</c:v>
                </c:pt>
                <c:pt idx="368">
                  <c:v>0.36836836836836656</c:v>
                </c:pt>
                <c:pt idx="369">
                  <c:v>0.36936936936936754</c:v>
                </c:pt>
                <c:pt idx="370">
                  <c:v>0.37037037037036852</c:v>
                </c:pt>
                <c:pt idx="371">
                  <c:v>0.3713713713713695</c:v>
                </c:pt>
                <c:pt idx="372">
                  <c:v>0.37237237237237047</c:v>
                </c:pt>
                <c:pt idx="373">
                  <c:v>0.37337337337337145</c:v>
                </c:pt>
                <c:pt idx="374">
                  <c:v>0.37437437437437243</c:v>
                </c:pt>
                <c:pt idx="375">
                  <c:v>0.37537537537537341</c:v>
                </c:pt>
                <c:pt idx="376">
                  <c:v>0.37637637637637439</c:v>
                </c:pt>
                <c:pt idx="377">
                  <c:v>0.37737737737737537</c:v>
                </c:pt>
                <c:pt idx="378">
                  <c:v>0.37837837837837635</c:v>
                </c:pt>
                <c:pt idx="379">
                  <c:v>0.37937937937937732</c:v>
                </c:pt>
                <c:pt idx="380">
                  <c:v>0.3803803803803783</c:v>
                </c:pt>
                <c:pt idx="381">
                  <c:v>0.38138138138137928</c:v>
                </c:pt>
                <c:pt idx="382">
                  <c:v>0.38238238238238026</c:v>
                </c:pt>
                <c:pt idx="383">
                  <c:v>0.38338338338338124</c:v>
                </c:pt>
                <c:pt idx="384">
                  <c:v>0.38438438438438222</c:v>
                </c:pt>
                <c:pt idx="385">
                  <c:v>0.38538538538538319</c:v>
                </c:pt>
                <c:pt idx="386">
                  <c:v>0.38638638638638417</c:v>
                </c:pt>
                <c:pt idx="387">
                  <c:v>0.38738738738738515</c:v>
                </c:pt>
                <c:pt idx="388">
                  <c:v>0.38838838838838613</c:v>
                </c:pt>
                <c:pt idx="389">
                  <c:v>0.38938938938938711</c:v>
                </c:pt>
                <c:pt idx="390">
                  <c:v>0.39039039039038809</c:v>
                </c:pt>
                <c:pt idx="391">
                  <c:v>0.39139139139138907</c:v>
                </c:pt>
                <c:pt idx="392">
                  <c:v>0.39239239239239004</c:v>
                </c:pt>
                <c:pt idx="393">
                  <c:v>0.39339339339339102</c:v>
                </c:pt>
                <c:pt idx="394">
                  <c:v>0.394394394394392</c:v>
                </c:pt>
                <c:pt idx="395">
                  <c:v>0.39539539539539298</c:v>
                </c:pt>
                <c:pt idx="396">
                  <c:v>0.39639639639639396</c:v>
                </c:pt>
                <c:pt idx="397">
                  <c:v>0.39739739739739494</c:v>
                </c:pt>
                <c:pt idx="398">
                  <c:v>0.39839839839839591</c:v>
                </c:pt>
                <c:pt idx="399">
                  <c:v>0.39939939939939689</c:v>
                </c:pt>
                <c:pt idx="400">
                  <c:v>0.40040040040039787</c:v>
                </c:pt>
                <c:pt idx="401">
                  <c:v>0.40140140140139885</c:v>
                </c:pt>
                <c:pt idx="402">
                  <c:v>0.40240240240239983</c:v>
                </c:pt>
                <c:pt idx="403">
                  <c:v>0.40340340340340081</c:v>
                </c:pt>
                <c:pt idx="404">
                  <c:v>0.40440440440440178</c:v>
                </c:pt>
                <c:pt idx="405">
                  <c:v>0.40540540540540276</c:v>
                </c:pt>
                <c:pt idx="406">
                  <c:v>0.40640640640640374</c:v>
                </c:pt>
                <c:pt idx="407">
                  <c:v>0.40740740740740472</c:v>
                </c:pt>
                <c:pt idx="408">
                  <c:v>0.4084084084084057</c:v>
                </c:pt>
                <c:pt idx="409">
                  <c:v>0.40940940940940668</c:v>
                </c:pt>
                <c:pt idx="410">
                  <c:v>0.41041041041040766</c:v>
                </c:pt>
                <c:pt idx="411">
                  <c:v>0.41141141141140863</c:v>
                </c:pt>
                <c:pt idx="412">
                  <c:v>0.41241241241240961</c:v>
                </c:pt>
                <c:pt idx="413">
                  <c:v>0.41341341341341059</c:v>
                </c:pt>
                <c:pt idx="414">
                  <c:v>0.41441441441441157</c:v>
                </c:pt>
                <c:pt idx="415">
                  <c:v>0.41541541541541255</c:v>
                </c:pt>
                <c:pt idx="416">
                  <c:v>0.41641641641641353</c:v>
                </c:pt>
                <c:pt idx="417">
                  <c:v>0.4174174174174145</c:v>
                </c:pt>
                <c:pt idx="418">
                  <c:v>0.41841841841841548</c:v>
                </c:pt>
                <c:pt idx="419">
                  <c:v>0.41941941941941646</c:v>
                </c:pt>
                <c:pt idx="420">
                  <c:v>0.42042042042041744</c:v>
                </c:pt>
                <c:pt idx="421">
                  <c:v>0.42142142142141842</c:v>
                </c:pt>
                <c:pt idx="422">
                  <c:v>0.4224224224224194</c:v>
                </c:pt>
                <c:pt idx="423">
                  <c:v>0.42342342342342038</c:v>
                </c:pt>
                <c:pt idx="424">
                  <c:v>0.42442442442442135</c:v>
                </c:pt>
                <c:pt idx="425">
                  <c:v>0.42542542542542233</c:v>
                </c:pt>
                <c:pt idx="426">
                  <c:v>0.42642642642642331</c:v>
                </c:pt>
                <c:pt idx="427">
                  <c:v>0.42742742742742429</c:v>
                </c:pt>
                <c:pt idx="428">
                  <c:v>0.42842842842842527</c:v>
                </c:pt>
                <c:pt idx="429">
                  <c:v>0.42942942942942625</c:v>
                </c:pt>
                <c:pt idx="430">
                  <c:v>0.43043043043042722</c:v>
                </c:pt>
                <c:pt idx="431">
                  <c:v>0.4314314314314282</c:v>
                </c:pt>
                <c:pt idx="432">
                  <c:v>0.43243243243242918</c:v>
                </c:pt>
                <c:pt idx="433">
                  <c:v>0.43343343343343016</c:v>
                </c:pt>
                <c:pt idx="434">
                  <c:v>0.43443443443443114</c:v>
                </c:pt>
                <c:pt idx="435">
                  <c:v>0.43543543543543212</c:v>
                </c:pt>
                <c:pt idx="436">
                  <c:v>0.4364364364364331</c:v>
                </c:pt>
                <c:pt idx="437">
                  <c:v>0.43743743743743407</c:v>
                </c:pt>
                <c:pt idx="438">
                  <c:v>0.43843843843843505</c:v>
                </c:pt>
                <c:pt idx="439">
                  <c:v>0.43943943943943603</c:v>
                </c:pt>
                <c:pt idx="440">
                  <c:v>0.44044044044043701</c:v>
                </c:pt>
                <c:pt idx="441">
                  <c:v>0.44144144144143799</c:v>
                </c:pt>
                <c:pt idx="442">
                  <c:v>0.44244244244243897</c:v>
                </c:pt>
                <c:pt idx="443">
                  <c:v>0.44344344344343994</c:v>
                </c:pt>
                <c:pt idx="444">
                  <c:v>0.44444444444444092</c:v>
                </c:pt>
                <c:pt idx="445">
                  <c:v>0.4454454454454419</c:v>
                </c:pt>
                <c:pt idx="446">
                  <c:v>0.44644644644644288</c:v>
                </c:pt>
                <c:pt idx="447">
                  <c:v>0.44744744744744386</c:v>
                </c:pt>
                <c:pt idx="448">
                  <c:v>0.44844844844844484</c:v>
                </c:pt>
                <c:pt idx="449">
                  <c:v>0.44944944944944581</c:v>
                </c:pt>
                <c:pt idx="450">
                  <c:v>0.45045045045044679</c:v>
                </c:pt>
                <c:pt idx="451">
                  <c:v>0.45145145145144777</c:v>
                </c:pt>
                <c:pt idx="452">
                  <c:v>0.45245245245244875</c:v>
                </c:pt>
                <c:pt idx="453">
                  <c:v>0.45345345345344973</c:v>
                </c:pt>
                <c:pt idx="454">
                  <c:v>0.45445445445445071</c:v>
                </c:pt>
                <c:pt idx="455">
                  <c:v>0.45545545545545169</c:v>
                </c:pt>
                <c:pt idx="456">
                  <c:v>0.45645645645645266</c:v>
                </c:pt>
                <c:pt idx="457">
                  <c:v>0.45745745745745364</c:v>
                </c:pt>
                <c:pt idx="458">
                  <c:v>0.45845845845845462</c:v>
                </c:pt>
                <c:pt idx="459">
                  <c:v>0.4594594594594556</c:v>
                </c:pt>
                <c:pt idx="460">
                  <c:v>0.46046046046045658</c:v>
                </c:pt>
                <c:pt idx="461">
                  <c:v>0.46146146146145756</c:v>
                </c:pt>
                <c:pt idx="462">
                  <c:v>0.46246246246245853</c:v>
                </c:pt>
                <c:pt idx="463">
                  <c:v>0.46346346346345951</c:v>
                </c:pt>
                <c:pt idx="464">
                  <c:v>0.46446446446446049</c:v>
                </c:pt>
                <c:pt idx="465">
                  <c:v>0.46546546546546147</c:v>
                </c:pt>
                <c:pt idx="466">
                  <c:v>0.46646646646646245</c:v>
                </c:pt>
                <c:pt idx="467">
                  <c:v>0.46746746746746343</c:v>
                </c:pt>
                <c:pt idx="468">
                  <c:v>0.46846846846846441</c:v>
                </c:pt>
                <c:pt idx="469">
                  <c:v>0.46946946946946538</c:v>
                </c:pt>
                <c:pt idx="470">
                  <c:v>0.47047047047046636</c:v>
                </c:pt>
                <c:pt idx="471">
                  <c:v>0.47147147147146734</c:v>
                </c:pt>
                <c:pt idx="472">
                  <c:v>0.47247247247246832</c:v>
                </c:pt>
                <c:pt idx="473">
                  <c:v>0.4734734734734693</c:v>
                </c:pt>
                <c:pt idx="474">
                  <c:v>0.47447447447447028</c:v>
                </c:pt>
                <c:pt idx="475">
                  <c:v>0.47547547547547125</c:v>
                </c:pt>
                <c:pt idx="476">
                  <c:v>0.47647647647647223</c:v>
                </c:pt>
                <c:pt idx="477">
                  <c:v>0.47747747747747321</c:v>
                </c:pt>
                <c:pt idx="478">
                  <c:v>0.47847847847847419</c:v>
                </c:pt>
                <c:pt idx="479">
                  <c:v>0.47947947947947517</c:v>
                </c:pt>
                <c:pt idx="480">
                  <c:v>0.48048048048047615</c:v>
                </c:pt>
                <c:pt idx="481">
                  <c:v>0.48148148148147712</c:v>
                </c:pt>
                <c:pt idx="482">
                  <c:v>0.4824824824824781</c:v>
                </c:pt>
                <c:pt idx="483">
                  <c:v>0.48348348348347908</c:v>
                </c:pt>
                <c:pt idx="484">
                  <c:v>0.48448448448448006</c:v>
                </c:pt>
                <c:pt idx="485">
                  <c:v>0.48548548548548104</c:v>
                </c:pt>
                <c:pt idx="486">
                  <c:v>0.48648648648648202</c:v>
                </c:pt>
                <c:pt idx="487">
                  <c:v>0.487487487487483</c:v>
                </c:pt>
                <c:pt idx="488">
                  <c:v>0.48848848848848397</c:v>
                </c:pt>
                <c:pt idx="489">
                  <c:v>0.48948948948948495</c:v>
                </c:pt>
                <c:pt idx="490">
                  <c:v>0.49049049049048593</c:v>
                </c:pt>
                <c:pt idx="491">
                  <c:v>0.49149149149148691</c:v>
                </c:pt>
                <c:pt idx="492">
                  <c:v>0.49249249249248789</c:v>
                </c:pt>
                <c:pt idx="493">
                  <c:v>0.49349349349348887</c:v>
                </c:pt>
                <c:pt idx="494">
                  <c:v>0.49449449449448984</c:v>
                </c:pt>
                <c:pt idx="495">
                  <c:v>0.49549549549549082</c:v>
                </c:pt>
                <c:pt idx="496">
                  <c:v>0.4964964964964918</c:v>
                </c:pt>
                <c:pt idx="497">
                  <c:v>0.49749749749749278</c:v>
                </c:pt>
                <c:pt idx="498">
                  <c:v>0.49849849849849376</c:v>
                </c:pt>
                <c:pt idx="499">
                  <c:v>0.49949949949949474</c:v>
                </c:pt>
                <c:pt idx="500">
                  <c:v>0.50050050050049577</c:v>
                </c:pt>
                <c:pt idx="501">
                  <c:v>0.50150150150149675</c:v>
                </c:pt>
                <c:pt idx="502">
                  <c:v>0.50250250250249773</c:v>
                </c:pt>
                <c:pt idx="503">
                  <c:v>0.50350350350349871</c:v>
                </c:pt>
                <c:pt idx="504">
                  <c:v>0.50450450450449968</c:v>
                </c:pt>
                <c:pt idx="505">
                  <c:v>0.50550550550550066</c:v>
                </c:pt>
                <c:pt idx="506">
                  <c:v>0.50650650650650164</c:v>
                </c:pt>
                <c:pt idx="507">
                  <c:v>0.50750750750750262</c:v>
                </c:pt>
                <c:pt idx="508">
                  <c:v>0.5085085085085036</c:v>
                </c:pt>
                <c:pt idx="509">
                  <c:v>0.50950950950950458</c:v>
                </c:pt>
                <c:pt idx="510">
                  <c:v>0.51051051051050556</c:v>
                </c:pt>
                <c:pt idx="511">
                  <c:v>0.51151151151150653</c:v>
                </c:pt>
                <c:pt idx="512">
                  <c:v>0.51251251251250751</c:v>
                </c:pt>
                <c:pt idx="513">
                  <c:v>0.51351351351350849</c:v>
                </c:pt>
                <c:pt idx="514">
                  <c:v>0.51451451451450947</c:v>
                </c:pt>
                <c:pt idx="515">
                  <c:v>0.51551551551551045</c:v>
                </c:pt>
                <c:pt idx="516">
                  <c:v>0.51651651651651143</c:v>
                </c:pt>
                <c:pt idx="517">
                  <c:v>0.5175175175175124</c:v>
                </c:pt>
                <c:pt idx="518">
                  <c:v>0.51851851851851338</c:v>
                </c:pt>
                <c:pt idx="519">
                  <c:v>0.51951951951951436</c:v>
                </c:pt>
                <c:pt idx="520">
                  <c:v>0.52052052052051534</c:v>
                </c:pt>
                <c:pt idx="521">
                  <c:v>0.52152152152151632</c:v>
                </c:pt>
                <c:pt idx="522">
                  <c:v>0.5225225225225173</c:v>
                </c:pt>
                <c:pt idx="523">
                  <c:v>0.52352352352351827</c:v>
                </c:pt>
                <c:pt idx="524">
                  <c:v>0.52452452452451925</c:v>
                </c:pt>
                <c:pt idx="525">
                  <c:v>0.52552552552552023</c:v>
                </c:pt>
                <c:pt idx="526">
                  <c:v>0.52652652652652121</c:v>
                </c:pt>
                <c:pt idx="527">
                  <c:v>0.52752752752752219</c:v>
                </c:pt>
                <c:pt idx="528">
                  <c:v>0.52852852852852317</c:v>
                </c:pt>
                <c:pt idx="529">
                  <c:v>0.52952952952952415</c:v>
                </c:pt>
                <c:pt idx="530">
                  <c:v>0.53053053053052512</c:v>
                </c:pt>
                <c:pt idx="531">
                  <c:v>0.5315315315315261</c:v>
                </c:pt>
                <c:pt idx="532">
                  <c:v>0.53253253253252708</c:v>
                </c:pt>
                <c:pt idx="533">
                  <c:v>0.53353353353352806</c:v>
                </c:pt>
                <c:pt idx="534">
                  <c:v>0.53453453453452904</c:v>
                </c:pt>
                <c:pt idx="535">
                  <c:v>0.53553553553553002</c:v>
                </c:pt>
                <c:pt idx="536">
                  <c:v>0.53653653653653099</c:v>
                </c:pt>
                <c:pt idx="537">
                  <c:v>0.53753753753753197</c:v>
                </c:pt>
                <c:pt idx="538">
                  <c:v>0.53853853853853295</c:v>
                </c:pt>
                <c:pt idx="539">
                  <c:v>0.53953953953953393</c:v>
                </c:pt>
                <c:pt idx="540">
                  <c:v>0.54054054054053491</c:v>
                </c:pt>
                <c:pt idx="541">
                  <c:v>0.54154154154153589</c:v>
                </c:pt>
                <c:pt idx="542">
                  <c:v>0.54254254254253687</c:v>
                </c:pt>
                <c:pt idx="543">
                  <c:v>0.54354354354353784</c:v>
                </c:pt>
                <c:pt idx="544">
                  <c:v>0.54454454454453882</c:v>
                </c:pt>
                <c:pt idx="545">
                  <c:v>0.5455455455455398</c:v>
                </c:pt>
                <c:pt idx="546">
                  <c:v>0.54654654654654078</c:v>
                </c:pt>
                <c:pt idx="547">
                  <c:v>0.54754754754754176</c:v>
                </c:pt>
                <c:pt idx="548">
                  <c:v>0.54854854854854274</c:v>
                </c:pt>
                <c:pt idx="549">
                  <c:v>0.54954954954954371</c:v>
                </c:pt>
                <c:pt idx="550">
                  <c:v>0.55055055055054469</c:v>
                </c:pt>
                <c:pt idx="551">
                  <c:v>0.55155155155154567</c:v>
                </c:pt>
                <c:pt idx="552">
                  <c:v>0.55255255255254665</c:v>
                </c:pt>
                <c:pt idx="553">
                  <c:v>0.55355355355354763</c:v>
                </c:pt>
                <c:pt idx="554">
                  <c:v>0.55455455455454861</c:v>
                </c:pt>
                <c:pt idx="555">
                  <c:v>0.55555555555554959</c:v>
                </c:pt>
                <c:pt idx="556">
                  <c:v>0.55655655655655056</c:v>
                </c:pt>
                <c:pt idx="557">
                  <c:v>0.55755755755755154</c:v>
                </c:pt>
                <c:pt idx="558">
                  <c:v>0.55855855855855252</c:v>
                </c:pt>
                <c:pt idx="559">
                  <c:v>0.5595595595595535</c:v>
                </c:pt>
                <c:pt idx="560">
                  <c:v>0.56056056056055448</c:v>
                </c:pt>
                <c:pt idx="561">
                  <c:v>0.56156156156155546</c:v>
                </c:pt>
                <c:pt idx="562">
                  <c:v>0.56256256256255643</c:v>
                </c:pt>
                <c:pt idx="563">
                  <c:v>0.56356356356355741</c:v>
                </c:pt>
                <c:pt idx="564">
                  <c:v>0.56456456456455839</c:v>
                </c:pt>
                <c:pt idx="565">
                  <c:v>0.56556556556555937</c:v>
                </c:pt>
                <c:pt idx="566">
                  <c:v>0.56656656656656035</c:v>
                </c:pt>
                <c:pt idx="567">
                  <c:v>0.56756756756756133</c:v>
                </c:pt>
                <c:pt idx="568">
                  <c:v>0.5685685685685623</c:v>
                </c:pt>
                <c:pt idx="569">
                  <c:v>0.56956956956956328</c:v>
                </c:pt>
                <c:pt idx="570">
                  <c:v>0.57057057057056426</c:v>
                </c:pt>
                <c:pt idx="571">
                  <c:v>0.57157157157156524</c:v>
                </c:pt>
                <c:pt idx="572">
                  <c:v>0.57257257257256622</c:v>
                </c:pt>
                <c:pt idx="573">
                  <c:v>0.5735735735735672</c:v>
                </c:pt>
                <c:pt idx="574">
                  <c:v>0.57457457457456818</c:v>
                </c:pt>
                <c:pt idx="575">
                  <c:v>0.57557557557556915</c:v>
                </c:pt>
                <c:pt idx="576">
                  <c:v>0.57657657657657013</c:v>
                </c:pt>
                <c:pt idx="577">
                  <c:v>0.57757757757757111</c:v>
                </c:pt>
                <c:pt idx="578">
                  <c:v>0.57857857857857209</c:v>
                </c:pt>
                <c:pt idx="579">
                  <c:v>0.57957957957957307</c:v>
                </c:pt>
                <c:pt idx="580">
                  <c:v>0.58058058058057405</c:v>
                </c:pt>
                <c:pt idx="581">
                  <c:v>0.58158158158157502</c:v>
                </c:pt>
                <c:pt idx="582">
                  <c:v>0.582582582582576</c:v>
                </c:pt>
                <c:pt idx="583">
                  <c:v>0.58358358358357698</c:v>
                </c:pt>
                <c:pt idx="584">
                  <c:v>0.58458458458457796</c:v>
                </c:pt>
                <c:pt idx="585">
                  <c:v>0.58558558558557894</c:v>
                </c:pt>
                <c:pt idx="586">
                  <c:v>0.58658658658657992</c:v>
                </c:pt>
                <c:pt idx="587">
                  <c:v>0.5875875875875809</c:v>
                </c:pt>
                <c:pt idx="588">
                  <c:v>0.58858858858858187</c:v>
                </c:pt>
                <c:pt idx="589">
                  <c:v>0.58958958958958285</c:v>
                </c:pt>
                <c:pt idx="590">
                  <c:v>0.59059059059058383</c:v>
                </c:pt>
                <c:pt idx="591">
                  <c:v>0.59159159159158481</c:v>
                </c:pt>
                <c:pt idx="592">
                  <c:v>0.59259259259258579</c:v>
                </c:pt>
                <c:pt idx="593">
                  <c:v>0.59359359359358677</c:v>
                </c:pt>
                <c:pt idx="594">
                  <c:v>0.59459459459458774</c:v>
                </c:pt>
                <c:pt idx="595">
                  <c:v>0.59559559559558872</c:v>
                </c:pt>
                <c:pt idx="596">
                  <c:v>0.5965965965965897</c:v>
                </c:pt>
                <c:pt idx="597">
                  <c:v>0.59759759759759068</c:v>
                </c:pt>
                <c:pt idx="598">
                  <c:v>0.59859859859859166</c:v>
                </c:pt>
                <c:pt idx="599">
                  <c:v>0.59959959959959264</c:v>
                </c:pt>
                <c:pt idx="600">
                  <c:v>0.60060060060059361</c:v>
                </c:pt>
                <c:pt idx="601">
                  <c:v>0.60160160160159459</c:v>
                </c:pt>
                <c:pt idx="602">
                  <c:v>0.60260260260259557</c:v>
                </c:pt>
                <c:pt idx="603">
                  <c:v>0.60360360360359655</c:v>
                </c:pt>
                <c:pt idx="604">
                  <c:v>0.60460460460459753</c:v>
                </c:pt>
                <c:pt idx="605">
                  <c:v>0.60560560560559851</c:v>
                </c:pt>
                <c:pt idx="606">
                  <c:v>0.60660660660659949</c:v>
                </c:pt>
                <c:pt idx="607">
                  <c:v>0.60760760760760046</c:v>
                </c:pt>
                <c:pt idx="608">
                  <c:v>0.60860860860860144</c:v>
                </c:pt>
                <c:pt idx="609">
                  <c:v>0.60960960960960242</c:v>
                </c:pt>
                <c:pt idx="610">
                  <c:v>0.6106106106106034</c:v>
                </c:pt>
                <c:pt idx="611">
                  <c:v>0.61161161161160438</c:v>
                </c:pt>
                <c:pt idx="612">
                  <c:v>0.61261261261260536</c:v>
                </c:pt>
                <c:pt idx="613">
                  <c:v>0.61361361361360633</c:v>
                </c:pt>
                <c:pt idx="614">
                  <c:v>0.61461461461460731</c:v>
                </c:pt>
                <c:pt idx="615">
                  <c:v>0.61561561561560829</c:v>
                </c:pt>
                <c:pt idx="616">
                  <c:v>0.61661661661660927</c:v>
                </c:pt>
                <c:pt idx="617">
                  <c:v>0.61761761761761025</c:v>
                </c:pt>
                <c:pt idx="618">
                  <c:v>0.61861861861861123</c:v>
                </c:pt>
                <c:pt idx="619">
                  <c:v>0.61961961961961221</c:v>
                </c:pt>
                <c:pt idx="620">
                  <c:v>0.62062062062061318</c:v>
                </c:pt>
                <c:pt idx="621">
                  <c:v>0.62162162162161416</c:v>
                </c:pt>
                <c:pt idx="622">
                  <c:v>0.62262262262261514</c:v>
                </c:pt>
                <c:pt idx="623">
                  <c:v>0.62362362362361612</c:v>
                </c:pt>
                <c:pt idx="624">
                  <c:v>0.6246246246246171</c:v>
                </c:pt>
                <c:pt idx="625">
                  <c:v>0.62562562562561808</c:v>
                </c:pt>
                <c:pt idx="626">
                  <c:v>0.62662662662661905</c:v>
                </c:pt>
                <c:pt idx="627">
                  <c:v>0.62762762762762003</c:v>
                </c:pt>
                <c:pt idx="628">
                  <c:v>0.62862862862862101</c:v>
                </c:pt>
                <c:pt idx="629">
                  <c:v>0.62962962962962199</c:v>
                </c:pt>
                <c:pt idx="630">
                  <c:v>0.63063063063062297</c:v>
                </c:pt>
                <c:pt idx="631">
                  <c:v>0.63163163163162395</c:v>
                </c:pt>
                <c:pt idx="632">
                  <c:v>0.63263263263262492</c:v>
                </c:pt>
                <c:pt idx="633">
                  <c:v>0.6336336336336259</c:v>
                </c:pt>
                <c:pt idx="634">
                  <c:v>0.63463463463462688</c:v>
                </c:pt>
                <c:pt idx="635">
                  <c:v>0.63563563563562786</c:v>
                </c:pt>
                <c:pt idx="636">
                  <c:v>0.63663663663662884</c:v>
                </c:pt>
                <c:pt idx="637">
                  <c:v>0.63763763763762982</c:v>
                </c:pt>
                <c:pt idx="638">
                  <c:v>0.6386386386386308</c:v>
                </c:pt>
                <c:pt idx="639">
                  <c:v>0.63963963963963177</c:v>
                </c:pt>
                <c:pt idx="640">
                  <c:v>0.64064064064063275</c:v>
                </c:pt>
                <c:pt idx="641">
                  <c:v>0.64164164164163373</c:v>
                </c:pt>
                <c:pt idx="642">
                  <c:v>0.64264264264263471</c:v>
                </c:pt>
                <c:pt idx="643">
                  <c:v>0.64364364364363569</c:v>
                </c:pt>
                <c:pt idx="644">
                  <c:v>0.64464464464463667</c:v>
                </c:pt>
                <c:pt idx="645">
                  <c:v>0.64564564564563764</c:v>
                </c:pt>
                <c:pt idx="646">
                  <c:v>0.64664664664663862</c:v>
                </c:pt>
                <c:pt idx="647">
                  <c:v>0.6476476476476396</c:v>
                </c:pt>
                <c:pt idx="648">
                  <c:v>0.64864864864864058</c:v>
                </c:pt>
                <c:pt idx="649">
                  <c:v>0.64964964964964156</c:v>
                </c:pt>
                <c:pt idx="650">
                  <c:v>0.65065065065064254</c:v>
                </c:pt>
                <c:pt idx="651">
                  <c:v>0.65165165165164352</c:v>
                </c:pt>
                <c:pt idx="652">
                  <c:v>0.65265265265264449</c:v>
                </c:pt>
                <c:pt idx="653">
                  <c:v>0.65365365365364547</c:v>
                </c:pt>
                <c:pt idx="654">
                  <c:v>0.65465465465464645</c:v>
                </c:pt>
                <c:pt idx="655">
                  <c:v>0.65565565565564743</c:v>
                </c:pt>
                <c:pt idx="656">
                  <c:v>0.65665665665664841</c:v>
                </c:pt>
                <c:pt idx="657">
                  <c:v>0.65765765765764939</c:v>
                </c:pt>
                <c:pt idx="658">
                  <c:v>0.65865865865865036</c:v>
                </c:pt>
                <c:pt idx="659">
                  <c:v>0.65965965965965134</c:v>
                </c:pt>
                <c:pt idx="660">
                  <c:v>0.66066066066065232</c:v>
                </c:pt>
                <c:pt idx="661">
                  <c:v>0.6616616616616533</c:v>
                </c:pt>
                <c:pt idx="662">
                  <c:v>0.66266266266265428</c:v>
                </c:pt>
                <c:pt idx="663">
                  <c:v>0.66366366366365526</c:v>
                </c:pt>
                <c:pt idx="664">
                  <c:v>0.66466466466465624</c:v>
                </c:pt>
                <c:pt idx="665">
                  <c:v>0.66566566566565721</c:v>
                </c:pt>
                <c:pt idx="666">
                  <c:v>0.66666666666665819</c:v>
                </c:pt>
                <c:pt idx="667">
                  <c:v>0.66766766766765917</c:v>
                </c:pt>
                <c:pt idx="668">
                  <c:v>0.66866866866866015</c:v>
                </c:pt>
                <c:pt idx="669">
                  <c:v>0.66966966966966113</c:v>
                </c:pt>
                <c:pt idx="670">
                  <c:v>0.67067067067066211</c:v>
                </c:pt>
                <c:pt idx="671">
                  <c:v>0.67167167167166308</c:v>
                </c:pt>
                <c:pt idx="672">
                  <c:v>0.67267267267266406</c:v>
                </c:pt>
                <c:pt idx="673">
                  <c:v>0.67367367367366504</c:v>
                </c:pt>
                <c:pt idx="674">
                  <c:v>0.67467467467466602</c:v>
                </c:pt>
                <c:pt idx="675">
                  <c:v>0.675675675675667</c:v>
                </c:pt>
                <c:pt idx="676">
                  <c:v>0.67667667667666798</c:v>
                </c:pt>
                <c:pt idx="677">
                  <c:v>0.67767767767766895</c:v>
                </c:pt>
                <c:pt idx="678">
                  <c:v>0.67867867867866993</c:v>
                </c:pt>
                <c:pt idx="679">
                  <c:v>0.67967967967967091</c:v>
                </c:pt>
                <c:pt idx="680">
                  <c:v>0.68068068068067189</c:v>
                </c:pt>
                <c:pt idx="681">
                  <c:v>0.68168168168167287</c:v>
                </c:pt>
                <c:pt idx="682">
                  <c:v>0.68268268268267385</c:v>
                </c:pt>
                <c:pt idx="683">
                  <c:v>0.68368368368367483</c:v>
                </c:pt>
                <c:pt idx="684">
                  <c:v>0.6846846846846758</c:v>
                </c:pt>
                <c:pt idx="685">
                  <c:v>0.68568568568567678</c:v>
                </c:pt>
                <c:pt idx="686">
                  <c:v>0.68668668668667776</c:v>
                </c:pt>
                <c:pt idx="687">
                  <c:v>0.68768768768767874</c:v>
                </c:pt>
                <c:pt idx="688">
                  <c:v>0.68868868868867972</c:v>
                </c:pt>
                <c:pt idx="689">
                  <c:v>0.6896896896896807</c:v>
                </c:pt>
                <c:pt idx="690">
                  <c:v>0.69069069069068167</c:v>
                </c:pt>
                <c:pt idx="691">
                  <c:v>0.69169169169168265</c:v>
                </c:pt>
                <c:pt idx="692">
                  <c:v>0.69269269269268363</c:v>
                </c:pt>
                <c:pt idx="693">
                  <c:v>0.69369369369368461</c:v>
                </c:pt>
                <c:pt idx="694">
                  <c:v>0.69469469469468559</c:v>
                </c:pt>
                <c:pt idx="695">
                  <c:v>0.69569569569568657</c:v>
                </c:pt>
                <c:pt idx="696">
                  <c:v>0.69669669669668755</c:v>
                </c:pt>
                <c:pt idx="697">
                  <c:v>0.69769769769768852</c:v>
                </c:pt>
                <c:pt idx="698">
                  <c:v>0.6986986986986895</c:v>
                </c:pt>
                <c:pt idx="699">
                  <c:v>0.69969969969969048</c:v>
                </c:pt>
                <c:pt idx="700">
                  <c:v>0.70070070070069146</c:v>
                </c:pt>
                <c:pt idx="701">
                  <c:v>0.70170170170169244</c:v>
                </c:pt>
                <c:pt idx="702">
                  <c:v>0.70270270270269342</c:v>
                </c:pt>
                <c:pt idx="703">
                  <c:v>0.70370370370369439</c:v>
                </c:pt>
                <c:pt idx="704">
                  <c:v>0.70470470470469537</c:v>
                </c:pt>
                <c:pt idx="705">
                  <c:v>0.70570570570569635</c:v>
                </c:pt>
                <c:pt idx="706">
                  <c:v>0.70670670670669733</c:v>
                </c:pt>
                <c:pt idx="707">
                  <c:v>0.70770770770769831</c:v>
                </c:pt>
                <c:pt idx="708">
                  <c:v>0.70870870870869929</c:v>
                </c:pt>
                <c:pt idx="709">
                  <c:v>0.70970970970970026</c:v>
                </c:pt>
                <c:pt idx="710">
                  <c:v>0.71071071071070124</c:v>
                </c:pt>
                <c:pt idx="711">
                  <c:v>0.71171171171170222</c:v>
                </c:pt>
                <c:pt idx="712">
                  <c:v>0.7127127127127032</c:v>
                </c:pt>
                <c:pt idx="713">
                  <c:v>0.71371371371370418</c:v>
                </c:pt>
                <c:pt idx="714">
                  <c:v>0.71471471471470516</c:v>
                </c:pt>
                <c:pt idx="715">
                  <c:v>0.71571571571570614</c:v>
                </c:pt>
                <c:pt idx="716">
                  <c:v>0.71671671671670711</c:v>
                </c:pt>
                <c:pt idx="717">
                  <c:v>0.71771771771770809</c:v>
                </c:pt>
                <c:pt idx="718">
                  <c:v>0.71871871871870907</c:v>
                </c:pt>
                <c:pt idx="719">
                  <c:v>0.71971971971971005</c:v>
                </c:pt>
                <c:pt idx="720">
                  <c:v>0.72072072072071103</c:v>
                </c:pt>
                <c:pt idx="721">
                  <c:v>0.72172172172171201</c:v>
                </c:pt>
                <c:pt idx="722">
                  <c:v>0.72272272272271298</c:v>
                </c:pt>
                <c:pt idx="723">
                  <c:v>0.72372372372371396</c:v>
                </c:pt>
                <c:pt idx="724">
                  <c:v>0.72472472472471494</c:v>
                </c:pt>
                <c:pt idx="725">
                  <c:v>0.72572572572571592</c:v>
                </c:pt>
                <c:pt idx="726">
                  <c:v>0.7267267267267169</c:v>
                </c:pt>
                <c:pt idx="727">
                  <c:v>0.72772772772771788</c:v>
                </c:pt>
                <c:pt idx="728">
                  <c:v>0.72872872872871886</c:v>
                </c:pt>
                <c:pt idx="729">
                  <c:v>0.72972972972971983</c:v>
                </c:pt>
                <c:pt idx="730">
                  <c:v>0.73073073073072081</c:v>
                </c:pt>
                <c:pt idx="731">
                  <c:v>0.73173173173172179</c:v>
                </c:pt>
                <c:pt idx="732">
                  <c:v>0.73273273273272277</c:v>
                </c:pt>
                <c:pt idx="733">
                  <c:v>0.73373373373372375</c:v>
                </c:pt>
                <c:pt idx="734">
                  <c:v>0.73473473473472473</c:v>
                </c:pt>
                <c:pt idx="735">
                  <c:v>0.7357357357357257</c:v>
                </c:pt>
                <c:pt idx="736">
                  <c:v>0.73673673673672668</c:v>
                </c:pt>
                <c:pt idx="737">
                  <c:v>0.73773773773772766</c:v>
                </c:pt>
                <c:pt idx="738">
                  <c:v>0.73873873873872864</c:v>
                </c:pt>
                <c:pt idx="739">
                  <c:v>0.73973973973972962</c:v>
                </c:pt>
                <c:pt idx="740">
                  <c:v>0.7407407407407306</c:v>
                </c:pt>
                <c:pt idx="741">
                  <c:v>0.74174174174173158</c:v>
                </c:pt>
                <c:pt idx="742">
                  <c:v>0.74274274274273255</c:v>
                </c:pt>
                <c:pt idx="743">
                  <c:v>0.74374374374373353</c:v>
                </c:pt>
                <c:pt idx="744">
                  <c:v>0.74474474474473451</c:v>
                </c:pt>
                <c:pt idx="745">
                  <c:v>0.74574574574573549</c:v>
                </c:pt>
                <c:pt idx="746">
                  <c:v>0.74674674674673647</c:v>
                </c:pt>
                <c:pt idx="747">
                  <c:v>0.74774774774773745</c:v>
                </c:pt>
                <c:pt idx="748">
                  <c:v>0.74874874874873842</c:v>
                </c:pt>
                <c:pt idx="749">
                  <c:v>0.7497497497497394</c:v>
                </c:pt>
                <c:pt idx="750">
                  <c:v>0.75075075075074038</c:v>
                </c:pt>
                <c:pt idx="751">
                  <c:v>0.75175175175174136</c:v>
                </c:pt>
                <c:pt idx="752">
                  <c:v>0.75275275275274234</c:v>
                </c:pt>
                <c:pt idx="753">
                  <c:v>0.75375375375374332</c:v>
                </c:pt>
                <c:pt idx="754">
                  <c:v>0.75475475475474429</c:v>
                </c:pt>
                <c:pt idx="755">
                  <c:v>0.75575575575574527</c:v>
                </c:pt>
                <c:pt idx="756">
                  <c:v>0.75675675675674625</c:v>
                </c:pt>
                <c:pt idx="757">
                  <c:v>0.75775775775774723</c:v>
                </c:pt>
                <c:pt idx="758">
                  <c:v>0.75875875875874821</c:v>
                </c:pt>
                <c:pt idx="759">
                  <c:v>0.75975975975974919</c:v>
                </c:pt>
                <c:pt idx="760">
                  <c:v>0.76076076076075017</c:v>
                </c:pt>
                <c:pt idx="761">
                  <c:v>0.76176176176175114</c:v>
                </c:pt>
                <c:pt idx="762">
                  <c:v>0.76276276276275212</c:v>
                </c:pt>
                <c:pt idx="763">
                  <c:v>0.7637637637637531</c:v>
                </c:pt>
                <c:pt idx="764">
                  <c:v>0.76476476476475408</c:v>
                </c:pt>
                <c:pt idx="765">
                  <c:v>0.76576576576575506</c:v>
                </c:pt>
                <c:pt idx="766">
                  <c:v>0.76676676676675604</c:v>
                </c:pt>
                <c:pt idx="767">
                  <c:v>0.76776776776775701</c:v>
                </c:pt>
                <c:pt idx="768">
                  <c:v>0.76876876876875799</c:v>
                </c:pt>
                <c:pt idx="769">
                  <c:v>0.76976976976975897</c:v>
                </c:pt>
                <c:pt idx="770">
                  <c:v>0.77077077077075995</c:v>
                </c:pt>
                <c:pt idx="771">
                  <c:v>0.77177177177176093</c:v>
                </c:pt>
                <c:pt idx="772">
                  <c:v>0.77277277277276191</c:v>
                </c:pt>
                <c:pt idx="773">
                  <c:v>0.77377377377376289</c:v>
                </c:pt>
                <c:pt idx="774">
                  <c:v>0.77477477477476386</c:v>
                </c:pt>
                <c:pt idx="775">
                  <c:v>0.77577577577576484</c:v>
                </c:pt>
                <c:pt idx="776">
                  <c:v>0.77677677677676582</c:v>
                </c:pt>
                <c:pt idx="777">
                  <c:v>0.7777777777777668</c:v>
                </c:pt>
                <c:pt idx="778">
                  <c:v>0.77877877877876778</c:v>
                </c:pt>
                <c:pt idx="779">
                  <c:v>0.77977977977976876</c:v>
                </c:pt>
                <c:pt idx="780">
                  <c:v>0.78078078078076973</c:v>
                </c:pt>
                <c:pt idx="781">
                  <c:v>0.78178178178177071</c:v>
                </c:pt>
                <c:pt idx="782">
                  <c:v>0.78278278278277169</c:v>
                </c:pt>
                <c:pt idx="783">
                  <c:v>0.78378378378377267</c:v>
                </c:pt>
                <c:pt idx="784">
                  <c:v>0.78478478478477365</c:v>
                </c:pt>
                <c:pt idx="785">
                  <c:v>0.78578578578577463</c:v>
                </c:pt>
                <c:pt idx="786">
                  <c:v>0.7867867867867756</c:v>
                </c:pt>
                <c:pt idx="787">
                  <c:v>0.78778778778777658</c:v>
                </c:pt>
                <c:pt idx="788">
                  <c:v>0.78878878878877756</c:v>
                </c:pt>
                <c:pt idx="789">
                  <c:v>0.78978978978977854</c:v>
                </c:pt>
                <c:pt idx="790">
                  <c:v>0.79079079079077952</c:v>
                </c:pt>
                <c:pt idx="791">
                  <c:v>0.7917917917917805</c:v>
                </c:pt>
                <c:pt idx="792">
                  <c:v>0.79279279279278148</c:v>
                </c:pt>
                <c:pt idx="793">
                  <c:v>0.79379379379378245</c:v>
                </c:pt>
                <c:pt idx="794">
                  <c:v>0.79479479479478343</c:v>
                </c:pt>
                <c:pt idx="795">
                  <c:v>0.79579579579578441</c:v>
                </c:pt>
                <c:pt idx="796">
                  <c:v>0.79679679679678539</c:v>
                </c:pt>
                <c:pt idx="797">
                  <c:v>0.79779779779778637</c:v>
                </c:pt>
                <c:pt idx="798">
                  <c:v>0.79879879879878735</c:v>
                </c:pt>
                <c:pt idx="799">
                  <c:v>0.79979979979978832</c:v>
                </c:pt>
                <c:pt idx="800">
                  <c:v>0.8008008008007893</c:v>
                </c:pt>
                <c:pt idx="801">
                  <c:v>0.80180180180179028</c:v>
                </c:pt>
                <c:pt idx="802">
                  <c:v>0.80280280280279126</c:v>
                </c:pt>
                <c:pt idx="803">
                  <c:v>0.80380380380379224</c:v>
                </c:pt>
                <c:pt idx="804">
                  <c:v>0.80480480480479322</c:v>
                </c:pt>
                <c:pt idx="805">
                  <c:v>0.8058058058057942</c:v>
                </c:pt>
                <c:pt idx="806">
                  <c:v>0.80680680680679517</c:v>
                </c:pt>
                <c:pt idx="807">
                  <c:v>0.80780780780779615</c:v>
                </c:pt>
                <c:pt idx="808">
                  <c:v>0.80880880880879713</c:v>
                </c:pt>
                <c:pt idx="809">
                  <c:v>0.80980980980979811</c:v>
                </c:pt>
                <c:pt idx="810">
                  <c:v>0.81081081081079909</c:v>
                </c:pt>
                <c:pt idx="811">
                  <c:v>0.81181181181180007</c:v>
                </c:pt>
                <c:pt idx="812">
                  <c:v>0.81281281281280104</c:v>
                </c:pt>
                <c:pt idx="813">
                  <c:v>0.81381381381380202</c:v>
                </c:pt>
                <c:pt idx="814">
                  <c:v>0.814814814814803</c:v>
                </c:pt>
                <c:pt idx="815">
                  <c:v>0.81581581581580398</c:v>
                </c:pt>
                <c:pt idx="816">
                  <c:v>0.81681681681680496</c:v>
                </c:pt>
                <c:pt idx="817">
                  <c:v>0.81781781781780594</c:v>
                </c:pt>
                <c:pt idx="818">
                  <c:v>0.81881881881880691</c:v>
                </c:pt>
                <c:pt idx="819">
                  <c:v>0.81981981981980789</c:v>
                </c:pt>
                <c:pt idx="820">
                  <c:v>0.82082082082080887</c:v>
                </c:pt>
                <c:pt idx="821">
                  <c:v>0.82182182182180985</c:v>
                </c:pt>
                <c:pt idx="822">
                  <c:v>0.82282282282281083</c:v>
                </c:pt>
                <c:pt idx="823">
                  <c:v>0.82382382382381181</c:v>
                </c:pt>
                <c:pt idx="824">
                  <c:v>0.82482482482481279</c:v>
                </c:pt>
                <c:pt idx="825">
                  <c:v>0.82582582582581376</c:v>
                </c:pt>
                <c:pt idx="826">
                  <c:v>0.82682682682681474</c:v>
                </c:pt>
                <c:pt idx="827">
                  <c:v>0.82782782782781572</c:v>
                </c:pt>
                <c:pt idx="828">
                  <c:v>0.8288288288288167</c:v>
                </c:pt>
                <c:pt idx="829">
                  <c:v>0.82982982982981768</c:v>
                </c:pt>
                <c:pt idx="830">
                  <c:v>0.83083083083081866</c:v>
                </c:pt>
                <c:pt idx="831">
                  <c:v>0.83183183183181963</c:v>
                </c:pt>
                <c:pt idx="832">
                  <c:v>0.83283283283282061</c:v>
                </c:pt>
                <c:pt idx="833">
                  <c:v>0.83383383383382159</c:v>
                </c:pt>
                <c:pt idx="834">
                  <c:v>0.83483483483482257</c:v>
                </c:pt>
                <c:pt idx="835">
                  <c:v>0.83583583583582355</c:v>
                </c:pt>
                <c:pt idx="836">
                  <c:v>0.83683683683682453</c:v>
                </c:pt>
                <c:pt idx="837">
                  <c:v>0.83783783783782551</c:v>
                </c:pt>
                <c:pt idx="838">
                  <c:v>0.83883883883882648</c:v>
                </c:pt>
                <c:pt idx="839">
                  <c:v>0.83983983983982746</c:v>
                </c:pt>
                <c:pt idx="840">
                  <c:v>0.84084084084082844</c:v>
                </c:pt>
                <c:pt idx="841">
                  <c:v>0.84184184184182942</c:v>
                </c:pt>
                <c:pt idx="842">
                  <c:v>0.8428428428428304</c:v>
                </c:pt>
                <c:pt idx="843">
                  <c:v>0.84384384384383138</c:v>
                </c:pt>
                <c:pt idx="844">
                  <c:v>0.84484484484483235</c:v>
                </c:pt>
                <c:pt idx="845">
                  <c:v>0.84584584584583333</c:v>
                </c:pt>
                <c:pt idx="846">
                  <c:v>0.84684684684683431</c:v>
                </c:pt>
                <c:pt idx="847">
                  <c:v>0.84784784784783529</c:v>
                </c:pt>
                <c:pt idx="848">
                  <c:v>0.84884884884883627</c:v>
                </c:pt>
                <c:pt idx="849">
                  <c:v>0.84984984984983725</c:v>
                </c:pt>
                <c:pt idx="850">
                  <c:v>0.85085085085083823</c:v>
                </c:pt>
                <c:pt idx="851">
                  <c:v>0.8518518518518392</c:v>
                </c:pt>
                <c:pt idx="852">
                  <c:v>0.85285285285284018</c:v>
                </c:pt>
                <c:pt idx="853">
                  <c:v>0.85385385385384116</c:v>
                </c:pt>
                <c:pt idx="854">
                  <c:v>0.85485485485484214</c:v>
                </c:pt>
                <c:pt idx="855">
                  <c:v>0.85585585585584312</c:v>
                </c:pt>
                <c:pt idx="856">
                  <c:v>0.8568568568568441</c:v>
                </c:pt>
                <c:pt idx="857">
                  <c:v>0.85785785785784507</c:v>
                </c:pt>
                <c:pt idx="858">
                  <c:v>0.85885885885884605</c:v>
                </c:pt>
                <c:pt idx="859">
                  <c:v>0.85985985985984703</c:v>
                </c:pt>
                <c:pt idx="860">
                  <c:v>0.86086086086084801</c:v>
                </c:pt>
                <c:pt idx="861">
                  <c:v>0.86186186186184899</c:v>
                </c:pt>
                <c:pt idx="862">
                  <c:v>0.86286286286284997</c:v>
                </c:pt>
                <c:pt idx="863">
                  <c:v>0.86386386386385094</c:v>
                </c:pt>
                <c:pt idx="864">
                  <c:v>0.86486486486485192</c:v>
                </c:pt>
                <c:pt idx="865">
                  <c:v>0.8658658658658529</c:v>
                </c:pt>
                <c:pt idx="866">
                  <c:v>0.86686686686685388</c:v>
                </c:pt>
                <c:pt idx="867">
                  <c:v>0.86786786786785486</c:v>
                </c:pt>
                <c:pt idx="868">
                  <c:v>0.86886886886885584</c:v>
                </c:pt>
                <c:pt idx="869">
                  <c:v>0.86986986986985682</c:v>
                </c:pt>
                <c:pt idx="870">
                  <c:v>0.87087087087085779</c:v>
                </c:pt>
                <c:pt idx="871">
                  <c:v>0.87187187187185877</c:v>
                </c:pt>
                <c:pt idx="872">
                  <c:v>0.87287287287285975</c:v>
                </c:pt>
                <c:pt idx="873">
                  <c:v>0.87387387387386073</c:v>
                </c:pt>
                <c:pt idx="874">
                  <c:v>0.87487487487486171</c:v>
                </c:pt>
                <c:pt idx="875">
                  <c:v>0.87587587587586269</c:v>
                </c:pt>
                <c:pt idx="876">
                  <c:v>0.87687687687686366</c:v>
                </c:pt>
                <c:pt idx="877">
                  <c:v>0.87787787787786464</c:v>
                </c:pt>
                <c:pt idx="878">
                  <c:v>0.87887887887886562</c:v>
                </c:pt>
                <c:pt idx="879">
                  <c:v>0.8798798798798666</c:v>
                </c:pt>
                <c:pt idx="880">
                  <c:v>0.88088088088086758</c:v>
                </c:pt>
                <c:pt idx="881">
                  <c:v>0.88188188188186856</c:v>
                </c:pt>
                <c:pt idx="882">
                  <c:v>0.88288288288286954</c:v>
                </c:pt>
                <c:pt idx="883">
                  <c:v>0.88388388388387051</c:v>
                </c:pt>
                <c:pt idx="884">
                  <c:v>0.88488488488487149</c:v>
                </c:pt>
                <c:pt idx="885">
                  <c:v>0.88588588588587247</c:v>
                </c:pt>
                <c:pt idx="886">
                  <c:v>0.88688688688687345</c:v>
                </c:pt>
                <c:pt idx="887">
                  <c:v>0.88788788788787443</c:v>
                </c:pt>
                <c:pt idx="888">
                  <c:v>0.88888888888887541</c:v>
                </c:pt>
                <c:pt idx="889">
                  <c:v>0.88988988988987638</c:v>
                </c:pt>
                <c:pt idx="890">
                  <c:v>0.89089089089087736</c:v>
                </c:pt>
                <c:pt idx="891">
                  <c:v>0.89189189189187834</c:v>
                </c:pt>
                <c:pt idx="892">
                  <c:v>0.89289289289287932</c:v>
                </c:pt>
                <c:pt idx="893">
                  <c:v>0.8938938938938803</c:v>
                </c:pt>
                <c:pt idx="894">
                  <c:v>0.89489489489488128</c:v>
                </c:pt>
                <c:pt idx="895">
                  <c:v>0.89589589589588225</c:v>
                </c:pt>
                <c:pt idx="896">
                  <c:v>0.89689689689688323</c:v>
                </c:pt>
                <c:pt idx="897">
                  <c:v>0.89789789789788421</c:v>
                </c:pt>
                <c:pt idx="898">
                  <c:v>0.89889889889888519</c:v>
                </c:pt>
                <c:pt idx="899">
                  <c:v>0.89989989989988617</c:v>
                </c:pt>
                <c:pt idx="900">
                  <c:v>0.90090090090088715</c:v>
                </c:pt>
                <c:pt idx="901">
                  <c:v>0.90190190190188813</c:v>
                </c:pt>
                <c:pt idx="902">
                  <c:v>0.9029029029028891</c:v>
                </c:pt>
                <c:pt idx="903">
                  <c:v>0.90390390390389008</c:v>
                </c:pt>
                <c:pt idx="904">
                  <c:v>0.90490490490489106</c:v>
                </c:pt>
                <c:pt idx="905">
                  <c:v>0.90590590590589204</c:v>
                </c:pt>
                <c:pt idx="906">
                  <c:v>0.90690690690689302</c:v>
                </c:pt>
                <c:pt idx="907">
                  <c:v>0.907907907907894</c:v>
                </c:pt>
                <c:pt idx="908">
                  <c:v>0.90890890890889497</c:v>
                </c:pt>
                <c:pt idx="909">
                  <c:v>0.90990990990989595</c:v>
                </c:pt>
                <c:pt idx="910">
                  <c:v>0.91091091091089693</c:v>
                </c:pt>
                <c:pt idx="911">
                  <c:v>0.91191191191189791</c:v>
                </c:pt>
                <c:pt idx="912">
                  <c:v>0.91291291291289889</c:v>
                </c:pt>
                <c:pt idx="913">
                  <c:v>0.91391391391389987</c:v>
                </c:pt>
                <c:pt idx="914">
                  <c:v>0.91491491491490085</c:v>
                </c:pt>
                <c:pt idx="915">
                  <c:v>0.91591591591590182</c:v>
                </c:pt>
                <c:pt idx="916">
                  <c:v>0.9169169169169028</c:v>
                </c:pt>
                <c:pt idx="917">
                  <c:v>0.91791791791790378</c:v>
                </c:pt>
                <c:pt idx="918">
                  <c:v>0.91891891891890476</c:v>
                </c:pt>
                <c:pt idx="919">
                  <c:v>0.91991991991990574</c:v>
                </c:pt>
                <c:pt idx="920">
                  <c:v>0.92092092092090672</c:v>
                </c:pt>
                <c:pt idx="921">
                  <c:v>0.92192192192190769</c:v>
                </c:pt>
                <c:pt idx="922">
                  <c:v>0.92292292292290867</c:v>
                </c:pt>
                <c:pt idx="923">
                  <c:v>0.92392392392390965</c:v>
                </c:pt>
                <c:pt idx="924">
                  <c:v>0.92492492492491063</c:v>
                </c:pt>
                <c:pt idx="925">
                  <c:v>0.92592592592591161</c:v>
                </c:pt>
                <c:pt idx="926">
                  <c:v>0.92692692692691259</c:v>
                </c:pt>
                <c:pt idx="927">
                  <c:v>0.92792792792791357</c:v>
                </c:pt>
                <c:pt idx="928">
                  <c:v>0.92892892892891454</c:v>
                </c:pt>
                <c:pt idx="929">
                  <c:v>0.92992992992991552</c:v>
                </c:pt>
                <c:pt idx="930">
                  <c:v>0.9309309309309165</c:v>
                </c:pt>
                <c:pt idx="931">
                  <c:v>0.93193193193191748</c:v>
                </c:pt>
                <c:pt idx="932">
                  <c:v>0.93293293293291846</c:v>
                </c:pt>
                <c:pt idx="933">
                  <c:v>0.93393393393391944</c:v>
                </c:pt>
                <c:pt idx="934">
                  <c:v>0.93493493493492041</c:v>
                </c:pt>
                <c:pt idx="935">
                  <c:v>0.93593593593592139</c:v>
                </c:pt>
                <c:pt idx="936">
                  <c:v>0.93693693693692237</c:v>
                </c:pt>
                <c:pt idx="937">
                  <c:v>0.93793793793792335</c:v>
                </c:pt>
                <c:pt idx="938">
                  <c:v>0.93893893893892433</c:v>
                </c:pt>
                <c:pt idx="939">
                  <c:v>0.93993993993992531</c:v>
                </c:pt>
                <c:pt idx="940">
                  <c:v>0.94094094094092628</c:v>
                </c:pt>
                <c:pt idx="941">
                  <c:v>0.94194194194192726</c:v>
                </c:pt>
                <c:pt idx="942">
                  <c:v>0.94294294294292824</c:v>
                </c:pt>
                <c:pt idx="943">
                  <c:v>0.94394394394392922</c:v>
                </c:pt>
                <c:pt idx="944">
                  <c:v>0.9449449449449302</c:v>
                </c:pt>
                <c:pt idx="945">
                  <c:v>0.94594594594593118</c:v>
                </c:pt>
                <c:pt idx="946">
                  <c:v>0.94694694694693216</c:v>
                </c:pt>
                <c:pt idx="947">
                  <c:v>0.94794794794793313</c:v>
                </c:pt>
                <c:pt idx="948">
                  <c:v>0.94894894894893411</c:v>
                </c:pt>
                <c:pt idx="949">
                  <c:v>0.94994994994993509</c:v>
                </c:pt>
                <c:pt idx="950">
                  <c:v>0.95095095095093607</c:v>
                </c:pt>
                <c:pt idx="951">
                  <c:v>0.95195195195193705</c:v>
                </c:pt>
                <c:pt idx="952">
                  <c:v>0.95295295295293803</c:v>
                </c:pt>
                <c:pt idx="953">
                  <c:v>0.953953953953939</c:v>
                </c:pt>
                <c:pt idx="954">
                  <c:v>0.95495495495493998</c:v>
                </c:pt>
                <c:pt idx="955">
                  <c:v>0.95595595595594096</c:v>
                </c:pt>
                <c:pt idx="956">
                  <c:v>0.95695695695694194</c:v>
                </c:pt>
                <c:pt idx="957">
                  <c:v>0.95795795795794292</c:v>
                </c:pt>
                <c:pt idx="958">
                  <c:v>0.9589589589589439</c:v>
                </c:pt>
                <c:pt idx="959">
                  <c:v>0.95995995995994488</c:v>
                </c:pt>
                <c:pt idx="960">
                  <c:v>0.96096096096094585</c:v>
                </c:pt>
                <c:pt idx="961">
                  <c:v>0.96196196196194683</c:v>
                </c:pt>
                <c:pt idx="962">
                  <c:v>0.96296296296294781</c:v>
                </c:pt>
                <c:pt idx="963">
                  <c:v>0.96396396396394879</c:v>
                </c:pt>
                <c:pt idx="964">
                  <c:v>0.96496496496494977</c:v>
                </c:pt>
                <c:pt idx="965">
                  <c:v>0.96596596596595075</c:v>
                </c:pt>
                <c:pt idx="966">
                  <c:v>0.96696696696695172</c:v>
                </c:pt>
                <c:pt idx="967">
                  <c:v>0.9679679679679527</c:v>
                </c:pt>
                <c:pt idx="968">
                  <c:v>0.96896896896895368</c:v>
                </c:pt>
                <c:pt idx="969">
                  <c:v>0.96996996996995466</c:v>
                </c:pt>
                <c:pt idx="970">
                  <c:v>0.97097097097095564</c:v>
                </c:pt>
                <c:pt idx="971">
                  <c:v>0.97197197197195662</c:v>
                </c:pt>
                <c:pt idx="972">
                  <c:v>0.97297297297295759</c:v>
                </c:pt>
                <c:pt idx="973">
                  <c:v>0.97397397397395857</c:v>
                </c:pt>
                <c:pt idx="974">
                  <c:v>0.97497497497495955</c:v>
                </c:pt>
                <c:pt idx="975">
                  <c:v>0.97597597597596053</c:v>
                </c:pt>
                <c:pt idx="976">
                  <c:v>0.97697697697696151</c:v>
                </c:pt>
                <c:pt idx="977">
                  <c:v>0.97797797797796249</c:v>
                </c:pt>
                <c:pt idx="978">
                  <c:v>0.97897897897896347</c:v>
                </c:pt>
                <c:pt idx="979">
                  <c:v>0.97997997997996444</c:v>
                </c:pt>
                <c:pt idx="980">
                  <c:v>0.98098098098096542</c:v>
                </c:pt>
                <c:pt idx="981">
                  <c:v>0.9819819819819664</c:v>
                </c:pt>
                <c:pt idx="982">
                  <c:v>0.98298298298296738</c:v>
                </c:pt>
                <c:pt idx="983">
                  <c:v>0.98398398398396836</c:v>
                </c:pt>
                <c:pt idx="984">
                  <c:v>0.98498498498496934</c:v>
                </c:pt>
                <c:pt idx="985">
                  <c:v>0.98598598598597031</c:v>
                </c:pt>
                <c:pt idx="986">
                  <c:v>0.98698698698697129</c:v>
                </c:pt>
                <c:pt idx="987">
                  <c:v>0.98798798798797227</c:v>
                </c:pt>
                <c:pt idx="988">
                  <c:v>0.98898898898897325</c:v>
                </c:pt>
                <c:pt idx="989">
                  <c:v>0.98998998998997423</c:v>
                </c:pt>
                <c:pt idx="990">
                  <c:v>0.99099099099097521</c:v>
                </c:pt>
                <c:pt idx="991">
                  <c:v>0.99199199199197619</c:v>
                </c:pt>
                <c:pt idx="992">
                  <c:v>0.99299299299297716</c:v>
                </c:pt>
                <c:pt idx="993">
                  <c:v>0.99399399399397814</c:v>
                </c:pt>
                <c:pt idx="994">
                  <c:v>0.99499499499497912</c:v>
                </c:pt>
                <c:pt idx="995">
                  <c:v>0.9959959959959801</c:v>
                </c:pt>
                <c:pt idx="996">
                  <c:v>0.99699699699698108</c:v>
                </c:pt>
                <c:pt idx="997">
                  <c:v>0.99799799799798206</c:v>
                </c:pt>
                <c:pt idx="998">
                  <c:v>0.99899899899898303</c:v>
                </c:pt>
                <c:pt idx="999">
                  <c:v>0.99999999999998401</c:v>
                </c:pt>
              </c:numCache>
            </c:numRef>
          </c:yVal>
          <c:smooth val="1"/>
        </c:ser>
        <c:axId val="186249984"/>
        <c:axId val="186251520"/>
      </c:scatterChart>
      <c:valAx>
        <c:axId val="186249984"/>
        <c:scaling>
          <c:orientation val="minMax"/>
          <c:max val="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251520"/>
        <c:crosses val="autoZero"/>
        <c:crossBetween val="midCat"/>
      </c:valAx>
      <c:valAx>
        <c:axId val="186251520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Prob</a:t>
                </a:r>
              </a:p>
            </c:rich>
          </c:tx>
          <c:layout>
            <c:manualLayout>
              <c:xMode val="edge"/>
              <c:yMode val="edge"/>
              <c:x val="1.7856208694439116E-2"/>
              <c:y val="0.47652499856568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249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863724344778277"/>
          <c:y val="0.9497861272781748"/>
          <c:w val="0.15066176085933006"/>
          <c:h val="3.9166438238275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5" right="0.75" top="1" bottom="1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133350</xdr:colOff>
      <xdr:row>35</xdr:row>
      <xdr:rowOff>57150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28</xdr:col>
      <xdr:colOff>133350</xdr:colOff>
      <xdr:row>35</xdr:row>
      <xdr:rowOff>57150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14</xdr:col>
      <xdr:colOff>133350</xdr:colOff>
      <xdr:row>75</xdr:row>
      <xdr:rowOff>57150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0</xdr:rowOff>
    </xdr:from>
    <xdr:to>
      <xdr:col>29</xdr:col>
      <xdr:colOff>133350</xdr:colOff>
      <xdr:row>75</xdr:row>
      <xdr:rowOff>57150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76</xdr:row>
      <xdr:rowOff>0</xdr:rowOff>
    </xdr:from>
    <xdr:to>
      <xdr:col>14</xdr:col>
      <xdr:colOff>133350</xdr:colOff>
      <xdr:row>111</xdr:row>
      <xdr:rowOff>57150</xdr:rowOff>
    </xdr:to>
    <xdr:graphicFrame macro="">
      <xdr:nvGraphicFramePr>
        <xdr:cNvPr id="10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0"/>
  <sheetViews>
    <sheetView tabSelected="1" workbookViewId="0">
      <selection activeCell="A3" sqref="A3"/>
    </sheetView>
  </sheetViews>
  <sheetFormatPr defaultRowHeight="12.75"/>
  <sheetData>
    <row r="1" spans="1:6">
      <c r="A1" s="1" t="str">
        <f ca="1">_xll.WBNAME()</f>
        <v>Latin Hypercube Demo.xlsx</v>
      </c>
    </row>
    <row r="2" spans="1:6">
      <c r="A2" t="s">
        <v>9</v>
      </c>
    </row>
    <row r="3" spans="1:6">
      <c r="A3" t="s">
        <v>35</v>
      </c>
    </row>
    <row r="7" spans="1:6">
      <c r="B7" t="s">
        <v>12</v>
      </c>
      <c r="D7" t="s">
        <v>13</v>
      </c>
      <c r="F7" t="s">
        <v>32</v>
      </c>
    </row>
    <row r="8" spans="1:6">
      <c r="B8" t="s">
        <v>10</v>
      </c>
      <c r="D8" t="s">
        <v>14</v>
      </c>
      <c r="F8" t="s">
        <v>33</v>
      </c>
    </row>
    <row r="9" spans="1:6">
      <c r="B9" t="s">
        <v>11</v>
      </c>
      <c r="D9" t="s">
        <v>15</v>
      </c>
      <c r="F9" t="s">
        <v>16</v>
      </c>
    </row>
    <row r="10" spans="1:6">
      <c r="A10" t="s">
        <v>17</v>
      </c>
      <c r="B10">
        <f ca="1">RAND()</f>
        <v>0.20364609262016398</v>
      </c>
      <c r="C10" t="s">
        <v>7</v>
      </c>
      <c r="D10">
        <f ca="1">_xll.UNIFORM()</f>
        <v>0.8087158203125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08"/>
  <sheetViews>
    <sheetView workbookViewId="0">
      <selection activeCell="H31" sqref="H31"/>
    </sheetView>
  </sheetViews>
  <sheetFormatPr defaultRowHeight="12.75"/>
  <sheetData>
    <row r="1" spans="1:3">
      <c r="A1" t="s">
        <v>34</v>
      </c>
    </row>
    <row r="2" spans="1:3">
      <c r="A2" t="s">
        <v>0</v>
      </c>
      <c r="B2" t="str">
        <f ca="1">ADDRESS(ROW(Sheet1!$B$10),COLUMN(Sheet1!$B$10),4,,_xll.WSNAME(Sheet1!$B$10))</f>
        <v>Sheet1!B10</v>
      </c>
      <c r="C2" t="str">
        <f ca="1">ADDRESS(ROW(Sheet1!$D$10),COLUMN(Sheet1!$D$10),4,,_xll.WSNAME(Sheet1!$D$10))</f>
        <v>Sheet1!D10</v>
      </c>
    </row>
    <row r="3" spans="1:3">
      <c r="A3" t="s">
        <v>1</v>
      </c>
      <c r="B3">
        <f>AVERAGE(B9:B108)</f>
        <v>0.46644872259063519</v>
      </c>
      <c r="C3">
        <f>AVERAGE(C9:C108)</f>
        <v>0.49989923429114286</v>
      </c>
    </row>
    <row r="4" spans="1:3">
      <c r="A4" t="s">
        <v>2</v>
      </c>
      <c r="B4">
        <f>STDEV(B9:B108)</f>
        <v>0.2724978108779304</v>
      </c>
      <c r="C4">
        <f>STDEV(C9:C108)</f>
        <v>0.29046935777561278</v>
      </c>
    </row>
    <row r="5" spans="1:3">
      <c r="A5" t="s">
        <v>3</v>
      </c>
      <c r="B5">
        <f>100*B4/B3</f>
        <v>58.419671376628457</v>
      </c>
      <c r="C5">
        <f>100*C4/C3</f>
        <v>58.105581655370678</v>
      </c>
    </row>
    <row r="6" spans="1:3">
      <c r="A6" t="s">
        <v>4</v>
      </c>
      <c r="B6">
        <f>MIN(B9:B108)</f>
        <v>3.7057290026496048E-2</v>
      </c>
      <c r="C6">
        <f>MIN(C9:C108)</f>
        <v>5.8364386777012703E-3</v>
      </c>
    </row>
    <row r="7" spans="1:3">
      <c r="A7" t="s">
        <v>5</v>
      </c>
      <c r="B7">
        <f>MAX(B9:B108)</f>
        <v>0.992566056825126</v>
      </c>
      <c r="C7">
        <f>MAX(C9:C108)</f>
        <v>0.99803661999246951</v>
      </c>
    </row>
    <row r="8" spans="1:3">
      <c r="A8" t="s">
        <v>6</v>
      </c>
      <c r="B8" t="str">
        <f>Sheet1!$A$10</f>
        <v>Monte</v>
      </c>
      <c r="C8" t="str">
        <f>Sheet1!$C$10</f>
        <v>Latin</v>
      </c>
    </row>
    <row r="9" spans="1:3">
      <c r="A9">
        <v>1</v>
      </c>
      <c r="B9">
        <v>0.11600384051871515</v>
      </c>
      <c r="C9">
        <v>0.51126916564564906</v>
      </c>
    </row>
    <row r="10" spans="1:3">
      <c r="A10">
        <v>2</v>
      </c>
      <c r="B10">
        <v>4.0046499791060342E-2</v>
      </c>
      <c r="C10">
        <v>0.31847798497846308</v>
      </c>
    </row>
    <row r="11" spans="1:3">
      <c r="A11">
        <v>3</v>
      </c>
      <c r="B11">
        <v>0.57089796790296532</v>
      </c>
      <c r="C11">
        <v>0.58609038374295697</v>
      </c>
    </row>
    <row r="12" spans="1:3">
      <c r="A12">
        <v>4</v>
      </c>
      <c r="B12">
        <v>0.46087894283664355</v>
      </c>
      <c r="C12">
        <v>0.7955712200038999</v>
      </c>
    </row>
    <row r="13" spans="1:3">
      <c r="A13">
        <v>5</v>
      </c>
      <c r="B13">
        <v>0.42314247678041284</v>
      </c>
      <c r="C13">
        <v>0.94057658483054885</v>
      </c>
    </row>
    <row r="14" spans="1:3">
      <c r="A14">
        <v>6</v>
      </c>
      <c r="B14">
        <v>0.7452836899437898</v>
      </c>
      <c r="C14">
        <v>0.74559180392548252</v>
      </c>
    </row>
    <row r="15" spans="1:3">
      <c r="A15">
        <v>7</v>
      </c>
      <c r="B15">
        <v>0.71512393769444316</v>
      </c>
      <c r="C15">
        <v>9.2492334331034765E-2</v>
      </c>
    </row>
    <row r="16" spans="1:3">
      <c r="A16">
        <v>8</v>
      </c>
      <c r="B16">
        <v>0.27930815175841417</v>
      </c>
      <c r="C16">
        <v>0.28899431797652375</v>
      </c>
    </row>
    <row r="17" spans="1:3">
      <c r="A17">
        <v>9</v>
      </c>
      <c r="B17">
        <v>0.2012136498142354</v>
      </c>
      <c r="C17">
        <v>0.9543367437283361</v>
      </c>
    </row>
    <row r="18" spans="1:3">
      <c r="A18">
        <v>10</v>
      </c>
      <c r="B18">
        <v>0.97970081531184405</v>
      </c>
      <c r="C18">
        <v>0.66164976006645004</v>
      </c>
    </row>
    <row r="19" spans="1:3">
      <c r="A19">
        <v>11</v>
      </c>
      <c r="B19">
        <v>8.5957655508565267E-2</v>
      </c>
      <c r="C19">
        <v>0.67845584751070842</v>
      </c>
    </row>
    <row r="20" spans="1:3">
      <c r="A20">
        <v>12</v>
      </c>
      <c r="B20">
        <v>0.42961502010257391</v>
      </c>
      <c r="C20">
        <v>0.24444231474177033</v>
      </c>
    </row>
    <row r="21" spans="1:3">
      <c r="A21">
        <v>13</v>
      </c>
      <c r="B21">
        <v>8.4028913494876178E-2</v>
      </c>
      <c r="C21">
        <v>0.92774711055395831</v>
      </c>
    </row>
    <row r="22" spans="1:3">
      <c r="A22">
        <v>14</v>
      </c>
      <c r="B22">
        <v>0.19644183223135769</v>
      </c>
      <c r="C22">
        <v>0.14429611447832921</v>
      </c>
    </row>
    <row r="23" spans="1:3">
      <c r="A23">
        <v>15</v>
      </c>
      <c r="B23">
        <v>0.52907354821581976</v>
      </c>
      <c r="C23">
        <v>0.29918596772690909</v>
      </c>
    </row>
    <row r="24" spans="1:3">
      <c r="A24">
        <v>16</v>
      </c>
      <c r="B24">
        <v>4.4691026901091391E-2</v>
      </c>
      <c r="C24">
        <v>0.4740555231748278</v>
      </c>
    </row>
    <row r="25" spans="1:3">
      <c r="A25">
        <v>17</v>
      </c>
      <c r="B25">
        <v>0.27438373665609106</v>
      </c>
      <c r="C25">
        <v>0.81864450740363548</v>
      </c>
    </row>
    <row r="26" spans="1:3">
      <c r="A26">
        <v>18</v>
      </c>
      <c r="B26">
        <v>0.46300430934297765</v>
      </c>
      <c r="C26">
        <v>0.55703279673751271</v>
      </c>
    </row>
    <row r="27" spans="1:3">
      <c r="A27">
        <v>19</v>
      </c>
      <c r="B27">
        <v>4.5059477801260073E-2</v>
      </c>
      <c r="C27">
        <v>0.77626457763981649</v>
      </c>
    </row>
    <row r="28" spans="1:3">
      <c r="A28">
        <v>20</v>
      </c>
      <c r="B28">
        <v>0.37183928260765242</v>
      </c>
      <c r="C28">
        <v>0.62188420463397265</v>
      </c>
    </row>
    <row r="29" spans="1:3">
      <c r="A29">
        <v>21</v>
      </c>
      <c r="B29">
        <v>0.21844277004493051</v>
      </c>
      <c r="C29">
        <v>1.1029519755632967E-2</v>
      </c>
    </row>
    <row r="30" spans="1:3">
      <c r="A30">
        <v>22</v>
      </c>
      <c r="B30">
        <v>0.40593543534396304</v>
      </c>
      <c r="C30">
        <v>0.18108673904582084</v>
      </c>
    </row>
    <row r="31" spans="1:3">
      <c r="A31">
        <v>23</v>
      </c>
      <c r="B31">
        <v>0.85010564958611212</v>
      </c>
      <c r="C31">
        <v>0.63746610430708761</v>
      </c>
    </row>
    <row r="32" spans="1:3">
      <c r="A32">
        <v>24</v>
      </c>
      <c r="B32">
        <v>0.96947317003741773</v>
      </c>
      <c r="C32">
        <v>0.13363331270488754</v>
      </c>
    </row>
    <row r="33" spans="1:3">
      <c r="A33">
        <v>25</v>
      </c>
      <c r="B33">
        <v>0.37646724846126745</v>
      </c>
      <c r="C33">
        <v>0.87208117881139768</v>
      </c>
    </row>
    <row r="34" spans="1:3">
      <c r="A34">
        <v>26</v>
      </c>
      <c r="B34">
        <v>0.9069003277209049</v>
      </c>
      <c r="C34">
        <v>0.40872098709892507</v>
      </c>
    </row>
    <row r="35" spans="1:3">
      <c r="A35">
        <v>27</v>
      </c>
      <c r="B35">
        <v>0.28901737346495793</v>
      </c>
      <c r="C35">
        <v>0.50837004595398205</v>
      </c>
    </row>
    <row r="36" spans="1:3">
      <c r="A36">
        <v>28</v>
      </c>
      <c r="B36">
        <v>0.31451797147474281</v>
      </c>
      <c r="C36">
        <v>0.26570408656161837</v>
      </c>
    </row>
    <row r="37" spans="1:3">
      <c r="A37">
        <v>29</v>
      </c>
      <c r="B37">
        <v>0.58769023468994419</v>
      </c>
      <c r="C37">
        <v>0.83827693247429025</v>
      </c>
    </row>
    <row r="38" spans="1:3">
      <c r="A38">
        <v>30</v>
      </c>
      <c r="B38">
        <v>0.3233544853856074</v>
      </c>
      <c r="C38">
        <v>0.57487135888190732</v>
      </c>
    </row>
    <row r="39" spans="1:3">
      <c r="A39">
        <v>31</v>
      </c>
      <c r="B39">
        <v>0.68269403864361777</v>
      </c>
      <c r="C39">
        <v>0.48241032336196171</v>
      </c>
    </row>
    <row r="40" spans="1:3">
      <c r="A40">
        <v>32</v>
      </c>
      <c r="B40">
        <v>0.85065433945641189</v>
      </c>
      <c r="C40">
        <v>0.46506187083084649</v>
      </c>
    </row>
    <row r="41" spans="1:3">
      <c r="A41">
        <v>33</v>
      </c>
      <c r="B41">
        <v>0.1131104924261308</v>
      </c>
      <c r="C41">
        <v>0.45273968598636322</v>
      </c>
    </row>
    <row r="42" spans="1:3">
      <c r="A42">
        <v>34</v>
      </c>
      <c r="B42">
        <v>0.28299876991604833</v>
      </c>
      <c r="C42">
        <v>0.96403672975814825</v>
      </c>
    </row>
    <row r="43" spans="1:3">
      <c r="A43">
        <v>35</v>
      </c>
      <c r="B43">
        <v>0.58972382949286839</v>
      </c>
      <c r="C43">
        <v>0.80522122536441798</v>
      </c>
    </row>
    <row r="44" spans="1:3">
      <c r="A44">
        <v>36</v>
      </c>
      <c r="B44">
        <v>0.59491115383116266</v>
      </c>
      <c r="C44">
        <v>0.17785570437038684</v>
      </c>
    </row>
    <row r="45" spans="1:3">
      <c r="A45">
        <v>37</v>
      </c>
      <c r="B45">
        <v>0.90564463885857549</v>
      </c>
      <c r="C45">
        <v>0.91257989430394493</v>
      </c>
    </row>
    <row r="46" spans="1:3">
      <c r="A46">
        <v>38</v>
      </c>
      <c r="B46">
        <v>0.70741324741993594</v>
      </c>
      <c r="C46">
        <v>0.84349910452810561</v>
      </c>
    </row>
    <row r="47" spans="1:3">
      <c r="A47">
        <v>39</v>
      </c>
      <c r="B47">
        <v>0.66041706534088007</v>
      </c>
      <c r="C47">
        <v>0.56314642947473248</v>
      </c>
    </row>
    <row r="48" spans="1:3">
      <c r="A48">
        <v>40</v>
      </c>
      <c r="B48">
        <v>0.992566056825126</v>
      </c>
      <c r="C48">
        <v>0.43270966094515978</v>
      </c>
    </row>
    <row r="49" spans="1:3">
      <c r="A49">
        <v>41</v>
      </c>
      <c r="B49">
        <v>0.93449468091966992</v>
      </c>
      <c r="C49">
        <v>0.99803661999246951</v>
      </c>
    </row>
    <row r="50" spans="1:3">
      <c r="A50">
        <v>42</v>
      </c>
      <c r="B50">
        <v>0.21909831080211006</v>
      </c>
      <c r="C50">
        <v>0.6832338133694682</v>
      </c>
    </row>
    <row r="51" spans="1:3">
      <c r="A51">
        <v>43</v>
      </c>
      <c r="B51">
        <v>9.1904677829006687E-2</v>
      </c>
      <c r="C51">
        <v>0.71909695705377885</v>
      </c>
    </row>
    <row r="52" spans="1:3">
      <c r="A52">
        <v>44</v>
      </c>
      <c r="B52">
        <v>0.31114239638827712</v>
      </c>
      <c r="C52">
        <v>0.20037947915270446</v>
      </c>
    </row>
    <row r="53" spans="1:3">
      <c r="A53">
        <v>45</v>
      </c>
      <c r="B53">
        <v>0.38774789456147118</v>
      </c>
      <c r="C53">
        <v>0.19684149779538657</v>
      </c>
    </row>
    <row r="54" spans="1:3">
      <c r="A54">
        <v>46</v>
      </c>
      <c r="B54">
        <v>0.41684910248932283</v>
      </c>
      <c r="C54">
        <v>0.30939301431397742</v>
      </c>
    </row>
    <row r="55" spans="1:3">
      <c r="A55">
        <v>47</v>
      </c>
      <c r="B55">
        <v>6.8192063064998365E-2</v>
      </c>
      <c r="C55">
        <v>0.90715699763669566</v>
      </c>
    </row>
    <row r="56" spans="1:3">
      <c r="A56">
        <v>48</v>
      </c>
      <c r="B56">
        <v>0.96662732210916147</v>
      </c>
      <c r="C56">
        <v>0.85469332843429724</v>
      </c>
    </row>
    <row r="57" spans="1:3">
      <c r="A57">
        <v>49</v>
      </c>
      <c r="B57">
        <v>0.40263515443075448</v>
      </c>
      <c r="C57">
        <v>0.10107154121414562</v>
      </c>
    </row>
    <row r="58" spans="1:3">
      <c r="A58">
        <v>50</v>
      </c>
      <c r="B58">
        <v>0.87012371706441627</v>
      </c>
      <c r="C58">
        <v>0.223788491297464</v>
      </c>
    </row>
    <row r="59" spans="1:3">
      <c r="A59">
        <v>51</v>
      </c>
      <c r="B59">
        <v>0.3273182973425719</v>
      </c>
      <c r="C59">
        <v>0.8831880966930622</v>
      </c>
    </row>
    <row r="60" spans="1:3">
      <c r="A60">
        <v>52</v>
      </c>
      <c r="B60">
        <v>0.43557826507731079</v>
      </c>
      <c r="C60">
        <v>0.69642252607420618</v>
      </c>
    </row>
    <row r="61" spans="1:3">
      <c r="A61">
        <v>53</v>
      </c>
      <c r="B61">
        <v>0.35188994273266871</v>
      </c>
      <c r="C61">
        <v>0.70529209907755541</v>
      </c>
    </row>
    <row r="62" spans="1:3">
      <c r="A62">
        <v>54</v>
      </c>
      <c r="B62">
        <v>8.6523705808758677E-2</v>
      </c>
      <c r="C62">
        <v>0.60545256825523741</v>
      </c>
    </row>
    <row r="63" spans="1:3">
      <c r="A63">
        <v>55</v>
      </c>
      <c r="B63">
        <v>0.34497463262050587</v>
      </c>
      <c r="C63">
        <v>0.61885989426142995</v>
      </c>
    </row>
    <row r="64" spans="1:3">
      <c r="A64">
        <v>56</v>
      </c>
      <c r="B64">
        <v>0.25394716412938578</v>
      </c>
      <c r="C64">
        <v>0.12176168937277089</v>
      </c>
    </row>
    <row r="65" spans="1:3">
      <c r="A65">
        <v>57</v>
      </c>
      <c r="B65">
        <v>0.81532596554461634</v>
      </c>
      <c r="C65">
        <v>0.93947105472895098</v>
      </c>
    </row>
    <row r="66" spans="1:3">
      <c r="A66">
        <v>58</v>
      </c>
      <c r="B66">
        <v>0.61978010134316719</v>
      </c>
      <c r="C66">
        <v>0.15064357486568475</v>
      </c>
    </row>
    <row r="67" spans="1:3">
      <c r="A67">
        <v>59</v>
      </c>
      <c r="B67">
        <v>0.25139436590143305</v>
      </c>
      <c r="C67">
        <v>0.36720363544235091</v>
      </c>
    </row>
    <row r="68" spans="1:3">
      <c r="A68">
        <v>60</v>
      </c>
      <c r="B68">
        <v>0.54919590909867111</v>
      </c>
      <c r="C68">
        <v>0.722169054649344</v>
      </c>
    </row>
    <row r="69" spans="1:3">
      <c r="A69">
        <v>61</v>
      </c>
      <c r="B69">
        <v>0.67261072867768235</v>
      </c>
      <c r="C69">
        <v>0.82635747197930642</v>
      </c>
    </row>
    <row r="70" spans="1:3">
      <c r="A70">
        <v>62</v>
      </c>
      <c r="B70">
        <v>0.11146349749469664</v>
      </c>
      <c r="C70">
        <v>0.21189330433306594</v>
      </c>
    </row>
    <row r="71" spans="1:3">
      <c r="A71">
        <v>63</v>
      </c>
      <c r="B71">
        <v>0.47877497934950952</v>
      </c>
      <c r="C71">
        <v>0.73893844328563163</v>
      </c>
    </row>
    <row r="72" spans="1:3">
      <c r="A72">
        <v>64</v>
      </c>
      <c r="B72">
        <v>0.41952152469639259</v>
      </c>
      <c r="C72">
        <v>0.33755382060249189</v>
      </c>
    </row>
    <row r="73" spans="1:3">
      <c r="A73">
        <v>65</v>
      </c>
      <c r="B73">
        <v>0.85699384261261002</v>
      </c>
      <c r="C73">
        <v>0.25138206581151629</v>
      </c>
    </row>
    <row r="74" spans="1:3">
      <c r="A74">
        <v>66</v>
      </c>
      <c r="B74">
        <v>0.94590818159122136</v>
      </c>
      <c r="C74">
        <v>0.38022765080449816</v>
      </c>
    </row>
    <row r="75" spans="1:3">
      <c r="A75">
        <v>67</v>
      </c>
      <c r="B75">
        <v>0.55145869646275969</v>
      </c>
      <c r="C75">
        <v>2.7211397471188427E-2</v>
      </c>
    </row>
    <row r="76" spans="1:3">
      <c r="A76">
        <v>68</v>
      </c>
      <c r="B76">
        <v>0.14332389346782293</v>
      </c>
      <c r="C76">
        <v>0.11522016191510953</v>
      </c>
    </row>
    <row r="77" spans="1:3">
      <c r="A77">
        <v>69</v>
      </c>
      <c r="B77">
        <v>8.1165492179025023E-2</v>
      </c>
      <c r="C77">
        <v>8.624309638660474E-2</v>
      </c>
    </row>
    <row r="78" spans="1:3">
      <c r="A78">
        <v>70</v>
      </c>
      <c r="B78">
        <v>0.54878723358706338</v>
      </c>
      <c r="C78">
        <v>0.32804312526435664</v>
      </c>
    </row>
    <row r="79" spans="1:3">
      <c r="A79">
        <v>71</v>
      </c>
      <c r="B79">
        <v>0.41015502452046348</v>
      </c>
      <c r="C79">
        <v>0.76053269234963994</v>
      </c>
    </row>
    <row r="80" spans="1:3">
      <c r="A80">
        <v>72</v>
      </c>
      <c r="B80">
        <v>0.41675514822600235</v>
      </c>
      <c r="C80">
        <v>0.16054625971721165</v>
      </c>
    </row>
    <row r="81" spans="1:3">
      <c r="A81">
        <v>73</v>
      </c>
      <c r="B81">
        <v>0.13197296864836972</v>
      </c>
      <c r="C81">
        <v>0.34503667930025528</v>
      </c>
    </row>
    <row r="82" spans="1:3">
      <c r="A82">
        <v>74</v>
      </c>
      <c r="B82">
        <v>0.26635597733184113</v>
      </c>
      <c r="C82">
        <v>5.8364386777012703E-3</v>
      </c>
    </row>
    <row r="83" spans="1:3">
      <c r="A83">
        <v>75</v>
      </c>
      <c r="B83">
        <v>0.73410291901291203</v>
      </c>
      <c r="C83">
        <v>0.39204179710988929</v>
      </c>
    </row>
    <row r="84" spans="1:3">
      <c r="A84">
        <v>76</v>
      </c>
      <c r="B84">
        <v>0.95764205656269041</v>
      </c>
      <c r="C84">
        <v>4.3198358396347232E-2</v>
      </c>
    </row>
    <row r="85" spans="1:3">
      <c r="A85">
        <v>77</v>
      </c>
      <c r="B85">
        <v>0.5743707519450254</v>
      </c>
      <c r="C85">
        <v>0.78039708568956645</v>
      </c>
    </row>
    <row r="86" spans="1:3">
      <c r="A86">
        <v>78</v>
      </c>
      <c r="B86">
        <v>0.8174392304772482</v>
      </c>
      <c r="C86">
        <v>7.640112944562015E-2</v>
      </c>
    </row>
    <row r="87" spans="1:3">
      <c r="A87">
        <v>79</v>
      </c>
      <c r="B87">
        <v>0.35464542682984757</v>
      </c>
      <c r="C87">
        <v>0.52989418409529465</v>
      </c>
    </row>
    <row r="88" spans="1:3">
      <c r="A88">
        <v>80</v>
      </c>
      <c r="B88">
        <v>0.55626438916806364</v>
      </c>
      <c r="C88">
        <v>0.23158280179174218</v>
      </c>
    </row>
    <row r="89" spans="1:3">
      <c r="A89">
        <v>81</v>
      </c>
      <c r="B89">
        <v>0.42924162804683874</v>
      </c>
      <c r="C89">
        <v>0.44171845062675852</v>
      </c>
    </row>
    <row r="90" spans="1:3">
      <c r="A90">
        <v>82</v>
      </c>
      <c r="B90">
        <v>0.56069664849565015</v>
      </c>
      <c r="C90">
        <v>0.49139455372500107</v>
      </c>
    </row>
    <row r="91" spans="1:3">
      <c r="A91">
        <v>83</v>
      </c>
      <c r="B91">
        <v>0.75670305324456422</v>
      </c>
      <c r="C91">
        <v>0.5498007313045209</v>
      </c>
    </row>
    <row r="92" spans="1:3">
      <c r="A92">
        <v>84</v>
      </c>
      <c r="B92">
        <v>0.3299242703606069</v>
      </c>
      <c r="C92">
        <v>0.27336321862725615</v>
      </c>
    </row>
    <row r="93" spans="1:3">
      <c r="A93">
        <v>85</v>
      </c>
      <c r="B93">
        <v>0.5661625116645439</v>
      </c>
      <c r="C93">
        <v>0.42869595140654032</v>
      </c>
    </row>
    <row r="94" spans="1:3">
      <c r="A94">
        <v>86</v>
      </c>
      <c r="B94">
        <v>0.24707249325001612</v>
      </c>
      <c r="C94">
        <v>0.65638662444110651</v>
      </c>
    </row>
    <row r="95" spans="1:3">
      <c r="A95">
        <v>87</v>
      </c>
      <c r="B95">
        <v>0.85045890859601059</v>
      </c>
      <c r="C95">
        <v>0.5321845179568474</v>
      </c>
    </row>
    <row r="96" spans="1:3">
      <c r="A96">
        <v>88</v>
      </c>
      <c r="B96">
        <v>3.741123523832357E-2</v>
      </c>
      <c r="C96">
        <v>0.86467567252569733</v>
      </c>
    </row>
    <row r="97" spans="1:13">
      <c r="A97">
        <v>89</v>
      </c>
      <c r="B97">
        <v>0.47192936575902422</v>
      </c>
      <c r="C97">
        <v>0.59291024018612459</v>
      </c>
    </row>
    <row r="98" spans="1:13">
      <c r="A98">
        <v>90</v>
      </c>
      <c r="B98">
        <v>0.16876830807086662</v>
      </c>
      <c r="C98">
        <v>0.64467205576474595</v>
      </c>
    </row>
    <row r="99" spans="1:13">
      <c r="A99">
        <v>91</v>
      </c>
      <c r="B99">
        <v>0.18255461192802613</v>
      </c>
      <c r="C99">
        <v>0.98301842126134276</v>
      </c>
    </row>
    <row r="100" spans="1:13">
      <c r="A100">
        <v>92</v>
      </c>
      <c r="B100">
        <v>0.4078295772196725</v>
      </c>
      <c r="C100">
        <v>6.0846113544154472E-2</v>
      </c>
    </row>
    <row r="101" spans="1:13">
      <c r="A101">
        <v>93</v>
      </c>
      <c r="B101">
        <v>0.79157663515343302</v>
      </c>
      <c r="C101">
        <v>0.37617190657560057</v>
      </c>
    </row>
    <row r="102" spans="1:13">
      <c r="A102">
        <v>94</v>
      </c>
      <c r="B102">
        <v>0.48386145851145557</v>
      </c>
      <c r="C102">
        <v>5.8572716808079912E-2</v>
      </c>
    </row>
    <row r="103" spans="1:13">
      <c r="A103">
        <v>95</v>
      </c>
      <c r="B103">
        <v>0.67072098031803762</v>
      </c>
      <c r="C103">
        <v>0.97979962397594933</v>
      </c>
    </row>
    <row r="104" spans="1:13">
      <c r="A104">
        <v>96</v>
      </c>
      <c r="B104">
        <v>0.64513029205045314</v>
      </c>
      <c r="C104">
        <v>0.41699107086215892</v>
      </c>
    </row>
    <row r="105" spans="1:13">
      <c r="A105">
        <v>97</v>
      </c>
      <c r="B105">
        <v>0.3357910099939545</v>
      </c>
      <c r="C105">
        <v>0.89596911148074299</v>
      </c>
    </row>
    <row r="106" spans="1:13">
      <c r="A106">
        <v>98</v>
      </c>
      <c r="B106">
        <v>3.7057290026496048E-2</v>
      </c>
      <c r="C106">
        <v>0.75004567238736097</v>
      </c>
    </row>
    <row r="107" spans="1:13">
      <c r="A107">
        <v>99</v>
      </c>
      <c r="B107">
        <v>0.74525308487591246</v>
      </c>
      <c r="C107">
        <v>3.6875671408343053E-2</v>
      </c>
    </row>
    <row r="108" spans="1:13">
      <c r="A108">
        <v>100</v>
      </c>
      <c r="B108">
        <v>0.51454019052471267</v>
      </c>
      <c r="C108">
        <v>0.35557704778750826</v>
      </c>
      <c r="J108" t="str">
        <f>SimData100!$B$8</f>
        <v>Monte</v>
      </c>
      <c r="K108" t="s">
        <v>8</v>
      </c>
      <c r="L108" t="str">
        <f>SimData100!$C$8</f>
        <v>Latin</v>
      </c>
      <c r="M108" t="s">
        <v>8</v>
      </c>
    </row>
    <row r="109" spans="1:13">
      <c r="J109">
        <f>SMALL(SimData100!$B$9:$B$108,1)</f>
        <v>3.7057290026496048E-2</v>
      </c>
      <c r="K109">
        <v>0</v>
      </c>
      <c r="L109">
        <f>SMALL(SimData100!$C$9:$C$108,1)</f>
        <v>5.8364386777012703E-3</v>
      </c>
      <c r="M109">
        <v>0</v>
      </c>
    </row>
    <row r="110" spans="1:13">
      <c r="A110" t="s">
        <v>18</v>
      </c>
      <c r="J110">
        <f>SMALL(SimData100!$B$9:$B$108,2)</f>
        <v>3.741123523832357E-2</v>
      </c>
      <c r="K110">
        <f>1/(COUNT(SimData100!$B$9:$B$108)-1)+$K$109</f>
        <v>1.0101010101010102E-2</v>
      </c>
      <c r="L110">
        <f>SMALL(SimData100!$C$9:$C$108,2)</f>
        <v>1.1029519755632967E-2</v>
      </c>
      <c r="M110">
        <f>1/(COUNT(SimData100!$C$9:$C$108)-1)+$M$109</f>
        <v>1.0101010101010102E-2</v>
      </c>
    </row>
    <row r="111" spans="1:13">
      <c r="A111" t="s">
        <v>19</v>
      </c>
      <c r="B111" t="str">
        <f>IF(ISBLANK($B110)=TRUE,"",_xll.EDF(B9:B108,$B110))</f>
        <v/>
      </c>
      <c r="C111" t="str">
        <f>IF(ISBLANK($C110)=TRUE,"",_xll.EDF(C9:C108,$C110))</f>
        <v/>
      </c>
      <c r="J111">
        <f>SMALL(SimData100!$B$9:$B$108,3)</f>
        <v>4.0046499791060342E-2</v>
      </c>
      <c r="K111">
        <f>1/(COUNT(SimData100!$B$9:$B$108)-1)+$K$110</f>
        <v>2.0202020202020204E-2</v>
      </c>
      <c r="L111">
        <f>SMALL(SimData100!$C$9:$C$108,3)</f>
        <v>2.7211397471188427E-2</v>
      </c>
      <c r="M111">
        <f>1/(COUNT(SimData100!$C$9:$C$108)-1)+$M$110</f>
        <v>2.0202020202020204E-2</v>
      </c>
    </row>
    <row r="112" spans="1:13">
      <c r="A112" t="s">
        <v>20</v>
      </c>
      <c r="J112">
        <f>SMALL(SimData100!$B$9:$B$108,4)</f>
        <v>4.4691026901091391E-2</v>
      </c>
      <c r="K112">
        <f>1/(COUNT(SimData100!$B$9:$B$108)-1)+$K$111</f>
        <v>3.0303030303030304E-2</v>
      </c>
      <c r="L112">
        <f>SMALL(SimData100!$C$9:$C$108,4)</f>
        <v>3.6875671408343053E-2</v>
      </c>
      <c r="M112">
        <f>1/(COUNT(SimData100!$C$9:$C$108)-1)+$M$111</f>
        <v>3.0303030303030304E-2</v>
      </c>
    </row>
    <row r="113" spans="1:13">
      <c r="A113" t="s">
        <v>21</v>
      </c>
      <c r="B113" t="str">
        <f>IF(ISBLANK($B112)=TRUE,"",_xll.EDF(B9:B108,$B112))</f>
        <v/>
      </c>
      <c r="C113" t="str">
        <f>IF(ISBLANK($C112)=TRUE,"",_xll.EDF(C9:C108,$C112))</f>
        <v/>
      </c>
      <c r="J113">
        <f>SMALL(SimData100!$B$9:$B$108,5)</f>
        <v>4.5059477801260073E-2</v>
      </c>
      <c r="K113">
        <f>1/(COUNT(SimData100!$B$9:$B$108)-1)+$K$112</f>
        <v>4.0404040404040407E-2</v>
      </c>
      <c r="L113">
        <f>SMALL(SimData100!$C$9:$C$108,5)</f>
        <v>4.3198358396347232E-2</v>
      </c>
      <c r="M113">
        <f>1/(COUNT(SimData100!$C$9:$C$108)-1)+$M$112</f>
        <v>4.0404040404040407E-2</v>
      </c>
    </row>
    <row r="114" spans="1:13">
      <c r="A114" t="s">
        <v>22</v>
      </c>
      <c r="J114">
        <f>SMALL(SimData100!$B$9:$B$108,6)</f>
        <v>6.8192063064998365E-2</v>
      </c>
      <c r="K114">
        <f>1/(COUNT(SimData100!$B$9:$B$108)-1)+$K$113</f>
        <v>5.0505050505050511E-2</v>
      </c>
      <c r="L114">
        <f>SMALL(SimData100!$C$9:$C$108,6)</f>
        <v>5.8572716808079912E-2</v>
      </c>
      <c r="M114">
        <f>1/(COUNT(SimData100!$C$9:$C$108)-1)+$M$113</f>
        <v>5.0505050505050511E-2</v>
      </c>
    </row>
    <row r="115" spans="1:13">
      <c r="A115" t="s">
        <v>23</v>
      </c>
      <c r="B115" t="str">
        <f>IF(ISBLANK($B114)=TRUE,"",_xll.EDF(B9:B108,$B114))</f>
        <v/>
      </c>
      <c r="C115" t="str">
        <f>IF(ISBLANK($C114)=TRUE,"",_xll.EDF(C9:C108,$C114))</f>
        <v/>
      </c>
      <c r="J115">
        <f>SMALL(SimData100!$B$9:$B$108,7)</f>
        <v>8.1165492179025023E-2</v>
      </c>
      <c r="K115">
        <f>1/(COUNT(SimData100!$B$9:$B$108)-1)+$K$114</f>
        <v>6.0606060606060615E-2</v>
      </c>
      <c r="L115">
        <f>SMALL(SimData100!$C$9:$C$108,7)</f>
        <v>6.0846113544154472E-2</v>
      </c>
      <c r="M115">
        <f>1/(COUNT(SimData100!$C$9:$C$108)-1)+$M$114</f>
        <v>6.0606060606060615E-2</v>
      </c>
    </row>
    <row r="116" spans="1:13">
      <c r="A116" t="s">
        <v>24</v>
      </c>
      <c r="J116">
        <f>SMALL(SimData100!$B$9:$B$108,8)</f>
        <v>8.4028913494876178E-2</v>
      </c>
      <c r="K116">
        <f>1/(COUNT(SimData100!$B$9:$B$108)-1)+$K$115</f>
        <v>7.0707070707070718E-2</v>
      </c>
      <c r="L116">
        <f>SMALL(SimData100!$C$9:$C$108,8)</f>
        <v>7.640112944562015E-2</v>
      </c>
      <c r="M116">
        <f>1/(COUNT(SimData100!$C$9:$C$108)-1)+$M$115</f>
        <v>7.0707070707070718E-2</v>
      </c>
    </row>
    <row r="117" spans="1:13">
      <c r="A117" t="s">
        <v>25</v>
      </c>
      <c r="B117" t="str">
        <f>IF(ISBLANK($B116)=TRUE,"",_xll.EDF(B9:B108,$B116))</f>
        <v/>
      </c>
      <c r="C117" t="str">
        <f>IF(ISBLANK($C116)=TRUE,"",_xll.EDF(C9:C108,$C116))</f>
        <v/>
      </c>
      <c r="J117">
        <f>SMALL(SimData100!$B$9:$B$108,9)</f>
        <v>8.5957655508565267E-2</v>
      </c>
      <c r="K117">
        <f>1/(COUNT(SimData100!$B$9:$B$108)-1)+$K$116</f>
        <v>8.0808080808080815E-2</v>
      </c>
      <c r="L117">
        <f>SMALL(SimData100!$C$9:$C$108,9)</f>
        <v>8.624309638660474E-2</v>
      </c>
      <c r="M117">
        <f>1/(COUNT(SimData100!$C$9:$C$108)-1)+$M$116</f>
        <v>8.0808080808080815E-2</v>
      </c>
    </row>
    <row r="118" spans="1:13">
      <c r="A118" t="s">
        <v>26</v>
      </c>
      <c r="J118">
        <f>SMALL(SimData100!$B$9:$B$108,10)</f>
        <v>8.6523705808758677E-2</v>
      </c>
      <c r="K118">
        <f>1/(COUNT(SimData100!$B$9:$B$108)-1)+$K$117</f>
        <v>9.0909090909090912E-2</v>
      </c>
      <c r="L118">
        <f>SMALL(SimData100!$C$9:$C$108,10)</f>
        <v>9.2492334331034765E-2</v>
      </c>
      <c r="M118">
        <f>1/(COUNT(SimData100!$C$9:$C$108)-1)+$M$117</f>
        <v>9.0909090909090912E-2</v>
      </c>
    </row>
    <row r="119" spans="1:13">
      <c r="A119" t="s">
        <v>27</v>
      </c>
      <c r="B119" t="str">
        <f>IF(ISBLANK($B118)=TRUE,"",_xll.EDF(B9:B108,$B118))</f>
        <v/>
      </c>
      <c r="C119" t="str">
        <f>IF(ISBLANK($C118)=TRUE,"",_xll.EDF(C9:C108,$C118))</f>
        <v/>
      </c>
      <c r="J119">
        <f>SMALL(SimData100!$B$9:$B$108,11)</f>
        <v>9.1904677829006687E-2</v>
      </c>
      <c r="K119">
        <f>1/(COUNT(SimData100!$B$9:$B$108)-1)+$K$118</f>
        <v>0.10101010101010101</v>
      </c>
      <c r="L119">
        <f>SMALL(SimData100!$C$9:$C$108,11)</f>
        <v>0.10107154121414562</v>
      </c>
      <c r="M119">
        <f>1/(COUNT(SimData100!$C$9:$C$108)-1)+$M$118</f>
        <v>0.10101010101010101</v>
      </c>
    </row>
    <row r="120" spans="1:13">
      <c r="J120">
        <f>SMALL(SimData100!$B$9:$B$108,12)</f>
        <v>0.11146349749469664</v>
      </c>
      <c r="K120">
        <f>1/(COUNT(SimData100!$B$9:$B$108)-1)+$K$119</f>
        <v>0.1111111111111111</v>
      </c>
      <c r="L120">
        <f>SMALL(SimData100!$C$9:$C$108,12)</f>
        <v>0.11522016191510953</v>
      </c>
      <c r="M120">
        <f>1/(COUNT(SimData100!$C$9:$C$108)-1)+$M$119</f>
        <v>0.1111111111111111</v>
      </c>
    </row>
    <row r="121" spans="1:13">
      <c r="J121">
        <f>SMALL(SimData100!$B$9:$B$108,13)</f>
        <v>0.1131104924261308</v>
      </c>
      <c r="K121">
        <f>1/(COUNT(SimData100!$B$9:$B$108)-1)+$K$120</f>
        <v>0.1212121212121212</v>
      </c>
      <c r="L121">
        <f>SMALL(SimData100!$C$9:$C$108,13)</f>
        <v>0.12176168937277089</v>
      </c>
      <c r="M121">
        <f>1/(COUNT(SimData100!$C$9:$C$108)-1)+$M$120</f>
        <v>0.1212121212121212</v>
      </c>
    </row>
    <row r="122" spans="1:13">
      <c r="J122">
        <f>SMALL(SimData100!$B$9:$B$108,14)</f>
        <v>0.11600384051871515</v>
      </c>
      <c r="K122">
        <f>1/(COUNT(SimData100!$B$9:$B$108)-1)+$K$121</f>
        <v>0.1313131313131313</v>
      </c>
      <c r="L122">
        <f>SMALL(SimData100!$C$9:$C$108,14)</f>
        <v>0.13363331270488754</v>
      </c>
      <c r="M122">
        <f>1/(COUNT(SimData100!$C$9:$C$108)-1)+$M$121</f>
        <v>0.1313131313131313</v>
      </c>
    </row>
    <row r="123" spans="1:13">
      <c r="J123">
        <f>SMALL(SimData100!$B$9:$B$108,15)</f>
        <v>0.13197296864836972</v>
      </c>
      <c r="K123">
        <f>1/(COUNT(SimData100!$B$9:$B$108)-1)+$K$122</f>
        <v>0.14141414141414141</v>
      </c>
      <c r="L123">
        <f>SMALL(SimData100!$C$9:$C$108,15)</f>
        <v>0.14429611447832921</v>
      </c>
      <c r="M123">
        <f>1/(COUNT(SimData100!$C$9:$C$108)-1)+$M$122</f>
        <v>0.14141414141414141</v>
      </c>
    </row>
    <row r="124" spans="1:13">
      <c r="J124">
        <f>SMALL(SimData100!$B$9:$B$108,16)</f>
        <v>0.14332389346782293</v>
      </c>
      <c r="K124">
        <f>1/(COUNT(SimData100!$B$9:$B$108)-1)+$K$123</f>
        <v>0.15151515151515152</v>
      </c>
      <c r="L124">
        <f>SMALL(SimData100!$C$9:$C$108,16)</f>
        <v>0.15064357486568475</v>
      </c>
      <c r="M124">
        <f>1/(COUNT(SimData100!$C$9:$C$108)-1)+$M$123</f>
        <v>0.15151515151515152</v>
      </c>
    </row>
    <row r="125" spans="1:13">
      <c r="J125">
        <f>SMALL(SimData100!$B$9:$B$108,17)</f>
        <v>0.16876830807086662</v>
      </c>
      <c r="K125">
        <f>1/(COUNT(SimData100!$B$9:$B$108)-1)+$K$124</f>
        <v>0.16161616161616163</v>
      </c>
      <c r="L125">
        <f>SMALL(SimData100!$C$9:$C$108,17)</f>
        <v>0.16054625971721165</v>
      </c>
      <c r="M125">
        <f>1/(COUNT(SimData100!$C$9:$C$108)-1)+$M$124</f>
        <v>0.16161616161616163</v>
      </c>
    </row>
    <row r="126" spans="1:13">
      <c r="J126">
        <f>SMALL(SimData100!$B$9:$B$108,18)</f>
        <v>0.18255461192802613</v>
      </c>
      <c r="K126">
        <f>1/(COUNT(SimData100!$B$9:$B$108)-1)+$K$125</f>
        <v>0.17171717171717174</v>
      </c>
      <c r="L126">
        <f>SMALL(SimData100!$C$9:$C$108,18)</f>
        <v>0.17785570437038684</v>
      </c>
      <c r="M126">
        <f>1/(COUNT(SimData100!$C$9:$C$108)-1)+$M$125</f>
        <v>0.17171717171717174</v>
      </c>
    </row>
    <row r="127" spans="1:13">
      <c r="J127">
        <f>SMALL(SimData100!$B$9:$B$108,19)</f>
        <v>0.19644183223135769</v>
      </c>
      <c r="K127">
        <f>1/(COUNT(SimData100!$B$9:$B$108)-1)+$K$126</f>
        <v>0.18181818181818185</v>
      </c>
      <c r="L127">
        <f>SMALL(SimData100!$C$9:$C$108,19)</f>
        <v>0.18108673904582084</v>
      </c>
      <c r="M127">
        <f>1/(COUNT(SimData100!$C$9:$C$108)-1)+$M$126</f>
        <v>0.18181818181818185</v>
      </c>
    </row>
    <row r="128" spans="1:13">
      <c r="J128">
        <f>SMALL(SimData100!$B$9:$B$108,20)</f>
        <v>0.2012136498142354</v>
      </c>
      <c r="K128">
        <f>1/(COUNT(SimData100!$B$9:$B$108)-1)+$K$127</f>
        <v>0.19191919191919196</v>
      </c>
      <c r="L128">
        <f>SMALL(SimData100!$C$9:$C$108,20)</f>
        <v>0.19684149779538657</v>
      </c>
      <c r="M128">
        <f>1/(COUNT(SimData100!$C$9:$C$108)-1)+$M$127</f>
        <v>0.19191919191919196</v>
      </c>
    </row>
    <row r="129" spans="10:13">
      <c r="J129">
        <f>SMALL(SimData100!$B$9:$B$108,21)</f>
        <v>0.21844277004493051</v>
      </c>
      <c r="K129">
        <f>1/(COUNT(SimData100!$B$9:$B$108)-1)+$K$128</f>
        <v>0.20202020202020207</v>
      </c>
      <c r="L129">
        <f>SMALL(SimData100!$C$9:$C$108,21)</f>
        <v>0.20037947915270446</v>
      </c>
      <c r="M129">
        <f>1/(COUNT(SimData100!$C$9:$C$108)-1)+$M$128</f>
        <v>0.20202020202020207</v>
      </c>
    </row>
    <row r="130" spans="10:13">
      <c r="J130">
        <f>SMALL(SimData100!$B$9:$B$108,22)</f>
        <v>0.21909831080211006</v>
      </c>
      <c r="K130">
        <f>1/(COUNT(SimData100!$B$9:$B$108)-1)+$K$129</f>
        <v>0.21212121212121218</v>
      </c>
      <c r="L130">
        <f>SMALL(SimData100!$C$9:$C$108,22)</f>
        <v>0.21189330433306594</v>
      </c>
      <c r="M130">
        <f>1/(COUNT(SimData100!$C$9:$C$108)-1)+$M$129</f>
        <v>0.21212121212121218</v>
      </c>
    </row>
    <row r="131" spans="10:13">
      <c r="J131">
        <f>SMALL(SimData100!$B$9:$B$108,23)</f>
        <v>0.24707249325001612</v>
      </c>
      <c r="K131">
        <f>1/(COUNT(SimData100!$B$9:$B$108)-1)+$K$130</f>
        <v>0.22222222222222229</v>
      </c>
      <c r="L131">
        <f>SMALL(SimData100!$C$9:$C$108,23)</f>
        <v>0.223788491297464</v>
      </c>
      <c r="M131">
        <f>1/(COUNT(SimData100!$C$9:$C$108)-1)+$M$130</f>
        <v>0.22222222222222229</v>
      </c>
    </row>
    <row r="132" spans="10:13">
      <c r="J132">
        <f>SMALL(SimData100!$B$9:$B$108,24)</f>
        <v>0.25139436590143305</v>
      </c>
      <c r="K132">
        <f>1/(COUNT(SimData100!$B$9:$B$108)-1)+$K$131</f>
        <v>0.2323232323232324</v>
      </c>
      <c r="L132">
        <f>SMALL(SimData100!$C$9:$C$108,24)</f>
        <v>0.23158280179174218</v>
      </c>
      <c r="M132">
        <f>1/(COUNT(SimData100!$C$9:$C$108)-1)+$M$131</f>
        <v>0.2323232323232324</v>
      </c>
    </row>
    <row r="133" spans="10:13">
      <c r="J133">
        <f>SMALL(SimData100!$B$9:$B$108,25)</f>
        <v>0.25394716412938578</v>
      </c>
      <c r="K133">
        <f>1/(COUNT(SimData100!$B$9:$B$108)-1)+$K$132</f>
        <v>0.24242424242424251</v>
      </c>
      <c r="L133">
        <f>SMALL(SimData100!$C$9:$C$108,25)</f>
        <v>0.24444231474177033</v>
      </c>
      <c r="M133">
        <f>1/(COUNT(SimData100!$C$9:$C$108)-1)+$M$132</f>
        <v>0.24242424242424251</v>
      </c>
    </row>
    <row r="134" spans="10:13">
      <c r="J134">
        <f>SMALL(SimData100!$B$9:$B$108,26)</f>
        <v>0.26635597733184113</v>
      </c>
      <c r="K134">
        <f>1/(COUNT(SimData100!$B$9:$B$108)-1)+$K$133</f>
        <v>0.2525252525252526</v>
      </c>
      <c r="L134">
        <f>SMALL(SimData100!$C$9:$C$108,26)</f>
        <v>0.25138206581151629</v>
      </c>
      <c r="M134">
        <f>1/(COUNT(SimData100!$C$9:$C$108)-1)+$M$133</f>
        <v>0.2525252525252526</v>
      </c>
    </row>
    <row r="135" spans="10:13">
      <c r="J135">
        <f>SMALL(SimData100!$B$9:$B$108,27)</f>
        <v>0.27438373665609106</v>
      </c>
      <c r="K135">
        <f>1/(COUNT(SimData100!$B$9:$B$108)-1)+$K$134</f>
        <v>0.26262626262626271</v>
      </c>
      <c r="L135">
        <f>SMALL(SimData100!$C$9:$C$108,27)</f>
        <v>0.26570408656161837</v>
      </c>
      <c r="M135">
        <f>1/(COUNT(SimData100!$C$9:$C$108)-1)+$M$134</f>
        <v>0.26262626262626271</v>
      </c>
    </row>
    <row r="136" spans="10:13">
      <c r="J136">
        <f>SMALL(SimData100!$B$9:$B$108,28)</f>
        <v>0.27930815175841417</v>
      </c>
      <c r="K136">
        <f>1/(COUNT(SimData100!$B$9:$B$108)-1)+$K$135</f>
        <v>0.27272727272727282</v>
      </c>
      <c r="L136">
        <f>SMALL(SimData100!$C$9:$C$108,28)</f>
        <v>0.27336321862725615</v>
      </c>
      <c r="M136">
        <f>1/(COUNT(SimData100!$C$9:$C$108)-1)+$M$135</f>
        <v>0.27272727272727282</v>
      </c>
    </row>
    <row r="137" spans="10:13">
      <c r="J137">
        <f>SMALL(SimData100!$B$9:$B$108,29)</f>
        <v>0.28299876991604833</v>
      </c>
      <c r="K137">
        <f>1/(COUNT(SimData100!$B$9:$B$108)-1)+$K$136</f>
        <v>0.28282828282828293</v>
      </c>
      <c r="L137">
        <f>SMALL(SimData100!$C$9:$C$108,29)</f>
        <v>0.28899431797652375</v>
      </c>
      <c r="M137">
        <f>1/(COUNT(SimData100!$C$9:$C$108)-1)+$M$136</f>
        <v>0.28282828282828293</v>
      </c>
    </row>
    <row r="138" spans="10:13">
      <c r="J138">
        <f>SMALL(SimData100!$B$9:$B$108,30)</f>
        <v>0.28901737346495793</v>
      </c>
      <c r="K138">
        <f>1/(COUNT(SimData100!$B$9:$B$108)-1)+$K$137</f>
        <v>0.29292929292929304</v>
      </c>
      <c r="L138">
        <f>SMALL(SimData100!$C$9:$C$108,30)</f>
        <v>0.29918596772690909</v>
      </c>
      <c r="M138">
        <f>1/(COUNT(SimData100!$C$9:$C$108)-1)+$M$137</f>
        <v>0.29292929292929304</v>
      </c>
    </row>
    <row r="139" spans="10:13">
      <c r="J139">
        <f>SMALL(SimData100!$B$9:$B$108,31)</f>
        <v>0.31114239638827712</v>
      </c>
      <c r="K139">
        <f>1/(COUNT(SimData100!$B$9:$B$108)-1)+$K$138</f>
        <v>0.30303030303030315</v>
      </c>
      <c r="L139">
        <f>SMALL(SimData100!$C$9:$C$108,31)</f>
        <v>0.30939301431397742</v>
      </c>
      <c r="M139">
        <f>1/(COUNT(SimData100!$C$9:$C$108)-1)+$M$138</f>
        <v>0.30303030303030315</v>
      </c>
    </row>
    <row r="140" spans="10:13">
      <c r="J140">
        <f>SMALL(SimData100!$B$9:$B$108,32)</f>
        <v>0.31451797147474281</v>
      </c>
      <c r="K140">
        <f>1/(COUNT(SimData100!$B$9:$B$108)-1)+$K$139</f>
        <v>0.31313131313131326</v>
      </c>
      <c r="L140">
        <f>SMALL(SimData100!$C$9:$C$108,32)</f>
        <v>0.31847798497846308</v>
      </c>
      <c r="M140">
        <f>1/(COUNT(SimData100!$C$9:$C$108)-1)+$M$139</f>
        <v>0.31313131313131326</v>
      </c>
    </row>
    <row r="141" spans="10:13">
      <c r="J141">
        <f>SMALL(SimData100!$B$9:$B$108,33)</f>
        <v>0.3233544853856074</v>
      </c>
      <c r="K141">
        <f>1/(COUNT(SimData100!$B$9:$B$108)-1)+$K$140</f>
        <v>0.32323232323232337</v>
      </c>
      <c r="L141">
        <f>SMALL(SimData100!$C$9:$C$108,33)</f>
        <v>0.32804312526435664</v>
      </c>
      <c r="M141">
        <f>1/(COUNT(SimData100!$C$9:$C$108)-1)+$M$140</f>
        <v>0.32323232323232337</v>
      </c>
    </row>
    <row r="142" spans="10:13">
      <c r="J142">
        <f>SMALL(SimData100!$B$9:$B$108,34)</f>
        <v>0.3273182973425719</v>
      </c>
      <c r="K142">
        <f>1/(COUNT(SimData100!$B$9:$B$108)-1)+$K$141</f>
        <v>0.33333333333333348</v>
      </c>
      <c r="L142">
        <f>SMALL(SimData100!$C$9:$C$108,34)</f>
        <v>0.33755382060249189</v>
      </c>
      <c r="M142">
        <f>1/(COUNT(SimData100!$C$9:$C$108)-1)+$M$141</f>
        <v>0.33333333333333348</v>
      </c>
    </row>
    <row r="143" spans="10:13">
      <c r="J143">
        <f>SMALL(SimData100!$B$9:$B$108,35)</f>
        <v>0.3299242703606069</v>
      </c>
      <c r="K143">
        <f>1/(COUNT(SimData100!$B$9:$B$108)-1)+$K$142</f>
        <v>0.34343434343434359</v>
      </c>
      <c r="L143">
        <f>SMALL(SimData100!$C$9:$C$108,35)</f>
        <v>0.34503667930025528</v>
      </c>
      <c r="M143">
        <f>1/(COUNT(SimData100!$C$9:$C$108)-1)+$M$142</f>
        <v>0.34343434343434359</v>
      </c>
    </row>
    <row r="144" spans="10:13">
      <c r="J144">
        <f>SMALL(SimData100!$B$9:$B$108,36)</f>
        <v>0.3357910099939545</v>
      </c>
      <c r="K144">
        <f>1/(COUNT(SimData100!$B$9:$B$108)-1)+$K$143</f>
        <v>0.3535353535353537</v>
      </c>
      <c r="L144">
        <f>SMALL(SimData100!$C$9:$C$108,36)</f>
        <v>0.35557704778750826</v>
      </c>
      <c r="M144">
        <f>1/(COUNT(SimData100!$C$9:$C$108)-1)+$M$143</f>
        <v>0.3535353535353537</v>
      </c>
    </row>
    <row r="145" spans="10:13">
      <c r="J145">
        <f>SMALL(SimData100!$B$9:$B$108,37)</f>
        <v>0.34497463262050587</v>
      </c>
      <c r="K145">
        <f>1/(COUNT(SimData100!$B$9:$B$108)-1)+$K$144</f>
        <v>0.36363636363636381</v>
      </c>
      <c r="L145">
        <f>SMALL(SimData100!$C$9:$C$108,37)</f>
        <v>0.36720363544235091</v>
      </c>
      <c r="M145">
        <f>1/(COUNT(SimData100!$C$9:$C$108)-1)+$M$144</f>
        <v>0.36363636363636381</v>
      </c>
    </row>
    <row r="146" spans="10:13">
      <c r="J146">
        <f>SMALL(SimData100!$B$9:$B$108,38)</f>
        <v>0.35188994273266871</v>
      </c>
      <c r="K146">
        <f>1/(COUNT(SimData100!$B$9:$B$108)-1)+$K$145</f>
        <v>0.37373737373737392</v>
      </c>
      <c r="L146">
        <f>SMALL(SimData100!$C$9:$C$108,38)</f>
        <v>0.37617190657560057</v>
      </c>
      <c r="M146">
        <f>1/(COUNT(SimData100!$C$9:$C$108)-1)+$M$145</f>
        <v>0.37373737373737392</v>
      </c>
    </row>
    <row r="147" spans="10:13">
      <c r="J147">
        <f>SMALL(SimData100!$B$9:$B$108,39)</f>
        <v>0.35464542682984757</v>
      </c>
      <c r="K147">
        <f>1/(COUNT(SimData100!$B$9:$B$108)-1)+$K$146</f>
        <v>0.38383838383838403</v>
      </c>
      <c r="L147">
        <f>SMALL(SimData100!$C$9:$C$108,39)</f>
        <v>0.38022765080449816</v>
      </c>
      <c r="M147">
        <f>1/(COUNT(SimData100!$C$9:$C$108)-1)+$M$146</f>
        <v>0.38383838383838403</v>
      </c>
    </row>
    <row r="148" spans="10:13">
      <c r="J148">
        <f>SMALL(SimData100!$B$9:$B$108,40)</f>
        <v>0.37183928260765242</v>
      </c>
      <c r="K148">
        <f>1/(COUNT(SimData100!$B$9:$B$108)-1)+$K$147</f>
        <v>0.39393939393939414</v>
      </c>
      <c r="L148">
        <f>SMALL(SimData100!$C$9:$C$108,40)</f>
        <v>0.39204179710988929</v>
      </c>
      <c r="M148">
        <f>1/(COUNT(SimData100!$C$9:$C$108)-1)+$M$147</f>
        <v>0.39393939393939414</v>
      </c>
    </row>
    <row r="149" spans="10:13">
      <c r="J149">
        <f>SMALL(SimData100!$B$9:$B$108,41)</f>
        <v>0.37646724846126745</v>
      </c>
      <c r="K149">
        <f>1/(COUNT(SimData100!$B$9:$B$108)-1)+$K$148</f>
        <v>0.40404040404040426</v>
      </c>
      <c r="L149">
        <f>SMALL(SimData100!$C$9:$C$108,41)</f>
        <v>0.40872098709892507</v>
      </c>
      <c r="M149">
        <f>1/(COUNT(SimData100!$C$9:$C$108)-1)+$M$148</f>
        <v>0.40404040404040426</v>
      </c>
    </row>
    <row r="150" spans="10:13">
      <c r="J150">
        <f>SMALL(SimData100!$B$9:$B$108,42)</f>
        <v>0.38774789456147118</v>
      </c>
      <c r="K150">
        <f>1/(COUNT(SimData100!$B$9:$B$108)-1)+$K$149</f>
        <v>0.41414141414141437</v>
      </c>
      <c r="L150">
        <f>SMALL(SimData100!$C$9:$C$108,42)</f>
        <v>0.41699107086215892</v>
      </c>
      <c r="M150">
        <f>1/(COUNT(SimData100!$C$9:$C$108)-1)+$M$149</f>
        <v>0.41414141414141437</v>
      </c>
    </row>
    <row r="151" spans="10:13">
      <c r="J151">
        <f>SMALL(SimData100!$B$9:$B$108,43)</f>
        <v>0.40263515443075448</v>
      </c>
      <c r="K151">
        <f>1/(COUNT(SimData100!$B$9:$B$108)-1)+$K$150</f>
        <v>0.42424242424242448</v>
      </c>
      <c r="L151">
        <f>SMALL(SimData100!$C$9:$C$108,43)</f>
        <v>0.42869595140654032</v>
      </c>
      <c r="M151">
        <f>1/(COUNT(SimData100!$C$9:$C$108)-1)+$M$150</f>
        <v>0.42424242424242448</v>
      </c>
    </row>
    <row r="152" spans="10:13">
      <c r="J152">
        <f>SMALL(SimData100!$B$9:$B$108,44)</f>
        <v>0.40593543534396304</v>
      </c>
      <c r="K152">
        <f>1/(COUNT(SimData100!$B$9:$B$108)-1)+$K$151</f>
        <v>0.43434343434343459</v>
      </c>
      <c r="L152">
        <f>SMALL(SimData100!$C$9:$C$108,44)</f>
        <v>0.43270966094515978</v>
      </c>
      <c r="M152">
        <f>1/(COUNT(SimData100!$C$9:$C$108)-1)+$M$151</f>
        <v>0.43434343434343459</v>
      </c>
    </row>
    <row r="153" spans="10:13">
      <c r="J153">
        <f>SMALL(SimData100!$B$9:$B$108,45)</f>
        <v>0.4078295772196725</v>
      </c>
      <c r="K153">
        <f>1/(COUNT(SimData100!$B$9:$B$108)-1)+$K$152</f>
        <v>0.4444444444444447</v>
      </c>
      <c r="L153">
        <f>SMALL(SimData100!$C$9:$C$108,45)</f>
        <v>0.44171845062675852</v>
      </c>
      <c r="M153">
        <f>1/(COUNT(SimData100!$C$9:$C$108)-1)+$M$152</f>
        <v>0.4444444444444447</v>
      </c>
    </row>
    <row r="154" spans="10:13">
      <c r="J154">
        <f>SMALL(SimData100!$B$9:$B$108,46)</f>
        <v>0.41015502452046348</v>
      </c>
      <c r="K154">
        <f>1/(COUNT(SimData100!$B$9:$B$108)-1)+$K$153</f>
        <v>0.45454545454545481</v>
      </c>
      <c r="L154">
        <f>SMALL(SimData100!$C$9:$C$108,46)</f>
        <v>0.45273968598636322</v>
      </c>
      <c r="M154">
        <f>1/(COUNT(SimData100!$C$9:$C$108)-1)+$M$153</f>
        <v>0.45454545454545481</v>
      </c>
    </row>
    <row r="155" spans="10:13">
      <c r="J155">
        <f>SMALL(SimData100!$B$9:$B$108,47)</f>
        <v>0.41675514822600235</v>
      </c>
      <c r="K155">
        <f>1/(COUNT(SimData100!$B$9:$B$108)-1)+$K$154</f>
        <v>0.46464646464646492</v>
      </c>
      <c r="L155">
        <f>SMALL(SimData100!$C$9:$C$108,47)</f>
        <v>0.46506187083084649</v>
      </c>
      <c r="M155">
        <f>1/(COUNT(SimData100!$C$9:$C$108)-1)+$M$154</f>
        <v>0.46464646464646492</v>
      </c>
    </row>
    <row r="156" spans="10:13">
      <c r="J156">
        <f>SMALL(SimData100!$B$9:$B$108,48)</f>
        <v>0.41684910248932283</v>
      </c>
      <c r="K156">
        <f>1/(COUNT(SimData100!$B$9:$B$108)-1)+$K$155</f>
        <v>0.47474747474747503</v>
      </c>
      <c r="L156">
        <f>SMALL(SimData100!$C$9:$C$108,48)</f>
        <v>0.4740555231748278</v>
      </c>
      <c r="M156">
        <f>1/(COUNT(SimData100!$C$9:$C$108)-1)+$M$155</f>
        <v>0.47474747474747503</v>
      </c>
    </row>
    <row r="157" spans="10:13">
      <c r="J157">
        <f>SMALL(SimData100!$B$9:$B$108,49)</f>
        <v>0.41952152469639259</v>
      </c>
      <c r="K157">
        <f>1/(COUNT(SimData100!$B$9:$B$108)-1)+$K$156</f>
        <v>0.48484848484848514</v>
      </c>
      <c r="L157">
        <f>SMALL(SimData100!$C$9:$C$108,49)</f>
        <v>0.48241032336196171</v>
      </c>
      <c r="M157">
        <f>1/(COUNT(SimData100!$C$9:$C$108)-1)+$M$156</f>
        <v>0.48484848484848514</v>
      </c>
    </row>
    <row r="158" spans="10:13">
      <c r="J158">
        <f>SMALL(SimData100!$B$9:$B$108,50)</f>
        <v>0.42314247678041284</v>
      </c>
      <c r="K158">
        <f>1/(COUNT(SimData100!$B$9:$B$108)-1)+$K$157</f>
        <v>0.49494949494949525</v>
      </c>
      <c r="L158">
        <f>SMALL(SimData100!$C$9:$C$108,50)</f>
        <v>0.49139455372500107</v>
      </c>
      <c r="M158">
        <f>1/(COUNT(SimData100!$C$9:$C$108)-1)+$M$157</f>
        <v>0.49494949494949525</v>
      </c>
    </row>
    <row r="159" spans="10:13">
      <c r="J159">
        <f>SMALL(SimData100!$B$9:$B$108,51)</f>
        <v>0.42924162804683874</v>
      </c>
      <c r="K159">
        <f>1/(COUNT(SimData100!$B$9:$B$108)-1)+$K$158</f>
        <v>0.50505050505050531</v>
      </c>
      <c r="L159">
        <f>SMALL(SimData100!$C$9:$C$108,51)</f>
        <v>0.50837004595398205</v>
      </c>
      <c r="M159">
        <f>1/(COUNT(SimData100!$C$9:$C$108)-1)+$M$158</f>
        <v>0.50505050505050531</v>
      </c>
    </row>
    <row r="160" spans="10:13">
      <c r="J160">
        <f>SMALL(SimData100!$B$9:$B$108,52)</f>
        <v>0.42961502010257391</v>
      </c>
      <c r="K160">
        <f>1/(COUNT(SimData100!$B$9:$B$108)-1)+$K$159</f>
        <v>0.51515151515151536</v>
      </c>
      <c r="L160">
        <f>SMALL(SimData100!$C$9:$C$108,52)</f>
        <v>0.51126916564564906</v>
      </c>
      <c r="M160">
        <f>1/(COUNT(SimData100!$C$9:$C$108)-1)+$M$159</f>
        <v>0.51515151515151536</v>
      </c>
    </row>
    <row r="161" spans="10:13">
      <c r="J161">
        <f>SMALL(SimData100!$B$9:$B$108,53)</f>
        <v>0.43557826507731079</v>
      </c>
      <c r="K161">
        <f>1/(COUNT(SimData100!$B$9:$B$108)-1)+$K$160</f>
        <v>0.52525252525252542</v>
      </c>
      <c r="L161">
        <f>SMALL(SimData100!$C$9:$C$108,53)</f>
        <v>0.52989418409529465</v>
      </c>
      <c r="M161">
        <f>1/(COUNT(SimData100!$C$9:$C$108)-1)+$M$160</f>
        <v>0.52525252525252542</v>
      </c>
    </row>
    <row r="162" spans="10:13">
      <c r="J162">
        <f>SMALL(SimData100!$B$9:$B$108,54)</f>
        <v>0.46087894283664355</v>
      </c>
      <c r="K162">
        <f>1/(COUNT(SimData100!$B$9:$B$108)-1)+$K$161</f>
        <v>0.53535353535353547</v>
      </c>
      <c r="L162">
        <f>SMALL(SimData100!$C$9:$C$108,54)</f>
        <v>0.5321845179568474</v>
      </c>
      <c r="M162">
        <f>1/(COUNT(SimData100!$C$9:$C$108)-1)+$M$161</f>
        <v>0.53535353535353547</v>
      </c>
    </row>
    <row r="163" spans="10:13">
      <c r="J163">
        <f>SMALL(SimData100!$B$9:$B$108,55)</f>
        <v>0.46300430934297765</v>
      </c>
      <c r="K163">
        <f>1/(COUNT(SimData100!$B$9:$B$108)-1)+$K$162</f>
        <v>0.54545454545454553</v>
      </c>
      <c r="L163">
        <f>SMALL(SimData100!$C$9:$C$108,55)</f>
        <v>0.5498007313045209</v>
      </c>
      <c r="M163">
        <f>1/(COUNT(SimData100!$C$9:$C$108)-1)+$M$162</f>
        <v>0.54545454545454553</v>
      </c>
    </row>
    <row r="164" spans="10:13">
      <c r="J164">
        <f>SMALL(SimData100!$B$9:$B$108,56)</f>
        <v>0.47192936575902422</v>
      </c>
      <c r="K164">
        <f>1/(COUNT(SimData100!$B$9:$B$108)-1)+$K$163</f>
        <v>0.55555555555555558</v>
      </c>
      <c r="L164">
        <f>SMALL(SimData100!$C$9:$C$108,56)</f>
        <v>0.55703279673751271</v>
      </c>
      <c r="M164">
        <f>1/(COUNT(SimData100!$C$9:$C$108)-1)+$M$163</f>
        <v>0.55555555555555558</v>
      </c>
    </row>
    <row r="165" spans="10:13">
      <c r="J165">
        <f>SMALL(SimData100!$B$9:$B$108,57)</f>
        <v>0.47877497934950952</v>
      </c>
      <c r="K165">
        <f>1/(COUNT(SimData100!$B$9:$B$108)-1)+$K$164</f>
        <v>0.56565656565656564</v>
      </c>
      <c r="L165">
        <f>SMALL(SimData100!$C$9:$C$108,57)</f>
        <v>0.56314642947473248</v>
      </c>
      <c r="M165">
        <f>1/(COUNT(SimData100!$C$9:$C$108)-1)+$M$164</f>
        <v>0.56565656565656564</v>
      </c>
    </row>
    <row r="166" spans="10:13">
      <c r="J166">
        <f>SMALL(SimData100!$B$9:$B$108,58)</f>
        <v>0.48386145851145557</v>
      </c>
      <c r="K166">
        <f>1/(COUNT(SimData100!$B$9:$B$108)-1)+$K$165</f>
        <v>0.57575757575757569</v>
      </c>
      <c r="L166">
        <f>SMALL(SimData100!$C$9:$C$108,58)</f>
        <v>0.57487135888190732</v>
      </c>
      <c r="M166">
        <f>1/(COUNT(SimData100!$C$9:$C$108)-1)+$M$165</f>
        <v>0.57575757575757569</v>
      </c>
    </row>
    <row r="167" spans="10:13">
      <c r="J167">
        <f>SMALL(SimData100!$B$9:$B$108,59)</f>
        <v>0.51454019052471267</v>
      </c>
      <c r="K167">
        <f>1/(COUNT(SimData100!$B$9:$B$108)-1)+$K$166</f>
        <v>0.58585858585858575</v>
      </c>
      <c r="L167">
        <f>SMALL(SimData100!$C$9:$C$108,59)</f>
        <v>0.58609038374295697</v>
      </c>
      <c r="M167">
        <f>1/(COUNT(SimData100!$C$9:$C$108)-1)+$M$166</f>
        <v>0.58585858585858575</v>
      </c>
    </row>
    <row r="168" spans="10:13">
      <c r="J168">
        <f>SMALL(SimData100!$B$9:$B$108,60)</f>
        <v>0.52907354821581976</v>
      </c>
      <c r="K168">
        <f>1/(COUNT(SimData100!$B$9:$B$108)-1)+$K$167</f>
        <v>0.5959595959595958</v>
      </c>
      <c r="L168">
        <f>SMALL(SimData100!$C$9:$C$108,60)</f>
        <v>0.59291024018612459</v>
      </c>
      <c r="M168">
        <f>1/(COUNT(SimData100!$C$9:$C$108)-1)+$M$167</f>
        <v>0.5959595959595958</v>
      </c>
    </row>
    <row r="169" spans="10:13">
      <c r="J169">
        <f>SMALL(SimData100!$B$9:$B$108,61)</f>
        <v>0.54878723358706338</v>
      </c>
      <c r="K169">
        <f>1/(COUNT(SimData100!$B$9:$B$108)-1)+$K$168</f>
        <v>0.60606060606060586</v>
      </c>
      <c r="L169">
        <f>SMALL(SimData100!$C$9:$C$108,61)</f>
        <v>0.60545256825523741</v>
      </c>
      <c r="M169">
        <f>1/(COUNT(SimData100!$C$9:$C$108)-1)+$M$168</f>
        <v>0.60606060606060586</v>
      </c>
    </row>
    <row r="170" spans="10:13">
      <c r="J170">
        <f>SMALL(SimData100!$B$9:$B$108,62)</f>
        <v>0.54919590909867111</v>
      </c>
      <c r="K170">
        <f>1/(COUNT(SimData100!$B$9:$B$108)-1)+$K$169</f>
        <v>0.61616161616161591</v>
      </c>
      <c r="L170">
        <f>SMALL(SimData100!$C$9:$C$108,62)</f>
        <v>0.61885989426142995</v>
      </c>
      <c r="M170">
        <f>1/(COUNT(SimData100!$C$9:$C$108)-1)+$M$169</f>
        <v>0.61616161616161591</v>
      </c>
    </row>
    <row r="171" spans="10:13">
      <c r="J171">
        <f>SMALL(SimData100!$B$9:$B$108,63)</f>
        <v>0.55145869646275969</v>
      </c>
      <c r="K171">
        <f>1/(COUNT(SimData100!$B$9:$B$108)-1)+$K$170</f>
        <v>0.62626262626262597</v>
      </c>
      <c r="L171">
        <f>SMALL(SimData100!$C$9:$C$108,63)</f>
        <v>0.62188420463397265</v>
      </c>
      <c r="M171">
        <f>1/(COUNT(SimData100!$C$9:$C$108)-1)+$M$170</f>
        <v>0.62626262626262597</v>
      </c>
    </row>
    <row r="172" spans="10:13">
      <c r="J172">
        <f>SMALL(SimData100!$B$9:$B$108,64)</f>
        <v>0.55626438916806364</v>
      </c>
      <c r="K172">
        <f>1/(COUNT(SimData100!$B$9:$B$108)-1)+$K$171</f>
        <v>0.63636363636363602</v>
      </c>
      <c r="L172">
        <f>SMALL(SimData100!$C$9:$C$108,64)</f>
        <v>0.63746610430708761</v>
      </c>
      <c r="M172">
        <f>1/(COUNT(SimData100!$C$9:$C$108)-1)+$M$171</f>
        <v>0.63636363636363602</v>
      </c>
    </row>
    <row r="173" spans="10:13">
      <c r="J173">
        <f>SMALL(SimData100!$B$9:$B$108,65)</f>
        <v>0.56069664849565015</v>
      </c>
      <c r="K173">
        <f>1/(COUNT(SimData100!$B$9:$B$108)-1)+$K$172</f>
        <v>0.64646464646464608</v>
      </c>
      <c r="L173">
        <f>SMALL(SimData100!$C$9:$C$108,65)</f>
        <v>0.64467205576474595</v>
      </c>
      <c r="M173">
        <f>1/(COUNT(SimData100!$C$9:$C$108)-1)+$M$172</f>
        <v>0.64646464646464608</v>
      </c>
    </row>
    <row r="174" spans="10:13">
      <c r="J174">
        <f>SMALL(SimData100!$B$9:$B$108,66)</f>
        <v>0.5661625116645439</v>
      </c>
      <c r="K174">
        <f>1/(COUNT(SimData100!$B$9:$B$108)-1)+$K$173</f>
        <v>0.65656565656565613</v>
      </c>
      <c r="L174">
        <f>SMALL(SimData100!$C$9:$C$108,66)</f>
        <v>0.65638662444110651</v>
      </c>
      <c r="M174">
        <f>1/(COUNT(SimData100!$C$9:$C$108)-1)+$M$173</f>
        <v>0.65656565656565613</v>
      </c>
    </row>
    <row r="175" spans="10:13">
      <c r="J175">
        <f>SMALL(SimData100!$B$9:$B$108,67)</f>
        <v>0.57089796790296532</v>
      </c>
      <c r="K175">
        <f>1/(COUNT(SimData100!$B$9:$B$108)-1)+$K$174</f>
        <v>0.66666666666666619</v>
      </c>
      <c r="L175">
        <f>SMALL(SimData100!$C$9:$C$108,67)</f>
        <v>0.66164976006645004</v>
      </c>
      <c r="M175">
        <f>1/(COUNT(SimData100!$C$9:$C$108)-1)+$M$174</f>
        <v>0.66666666666666619</v>
      </c>
    </row>
    <row r="176" spans="10:13">
      <c r="J176">
        <f>SMALL(SimData100!$B$9:$B$108,68)</f>
        <v>0.5743707519450254</v>
      </c>
      <c r="K176">
        <f>1/(COUNT(SimData100!$B$9:$B$108)-1)+$K$175</f>
        <v>0.67676767676767624</v>
      </c>
      <c r="L176">
        <f>SMALL(SimData100!$C$9:$C$108,68)</f>
        <v>0.67845584751070842</v>
      </c>
      <c r="M176">
        <f>1/(COUNT(SimData100!$C$9:$C$108)-1)+$M$175</f>
        <v>0.67676767676767624</v>
      </c>
    </row>
    <row r="177" spans="10:13">
      <c r="J177">
        <f>SMALL(SimData100!$B$9:$B$108,69)</f>
        <v>0.58769023468994419</v>
      </c>
      <c r="K177">
        <f>1/(COUNT(SimData100!$B$9:$B$108)-1)+$K$176</f>
        <v>0.6868686868686863</v>
      </c>
      <c r="L177">
        <f>SMALL(SimData100!$C$9:$C$108,69)</f>
        <v>0.6832338133694682</v>
      </c>
      <c r="M177">
        <f>1/(COUNT(SimData100!$C$9:$C$108)-1)+$M$176</f>
        <v>0.6868686868686863</v>
      </c>
    </row>
    <row r="178" spans="10:13">
      <c r="J178">
        <f>SMALL(SimData100!$B$9:$B$108,70)</f>
        <v>0.58972382949286839</v>
      </c>
      <c r="K178">
        <f>1/(COUNT(SimData100!$B$9:$B$108)-1)+$K$177</f>
        <v>0.69696969696969635</v>
      </c>
      <c r="L178">
        <f>SMALL(SimData100!$C$9:$C$108,70)</f>
        <v>0.69642252607420618</v>
      </c>
      <c r="M178">
        <f>1/(COUNT(SimData100!$C$9:$C$108)-1)+$M$177</f>
        <v>0.69696969696969635</v>
      </c>
    </row>
    <row r="179" spans="10:13">
      <c r="J179">
        <f>SMALL(SimData100!$B$9:$B$108,71)</f>
        <v>0.59491115383116266</v>
      </c>
      <c r="K179">
        <f>1/(COUNT(SimData100!$B$9:$B$108)-1)+$K$178</f>
        <v>0.70707070707070641</v>
      </c>
      <c r="L179">
        <f>SMALL(SimData100!$C$9:$C$108,71)</f>
        <v>0.70529209907755541</v>
      </c>
      <c r="M179">
        <f>1/(COUNT(SimData100!$C$9:$C$108)-1)+$M$178</f>
        <v>0.70707070707070641</v>
      </c>
    </row>
    <row r="180" spans="10:13">
      <c r="J180">
        <f>SMALL(SimData100!$B$9:$B$108,72)</f>
        <v>0.61978010134316719</v>
      </c>
      <c r="K180">
        <f>1/(COUNT(SimData100!$B$9:$B$108)-1)+$K$179</f>
        <v>0.71717171717171646</v>
      </c>
      <c r="L180">
        <f>SMALL(SimData100!$C$9:$C$108,72)</f>
        <v>0.71909695705377885</v>
      </c>
      <c r="M180">
        <f>1/(COUNT(SimData100!$C$9:$C$108)-1)+$M$179</f>
        <v>0.71717171717171646</v>
      </c>
    </row>
    <row r="181" spans="10:13">
      <c r="J181">
        <f>SMALL(SimData100!$B$9:$B$108,73)</f>
        <v>0.64513029205045314</v>
      </c>
      <c r="K181">
        <f>1/(COUNT(SimData100!$B$9:$B$108)-1)+$K$180</f>
        <v>0.72727272727272652</v>
      </c>
      <c r="L181">
        <f>SMALL(SimData100!$C$9:$C$108,73)</f>
        <v>0.722169054649344</v>
      </c>
      <c r="M181">
        <f>1/(COUNT(SimData100!$C$9:$C$108)-1)+$M$180</f>
        <v>0.72727272727272652</v>
      </c>
    </row>
    <row r="182" spans="10:13">
      <c r="J182">
        <f>SMALL(SimData100!$B$9:$B$108,74)</f>
        <v>0.66041706534088007</v>
      </c>
      <c r="K182">
        <f>1/(COUNT(SimData100!$B$9:$B$108)-1)+$K$181</f>
        <v>0.73737373737373657</v>
      </c>
      <c r="L182">
        <f>SMALL(SimData100!$C$9:$C$108,74)</f>
        <v>0.73893844328563163</v>
      </c>
      <c r="M182">
        <f>1/(COUNT(SimData100!$C$9:$C$108)-1)+$M$181</f>
        <v>0.73737373737373657</v>
      </c>
    </row>
    <row r="183" spans="10:13">
      <c r="J183">
        <f>SMALL(SimData100!$B$9:$B$108,75)</f>
        <v>0.67072098031803762</v>
      </c>
      <c r="K183">
        <f>1/(COUNT(SimData100!$B$9:$B$108)-1)+$K$182</f>
        <v>0.74747474747474663</v>
      </c>
      <c r="L183">
        <f>SMALL(SimData100!$C$9:$C$108,75)</f>
        <v>0.74559180392548252</v>
      </c>
      <c r="M183">
        <f>1/(COUNT(SimData100!$C$9:$C$108)-1)+$M$182</f>
        <v>0.74747474747474663</v>
      </c>
    </row>
    <row r="184" spans="10:13">
      <c r="J184">
        <f>SMALL(SimData100!$B$9:$B$108,76)</f>
        <v>0.67261072867768235</v>
      </c>
      <c r="K184">
        <f>1/(COUNT(SimData100!$B$9:$B$108)-1)+$K$183</f>
        <v>0.75757575757575668</v>
      </c>
      <c r="L184">
        <f>SMALL(SimData100!$C$9:$C$108,76)</f>
        <v>0.75004567238736097</v>
      </c>
      <c r="M184">
        <f>1/(COUNT(SimData100!$C$9:$C$108)-1)+$M$183</f>
        <v>0.75757575757575668</v>
      </c>
    </row>
    <row r="185" spans="10:13">
      <c r="J185">
        <f>SMALL(SimData100!$B$9:$B$108,77)</f>
        <v>0.68269403864361777</v>
      </c>
      <c r="K185">
        <f>1/(COUNT(SimData100!$B$9:$B$108)-1)+$K$184</f>
        <v>0.76767676767676674</v>
      </c>
      <c r="L185">
        <f>SMALL(SimData100!$C$9:$C$108,77)</f>
        <v>0.76053269234963994</v>
      </c>
      <c r="M185">
        <f>1/(COUNT(SimData100!$C$9:$C$108)-1)+$M$184</f>
        <v>0.76767676767676674</v>
      </c>
    </row>
    <row r="186" spans="10:13">
      <c r="J186">
        <f>SMALL(SimData100!$B$9:$B$108,78)</f>
        <v>0.70741324741993594</v>
      </c>
      <c r="K186">
        <f>1/(COUNT(SimData100!$B$9:$B$108)-1)+$K$185</f>
        <v>0.77777777777777679</v>
      </c>
      <c r="L186">
        <f>SMALL(SimData100!$C$9:$C$108,78)</f>
        <v>0.77626457763981649</v>
      </c>
      <c r="M186">
        <f>1/(COUNT(SimData100!$C$9:$C$108)-1)+$M$185</f>
        <v>0.77777777777777679</v>
      </c>
    </row>
    <row r="187" spans="10:13">
      <c r="J187">
        <f>SMALL(SimData100!$B$9:$B$108,79)</f>
        <v>0.71512393769444316</v>
      </c>
      <c r="K187">
        <f>1/(COUNT(SimData100!$B$9:$B$108)-1)+$K$186</f>
        <v>0.78787878787878685</v>
      </c>
      <c r="L187">
        <f>SMALL(SimData100!$C$9:$C$108,79)</f>
        <v>0.78039708568956645</v>
      </c>
      <c r="M187">
        <f>1/(COUNT(SimData100!$C$9:$C$108)-1)+$M$186</f>
        <v>0.78787878787878685</v>
      </c>
    </row>
    <row r="188" spans="10:13">
      <c r="J188">
        <f>SMALL(SimData100!$B$9:$B$108,80)</f>
        <v>0.73410291901291203</v>
      </c>
      <c r="K188">
        <f>1/(COUNT(SimData100!$B$9:$B$108)-1)+$K$187</f>
        <v>0.7979797979797969</v>
      </c>
      <c r="L188">
        <f>SMALL(SimData100!$C$9:$C$108,80)</f>
        <v>0.7955712200038999</v>
      </c>
      <c r="M188">
        <f>1/(COUNT(SimData100!$C$9:$C$108)-1)+$M$187</f>
        <v>0.7979797979797969</v>
      </c>
    </row>
    <row r="189" spans="10:13">
      <c r="J189">
        <f>SMALL(SimData100!$B$9:$B$108,81)</f>
        <v>0.74525308487591246</v>
      </c>
      <c r="K189">
        <f>1/(COUNT(SimData100!$B$9:$B$108)-1)+$K$188</f>
        <v>0.80808080808080696</v>
      </c>
      <c r="L189">
        <f>SMALL(SimData100!$C$9:$C$108,81)</f>
        <v>0.80522122536441798</v>
      </c>
      <c r="M189">
        <f>1/(COUNT(SimData100!$C$9:$C$108)-1)+$M$188</f>
        <v>0.80808080808080696</v>
      </c>
    </row>
    <row r="190" spans="10:13">
      <c r="J190">
        <f>SMALL(SimData100!$B$9:$B$108,82)</f>
        <v>0.7452836899437898</v>
      </c>
      <c r="K190">
        <f>1/(COUNT(SimData100!$B$9:$B$108)-1)+$K$189</f>
        <v>0.81818181818181701</v>
      </c>
      <c r="L190">
        <f>SMALL(SimData100!$C$9:$C$108,82)</f>
        <v>0.81864450740363548</v>
      </c>
      <c r="M190">
        <f>1/(COUNT(SimData100!$C$9:$C$108)-1)+$M$189</f>
        <v>0.81818181818181701</v>
      </c>
    </row>
    <row r="191" spans="10:13">
      <c r="J191">
        <f>SMALL(SimData100!$B$9:$B$108,83)</f>
        <v>0.75670305324456422</v>
      </c>
      <c r="K191">
        <f>1/(COUNT(SimData100!$B$9:$B$108)-1)+$K$190</f>
        <v>0.82828282828282707</v>
      </c>
      <c r="L191">
        <f>SMALL(SimData100!$C$9:$C$108,83)</f>
        <v>0.82635747197930642</v>
      </c>
      <c r="M191">
        <f>1/(COUNT(SimData100!$C$9:$C$108)-1)+$M$190</f>
        <v>0.82828282828282707</v>
      </c>
    </row>
    <row r="192" spans="10:13">
      <c r="J192">
        <f>SMALL(SimData100!$B$9:$B$108,84)</f>
        <v>0.79157663515343302</v>
      </c>
      <c r="K192">
        <f>1/(COUNT(SimData100!$B$9:$B$108)-1)+$K$191</f>
        <v>0.83838383838383712</v>
      </c>
      <c r="L192">
        <f>SMALL(SimData100!$C$9:$C$108,84)</f>
        <v>0.83827693247429025</v>
      </c>
      <c r="M192">
        <f>1/(COUNT(SimData100!$C$9:$C$108)-1)+$M$191</f>
        <v>0.83838383838383712</v>
      </c>
    </row>
    <row r="193" spans="10:13">
      <c r="J193">
        <f>SMALL(SimData100!$B$9:$B$108,85)</f>
        <v>0.81532596554461634</v>
      </c>
      <c r="K193">
        <f>1/(COUNT(SimData100!$B$9:$B$108)-1)+$K$192</f>
        <v>0.84848484848484718</v>
      </c>
      <c r="L193">
        <f>SMALL(SimData100!$C$9:$C$108,85)</f>
        <v>0.84349910452810561</v>
      </c>
      <c r="M193">
        <f>1/(COUNT(SimData100!$C$9:$C$108)-1)+$M$192</f>
        <v>0.84848484848484718</v>
      </c>
    </row>
    <row r="194" spans="10:13">
      <c r="J194">
        <f>SMALL(SimData100!$B$9:$B$108,86)</f>
        <v>0.8174392304772482</v>
      </c>
      <c r="K194">
        <f>1/(COUNT(SimData100!$B$9:$B$108)-1)+$K$193</f>
        <v>0.85858585858585723</v>
      </c>
      <c r="L194">
        <f>SMALL(SimData100!$C$9:$C$108,86)</f>
        <v>0.85469332843429724</v>
      </c>
      <c r="M194">
        <f>1/(COUNT(SimData100!$C$9:$C$108)-1)+$M$193</f>
        <v>0.85858585858585723</v>
      </c>
    </row>
    <row r="195" spans="10:13">
      <c r="J195">
        <f>SMALL(SimData100!$B$9:$B$108,87)</f>
        <v>0.85010564958611212</v>
      </c>
      <c r="K195">
        <f>1/(COUNT(SimData100!$B$9:$B$108)-1)+$K$194</f>
        <v>0.86868686868686729</v>
      </c>
      <c r="L195">
        <f>SMALL(SimData100!$C$9:$C$108,87)</f>
        <v>0.86467567252569733</v>
      </c>
      <c r="M195">
        <f>1/(COUNT(SimData100!$C$9:$C$108)-1)+$M$194</f>
        <v>0.86868686868686729</v>
      </c>
    </row>
    <row r="196" spans="10:13">
      <c r="J196">
        <f>SMALL(SimData100!$B$9:$B$108,88)</f>
        <v>0.85045890859601059</v>
      </c>
      <c r="K196">
        <f>1/(COUNT(SimData100!$B$9:$B$108)-1)+$K$195</f>
        <v>0.87878787878787734</v>
      </c>
      <c r="L196">
        <f>SMALL(SimData100!$C$9:$C$108,88)</f>
        <v>0.87208117881139768</v>
      </c>
      <c r="M196">
        <f>1/(COUNT(SimData100!$C$9:$C$108)-1)+$M$195</f>
        <v>0.87878787878787734</v>
      </c>
    </row>
    <row r="197" spans="10:13">
      <c r="J197">
        <f>SMALL(SimData100!$B$9:$B$108,89)</f>
        <v>0.85065433945641189</v>
      </c>
      <c r="K197">
        <f>1/(COUNT(SimData100!$B$9:$B$108)-1)+$K$196</f>
        <v>0.8888888888888874</v>
      </c>
      <c r="L197">
        <f>SMALL(SimData100!$C$9:$C$108,89)</f>
        <v>0.8831880966930622</v>
      </c>
      <c r="M197">
        <f>1/(COUNT(SimData100!$C$9:$C$108)-1)+$M$196</f>
        <v>0.8888888888888874</v>
      </c>
    </row>
    <row r="198" spans="10:13">
      <c r="J198">
        <f>SMALL(SimData100!$B$9:$B$108,90)</f>
        <v>0.85699384261261002</v>
      </c>
      <c r="K198">
        <f>1/(COUNT(SimData100!$B$9:$B$108)-1)+$K$197</f>
        <v>0.89898989898989745</v>
      </c>
      <c r="L198">
        <f>SMALL(SimData100!$C$9:$C$108,90)</f>
        <v>0.89596911148074299</v>
      </c>
      <c r="M198">
        <f>1/(COUNT(SimData100!$C$9:$C$108)-1)+$M$197</f>
        <v>0.89898989898989745</v>
      </c>
    </row>
    <row r="199" spans="10:13">
      <c r="J199">
        <f>SMALL(SimData100!$B$9:$B$108,91)</f>
        <v>0.87012371706441627</v>
      </c>
      <c r="K199">
        <f>1/(COUNT(SimData100!$B$9:$B$108)-1)+$K$198</f>
        <v>0.90909090909090751</v>
      </c>
      <c r="L199">
        <f>SMALL(SimData100!$C$9:$C$108,91)</f>
        <v>0.90715699763669566</v>
      </c>
      <c r="M199">
        <f>1/(COUNT(SimData100!$C$9:$C$108)-1)+$M$198</f>
        <v>0.90909090909090751</v>
      </c>
    </row>
    <row r="200" spans="10:13">
      <c r="J200">
        <f>SMALL(SimData100!$B$9:$B$108,92)</f>
        <v>0.90564463885857549</v>
      </c>
      <c r="K200">
        <f>1/(COUNT(SimData100!$B$9:$B$108)-1)+$K$199</f>
        <v>0.91919191919191756</v>
      </c>
      <c r="L200">
        <f>SMALL(SimData100!$C$9:$C$108,92)</f>
        <v>0.91257989430394493</v>
      </c>
      <c r="M200">
        <f>1/(COUNT(SimData100!$C$9:$C$108)-1)+$M$199</f>
        <v>0.91919191919191756</v>
      </c>
    </row>
    <row r="201" spans="10:13">
      <c r="J201">
        <f>SMALL(SimData100!$B$9:$B$108,93)</f>
        <v>0.9069003277209049</v>
      </c>
      <c r="K201">
        <f>1/(COUNT(SimData100!$B$9:$B$108)-1)+$K$200</f>
        <v>0.92929292929292762</v>
      </c>
      <c r="L201">
        <f>SMALL(SimData100!$C$9:$C$108,93)</f>
        <v>0.92774711055395831</v>
      </c>
      <c r="M201">
        <f>1/(COUNT(SimData100!$C$9:$C$108)-1)+$M$200</f>
        <v>0.92929292929292762</v>
      </c>
    </row>
    <row r="202" spans="10:13">
      <c r="J202">
        <f>SMALL(SimData100!$B$9:$B$108,94)</f>
        <v>0.93449468091966992</v>
      </c>
      <c r="K202">
        <f>1/(COUNT(SimData100!$B$9:$B$108)-1)+$K$201</f>
        <v>0.93939393939393767</v>
      </c>
      <c r="L202">
        <f>SMALL(SimData100!$C$9:$C$108,94)</f>
        <v>0.93947105472895098</v>
      </c>
      <c r="M202">
        <f>1/(COUNT(SimData100!$C$9:$C$108)-1)+$M$201</f>
        <v>0.93939393939393767</v>
      </c>
    </row>
    <row r="203" spans="10:13">
      <c r="J203">
        <f>SMALL(SimData100!$B$9:$B$108,95)</f>
        <v>0.94590818159122136</v>
      </c>
      <c r="K203">
        <f>1/(COUNT(SimData100!$B$9:$B$108)-1)+$K$202</f>
        <v>0.94949494949494773</v>
      </c>
      <c r="L203">
        <f>SMALL(SimData100!$C$9:$C$108,95)</f>
        <v>0.94057658483054885</v>
      </c>
      <c r="M203">
        <f>1/(COUNT(SimData100!$C$9:$C$108)-1)+$M$202</f>
        <v>0.94949494949494773</v>
      </c>
    </row>
    <row r="204" spans="10:13">
      <c r="J204">
        <f>SMALL(SimData100!$B$9:$B$108,96)</f>
        <v>0.95764205656269041</v>
      </c>
      <c r="K204">
        <f>1/(COUNT(SimData100!$B$9:$B$108)-1)+$K$203</f>
        <v>0.95959595959595778</v>
      </c>
      <c r="L204">
        <f>SMALL(SimData100!$C$9:$C$108,96)</f>
        <v>0.9543367437283361</v>
      </c>
      <c r="M204">
        <f>1/(COUNT(SimData100!$C$9:$C$108)-1)+$M$203</f>
        <v>0.95959595959595778</v>
      </c>
    </row>
    <row r="205" spans="10:13">
      <c r="J205">
        <f>SMALL(SimData100!$B$9:$B$108,97)</f>
        <v>0.96662732210916147</v>
      </c>
      <c r="K205">
        <f>1/(COUNT(SimData100!$B$9:$B$108)-1)+$K$204</f>
        <v>0.96969696969696784</v>
      </c>
      <c r="L205">
        <f>SMALL(SimData100!$C$9:$C$108,97)</f>
        <v>0.96403672975814825</v>
      </c>
      <c r="M205">
        <f>1/(COUNT(SimData100!$C$9:$C$108)-1)+$M$204</f>
        <v>0.96969696969696784</v>
      </c>
    </row>
    <row r="206" spans="10:13">
      <c r="J206">
        <f>SMALL(SimData100!$B$9:$B$108,98)</f>
        <v>0.96947317003741773</v>
      </c>
      <c r="K206">
        <f>1/(COUNT(SimData100!$B$9:$B$108)-1)+$K$205</f>
        <v>0.97979797979797789</v>
      </c>
      <c r="L206">
        <f>SMALL(SimData100!$C$9:$C$108,98)</f>
        <v>0.97979962397594933</v>
      </c>
      <c r="M206">
        <f>1/(COUNT(SimData100!$C$9:$C$108)-1)+$M$205</f>
        <v>0.97979797979797789</v>
      </c>
    </row>
    <row r="207" spans="10:13">
      <c r="J207">
        <f>SMALL(SimData100!$B$9:$B$108,99)</f>
        <v>0.97970081531184405</v>
      </c>
      <c r="K207">
        <f>1/(COUNT(SimData100!$B$9:$B$108)-1)+$K$206</f>
        <v>0.98989898989898795</v>
      </c>
      <c r="L207">
        <f>SMALL(SimData100!$C$9:$C$108,99)</f>
        <v>0.98301842126134276</v>
      </c>
      <c r="M207">
        <f>1/(COUNT(SimData100!$C$9:$C$108)-1)+$M$206</f>
        <v>0.98989898989898795</v>
      </c>
    </row>
    <row r="208" spans="10:13">
      <c r="J208">
        <f>SMALL(SimData100!$B$9:$B$108,100)</f>
        <v>0.992566056825126</v>
      </c>
      <c r="K208">
        <f>1/(COUNT(SimData100!$B$9:$B$108)-1)+$K$207</f>
        <v>0.999999999999998</v>
      </c>
      <c r="L208">
        <f>SMALL(SimData100!$C$9:$C$108,100)</f>
        <v>0.99803661999246951</v>
      </c>
      <c r="M208">
        <f>1/(COUNT(SimData100!$C$9:$C$108)-1)+$M$207</f>
        <v>0.999999999999998</v>
      </c>
    </row>
  </sheetData>
  <sheetCalcPr fullCalcOnLoad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08"/>
  <sheetViews>
    <sheetView workbookViewId="0"/>
  </sheetViews>
  <sheetFormatPr defaultRowHeight="12.75"/>
  <sheetData>
    <row r="1" spans="1:3">
      <c r="A1" t="s">
        <v>28</v>
      </c>
    </row>
    <row r="2" spans="1:3">
      <c r="A2" t="s">
        <v>0</v>
      </c>
      <c r="B2" t="str">
        <f ca="1">ADDRESS(ROW(Sheet1!$D$10),COLUMN(Sheet1!$D$10),4,,_xll.WSNAME(Sheet1!$D$10))</f>
        <v>Sheet1!D10</v>
      </c>
      <c r="C2" t="str">
        <f ca="1">ADDRESS(ROW(Sheet1!$B$10),COLUMN(Sheet1!$B$10),4,,_xll.WSNAME(Sheet1!$B$10))</f>
        <v>Sheet1!B10</v>
      </c>
    </row>
    <row r="3" spans="1:3">
      <c r="A3" t="s">
        <v>1</v>
      </c>
      <c r="B3">
        <f>AVERAGE(B9:B208)</f>
        <v>0.50005248007942593</v>
      </c>
      <c r="C3">
        <f>AVERAGE(C9:C208)</f>
        <v>0.50432958265593064</v>
      </c>
    </row>
    <row r="4" spans="1:3">
      <c r="A4" t="s">
        <v>2</v>
      </c>
      <c r="B4">
        <f>STDEV(B9:B208)</f>
        <v>0.28948561463417744</v>
      </c>
      <c r="C4">
        <f>STDEV(C9:C208)</f>
        <v>0.29324712535010228</v>
      </c>
    </row>
    <row r="5" spans="1:3">
      <c r="A5" t="s">
        <v>3</v>
      </c>
      <c r="B5">
        <f>100*B4/B3</f>
        <v>57.891046673380551</v>
      </c>
      <c r="C5">
        <f>100*C4/C3</f>
        <v>58.145929851226796</v>
      </c>
    </row>
    <row r="6" spans="1:3">
      <c r="A6" t="s">
        <v>4</v>
      </c>
      <c r="B6">
        <f>MIN(B9:B208)</f>
        <v>4.290951081619354E-3</v>
      </c>
      <c r="C6">
        <f>MIN(C9:C208)</f>
        <v>3.021787119905639E-3</v>
      </c>
    </row>
    <row r="7" spans="1:3">
      <c r="A7" t="s">
        <v>5</v>
      </c>
      <c r="B7">
        <f>MAX(B9:B208)</f>
        <v>0.99890018230860589</v>
      </c>
      <c r="C7">
        <f>MAX(C9:C208)</f>
        <v>0.992992086018603</v>
      </c>
    </row>
    <row r="8" spans="1:3">
      <c r="A8" t="s">
        <v>6</v>
      </c>
      <c r="B8" t="str">
        <f>Sheet1!$C$10</f>
        <v>Latin</v>
      </c>
      <c r="C8" t="str">
        <f>Sheet1!$A$10</f>
        <v>Monte</v>
      </c>
    </row>
    <row r="9" spans="1:3">
      <c r="A9">
        <v>1</v>
      </c>
      <c r="B9">
        <v>0.51451736423641381</v>
      </c>
      <c r="C9">
        <v>0.59730773819774186</v>
      </c>
    </row>
    <row r="10" spans="1:3">
      <c r="A10">
        <v>2</v>
      </c>
      <c r="B10">
        <v>0.30950865113048548</v>
      </c>
      <c r="C10">
        <v>0.55948618497131974</v>
      </c>
    </row>
    <row r="11" spans="1:3">
      <c r="A11">
        <v>3</v>
      </c>
      <c r="B11">
        <v>0.58372163881750816</v>
      </c>
      <c r="C11">
        <v>0.94278713926087221</v>
      </c>
    </row>
    <row r="12" spans="1:3">
      <c r="A12">
        <v>4</v>
      </c>
      <c r="B12">
        <v>0.78813162117338076</v>
      </c>
      <c r="C12">
        <v>0.24958205449911475</v>
      </c>
    </row>
    <row r="13" spans="1:3">
      <c r="A13">
        <v>5</v>
      </c>
      <c r="B13">
        <v>0.94159865360627848</v>
      </c>
      <c r="C13">
        <v>6.2190424600885308E-2</v>
      </c>
    </row>
    <row r="14" spans="1:3">
      <c r="A14">
        <v>6</v>
      </c>
      <c r="B14">
        <v>0.73885065856130117</v>
      </c>
      <c r="C14">
        <v>0.45058178430917906</v>
      </c>
    </row>
    <row r="15" spans="1:3">
      <c r="A15">
        <v>7</v>
      </c>
      <c r="B15">
        <v>6.5005903522252551E-2</v>
      </c>
      <c r="C15">
        <v>0.40197261083358171</v>
      </c>
    </row>
    <row r="16" spans="1:3">
      <c r="A16">
        <v>8</v>
      </c>
      <c r="B16">
        <v>0.25485921357405816</v>
      </c>
      <c r="C16">
        <v>0.50585305309687101</v>
      </c>
    </row>
    <row r="17" spans="1:3">
      <c r="A17">
        <v>9</v>
      </c>
      <c r="B17">
        <v>0.95738166709136718</v>
      </c>
      <c r="C17">
        <v>0.7368919746049869</v>
      </c>
    </row>
    <row r="18" spans="1:3">
      <c r="A18">
        <v>10</v>
      </c>
      <c r="B18">
        <v>0.64955024585000942</v>
      </c>
      <c r="C18">
        <v>0.98167097004989046</v>
      </c>
    </row>
    <row r="19" spans="1:3">
      <c r="A19">
        <v>11</v>
      </c>
      <c r="B19">
        <v>0.65092175333432889</v>
      </c>
      <c r="C19">
        <v>0.64625848617288284</v>
      </c>
    </row>
    <row r="20" spans="1:3">
      <c r="A20">
        <v>12</v>
      </c>
      <c r="B20">
        <v>0.19557711449930842</v>
      </c>
      <c r="C20">
        <v>0.71210151378454611</v>
      </c>
    </row>
    <row r="21" spans="1:3">
      <c r="A21">
        <v>13</v>
      </c>
      <c r="B21">
        <v>0.915603177477746</v>
      </c>
      <c r="C21">
        <v>0.39663777441637649</v>
      </c>
    </row>
    <row r="22" spans="1:3">
      <c r="A22">
        <v>14</v>
      </c>
      <c r="B22">
        <v>8.2786170523098251E-2</v>
      </c>
      <c r="C22">
        <v>8.1118467051055632E-2</v>
      </c>
    </row>
    <row r="23" spans="1:3">
      <c r="A23">
        <v>15</v>
      </c>
      <c r="B23">
        <v>0.23658241599369387</v>
      </c>
      <c r="C23">
        <v>9.3651713047620433E-2</v>
      </c>
    </row>
    <row r="24" spans="1:3">
      <c r="A24">
        <v>16</v>
      </c>
      <c r="B24">
        <v>0.42688316756437605</v>
      </c>
      <c r="C24">
        <v>0.46889097124221735</v>
      </c>
    </row>
    <row r="25" spans="1:3">
      <c r="A25">
        <v>17</v>
      </c>
      <c r="B25">
        <v>0.79876278401440071</v>
      </c>
      <c r="C25">
        <v>0.70156285728717194</v>
      </c>
    </row>
    <row r="26" spans="1:3">
      <c r="A26">
        <v>18</v>
      </c>
      <c r="B26">
        <v>0.50645030399818214</v>
      </c>
      <c r="C26">
        <v>0.85427298966715171</v>
      </c>
    </row>
    <row r="27" spans="1:3">
      <c r="A27">
        <v>19</v>
      </c>
      <c r="B27">
        <v>0.74804861343420315</v>
      </c>
      <c r="C27">
        <v>0.56471685182350484</v>
      </c>
    </row>
    <row r="28" spans="1:3">
      <c r="A28">
        <v>20</v>
      </c>
      <c r="B28">
        <v>0.57642901929943569</v>
      </c>
      <c r="C28">
        <v>0.76218699323726469</v>
      </c>
    </row>
    <row r="29" spans="1:3">
      <c r="A29">
        <v>21</v>
      </c>
      <c r="B29">
        <v>0.23256708305039608</v>
      </c>
      <c r="C29">
        <v>0.19037935954747809</v>
      </c>
    </row>
    <row r="30" spans="1:3">
      <c r="A30">
        <v>22</v>
      </c>
      <c r="B30">
        <v>0.7416518136466973</v>
      </c>
      <c r="C30">
        <v>0.81259485406735621</v>
      </c>
    </row>
    <row r="31" spans="1:3">
      <c r="A31">
        <v>23</v>
      </c>
      <c r="B31">
        <v>1.3233221311409311E-2</v>
      </c>
      <c r="C31">
        <v>0.36047495521233941</v>
      </c>
    </row>
    <row r="32" spans="1:3">
      <c r="A32">
        <v>24</v>
      </c>
      <c r="B32">
        <v>0.19110026881590028</v>
      </c>
      <c r="C32">
        <v>0.91873081180256122</v>
      </c>
    </row>
    <row r="33" spans="1:3">
      <c r="A33">
        <v>25</v>
      </c>
      <c r="B33">
        <v>0.8500680329045438</v>
      </c>
      <c r="C33">
        <v>0.48072231329933857</v>
      </c>
    </row>
    <row r="34" spans="1:3">
      <c r="A34">
        <v>26</v>
      </c>
      <c r="B34">
        <v>0.30052342820226291</v>
      </c>
      <c r="C34">
        <v>2.6187104877863021E-2</v>
      </c>
    </row>
    <row r="35" spans="1:3">
      <c r="A35">
        <v>27</v>
      </c>
      <c r="B35">
        <v>0.41954495261529112</v>
      </c>
      <c r="C35">
        <v>0.76842440695327241</v>
      </c>
    </row>
    <row r="36" spans="1:3">
      <c r="A36">
        <v>28</v>
      </c>
      <c r="B36">
        <v>0.41493546477284649</v>
      </c>
      <c r="C36">
        <v>0.16860153242669185</v>
      </c>
    </row>
    <row r="37" spans="1:3">
      <c r="A37">
        <v>29</v>
      </c>
      <c r="B37">
        <v>0.80261184914214811</v>
      </c>
      <c r="C37">
        <v>0.98695043608950073</v>
      </c>
    </row>
    <row r="38" spans="1:3">
      <c r="A38">
        <v>30</v>
      </c>
      <c r="B38">
        <v>0.48318196554742338</v>
      </c>
      <c r="C38">
        <v>0.92337313225834805</v>
      </c>
    </row>
    <row r="39" spans="1:3">
      <c r="A39">
        <v>31</v>
      </c>
      <c r="B39">
        <v>0.3778170538607093</v>
      </c>
      <c r="C39">
        <v>0.46765638791202946</v>
      </c>
    </row>
    <row r="40" spans="1:3">
      <c r="A40">
        <v>32</v>
      </c>
      <c r="B40">
        <v>0.34296498438761686</v>
      </c>
      <c r="C40">
        <v>8.3914320355688687E-2</v>
      </c>
    </row>
    <row r="41" spans="1:3">
      <c r="A41">
        <v>33</v>
      </c>
      <c r="B41">
        <v>0.32253045053978696</v>
      </c>
      <c r="C41">
        <v>0.53237595269001758</v>
      </c>
    </row>
    <row r="42" spans="1:3">
      <c r="A42">
        <v>34</v>
      </c>
      <c r="B42">
        <v>0.96443919559461977</v>
      </c>
      <c r="C42">
        <v>0.50774077604182821</v>
      </c>
    </row>
    <row r="43" spans="1:3">
      <c r="A43">
        <v>35</v>
      </c>
      <c r="B43">
        <v>0.76279146491149252</v>
      </c>
      <c r="C43">
        <v>0.4598541326540726</v>
      </c>
    </row>
    <row r="44" spans="1:3">
      <c r="A44">
        <v>36</v>
      </c>
      <c r="B44">
        <v>0.43114572649615485</v>
      </c>
      <c r="C44">
        <v>7.3187468799915223E-2</v>
      </c>
    </row>
    <row r="45" spans="1:3">
      <c r="A45">
        <v>37</v>
      </c>
      <c r="B45">
        <v>0.89910969349651348</v>
      </c>
      <c r="C45">
        <v>0.80455703339976026</v>
      </c>
    </row>
    <row r="46" spans="1:3">
      <c r="A46">
        <v>38</v>
      </c>
      <c r="B46">
        <v>0.14189142181582082</v>
      </c>
      <c r="C46">
        <v>0.21210244114172383</v>
      </c>
    </row>
    <row r="47" spans="1:3">
      <c r="A47">
        <v>39</v>
      </c>
      <c r="B47">
        <v>0.43614855170858763</v>
      </c>
      <c r="C47">
        <v>0.69947364124709566</v>
      </c>
    </row>
    <row r="48" spans="1:3">
      <c r="A48">
        <v>40</v>
      </c>
      <c r="B48">
        <v>0.24505296455231795</v>
      </c>
      <c r="C48">
        <v>0.90807304619829665</v>
      </c>
    </row>
    <row r="49" spans="1:3">
      <c r="A49">
        <v>41</v>
      </c>
      <c r="B49">
        <v>0.99890018230860589</v>
      </c>
      <c r="C49">
        <v>6.7965710823045811E-2</v>
      </c>
    </row>
    <row r="50" spans="1:3">
      <c r="A50">
        <v>42</v>
      </c>
      <c r="B50">
        <v>9.7871509848132601E-2</v>
      </c>
      <c r="C50">
        <v>0.92575042614680569</v>
      </c>
    </row>
    <row r="51" spans="1:3">
      <c r="A51">
        <v>43</v>
      </c>
      <c r="B51">
        <v>0.61603489438794434</v>
      </c>
      <c r="C51">
        <v>0.30524814587988658</v>
      </c>
    </row>
    <row r="52" spans="1:3">
      <c r="A52">
        <v>44</v>
      </c>
      <c r="B52">
        <v>0.26395803192955397</v>
      </c>
      <c r="C52">
        <v>0.91820962438487186</v>
      </c>
    </row>
    <row r="53" spans="1:3">
      <c r="A53">
        <v>45</v>
      </c>
      <c r="B53">
        <v>0.47470171581713994</v>
      </c>
      <c r="C53">
        <v>0.45758435038806056</v>
      </c>
    </row>
    <row r="54" spans="1:3">
      <c r="A54">
        <v>46</v>
      </c>
      <c r="B54">
        <v>0.27751348350721261</v>
      </c>
      <c r="C54">
        <v>0.66816060990731785</v>
      </c>
    </row>
    <row r="55" spans="1:3">
      <c r="A55">
        <v>47</v>
      </c>
      <c r="B55">
        <v>0.87366611607225297</v>
      </c>
      <c r="C55">
        <v>0.76214922366307292</v>
      </c>
    </row>
    <row r="56" spans="1:3">
      <c r="A56">
        <v>48</v>
      </c>
      <c r="B56">
        <v>1.960609093881354E-2</v>
      </c>
      <c r="C56">
        <v>0.72641631776969007</v>
      </c>
    </row>
    <row r="57" spans="1:3">
      <c r="A57">
        <v>49</v>
      </c>
      <c r="B57">
        <v>0.51784291659664428</v>
      </c>
      <c r="C57">
        <v>9.2632023432997812E-2</v>
      </c>
    </row>
    <row r="58" spans="1:3">
      <c r="A58">
        <v>50</v>
      </c>
      <c r="B58">
        <v>0.45531581822091616</v>
      </c>
      <c r="C58">
        <v>3.6584326535376022E-2</v>
      </c>
    </row>
    <row r="59" spans="1:3">
      <c r="A59">
        <v>51</v>
      </c>
      <c r="B59">
        <v>0.8232956287028026</v>
      </c>
      <c r="C59">
        <v>0.83970745681199332</v>
      </c>
    </row>
    <row r="60" spans="1:3">
      <c r="A60">
        <v>52</v>
      </c>
      <c r="B60">
        <v>0.53918356520919675</v>
      </c>
      <c r="C60">
        <v>0.67945810890341818</v>
      </c>
    </row>
    <row r="61" spans="1:3">
      <c r="A61">
        <v>53</v>
      </c>
      <c r="B61">
        <v>0.25781611414226147</v>
      </c>
      <c r="C61">
        <v>0.32309732557951065</v>
      </c>
    </row>
    <row r="62" spans="1:3">
      <c r="A62">
        <v>54</v>
      </c>
      <c r="B62">
        <v>0.15496560656348374</v>
      </c>
      <c r="C62">
        <v>0.21176149815892131</v>
      </c>
    </row>
    <row r="63" spans="1:3">
      <c r="A63">
        <v>55</v>
      </c>
      <c r="B63">
        <v>0.38328691903112622</v>
      </c>
      <c r="C63">
        <v>0.43779027233904344</v>
      </c>
    </row>
    <row r="64" spans="1:3">
      <c r="A64">
        <v>56</v>
      </c>
      <c r="B64">
        <v>0.10273351015935966</v>
      </c>
      <c r="C64">
        <v>0.52227806361679541</v>
      </c>
    </row>
    <row r="65" spans="1:3">
      <c r="A65">
        <v>57</v>
      </c>
      <c r="B65">
        <v>0.88634671913724072</v>
      </c>
      <c r="C65">
        <v>0.1217977317119221</v>
      </c>
    </row>
    <row r="66" spans="1:3">
      <c r="A66">
        <v>58</v>
      </c>
      <c r="B66">
        <v>0.75976829813555069</v>
      </c>
      <c r="C66">
        <v>0.49487950832644856</v>
      </c>
    </row>
    <row r="67" spans="1:3">
      <c r="A67">
        <v>59</v>
      </c>
      <c r="B67">
        <v>0.86080582109880766</v>
      </c>
      <c r="C67">
        <v>0.42994051379355369</v>
      </c>
    </row>
    <row r="68" spans="1:3">
      <c r="A68">
        <v>60</v>
      </c>
      <c r="B68">
        <v>0.53136868458505926</v>
      </c>
      <c r="C68">
        <v>3.021787119905639E-3</v>
      </c>
    </row>
    <row r="69" spans="1:3">
      <c r="A69">
        <v>61</v>
      </c>
      <c r="B69">
        <v>0.69487010599809462</v>
      </c>
      <c r="C69">
        <v>0.65749761632832815</v>
      </c>
    </row>
    <row r="70" spans="1:3">
      <c r="A70">
        <v>62</v>
      </c>
      <c r="B70">
        <v>0.59670300266163023</v>
      </c>
      <c r="C70">
        <v>0.50206705096115911</v>
      </c>
    </row>
    <row r="71" spans="1:3">
      <c r="A71">
        <v>63</v>
      </c>
      <c r="B71">
        <v>4.290951081619354E-3</v>
      </c>
      <c r="C71">
        <v>0.65241465823601175</v>
      </c>
    </row>
    <row r="72" spans="1:3">
      <c r="A72">
        <v>64</v>
      </c>
      <c r="B72">
        <v>0.92989869932292468</v>
      </c>
      <c r="C72">
        <v>7.7992550411181583E-2</v>
      </c>
    </row>
    <row r="73" spans="1:3">
      <c r="A73">
        <v>65</v>
      </c>
      <c r="B73">
        <v>0.98407179578418646</v>
      </c>
      <c r="C73">
        <v>0.16701497721805936</v>
      </c>
    </row>
    <row r="74" spans="1:3">
      <c r="A74">
        <v>66</v>
      </c>
      <c r="B74">
        <v>0.86832023689833482</v>
      </c>
      <c r="C74">
        <v>6.9335022820297354E-2</v>
      </c>
    </row>
    <row r="75" spans="1:3">
      <c r="A75">
        <v>67</v>
      </c>
      <c r="B75">
        <v>0.83805167944008763</v>
      </c>
      <c r="C75">
        <v>0.13086675588147045</v>
      </c>
    </row>
    <row r="76" spans="1:3">
      <c r="A76">
        <v>68</v>
      </c>
      <c r="B76">
        <v>0.75112464349743091</v>
      </c>
      <c r="C76">
        <v>0.58738323852958274</v>
      </c>
    </row>
    <row r="77" spans="1:3">
      <c r="A77">
        <v>69</v>
      </c>
      <c r="B77">
        <v>0.90597507333987748</v>
      </c>
      <c r="C77">
        <v>1.612132372247288E-2</v>
      </c>
    </row>
    <row r="78" spans="1:3">
      <c r="A78">
        <v>70</v>
      </c>
      <c r="B78">
        <v>0.10799586424324564</v>
      </c>
      <c r="C78">
        <v>0.78610421304892952</v>
      </c>
    </row>
    <row r="79" spans="1:3">
      <c r="A79">
        <v>71</v>
      </c>
      <c r="B79">
        <v>0.48779513589637241</v>
      </c>
      <c r="C79">
        <v>0.54795090411971614</v>
      </c>
    </row>
    <row r="80" spans="1:3">
      <c r="A80">
        <v>72</v>
      </c>
      <c r="B80">
        <v>0.59008976651008471</v>
      </c>
      <c r="C80">
        <v>0.84126447874314181</v>
      </c>
    </row>
    <row r="81" spans="1:3">
      <c r="A81">
        <v>73</v>
      </c>
      <c r="B81">
        <v>0.54982932611830282</v>
      </c>
      <c r="C81">
        <v>0.11952766593822162</v>
      </c>
    </row>
    <row r="82" spans="1:3">
      <c r="A82">
        <v>74</v>
      </c>
      <c r="B82">
        <v>0.71467817094635178</v>
      </c>
      <c r="C82">
        <v>0.35278701264087431</v>
      </c>
    </row>
    <row r="83" spans="1:3">
      <c r="A83">
        <v>75</v>
      </c>
      <c r="B83">
        <v>0.77064307075823735</v>
      </c>
      <c r="C83">
        <v>0.66376465515895688</v>
      </c>
    </row>
    <row r="84" spans="1:3">
      <c r="A84">
        <v>76</v>
      </c>
      <c r="B84">
        <v>0.22947228666499078</v>
      </c>
      <c r="C84">
        <v>0.59190909228436794</v>
      </c>
    </row>
    <row r="85" spans="1:3">
      <c r="A85">
        <v>77</v>
      </c>
      <c r="B85">
        <v>0.44195071427313393</v>
      </c>
      <c r="C85">
        <v>0.92836384508703418</v>
      </c>
    </row>
    <row r="86" spans="1:3">
      <c r="A86">
        <v>78</v>
      </c>
      <c r="B86">
        <v>0.5642461163944672</v>
      </c>
      <c r="C86">
        <v>0.1576567666252231</v>
      </c>
    </row>
    <row r="87" spans="1:3">
      <c r="A87">
        <v>79</v>
      </c>
      <c r="B87">
        <v>0.39070270569545751</v>
      </c>
      <c r="C87">
        <v>0.80383209746014472</v>
      </c>
    </row>
    <row r="88" spans="1:3">
      <c r="A88">
        <v>80</v>
      </c>
      <c r="B88">
        <v>0.58884187945603439</v>
      </c>
      <c r="C88">
        <v>5.1348714478081092E-3</v>
      </c>
    </row>
    <row r="89" spans="1:3">
      <c r="A89">
        <v>81</v>
      </c>
      <c r="B89">
        <v>0.62990763938168703</v>
      </c>
      <c r="C89">
        <v>0.10682791516865109</v>
      </c>
    </row>
    <row r="90" spans="1:3">
      <c r="A90">
        <v>82</v>
      </c>
      <c r="B90">
        <v>0.9038023922647821</v>
      </c>
      <c r="C90">
        <v>0.96688825335331785</v>
      </c>
    </row>
    <row r="91" spans="1:3">
      <c r="A91">
        <v>83</v>
      </c>
      <c r="B91">
        <v>0.4668414298460915</v>
      </c>
      <c r="C91">
        <v>0.62515399614221678</v>
      </c>
    </row>
    <row r="92" spans="1:3">
      <c r="A92">
        <v>84</v>
      </c>
      <c r="B92">
        <v>0.39734768248217828</v>
      </c>
      <c r="C92">
        <v>8.9040964248852106E-2</v>
      </c>
    </row>
    <row r="93" spans="1:3">
      <c r="A93">
        <v>85</v>
      </c>
      <c r="B93">
        <v>0.28123097485425669</v>
      </c>
      <c r="C93">
        <v>0.78819542282781185</v>
      </c>
    </row>
    <row r="94" spans="1:3">
      <c r="A94">
        <v>86</v>
      </c>
      <c r="B94">
        <v>2.8556972649776604E-2</v>
      </c>
      <c r="C94">
        <v>0.73653812769043725</v>
      </c>
    </row>
    <row r="95" spans="1:3">
      <c r="A95">
        <v>87</v>
      </c>
      <c r="B95">
        <v>0.54497174439019791</v>
      </c>
      <c r="C95">
        <v>0.44730499845445593</v>
      </c>
    </row>
    <row r="96" spans="1:3">
      <c r="A96">
        <v>88</v>
      </c>
      <c r="B96">
        <v>0.50091316337369218</v>
      </c>
      <c r="C96">
        <v>0.9315932662684645</v>
      </c>
    </row>
    <row r="97" spans="1:3">
      <c r="A97">
        <v>89</v>
      </c>
      <c r="B97">
        <v>0.22308798490746132</v>
      </c>
      <c r="C97">
        <v>0.64991888843360357</v>
      </c>
    </row>
    <row r="98" spans="1:3">
      <c r="A98">
        <v>90</v>
      </c>
      <c r="B98">
        <v>0.16307512770012839</v>
      </c>
      <c r="C98">
        <v>0.60220813870819256</v>
      </c>
    </row>
    <row r="99" spans="1:3">
      <c r="A99">
        <v>91</v>
      </c>
      <c r="B99">
        <v>0.40831124678796882</v>
      </c>
      <c r="C99">
        <v>0.20130293664442434</v>
      </c>
    </row>
    <row r="100" spans="1:3">
      <c r="A100">
        <v>92</v>
      </c>
      <c r="B100">
        <v>0.47633679468681495</v>
      </c>
      <c r="C100">
        <v>5.0516983280431305E-2</v>
      </c>
    </row>
    <row r="101" spans="1:3">
      <c r="A101">
        <v>93</v>
      </c>
      <c r="B101">
        <v>0.28736540299313268</v>
      </c>
      <c r="C101">
        <v>0.3651946770005452</v>
      </c>
    </row>
    <row r="102" spans="1:3">
      <c r="A102">
        <v>94</v>
      </c>
      <c r="B102">
        <v>0.1575210733251928</v>
      </c>
      <c r="C102">
        <v>0.85169863889223052</v>
      </c>
    </row>
    <row r="103" spans="1:3">
      <c r="A103">
        <v>95</v>
      </c>
      <c r="B103">
        <v>0.18562244840795697</v>
      </c>
      <c r="C103">
        <v>0.36092934480802796</v>
      </c>
    </row>
    <row r="104" spans="1:3">
      <c r="A104">
        <v>96</v>
      </c>
      <c r="B104">
        <v>0.56904595947918624</v>
      </c>
      <c r="C104">
        <v>0.67654678147755476</v>
      </c>
    </row>
    <row r="105" spans="1:3">
      <c r="A105">
        <v>97</v>
      </c>
      <c r="B105">
        <v>0.8925100021978164</v>
      </c>
      <c r="C105">
        <v>0.40844485749403248</v>
      </c>
    </row>
    <row r="106" spans="1:3">
      <c r="A106">
        <v>98</v>
      </c>
      <c r="B106">
        <v>0.21059361146660371</v>
      </c>
      <c r="C106">
        <v>0.22867153894549119</v>
      </c>
    </row>
    <row r="107" spans="1:3">
      <c r="A107">
        <v>99</v>
      </c>
      <c r="B107">
        <v>0.6689447587516496</v>
      </c>
      <c r="C107">
        <v>0.75325418039483338</v>
      </c>
    </row>
    <row r="108" spans="1:3">
      <c r="A108">
        <v>100</v>
      </c>
      <c r="B108">
        <v>0.55865801597215659</v>
      </c>
      <c r="C108">
        <v>0.75638334180075617</v>
      </c>
    </row>
    <row r="109" spans="1:3">
      <c r="A109">
        <v>101</v>
      </c>
      <c r="B109">
        <v>0.92059067170149433</v>
      </c>
      <c r="C109">
        <v>5.9061459077383915E-2</v>
      </c>
    </row>
    <row r="110" spans="1:3">
      <c r="A110">
        <v>102</v>
      </c>
      <c r="B110">
        <v>0.80912931716165715</v>
      </c>
      <c r="C110">
        <v>0.64693904704472516</v>
      </c>
    </row>
    <row r="111" spans="1:3">
      <c r="A111">
        <v>103</v>
      </c>
      <c r="B111">
        <v>0.78332819603344617</v>
      </c>
      <c r="C111">
        <v>0.15965143732591969</v>
      </c>
    </row>
    <row r="112" spans="1:3">
      <c r="A112">
        <v>104</v>
      </c>
      <c r="B112">
        <v>0.17512189538453751</v>
      </c>
      <c r="C112">
        <v>0.92802128956282104</v>
      </c>
    </row>
    <row r="113" spans="1:3">
      <c r="A113">
        <v>105</v>
      </c>
      <c r="B113">
        <v>7.1378316571092781E-2</v>
      </c>
      <c r="C113">
        <v>0.96662283398291038</v>
      </c>
    </row>
    <row r="114" spans="1:3">
      <c r="A114">
        <v>106</v>
      </c>
      <c r="B114">
        <v>0.64478018706659324</v>
      </c>
      <c r="C114">
        <v>0.51375476420980704</v>
      </c>
    </row>
    <row r="115" spans="1:3">
      <c r="A115">
        <v>107</v>
      </c>
      <c r="B115">
        <v>0.95081263335440591</v>
      </c>
      <c r="C115">
        <v>0.66660119783500704</v>
      </c>
    </row>
    <row r="116" spans="1:3">
      <c r="A116">
        <v>108</v>
      </c>
      <c r="B116">
        <v>7.5354225681013021E-2</v>
      </c>
      <c r="C116">
        <v>0.69823948296470917</v>
      </c>
    </row>
    <row r="117" spans="1:3">
      <c r="A117">
        <v>109</v>
      </c>
      <c r="B117">
        <v>0.35028526501038237</v>
      </c>
      <c r="C117">
        <v>0.57868910113666061</v>
      </c>
    </row>
    <row r="118" spans="1:3">
      <c r="A118">
        <v>110</v>
      </c>
      <c r="B118">
        <v>0.31538476754454542</v>
      </c>
      <c r="C118">
        <v>0.21430471762687375</v>
      </c>
    </row>
    <row r="119" spans="1:3">
      <c r="A119">
        <v>111</v>
      </c>
      <c r="B119">
        <v>9.0510319518044197E-2</v>
      </c>
      <c r="C119">
        <v>0.94549757085133024</v>
      </c>
    </row>
    <row r="120" spans="1:3">
      <c r="A120">
        <v>112</v>
      </c>
      <c r="B120">
        <v>0.1812273257985309</v>
      </c>
      <c r="C120">
        <v>0.21966444989084266</v>
      </c>
    </row>
    <row r="121" spans="1:3">
      <c r="A121">
        <v>113</v>
      </c>
      <c r="B121">
        <v>0.55270039105268676</v>
      </c>
      <c r="C121">
        <v>0.34021573365589575</v>
      </c>
    </row>
    <row r="122" spans="1:3">
      <c r="A122">
        <v>114</v>
      </c>
      <c r="B122">
        <v>0.16849663894821348</v>
      </c>
      <c r="C122">
        <v>0.21504406979693158</v>
      </c>
    </row>
    <row r="123" spans="1:3">
      <c r="A123">
        <v>115</v>
      </c>
      <c r="B123">
        <v>0.34623976733797224</v>
      </c>
      <c r="C123">
        <v>0.68098357473081705</v>
      </c>
    </row>
    <row r="124" spans="1:3">
      <c r="A124">
        <v>116</v>
      </c>
      <c r="B124">
        <v>2.4822353020967532E-2</v>
      </c>
      <c r="C124">
        <v>0.7875995179383608</v>
      </c>
    </row>
    <row r="125" spans="1:3">
      <c r="A125">
        <v>117</v>
      </c>
      <c r="B125">
        <v>0.87579313017562799</v>
      </c>
      <c r="C125">
        <v>0.26160525241630239</v>
      </c>
    </row>
    <row r="126" spans="1:3">
      <c r="A126">
        <v>118</v>
      </c>
      <c r="B126">
        <v>0.84034499224050552</v>
      </c>
      <c r="C126">
        <v>0.290373772761086</v>
      </c>
    </row>
    <row r="127" spans="1:3">
      <c r="A127">
        <v>119</v>
      </c>
      <c r="B127">
        <v>0.49352430193068558</v>
      </c>
      <c r="C127">
        <v>0.85223150646470458</v>
      </c>
    </row>
    <row r="128" spans="1:3">
      <c r="A128">
        <v>120</v>
      </c>
      <c r="B128">
        <v>0.63990995427940733</v>
      </c>
      <c r="C128">
        <v>0.25839126441314875</v>
      </c>
    </row>
    <row r="129" spans="1:3">
      <c r="A129">
        <v>121</v>
      </c>
      <c r="B129">
        <v>0.52548682179778972</v>
      </c>
      <c r="C129">
        <v>0.838582277491696</v>
      </c>
    </row>
    <row r="130" spans="1:3">
      <c r="A130">
        <v>122</v>
      </c>
      <c r="B130">
        <v>0.49858035607463225</v>
      </c>
      <c r="C130">
        <v>0.14184606963317492</v>
      </c>
    </row>
    <row r="131" spans="1:3">
      <c r="A131">
        <v>123</v>
      </c>
      <c r="B131">
        <v>0.33630223102548679</v>
      </c>
      <c r="C131">
        <v>7.5161769948877577E-2</v>
      </c>
    </row>
    <row r="132" spans="1:3">
      <c r="A132">
        <v>124</v>
      </c>
      <c r="B132">
        <v>0.69977731315879554</v>
      </c>
      <c r="C132">
        <v>0.95955686771003457</v>
      </c>
    </row>
    <row r="133" spans="1:3">
      <c r="A133">
        <v>125</v>
      </c>
      <c r="B133">
        <v>0.29699891289393393</v>
      </c>
      <c r="C133">
        <v>0.52916467263821687</v>
      </c>
    </row>
    <row r="134" spans="1:3">
      <c r="A134">
        <v>126</v>
      </c>
      <c r="B134">
        <v>0.93514066600942525</v>
      </c>
      <c r="C134">
        <v>0.71603810169563076</v>
      </c>
    </row>
    <row r="135" spans="1:3">
      <c r="A135">
        <v>127</v>
      </c>
      <c r="B135">
        <v>0.13084167965008917</v>
      </c>
      <c r="C135">
        <v>0.92522255254880292</v>
      </c>
    </row>
    <row r="136" spans="1:3">
      <c r="A136">
        <v>128</v>
      </c>
      <c r="B136">
        <v>0.40230696135021438</v>
      </c>
      <c r="C136">
        <v>0.42882269448728039</v>
      </c>
    </row>
    <row r="137" spans="1:3">
      <c r="A137">
        <v>129</v>
      </c>
      <c r="B137">
        <v>0.81644929100094588</v>
      </c>
      <c r="C137">
        <v>0.74002559764085163</v>
      </c>
    </row>
    <row r="138" spans="1:3">
      <c r="A138">
        <v>130</v>
      </c>
      <c r="B138">
        <v>0.73098141902265634</v>
      </c>
      <c r="C138">
        <v>0.83283542289973411</v>
      </c>
    </row>
    <row r="139" spans="1:3">
      <c r="A139">
        <v>131</v>
      </c>
      <c r="B139">
        <v>0.82849611716426352</v>
      </c>
      <c r="C139">
        <v>0.77992630426251708</v>
      </c>
    </row>
    <row r="140" spans="1:3">
      <c r="A140">
        <v>132</v>
      </c>
      <c r="B140">
        <v>0.38942888184088026</v>
      </c>
      <c r="C140">
        <v>0.35691183871676913</v>
      </c>
    </row>
    <row r="141" spans="1:3">
      <c r="A141">
        <v>133</v>
      </c>
      <c r="B141">
        <v>3.0877618920262348E-2</v>
      </c>
      <c r="C141">
        <v>0.85235564858521684</v>
      </c>
    </row>
    <row r="142" spans="1:3">
      <c r="A142">
        <v>134</v>
      </c>
      <c r="B142">
        <v>0.33139616554286244</v>
      </c>
      <c r="C142">
        <v>0.59944243532572727</v>
      </c>
    </row>
    <row r="143" spans="1:3">
      <c r="A143">
        <v>135</v>
      </c>
      <c r="B143">
        <v>0.36398775478219325</v>
      </c>
      <c r="C143">
        <v>0.82537482416046259</v>
      </c>
    </row>
    <row r="144" spans="1:3">
      <c r="A144">
        <v>136</v>
      </c>
      <c r="B144">
        <v>0.46460216766330459</v>
      </c>
      <c r="C144">
        <v>0.1591201955170618</v>
      </c>
    </row>
    <row r="145" spans="1:3">
      <c r="A145">
        <v>137</v>
      </c>
      <c r="B145">
        <v>0.79079008837830966</v>
      </c>
      <c r="C145">
        <v>0.56998988438863307</v>
      </c>
    </row>
    <row r="146" spans="1:3">
      <c r="A146">
        <v>138</v>
      </c>
      <c r="B146">
        <v>0.31122155613876451</v>
      </c>
      <c r="C146">
        <v>0.30801315239204996</v>
      </c>
    </row>
    <row r="147" spans="1:3">
      <c r="A147">
        <v>139</v>
      </c>
      <c r="B147">
        <v>0.37122922024485405</v>
      </c>
      <c r="C147">
        <v>0.16059392064380518</v>
      </c>
    </row>
    <row r="148" spans="1:3">
      <c r="A148">
        <v>140</v>
      </c>
      <c r="B148">
        <v>0.20973086466540836</v>
      </c>
      <c r="C148">
        <v>0.73668585419818555</v>
      </c>
    </row>
    <row r="149" spans="1:3">
      <c r="A149">
        <v>141</v>
      </c>
      <c r="B149">
        <v>0.66465049980665791</v>
      </c>
      <c r="C149">
        <v>0.39618836017689318</v>
      </c>
    </row>
    <row r="150" spans="1:3">
      <c r="A150">
        <v>142</v>
      </c>
      <c r="B150">
        <v>0.97355709208840435</v>
      </c>
      <c r="C150">
        <v>0.77388715679171582</v>
      </c>
    </row>
    <row r="151" spans="1:3">
      <c r="A151">
        <v>143</v>
      </c>
      <c r="B151">
        <v>0.72154358296807475</v>
      </c>
      <c r="C151">
        <v>0.95896475779591128</v>
      </c>
    </row>
    <row r="152" spans="1:3">
      <c r="A152">
        <v>144</v>
      </c>
      <c r="B152">
        <v>0.13889223061010525</v>
      </c>
      <c r="C152">
        <v>0.46477847534970351</v>
      </c>
    </row>
    <row r="153" spans="1:3">
      <c r="A153">
        <v>145</v>
      </c>
      <c r="B153">
        <v>0.44642067516604916</v>
      </c>
      <c r="C153">
        <v>0.16846319249634689</v>
      </c>
    </row>
    <row r="154" spans="1:3">
      <c r="A154">
        <v>146</v>
      </c>
      <c r="B154">
        <v>0.11840887536141297</v>
      </c>
      <c r="C154">
        <v>0.4263087726340018</v>
      </c>
    </row>
    <row r="155" spans="1:3">
      <c r="A155">
        <v>147</v>
      </c>
      <c r="B155">
        <v>0.85924341618298627</v>
      </c>
      <c r="C155">
        <v>0.48164920989168536</v>
      </c>
    </row>
    <row r="156" spans="1:3">
      <c r="A156">
        <v>148</v>
      </c>
      <c r="B156">
        <v>0.17106776469062729</v>
      </c>
      <c r="C156">
        <v>0.5111659093408889</v>
      </c>
    </row>
    <row r="157" spans="1:3">
      <c r="A157">
        <v>149</v>
      </c>
      <c r="B157">
        <v>0.358717548710694</v>
      </c>
      <c r="C157">
        <v>0.52021789377249661</v>
      </c>
    </row>
    <row r="158" spans="1:3">
      <c r="A158">
        <v>150</v>
      </c>
      <c r="B158">
        <v>5.2710734377082138E-2</v>
      </c>
      <c r="C158">
        <v>9.6711564022371022E-2</v>
      </c>
    </row>
    <row r="159" spans="1:3">
      <c r="A159">
        <v>151</v>
      </c>
      <c r="B159">
        <v>0.91035731677556342</v>
      </c>
      <c r="C159">
        <v>0.74880401266818808</v>
      </c>
    </row>
    <row r="160" spans="1:3">
      <c r="A160">
        <v>152</v>
      </c>
      <c r="B160">
        <v>0.88077994114504665</v>
      </c>
      <c r="C160">
        <v>0.54873235231389117</v>
      </c>
    </row>
    <row r="161" spans="1:3">
      <c r="A161">
        <v>153</v>
      </c>
      <c r="B161">
        <v>0.14561868252596322</v>
      </c>
      <c r="C161">
        <v>0.85413243392849836</v>
      </c>
    </row>
    <row r="162" spans="1:3">
      <c r="A162">
        <v>154</v>
      </c>
      <c r="B162">
        <v>0.70879649940617295</v>
      </c>
      <c r="C162">
        <v>0.21298835941342986</v>
      </c>
    </row>
    <row r="163" spans="1:3">
      <c r="A163">
        <v>155</v>
      </c>
      <c r="B163">
        <v>0.81319237651028486</v>
      </c>
      <c r="C163">
        <v>0.75526887409705523</v>
      </c>
    </row>
    <row r="164" spans="1:3">
      <c r="A164">
        <v>156</v>
      </c>
      <c r="B164">
        <v>0.9872460870752684</v>
      </c>
      <c r="C164">
        <v>0.51175807802610507</v>
      </c>
    </row>
    <row r="165" spans="1:3">
      <c r="A165">
        <v>157</v>
      </c>
      <c r="B165">
        <v>0.68165968945754218</v>
      </c>
      <c r="C165">
        <v>0.6068478709212286</v>
      </c>
    </row>
    <row r="166" spans="1:3">
      <c r="A166">
        <v>158</v>
      </c>
      <c r="B166">
        <v>5.3949146020214342E-3</v>
      </c>
      <c r="C166">
        <v>0.40335669982596301</v>
      </c>
    </row>
    <row r="167" spans="1:3">
      <c r="A167">
        <v>159</v>
      </c>
      <c r="B167">
        <v>0.57324338774505146</v>
      </c>
      <c r="C167">
        <v>0.992992086018603</v>
      </c>
    </row>
    <row r="168" spans="1:3">
      <c r="A168">
        <v>160</v>
      </c>
      <c r="B168">
        <v>0.67353877515730887</v>
      </c>
      <c r="C168">
        <v>0.48823417839048489</v>
      </c>
    </row>
    <row r="169" spans="1:3">
      <c r="A169">
        <v>161</v>
      </c>
      <c r="B169">
        <v>0.68933926747980034</v>
      </c>
      <c r="C169">
        <v>0.16510700541130063</v>
      </c>
    </row>
    <row r="170" spans="1:3">
      <c r="A170">
        <v>162</v>
      </c>
      <c r="B170">
        <v>0.977479971906282</v>
      </c>
      <c r="C170">
        <v>0.41692303933450603</v>
      </c>
    </row>
    <row r="171" spans="1:3">
      <c r="A171">
        <v>163</v>
      </c>
      <c r="B171">
        <v>0.62411131154026633</v>
      </c>
      <c r="C171">
        <v>7.4648166983024566E-3</v>
      </c>
    </row>
    <row r="172" spans="1:3">
      <c r="A172">
        <v>164</v>
      </c>
      <c r="B172">
        <v>0.63373942275152995</v>
      </c>
      <c r="C172">
        <v>0.97570306240049831</v>
      </c>
    </row>
    <row r="173" spans="1:3">
      <c r="A173">
        <v>165</v>
      </c>
      <c r="B173">
        <v>3.7845425997591907E-2</v>
      </c>
      <c r="C173">
        <v>0.78788819586952741</v>
      </c>
    </row>
    <row r="174" spans="1:3">
      <c r="A174">
        <v>166</v>
      </c>
      <c r="B174">
        <v>0.12572821646596496</v>
      </c>
      <c r="C174">
        <v>0.76188718877256179</v>
      </c>
    </row>
    <row r="175" spans="1:3">
      <c r="A175">
        <v>167</v>
      </c>
      <c r="B175">
        <v>6.495548934441886E-2</v>
      </c>
      <c r="C175">
        <v>0.64548157448371057</v>
      </c>
    </row>
    <row r="176" spans="1:3">
      <c r="A176">
        <v>168</v>
      </c>
      <c r="B176">
        <v>0.52269655414221261</v>
      </c>
      <c r="C176">
        <v>0.94854275964371482</v>
      </c>
    </row>
    <row r="177" spans="1:3">
      <c r="A177">
        <v>169</v>
      </c>
      <c r="B177">
        <v>0.96538310783225656</v>
      </c>
      <c r="C177">
        <v>0.45912170685005549</v>
      </c>
    </row>
    <row r="178" spans="1:3">
      <c r="A178">
        <v>170</v>
      </c>
      <c r="B178">
        <v>0.12260448047020577</v>
      </c>
      <c r="C178">
        <v>0.19874889208040258</v>
      </c>
    </row>
    <row r="179" spans="1:3">
      <c r="A179">
        <v>171</v>
      </c>
      <c r="B179">
        <v>4.7322575237444271E-2</v>
      </c>
      <c r="C179">
        <v>0.43193070048164373</v>
      </c>
    </row>
    <row r="180" spans="1:3">
      <c r="A180">
        <v>172</v>
      </c>
      <c r="B180">
        <v>0.70246833635085926</v>
      </c>
      <c r="C180">
        <v>0.60930404870669008</v>
      </c>
    </row>
    <row r="181" spans="1:3">
      <c r="A181">
        <v>173</v>
      </c>
      <c r="B181">
        <v>0.24462370005660311</v>
      </c>
      <c r="C181">
        <v>0.28918990183592541</v>
      </c>
    </row>
    <row r="182" spans="1:3">
      <c r="A182">
        <v>174</v>
      </c>
      <c r="B182">
        <v>0.21582789134369881</v>
      </c>
      <c r="C182">
        <v>0.71226180126177496</v>
      </c>
    </row>
    <row r="183" spans="1:3">
      <c r="A183">
        <v>175</v>
      </c>
      <c r="B183">
        <v>0.61123288590955382</v>
      </c>
      <c r="C183">
        <v>0.89751475780121837</v>
      </c>
    </row>
    <row r="184" spans="1:3">
      <c r="A184">
        <v>176</v>
      </c>
      <c r="B184">
        <v>0.1149921321601123</v>
      </c>
      <c r="C184">
        <v>0.64957761766709154</v>
      </c>
    </row>
    <row r="185" spans="1:3">
      <c r="A185">
        <v>177</v>
      </c>
      <c r="B185">
        <v>4.0442472230746054E-2</v>
      </c>
      <c r="C185">
        <v>0.17249443067339598</v>
      </c>
    </row>
    <row r="186" spans="1:3">
      <c r="A186">
        <v>178</v>
      </c>
      <c r="B186">
        <v>0.20357588168666138</v>
      </c>
      <c r="C186">
        <v>0.62547618728331145</v>
      </c>
    </row>
    <row r="187" spans="1:3">
      <c r="A187">
        <v>179</v>
      </c>
      <c r="B187">
        <v>0.71934050827621021</v>
      </c>
      <c r="C187">
        <v>0.48476108698196185</v>
      </c>
    </row>
    <row r="188" spans="1:3">
      <c r="A188">
        <v>180</v>
      </c>
      <c r="B188">
        <v>0.26532675036353215</v>
      </c>
      <c r="C188">
        <v>0.86630084857551992</v>
      </c>
    </row>
    <row r="189" spans="1:3">
      <c r="A189">
        <v>181</v>
      </c>
      <c r="B189">
        <v>0.60518504770942616</v>
      </c>
      <c r="C189">
        <v>0.29241938440827653</v>
      </c>
    </row>
    <row r="190" spans="1:3">
      <c r="A190">
        <v>182</v>
      </c>
      <c r="B190">
        <v>0.42269148971831688</v>
      </c>
      <c r="C190">
        <v>0.63318495347903081</v>
      </c>
    </row>
    <row r="191" spans="1:3">
      <c r="A191">
        <v>183</v>
      </c>
      <c r="B191">
        <v>0.29073924522980565</v>
      </c>
      <c r="C191">
        <v>3.2253923442112864E-2</v>
      </c>
    </row>
    <row r="192" spans="1:3">
      <c r="A192">
        <v>184</v>
      </c>
      <c r="B192">
        <v>0.7759834670114758</v>
      </c>
      <c r="C192">
        <v>0.29098629030795564</v>
      </c>
    </row>
    <row r="193" spans="1:14">
      <c r="A193">
        <v>185</v>
      </c>
      <c r="B193">
        <v>0.7667192979254106</v>
      </c>
      <c r="C193">
        <v>0.21292710170746432</v>
      </c>
    </row>
    <row r="194" spans="1:14">
      <c r="A194">
        <v>186</v>
      </c>
      <c r="B194">
        <v>0.45416057185483177</v>
      </c>
      <c r="C194">
        <v>0.15064307965076296</v>
      </c>
    </row>
    <row r="195" spans="1:14">
      <c r="A195">
        <v>187</v>
      </c>
      <c r="B195">
        <v>5.6173159411683021E-2</v>
      </c>
      <c r="C195">
        <v>0.33357106180756091</v>
      </c>
    </row>
    <row r="196" spans="1:14">
      <c r="A196">
        <v>188</v>
      </c>
      <c r="B196">
        <v>0.65735006789265893</v>
      </c>
      <c r="C196">
        <v>0.14663448809187685</v>
      </c>
    </row>
    <row r="197" spans="1:14">
      <c r="A197">
        <v>189</v>
      </c>
      <c r="B197">
        <v>0.60318383370018192</v>
      </c>
      <c r="C197">
        <v>0.16826685309661116</v>
      </c>
    </row>
    <row r="198" spans="1:14">
      <c r="A198">
        <v>190</v>
      </c>
      <c r="B198">
        <v>0.93237372216125336</v>
      </c>
      <c r="C198">
        <v>4.4252978517761221E-2</v>
      </c>
    </row>
    <row r="199" spans="1:14">
      <c r="A199">
        <v>191</v>
      </c>
      <c r="B199">
        <v>0.27051606551988888</v>
      </c>
      <c r="C199">
        <v>0.9414110839852583</v>
      </c>
    </row>
    <row r="200" spans="1:14">
      <c r="A200">
        <v>192</v>
      </c>
      <c r="B200">
        <v>0.36890474038987997</v>
      </c>
      <c r="C200">
        <v>0.81611378955676628</v>
      </c>
    </row>
    <row r="201" spans="1:14">
      <c r="A201">
        <v>193</v>
      </c>
      <c r="B201">
        <v>0.9938271924466423</v>
      </c>
      <c r="C201">
        <v>0.93355664567297936</v>
      </c>
    </row>
    <row r="202" spans="1:14">
      <c r="A202">
        <v>194</v>
      </c>
      <c r="B202">
        <v>0.32880304168649088</v>
      </c>
      <c r="C202">
        <v>0.77652214135741815</v>
      </c>
    </row>
    <row r="203" spans="1:14">
      <c r="A203">
        <v>195</v>
      </c>
      <c r="B203">
        <v>0.94823438536800309</v>
      </c>
      <c r="C203">
        <v>0.87655915611230739</v>
      </c>
    </row>
    <row r="204" spans="1:14">
      <c r="A204">
        <v>196</v>
      </c>
      <c r="B204">
        <v>0.83209637523444757</v>
      </c>
      <c r="C204">
        <v>0.34807583488327509</v>
      </c>
    </row>
    <row r="205" spans="1:14">
      <c r="A205">
        <v>197</v>
      </c>
      <c r="B205">
        <v>0.67877269338904245</v>
      </c>
      <c r="C205">
        <v>0.31504881043383648</v>
      </c>
    </row>
    <row r="206" spans="1:14">
      <c r="A206">
        <v>198</v>
      </c>
      <c r="B206">
        <v>0.84714822137312695</v>
      </c>
      <c r="C206">
        <v>0.14397777972408221</v>
      </c>
    </row>
    <row r="207" spans="1:14">
      <c r="A207">
        <v>199</v>
      </c>
      <c r="B207">
        <v>8.8278331463988488E-2</v>
      </c>
      <c r="C207">
        <v>9.3688554472464602E-2</v>
      </c>
    </row>
    <row r="208" spans="1:14">
      <c r="A208">
        <v>200</v>
      </c>
      <c r="B208">
        <v>0.72726085498748827</v>
      </c>
      <c r="C208">
        <v>3.4398898099425423E-2</v>
      </c>
      <c r="K208" t="str">
        <f>SimData200!$B$8</f>
        <v>Latin</v>
      </c>
      <c r="L208" t="s">
        <v>8</v>
      </c>
      <c r="M208" t="str">
        <f>SimData200!$C$8</f>
        <v>Monte</v>
      </c>
      <c r="N208" t="s">
        <v>8</v>
      </c>
    </row>
    <row r="209" spans="1:14">
      <c r="K209">
        <f>SMALL(SimData200!$B$9:$B$208,1)</f>
        <v>4.290951081619354E-3</v>
      </c>
      <c r="L209">
        <v>0</v>
      </c>
      <c r="M209">
        <f>SMALL(SimData200!$C$9:$C$208,1)</f>
        <v>3.021787119905639E-3</v>
      </c>
      <c r="N209">
        <v>0</v>
      </c>
    </row>
    <row r="210" spans="1:14">
      <c r="A210" t="s">
        <v>18</v>
      </c>
      <c r="K210">
        <f>SMALL(SimData200!$B$9:$B$208,2)</f>
        <v>5.3949146020214342E-3</v>
      </c>
      <c r="L210">
        <f>1/(COUNT(SimData200!$B$9:$B$208)-1)+$L$209</f>
        <v>5.0251256281407036E-3</v>
      </c>
      <c r="M210">
        <f>SMALL(SimData200!$C$9:$C$208,2)</f>
        <v>5.1348714478081092E-3</v>
      </c>
      <c r="N210">
        <f>1/(COUNT(SimData200!$C$9:$C$208)-1)+$N$209</f>
        <v>5.0251256281407036E-3</v>
      </c>
    </row>
    <row r="211" spans="1:14">
      <c r="A211" t="s">
        <v>19</v>
      </c>
      <c r="B211" t="str">
        <f>IF(ISBLANK($B210)=TRUE,"",_xll.EDF(B9:B208,$B210))</f>
        <v/>
      </c>
      <c r="C211" t="str">
        <f>IF(ISBLANK($C210)=TRUE,"",_xll.EDF(C9:C208,$C210))</f>
        <v/>
      </c>
      <c r="K211">
        <f>SMALL(SimData200!$B$9:$B$208,3)</f>
        <v>1.3233221311409311E-2</v>
      </c>
      <c r="L211">
        <f>1/(COUNT(SimData200!$B$9:$B$208)-1)+$L$210</f>
        <v>1.0050251256281407E-2</v>
      </c>
      <c r="M211">
        <f>SMALL(SimData200!$C$9:$C$208,3)</f>
        <v>7.4648166983024566E-3</v>
      </c>
      <c r="N211">
        <f>1/(COUNT(SimData200!$C$9:$C$208)-1)+$N$210</f>
        <v>1.0050251256281407E-2</v>
      </c>
    </row>
    <row r="212" spans="1:14">
      <c r="A212" t="s">
        <v>20</v>
      </c>
      <c r="K212">
        <f>SMALL(SimData200!$B$9:$B$208,4)</f>
        <v>1.960609093881354E-2</v>
      </c>
      <c r="L212">
        <f>1/(COUNT(SimData200!$B$9:$B$208)-1)+$L$211</f>
        <v>1.507537688442211E-2</v>
      </c>
      <c r="M212">
        <f>SMALL(SimData200!$C$9:$C$208,4)</f>
        <v>1.612132372247288E-2</v>
      </c>
      <c r="N212">
        <f>1/(COUNT(SimData200!$C$9:$C$208)-1)+$N$211</f>
        <v>1.507537688442211E-2</v>
      </c>
    </row>
    <row r="213" spans="1:14">
      <c r="A213" t="s">
        <v>21</v>
      </c>
      <c r="B213" t="str">
        <f>IF(ISBLANK($B212)=TRUE,"",_xll.EDF(B9:B208,$B212))</f>
        <v/>
      </c>
      <c r="C213" t="str">
        <f>IF(ISBLANK($C212)=TRUE,"",_xll.EDF(C9:C208,$C212))</f>
        <v/>
      </c>
      <c r="K213">
        <f>SMALL(SimData200!$B$9:$B$208,5)</f>
        <v>2.4822353020967532E-2</v>
      </c>
      <c r="L213">
        <f>1/(COUNT(SimData200!$B$9:$B$208)-1)+$L$212</f>
        <v>2.0100502512562814E-2</v>
      </c>
      <c r="M213">
        <f>SMALL(SimData200!$C$9:$C$208,5)</f>
        <v>2.6187104877863021E-2</v>
      </c>
      <c r="N213">
        <f>1/(COUNT(SimData200!$C$9:$C$208)-1)+$N$212</f>
        <v>2.0100502512562814E-2</v>
      </c>
    </row>
    <row r="214" spans="1:14">
      <c r="A214" t="s">
        <v>22</v>
      </c>
      <c r="K214">
        <f>SMALL(SimData200!$B$9:$B$208,6)</f>
        <v>2.8556972649776604E-2</v>
      </c>
      <c r="L214">
        <f>1/(COUNT(SimData200!$B$9:$B$208)-1)+$L$213</f>
        <v>2.5125628140703519E-2</v>
      </c>
      <c r="M214">
        <f>SMALL(SimData200!$C$9:$C$208,6)</f>
        <v>3.2253923442112864E-2</v>
      </c>
      <c r="N214">
        <f>1/(COUNT(SimData200!$C$9:$C$208)-1)+$N$213</f>
        <v>2.5125628140703519E-2</v>
      </c>
    </row>
    <row r="215" spans="1:14">
      <c r="A215" t="s">
        <v>23</v>
      </c>
      <c r="B215" t="str">
        <f>IF(ISBLANK($B214)=TRUE,"",_xll.EDF(B9:B208,$B214))</f>
        <v/>
      </c>
      <c r="C215" t="str">
        <f>IF(ISBLANK($C214)=TRUE,"",_xll.EDF(C9:C208,$C214))</f>
        <v/>
      </c>
      <c r="K215">
        <f>SMALL(SimData200!$B$9:$B$208,7)</f>
        <v>3.0877618920262348E-2</v>
      </c>
      <c r="L215">
        <f>1/(COUNT(SimData200!$B$9:$B$208)-1)+$L$214</f>
        <v>3.0150753768844223E-2</v>
      </c>
      <c r="M215">
        <f>SMALL(SimData200!$C$9:$C$208,7)</f>
        <v>3.4398898099425423E-2</v>
      </c>
      <c r="N215">
        <f>1/(COUNT(SimData200!$C$9:$C$208)-1)+$N$214</f>
        <v>3.0150753768844223E-2</v>
      </c>
    </row>
    <row r="216" spans="1:14">
      <c r="A216" t="s">
        <v>24</v>
      </c>
      <c r="K216">
        <f>SMALL(SimData200!$B$9:$B$208,8)</f>
        <v>3.7845425997591907E-2</v>
      </c>
      <c r="L216">
        <f>1/(COUNT(SimData200!$B$9:$B$208)-1)+$L$215</f>
        <v>3.5175879396984924E-2</v>
      </c>
      <c r="M216">
        <f>SMALL(SimData200!$C$9:$C$208,8)</f>
        <v>3.6584326535376022E-2</v>
      </c>
      <c r="N216">
        <f>1/(COUNT(SimData200!$C$9:$C$208)-1)+$N$215</f>
        <v>3.5175879396984924E-2</v>
      </c>
    </row>
    <row r="217" spans="1:14">
      <c r="A217" t="s">
        <v>25</v>
      </c>
      <c r="B217" t="str">
        <f>IF(ISBLANK($B216)=TRUE,"",_xll.EDF(B9:B208,$B216))</f>
        <v/>
      </c>
      <c r="C217" t="str">
        <f>IF(ISBLANK($C216)=TRUE,"",_xll.EDF(C9:C208,$C216))</f>
        <v/>
      </c>
      <c r="K217">
        <f>SMALL(SimData200!$B$9:$B$208,9)</f>
        <v>4.0442472230746054E-2</v>
      </c>
      <c r="L217">
        <f>1/(COUNT(SimData200!$B$9:$B$208)-1)+$L$216</f>
        <v>4.0201005025125629E-2</v>
      </c>
      <c r="M217">
        <f>SMALL(SimData200!$C$9:$C$208,9)</f>
        <v>4.4252978517761221E-2</v>
      </c>
      <c r="N217">
        <f>1/(COUNT(SimData200!$C$9:$C$208)-1)+$N$216</f>
        <v>4.0201005025125629E-2</v>
      </c>
    </row>
    <row r="218" spans="1:14">
      <c r="A218" t="s">
        <v>26</v>
      </c>
      <c r="K218">
        <f>SMALL(SimData200!$B$9:$B$208,10)</f>
        <v>4.7322575237444271E-2</v>
      </c>
      <c r="L218">
        <f>1/(COUNT(SimData200!$B$9:$B$208)-1)+$L$217</f>
        <v>4.5226130653266333E-2</v>
      </c>
      <c r="M218">
        <f>SMALL(SimData200!$C$9:$C$208,10)</f>
        <v>5.0516983280431305E-2</v>
      </c>
      <c r="N218">
        <f>1/(COUNT(SimData200!$C$9:$C$208)-1)+$N$217</f>
        <v>4.5226130653266333E-2</v>
      </c>
    </row>
    <row r="219" spans="1:14">
      <c r="A219" t="s">
        <v>27</v>
      </c>
      <c r="B219" t="str">
        <f>IF(ISBLANK($B218)=TRUE,"",_xll.EDF(B9:B208,$B218))</f>
        <v/>
      </c>
      <c r="C219" t="str">
        <f>IF(ISBLANK($C218)=TRUE,"",_xll.EDF(C9:C208,$C218))</f>
        <v/>
      </c>
      <c r="K219">
        <f>SMALL(SimData200!$B$9:$B$208,11)</f>
        <v>5.2710734377082138E-2</v>
      </c>
      <c r="L219">
        <f>1/(COUNT(SimData200!$B$9:$B$208)-1)+$L$218</f>
        <v>5.0251256281407038E-2</v>
      </c>
      <c r="M219">
        <f>SMALL(SimData200!$C$9:$C$208,11)</f>
        <v>5.9061459077383915E-2</v>
      </c>
      <c r="N219">
        <f>1/(COUNT(SimData200!$C$9:$C$208)-1)+$N$218</f>
        <v>5.0251256281407038E-2</v>
      </c>
    </row>
    <row r="220" spans="1:14">
      <c r="K220">
        <f>SMALL(SimData200!$B$9:$B$208,12)</f>
        <v>5.6173159411683021E-2</v>
      </c>
      <c r="L220">
        <f>1/(COUNT(SimData200!$B$9:$B$208)-1)+$L$219</f>
        <v>5.5276381909547742E-2</v>
      </c>
      <c r="M220">
        <f>SMALL(SimData200!$C$9:$C$208,12)</f>
        <v>6.2190424600885308E-2</v>
      </c>
      <c r="N220">
        <f>1/(COUNT(SimData200!$C$9:$C$208)-1)+$N$219</f>
        <v>5.5276381909547742E-2</v>
      </c>
    </row>
    <row r="221" spans="1:14">
      <c r="K221">
        <f>SMALL(SimData200!$B$9:$B$208,13)</f>
        <v>6.495548934441886E-2</v>
      </c>
      <c r="L221">
        <f>1/(COUNT(SimData200!$B$9:$B$208)-1)+$L$220</f>
        <v>6.0301507537688447E-2</v>
      </c>
      <c r="M221">
        <f>SMALL(SimData200!$C$9:$C$208,13)</f>
        <v>6.7965710823045811E-2</v>
      </c>
      <c r="N221">
        <f>1/(COUNT(SimData200!$C$9:$C$208)-1)+$N$220</f>
        <v>6.0301507537688447E-2</v>
      </c>
    </row>
    <row r="222" spans="1:14">
      <c r="K222">
        <f>SMALL(SimData200!$B$9:$B$208,14)</f>
        <v>6.5005903522252551E-2</v>
      </c>
      <c r="L222">
        <f>1/(COUNT(SimData200!$B$9:$B$208)-1)+$L$221</f>
        <v>6.5326633165829151E-2</v>
      </c>
      <c r="M222">
        <f>SMALL(SimData200!$C$9:$C$208,14)</f>
        <v>6.9335022820297354E-2</v>
      </c>
      <c r="N222">
        <f>1/(COUNT(SimData200!$C$9:$C$208)-1)+$N$221</f>
        <v>6.5326633165829151E-2</v>
      </c>
    </row>
    <row r="223" spans="1:14">
      <c r="K223">
        <f>SMALL(SimData200!$B$9:$B$208,15)</f>
        <v>7.1378316571092781E-2</v>
      </c>
      <c r="L223">
        <f>1/(COUNT(SimData200!$B$9:$B$208)-1)+$L$222</f>
        <v>7.0351758793969849E-2</v>
      </c>
      <c r="M223">
        <f>SMALL(SimData200!$C$9:$C$208,15)</f>
        <v>7.3187468799915223E-2</v>
      </c>
      <c r="N223">
        <f>1/(COUNT(SimData200!$C$9:$C$208)-1)+$N$222</f>
        <v>7.0351758793969849E-2</v>
      </c>
    </row>
    <row r="224" spans="1:14">
      <c r="K224">
        <f>SMALL(SimData200!$B$9:$B$208,16)</f>
        <v>7.5354225681013021E-2</v>
      </c>
      <c r="L224">
        <f>1/(COUNT(SimData200!$B$9:$B$208)-1)+$L$223</f>
        <v>7.5376884422110546E-2</v>
      </c>
      <c r="M224">
        <f>SMALL(SimData200!$C$9:$C$208,16)</f>
        <v>7.5161769948877577E-2</v>
      </c>
      <c r="N224">
        <f>1/(COUNT(SimData200!$C$9:$C$208)-1)+$N$223</f>
        <v>7.5376884422110546E-2</v>
      </c>
    </row>
    <row r="225" spans="11:14">
      <c r="K225">
        <f>SMALL(SimData200!$B$9:$B$208,17)</f>
        <v>8.2786170523098251E-2</v>
      </c>
      <c r="L225">
        <f>1/(COUNT(SimData200!$B$9:$B$208)-1)+$L$224</f>
        <v>8.0402010050251244E-2</v>
      </c>
      <c r="M225">
        <f>SMALL(SimData200!$C$9:$C$208,17)</f>
        <v>7.7992550411181583E-2</v>
      </c>
      <c r="N225">
        <f>1/(COUNT(SimData200!$C$9:$C$208)-1)+$N$224</f>
        <v>8.0402010050251244E-2</v>
      </c>
    </row>
    <row r="226" spans="11:14">
      <c r="K226">
        <f>SMALL(SimData200!$B$9:$B$208,18)</f>
        <v>8.8278331463988488E-2</v>
      </c>
      <c r="L226">
        <f>1/(COUNT(SimData200!$B$9:$B$208)-1)+$L$225</f>
        <v>8.5427135678391941E-2</v>
      </c>
      <c r="M226">
        <f>SMALL(SimData200!$C$9:$C$208,18)</f>
        <v>8.1118467051055632E-2</v>
      </c>
      <c r="N226">
        <f>1/(COUNT(SimData200!$C$9:$C$208)-1)+$N$225</f>
        <v>8.5427135678391941E-2</v>
      </c>
    </row>
    <row r="227" spans="11:14">
      <c r="K227">
        <f>SMALL(SimData200!$B$9:$B$208,19)</f>
        <v>9.0510319518044197E-2</v>
      </c>
      <c r="L227">
        <f>1/(COUNT(SimData200!$B$9:$B$208)-1)+$L$226</f>
        <v>9.0452261306532639E-2</v>
      </c>
      <c r="M227">
        <f>SMALL(SimData200!$C$9:$C$208,19)</f>
        <v>8.3914320355688687E-2</v>
      </c>
      <c r="N227">
        <f>1/(COUNT(SimData200!$C$9:$C$208)-1)+$N$226</f>
        <v>9.0452261306532639E-2</v>
      </c>
    </row>
    <row r="228" spans="11:14">
      <c r="K228">
        <f>SMALL(SimData200!$B$9:$B$208,20)</f>
        <v>9.7871509848132601E-2</v>
      </c>
      <c r="L228">
        <f>1/(COUNT(SimData200!$B$9:$B$208)-1)+$L$227</f>
        <v>9.5477386934673336E-2</v>
      </c>
      <c r="M228">
        <f>SMALL(SimData200!$C$9:$C$208,20)</f>
        <v>8.9040964248852106E-2</v>
      </c>
      <c r="N228">
        <f>1/(COUNT(SimData200!$C$9:$C$208)-1)+$N$227</f>
        <v>9.5477386934673336E-2</v>
      </c>
    </row>
    <row r="229" spans="11:14">
      <c r="K229">
        <f>SMALL(SimData200!$B$9:$B$208,21)</f>
        <v>0.10273351015935966</v>
      </c>
      <c r="L229">
        <f>1/(COUNT(SimData200!$B$9:$B$208)-1)+$L$228</f>
        <v>0.10050251256281403</v>
      </c>
      <c r="M229">
        <f>SMALL(SimData200!$C$9:$C$208,21)</f>
        <v>9.2632023432997812E-2</v>
      </c>
      <c r="N229">
        <f>1/(COUNT(SimData200!$C$9:$C$208)-1)+$N$228</f>
        <v>0.10050251256281403</v>
      </c>
    </row>
    <row r="230" spans="11:14">
      <c r="K230">
        <f>SMALL(SimData200!$B$9:$B$208,22)</f>
        <v>0.10799586424324564</v>
      </c>
      <c r="L230">
        <f>1/(COUNT(SimData200!$B$9:$B$208)-1)+$L$229</f>
        <v>0.10552763819095473</v>
      </c>
      <c r="M230">
        <f>SMALL(SimData200!$C$9:$C$208,22)</f>
        <v>9.3651713047620433E-2</v>
      </c>
      <c r="N230">
        <f>1/(COUNT(SimData200!$C$9:$C$208)-1)+$N$229</f>
        <v>0.10552763819095473</v>
      </c>
    </row>
    <row r="231" spans="11:14">
      <c r="K231">
        <f>SMALL(SimData200!$B$9:$B$208,23)</f>
        <v>0.1149921321601123</v>
      </c>
      <c r="L231">
        <f>1/(COUNT(SimData200!$B$9:$B$208)-1)+$L$230</f>
        <v>0.11055276381909543</v>
      </c>
      <c r="M231">
        <f>SMALL(SimData200!$C$9:$C$208,23)</f>
        <v>9.3688554472464602E-2</v>
      </c>
      <c r="N231">
        <f>1/(COUNT(SimData200!$C$9:$C$208)-1)+$N$230</f>
        <v>0.11055276381909543</v>
      </c>
    </row>
    <row r="232" spans="11:14">
      <c r="K232">
        <f>SMALL(SimData200!$B$9:$B$208,24)</f>
        <v>0.11840887536141297</v>
      </c>
      <c r="L232">
        <f>1/(COUNT(SimData200!$B$9:$B$208)-1)+$L$231</f>
        <v>0.11557788944723613</v>
      </c>
      <c r="M232">
        <f>SMALL(SimData200!$C$9:$C$208,24)</f>
        <v>9.6711564022371022E-2</v>
      </c>
      <c r="N232">
        <f>1/(COUNT(SimData200!$C$9:$C$208)-1)+$N$231</f>
        <v>0.11557788944723613</v>
      </c>
    </row>
    <row r="233" spans="11:14">
      <c r="K233">
        <f>SMALL(SimData200!$B$9:$B$208,25)</f>
        <v>0.12260448047020577</v>
      </c>
      <c r="L233">
        <f>1/(COUNT(SimData200!$B$9:$B$208)-1)+$L$232</f>
        <v>0.12060301507537682</v>
      </c>
      <c r="M233">
        <f>SMALL(SimData200!$C$9:$C$208,25)</f>
        <v>0.10682791516865109</v>
      </c>
      <c r="N233">
        <f>1/(COUNT(SimData200!$C$9:$C$208)-1)+$N$232</f>
        <v>0.12060301507537682</v>
      </c>
    </row>
    <row r="234" spans="11:14">
      <c r="K234">
        <f>SMALL(SimData200!$B$9:$B$208,26)</f>
        <v>0.12572821646596496</v>
      </c>
      <c r="L234">
        <f>1/(COUNT(SimData200!$B$9:$B$208)-1)+$L$233</f>
        <v>0.12562814070351752</v>
      </c>
      <c r="M234">
        <f>SMALL(SimData200!$C$9:$C$208,26)</f>
        <v>0.11952766593822162</v>
      </c>
      <c r="N234">
        <f>1/(COUNT(SimData200!$C$9:$C$208)-1)+$N$233</f>
        <v>0.12562814070351752</v>
      </c>
    </row>
    <row r="235" spans="11:14">
      <c r="K235">
        <f>SMALL(SimData200!$B$9:$B$208,27)</f>
        <v>0.13084167965008917</v>
      </c>
      <c r="L235">
        <f>1/(COUNT(SimData200!$B$9:$B$208)-1)+$L$234</f>
        <v>0.13065326633165822</v>
      </c>
      <c r="M235">
        <f>SMALL(SimData200!$C$9:$C$208,27)</f>
        <v>0.1217977317119221</v>
      </c>
      <c r="N235">
        <f>1/(COUNT(SimData200!$C$9:$C$208)-1)+$N$234</f>
        <v>0.13065326633165822</v>
      </c>
    </row>
    <row r="236" spans="11:14">
      <c r="K236">
        <f>SMALL(SimData200!$B$9:$B$208,28)</f>
        <v>0.13889223061010525</v>
      </c>
      <c r="L236">
        <f>1/(COUNT(SimData200!$B$9:$B$208)-1)+$L$235</f>
        <v>0.13567839195979892</v>
      </c>
      <c r="M236">
        <f>SMALL(SimData200!$C$9:$C$208,28)</f>
        <v>0.13086675588147045</v>
      </c>
      <c r="N236">
        <f>1/(COUNT(SimData200!$C$9:$C$208)-1)+$N$235</f>
        <v>0.13567839195979892</v>
      </c>
    </row>
    <row r="237" spans="11:14">
      <c r="K237">
        <f>SMALL(SimData200!$B$9:$B$208,29)</f>
        <v>0.14189142181582082</v>
      </c>
      <c r="L237">
        <f>1/(COUNT(SimData200!$B$9:$B$208)-1)+$L$236</f>
        <v>0.14070351758793961</v>
      </c>
      <c r="M237">
        <f>SMALL(SimData200!$C$9:$C$208,29)</f>
        <v>0.14184606963317492</v>
      </c>
      <c r="N237">
        <f>1/(COUNT(SimData200!$C$9:$C$208)-1)+$N$236</f>
        <v>0.14070351758793961</v>
      </c>
    </row>
    <row r="238" spans="11:14">
      <c r="K238">
        <f>SMALL(SimData200!$B$9:$B$208,30)</f>
        <v>0.14561868252596322</v>
      </c>
      <c r="L238">
        <f>1/(COUNT(SimData200!$B$9:$B$208)-1)+$L$237</f>
        <v>0.14572864321608031</v>
      </c>
      <c r="M238">
        <f>SMALL(SimData200!$C$9:$C$208,30)</f>
        <v>0.14397777972408221</v>
      </c>
      <c r="N238">
        <f>1/(COUNT(SimData200!$C$9:$C$208)-1)+$N$237</f>
        <v>0.14572864321608031</v>
      </c>
    </row>
    <row r="239" spans="11:14">
      <c r="K239">
        <f>SMALL(SimData200!$B$9:$B$208,31)</f>
        <v>0.15496560656348374</v>
      </c>
      <c r="L239">
        <f>1/(COUNT(SimData200!$B$9:$B$208)-1)+$L$238</f>
        <v>0.15075376884422101</v>
      </c>
      <c r="M239">
        <f>SMALL(SimData200!$C$9:$C$208,31)</f>
        <v>0.14663448809187685</v>
      </c>
      <c r="N239">
        <f>1/(COUNT(SimData200!$C$9:$C$208)-1)+$N$238</f>
        <v>0.15075376884422101</v>
      </c>
    </row>
    <row r="240" spans="11:14">
      <c r="K240">
        <f>SMALL(SimData200!$B$9:$B$208,32)</f>
        <v>0.1575210733251928</v>
      </c>
      <c r="L240">
        <f>1/(COUNT(SimData200!$B$9:$B$208)-1)+$L$239</f>
        <v>0.15577889447236171</v>
      </c>
      <c r="M240">
        <f>SMALL(SimData200!$C$9:$C$208,32)</f>
        <v>0.15064307965076296</v>
      </c>
      <c r="N240">
        <f>1/(COUNT(SimData200!$C$9:$C$208)-1)+$N$239</f>
        <v>0.15577889447236171</v>
      </c>
    </row>
    <row r="241" spans="11:14">
      <c r="K241">
        <f>SMALL(SimData200!$B$9:$B$208,33)</f>
        <v>0.16307512770012839</v>
      </c>
      <c r="L241">
        <f>1/(COUNT(SimData200!$B$9:$B$208)-1)+$L$240</f>
        <v>0.1608040201005024</v>
      </c>
      <c r="M241">
        <f>SMALL(SimData200!$C$9:$C$208,33)</f>
        <v>0.1576567666252231</v>
      </c>
      <c r="N241">
        <f>1/(COUNT(SimData200!$C$9:$C$208)-1)+$N$240</f>
        <v>0.1608040201005024</v>
      </c>
    </row>
    <row r="242" spans="11:14">
      <c r="K242">
        <f>SMALL(SimData200!$B$9:$B$208,34)</f>
        <v>0.16849663894821348</v>
      </c>
      <c r="L242">
        <f>1/(COUNT(SimData200!$B$9:$B$208)-1)+$L$241</f>
        <v>0.1658291457286431</v>
      </c>
      <c r="M242">
        <f>SMALL(SimData200!$C$9:$C$208,34)</f>
        <v>0.1591201955170618</v>
      </c>
      <c r="N242">
        <f>1/(COUNT(SimData200!$C$9:$C$208)-1)+$N$241</f>
        <v>0.1658291457286431</v>
      </c>
    </row>
    <row r="243" spans="11:14">
      <c r="K243">
        <f>SMALL(SimData200!$B$9:$B$208,35)</f>
        <v>0.17106776469062729</v>
      </c>
      <c r="L243">
        <f>1/(COUNT(SimData200!$B$9:$B$208)-1)+$L$242</f>
        <v>0.1708542713567838</v>
      </c>
      <c r="M243">
        <f>SMALL(SimData200!$C$9:$C$208,35)</f>
        <v>0.15965143732591969</v>
      </c>
      <c r="N243">
        <f>1/(COUNT(SimData200!$C$9:$C$208)-1)+$N$242</f>
        <v>0.1708542713567838</v>
      </c>
    </row>
    <row r="244" spans="11:14">
      <c r="K244">
        <f>SMALL(SimData200!$B$9:$B$208,36)</f>
        <v>0.17512189538453751</v>
      </c>
      <c r="L244">
        <f>1/(COUNT(SimData200!$B$9:$B$208)-1)+$L$243</f>
        <v>0.1758793969849245</v>
      </c>
      <c r="M244">
        <f>SMALL(SimData200!$C$9:$C$208,36)</f>
        <v>0.16059392064380518</v>
      </c>
      <c r="N244">
        <f>1/(COUNT(SimData200!$C$9:$C$208)-1)+$N$243</f>
        <v>0.1758793969849245</v>
      </c>
    </row>
    <row r="245" spans="11:14">
      <c r="K245">
        <f>SMALL(SimData200!$B$9:$B$208,37)</f>
        <v>0.1812273257985309</v>
      </c>
      <c r="L245">
        <f>1/(COUNT(SimData200!$B$9:$B$208)-1)+$L$244</f>
        <v>0.18090452261306519</v>
      </c>
      <c r="M245">
        <f>SMALL(SimData200!$C$9:$C$208,37)</f>
        <v>0.16510700541130063</v>
      </c>
      <c r="N245">
        <f>1/(COUNT(SimData200!$C$9:$C$208)-1)+$N$244</f>
        <v>0.18090452261306519</v>
      </c>
    </row>
    <row r="246" spans="11:14">
      <c r="K246">
        <f>SMALL(SimData200!$B$9:$B$208,38)</f>
        <v>0.18562244840795697</v>
      </c>
      <c r="L246">
        <f>1/(COUNT(SimData200!$B$9:$B$208)-1)+$L$245</f>
        <v>0.18592964824120589</v>
      </c>
      <c r="M246">
        <f>SMALL(SimData200!$C$9:$C$208,38)</f>
        <v>0.16701497721805936</v>
      </c>
      <c r="N246">
        <f>1/(COUNT(SimData200!$C$9:$C$208)-1)+$N$245</f>
        <v>0.18592964824120589</v>
      </c>
    </row>
    <row r="247" spans="11:14">
      <c r="K247">
        <f>SMALL(SimData200!$B$9:$B$208,39)</f>
        <v>0.19110026881590028</v>
      </c>
      <c r="L247">
        <f>1/(COUNT(SimData200!$B$9:$B$208)-1)+$L$246</f>
        <v>0.19095477386934659</v>
      </c>
      <c r="M247">
        <f>SMALL(SimData200!$C$9:$C$208,39)</f>
        <v>0.16826685309661116</v>
      </c>
      <c r="N247">
        <f>1/(COUNT(SimData200!$C$9:$C$208)-1)+$N$246</f>
        <v>0.19095477386934659</v>
      </c>
    </row>
    <row r="248" spans="11:14">
      <c r="K248">
        <f>SMALL(SimData200!$B$9:$B$208,40)</f>
        <v>0.19557711449930842</v>
      </c>
      <c r="L248">
        <f>1/(COUNT(SimData200!$B$9:$B$208)-1)+$L$247</f>
        <v>0.19597989949748729</v>
      </c>
      <c r="M248">
        <f>SMALL(SimData200!$C$9:$C$208,40)</f>
        <v>0.16846319249634689</v>
      </c>
      <c r="N248">
        <f>1/(COUNT(SimData200!$C$9:$C$208)-1)+$N$247</f>
        <v>0.19597989949748729</v>
      </c>
    </row>
    <row r="249" spans="11:14">
      <c r="K249">
        <f>SMALL(SimData200!$B$9:$B$208,41)</f>
        <v>0.20357588168666138</v>
      </c>
      <c r="L249">
        <f>1/(COUNT(SimData200!$B$9:$B$208)-1)+$L$248</f>
        <v>0.20100502512562798</v>
      </c>
      <c r="M249">
        <f>SMALL(SimData200!$C$9:$C$208,41)</f>
        <v>0.16860153242669185</v>
      </c>
      <c r="N249">
        <f>1/(COUNT(SimData200!$C$9:$C$208)-1)+$N$248</f>
        <v>0.20100502512562798</v>
      </c>
    </row>
    <row r="250" spans="11:14">
      <c r="K250">
        <f>SMALL(SimData200!$B$9:$B$208,42)</f>
        <v>0.20973086466540836</v>
      </c>
      <c r="L250">
        <f>1/(COUNT(SimData200!$B$9:$B$208)-1)+$L$249</f>
        <v>0.20603015075376868</v>
      </c>
      <c r="M250">
        <f>SMALL(SimData200!$C$9:$C$208,42)</f>
        <v>0.17249443067339598</v>
      </c>
      <c r="N250">
        <f>1/(COUNT(SimData200!$C$9:$C$208)-1)+$N$249</f>
        <v>0.20603015075376868</v>
      </c>
    </row>
    <row r="251" spans="11:14">
      <c r="K251">
        <f>SMALL(SimData200!$B$9:$B$208,43)</f>
        <v>0.21059361146660371</v>
      </c>
      <c r="L251">
        <f>1/(COUNT(SimData200!$B$9:$B$208)-1)+$L$250</f>
        <v>0.21105527638190938</v>
      </c>
      <c r="M251">
        <f>SMALL(SimData200!$C$9:$C$208,43)</f>
        <v>0.19037935954747809</v>
      </c>
      <c r="N251">
        <f>1/(COUNT(SimData200!$C$9:$C$208)-1)+$N$250</f>
        <v>0.21105527638190938</v>
      </c>
    </row>
    <row r="252" spans="11:14">
      <c r="K252">
        <f>SMALL(SimData200!$B$9:$B$208,44)</f>
        <v>0.21582789134369881</v>
      </c>
      <c r="L252">
        <f>1/(COUNT(SimData200!$B$9:$B$208)-1)+$L$251</f>
        <v>0.21608040201005008</v>
      </c>
      <c r="M252">
        <f>SMALL(SimData200!$C$9:$C$208,44)</f>
        <v>0.19874889208040258</v>
      </c>
      <c r="N252">
        <f>1/(COUNT(SimData200!$C$9:$C$208)-1)+$N$251</f>
        <v>0.21608040201005008</v>
      </c>
    </row>
    <row r="253" spans="11:14">
      <c r="K253">
        <f>SMALL(SimData200!$B$9:$B$208,45)</f>
        <v>0.22308798490746132</v>
      </c>
      <c r="L253">
        <f>1/(COUNT(SimData200!$B$9:$B$208)-1)+$L$252</f>
        <v>0.22110552763819077</v>
      </c>
      <c r="M253">
        <f>SMALL(SimData200!$C$9:$C$208,45)</f>
        <v>0.20130293664442434</v>
      </c>
      <c r="N253">
        <f>1/(COUNT(SimData200!$C$9:$C$208)-1)+$N$252</f>
        <v>0.22110552763819077</v>
      </c>
    </row>
    <row r="254" spans="11:14">
      <c r="K254">
        <f>SMALL(SimData200!$B$9:$B$208,46)</f>
        <v>0.22947228666499078</v>
      </c>
      <c r="L254">
        <f>1/(COUNT(SimData200!$B$9:$B$208)-1)+$L$253</f>
        <v>0.22613065326633147</v>
      </c>
      <c r="M254">
        <f>SMALL(SimData200!$C$9:$C$208,46)</f>
        <v>0.21176149815892131</v>
      </c>
      <c r="N254">
        <f>1/(COUNT(SimData200!$C$9:$C$208)-1)+$N$253</f>
        <v>0.22613065326633147</v>
      </c>
    </row>
    <row r="255" spans="11:14">
      <c r="K255">
        <f>SMALL(SimData200!$B$9:$B$208,47)</f>
        <v>0.23256708305039608</v>
      </c>
      <c r="L255">
        <f>1/(COUNT(SimData200!$B$9:$B$208)-1)+$L$254</f>
        <v>0.23115577889447217</v>
      </c>
      <c r="M255">
        <f>SMALL(SimData200!$C$9:$C$208,47)</f>
        <v>0.21210244114172383</v>
      </c>
      <c r="N255">
        <f>1/(COUNT(SimData200!$C$9:$C$208)-1)+$N$254</f>
        <v>0.23115577889447217</v>
      </c>
    </row>
    <row r="256" spans="11:14">
      <c r="K256">
        <f>SMALL(SimData200!$B$9:$B$208,48)</f>
        <v>0.23658241599369387</v>
      </c>
      <c r="L256">
        <f>1/(COUNT(SimData200!$B$9:$B$208)-1)+$L$255</f>
        <v>0.23618090452261287</v>
      </c>
      <c r="M256">
        <f>SMALL(SimData200!$C$9:$C$208,48)</f>
        <v>0.21292710170746432</v>
      </c>
      <c r="N256">
        <f>1/(COUNT(SimData200!$C$9:$C$208)-1)+$N$255</f>
        <v>0.23618090452261287</v>
      </c>
    </row>
    <row r="257" spans="11:14">
      <c r="K257">
        <f>SMALL(SimData200!$B$9:$B$208,49)</f>
        <v>0.24462370005660311</v>
      </c>
      <c r="L257">
        <f>1/(COUNT(SimData200!$B$9:$B$208)-1)+$L$256</f>
        <v>0.24120603015075356</v>
      </c>
      <c r="M257">
        <f>SMALL(SimData200!$C$9:$C$208,49)</f>
        <v>0.21298835941342986</v>
      </c>
      <c r="N257">
        <f>1/(COUNT(SimData200!$C$9:$C$208)-1)+$N$256</f>
        <v>0.24120603015075356</v>
      </c>
    </row>
    <row r="258" spans="11:14">
      <c r="K258">
        <f>SMALL(SimData200!$B$9:$B$208,50)</f>
        <v>0.24505296455231795</v>
      </c>
      <c r="L258">
        <f>1/(COUNT(SimData200!$B$9:$B$208)-1)+$L$257</f>
        <v>0.24623115577889426</v>
      </c>
      <c r="M258">
        <f>SMALL(SimData200!$C$9:$C$208,50)</f>
        <v>0.21430471762687375</v>
      </c>
      <c r="N258">
        <f>1/(COUNT(SimData200!$C$9:$C$208)-1)+$N$257</f>
        <v>0.24623115577889426</v>
      </c>
    </row>
    <row r="259" spans="11:14">
      <c r="K259">
        <f>SMALL(SimData200!$B$9:$B$208,51)</f>
        <v>0.25485921357405816</v>
      </c>
      <c r="L259">
        <f>1/(COUNT(SimData200!$B$9:$B$208)-1)+$L$258</f>
        <v>0.25125628140703499</v>
      </c>
      <c r="M259">
        <f>SMALL(SimData200!$C$9:$C$208,51)</f>
        <v>0.21504406979693158</v>
      </c>
      <c r="N259">
        <f>1/(COUNT(SimData200!$C$9:$C$208)-1)+$N$258</f>
        <v>0.25125628140703499</v>
      </c>
    </row>
    <row r="260" spans="11:14">
      <c r="K260">
        <f>SMALL(SimData200!$B$9:$B$208,52)</f>
        <v>0.25781611414226147</v>
      </c>
      <c r="L260">
        <f>1/(COUNT(SimData200!$B$9:$B$208)-1)+$L$259</f>
        <v>0.25628140703517571</v>
      </c>
      <c r="M260">
        <f>SMALL(SimData200!$C$9:$C$208,52)</f>
        <v>0.21966444989084266</v>
      </c>
      <c r="N260">
        <f>1/(COUNT(SimData200!$C$9:$C$208)-1)+$N$259</f>
        <v>0.25628140703517571</v>
      </c>
    </row>
    <row r="261" spans="11:14">
      <c r="K261">
        <f>SMALL(SimData200!$B$9:$B$208,53)</f>
        <v>0.26395803192955397</v>
      </c>
      <c r="L261">
        <f>1/(COUNT(SimData200!$B$9:$B$208)-1)+$L$260</f>
        <v>0.26130653266331644</v>
      </c>
      <c r="M261">
        <f>SMALL(SimData200!$C$9:$C$208,53)</f>
        <v>0.22867153894549119</v>
      </c>
      <c r="N261">
        <f>1/(COUNT(SimData200!$C$9:$C$208)-1)+$N$260</f>
        <v>0.26130653266331644</v>
      </c>
    </row>
    <row r="262" spans="11:14">
      <c r="K262">
        <f>SMALL(SimData200!$B$9:$B$208,54)</f>
        <v>0.26532675036353215</v>
      </c>
      <c r="L262">
        <f>1/(COUNT(SimData200!$B$9:$B$208)-1)+$L$261</f>
        <v>0.26633165829145716</v>
      </c>
      <c r="M262">
        <f>SMALL(SimData200!$C$9:$C$208,54)</f>
        <v>0.24958205449911475</v>
      </c>
      <c r="N262">
        <f>1/(COUNT(SimData200!$C$9:$C$208)-1)+$N$261</f>
        <v>0.26633165829145716</v>
      </c>
    </row>
    <row r="263" spans="11:14">
      <c r="K263">
        <f>SMALL(SimData200!$B$9:$B$208,55)</f>
        <v>0.27051606551988888</v>
      </c>
      <c r="L263">
        <f>1/(COUNT(SimData200!$B$9:$B$208)-1)+$L$262</f>
        <v>0.27135678391959789</v>
      </c>
      <c r="M263">
        <f>SMALL(SimData200!$C$9:$C$208,55)</f>
        <v>0.25839126441314875</v>
      </c>
      <c r="N263">
        <f>1/(COUNT(SimData200!$C$9:$C$208)-1)+$N$262</f>
        <v>0.27135678391959789</v>
      </c>
    </row>
    <row r="264" spans="11:14">
      <c r="K264">
        <f>SMALL(SimData200!$B$9:$B$208,56)</f>
        <v>0.27751348350721261</v>
      </c>
      <c r="L264">
        <f>1/(COUNT(SimData200!$B$9:$B$208)-1)+$L$263</f>
        <v>0.27638190954773861</v>
      </c>
      <c r="M264">
        <f>SMALL(SimData200!$C$9:$C$208,56)</f>
        <v>0.26160525241630239</v>
      </c>
      <c r="N264">
        <f>1/(COUNT(SimData200!$C$9:$C$208)-1)+$N$263</f>
        <v>0.27638190954773861</v>
      </c>
    </row>
    <row r="265" spans="11:14">
      <c r="K265">
        <f>SMALL(SimData200!$B$9:$B$208,57)</f>
        <v>0.28123097485425669</v>
      </c>
      <c r="L265">
        <f>1/(COUNT(SimData200!$B$9:$B$208)-1)+$L$264</f>
        <v>0.28140703517587934</v>
      </c>
      <c r="M265">
        <f>SMALL(SimData200!$C$9:$C$208,57)</f>
        <v>0.28918990183592541</v>
      </c>
      <c r="N265">
        <f>1/(COUNT(SimData200!$C$9:$C$208)-1)+$N$264</f>
        <v>0.28140703517587934</v>
      </c>
    </row>
    <row r="266" spans="11:14">
      <c r="K266">
        <f>SMALL(SimData200!$B$9:$B$208,58)</f>
        <v>0.28736540299313268</v>
      </c>
      <c r="L266">
        <f>1/(COUNT(SimData200!$B$9:$B$208)-1)+$L$265</f>
        <v>0.28643216080402006</v>
      </c>
      <c r="M266">
        <f>SMALL(SimData200!$C$9:$C$208,58)</f>
        <v>0.290373772761086</v>
      </c>
      <c r="N266">
        <f>1/(COUNT(SimData200!$C$9:$C$208)-1)+$N$265</f>
        <v>0.28643216080402006</v>
      </c>
    </row>
    <row r="267" spans="11:14">
      <c r="K267">
        <f>SMALL(SimData200!$B$9:$B$208,59)</f>
        <v>0.29073924522980565</v>
      </c>
      <c r="L267">
        <f>1/(COUNT(SimData200!$B$9:$B$208)-1)+$L$266</f>
        <v>0.29145728643216079</v>
      </c>
      <c r="M267">
        <f>SMALL(SimData200!$C$9:$C$208,59)</f>
        <v>0.29098629030795564</v>
      </c>
      <c r="N267">
        <f>1/(COUNT(SimData200!$C$9:$C$208)-1)+$N$266</f>
        <v>0.29145728643216079</v>
      </c>
    </row>
    <row r="268" spans="11:14">
      <c r="K268">
        <f>SMALL(SimData200!$B$9:$B$208,60)</f>
        <v>0.29699891289393393</v>
      </c>
      <c r="L268">
        <f>1/(COUNT(SimData200!$B$9:$B$208)-1)+$L$267</f>
        <v>0.29648241206030151</v>
      </c>
      <c r="M268">
        <f>SMALL(SimData200!$C$9:$C$208,60)</f>
        <v>0.29241938440827653</v>
      </c>
      <c r="N268">
        <f>1/(COUNT(SimData200!$C$9:$C$208)-1)+$N$267</f>
        <v>0.29648241206030151</v>
      </c>
    </row>
    <row r="269" spans="11:14">
      <c r="K269">
        <f>SMALL(SimData200!$B$9:$B$208,61)</f>
        <v>0.30052342820226291</v>
      </c>
      <c r="L269">
        <f>1/(COUNT(SimData200!$B$9:$B$208)-1)+$L$268</f>
        <v>0.30150753768844224</v>
      </c>
      <c r="M269">
        <f>SMALL(SimData200!$C$9:$C$208,61)</f>
        <v>0.30524814587988658</v>
      </c>
      <c r="N269">
        <f>1/(COUNT(SimData200!$C$9:$C$208)-1)+$N$268</f>
        <v>0.30150753768844224</v>
      </c>
    </row>
    <row r="270" spans="11:14">
      <c r="K270">
        <f>SMALL(SimData200!$B$9:$B$208,62)</f>
        <v>0.30950865113048548</v>
      </c>
      <c r="L270">
        <f>1/(COUNT(SimData200!$B$9:$B$208)-1)+$L$269</f>
        <v>0.30653266331658297</v>
      </c>
      <c r="M270">
        <f>SMALL(SimData200!$C$9:$C$208,62)</f>
        <v>0.30801315239204996</v>
      </c>
      <c r="N270">
        <f>1/(COUNT(SimData200!$C$9:$C$208)-1)+$N$269</f>
        <v>0.30653266331658297</v>
      </c>
    </row>
    <row r="271" spans="11:14">
      <c r="K271">
        <f>SMALL(SimData200!$B$9:$B$208,63)</f>
        <v>0.31122155613876451</v>
      </c>
      <c r="L271">
        <f>1/(COUNT(SimData200!$B$9:$B$208)-1)+$L$270</f>
        <v>0.31155778894472369</v>
      </c>
      <c r="M271">
        <f>SMALL(SimData200!$C$9:$C$208,63)</f>
        <v>0.31504881043383648</v>
      </c>
      <c r="N271">
        <f>1/(COUNT(SimData200!$C$9:$C$208)-1)+$N$270</f>
        <v>0.31155778894472369</v>
      </c>
    </row>
    <row r="272" spans="11:14">
      <c r="K272">
        <f>SMALL(SimData200!$B$9:$B$208,64)</f>
        <v>0.31538476754454542</v>
      </c>
      <c r="L272">
        <f>1/(COUNT(SimData200!$B$9:$B$208)-1)+$L$271</f>
        <v>0.31658291457286442</v>
      </c>
      <c r="M272">
        <f>SMALL(SimData200!$C$9:$C$208,64)</f>
        <v>0.32309732557951065</v>
      </c>
      <c r="N272">
        <f>1/(COUNT(SimData200!$C$9:$C$208)-1)+$N$271</f>
        <v>0.31658291457286442</v>
      </c>
    </row>
    <row r="273" spans="11:14">
      <c r="K273">
        <f>SMALL(SimData200!$B$9:$B$208,65)</f>
        <v>0.32253045053978696</v>
      </c>
      <c r="L273">
        <f>1/(COUNT(SimData200!$B$9:$B$208)-1)+$L$272</f>
        <v>0.32160804020100514</v>
      </c>
      <c r="M273">
        <f>SMALL(SimData200!$C$9:$C$208,65)</f>
        <v>0.33357106180756091</v>
      </c>
      <c r="N273">
        <f>1/(COUNT(SimData200!$C$9:$C$208)-1)+$N$272</f>
        <v>0.32160804020100514</v>
      </c>
    </row>
    <row r="274" spans="11:14">
      <c r="K274">
        <f>SMALL(SimData200!$B$9:$B$208,66)</f>
        <v>0.32880304168649088</v>
      </c>
      <c r="L274">
        <f>1/(COUNT(SimData200!$B$9:$B$208)-1)+$L$273</f>
        <v>0.32663316582914587</v>
      </c>
      <c r="M274">
        <f>SMALL(SimData200!$C$9:$C$208,66)</f>
        <v>0.34021573365589575</v>
      </c>
      <c r="N274">
        <f>1/(COUNT(SimData200!$C$9:$C$208)-1)+$N$273</f>
        <v>0.32663316582914587</v>
      </c>
    </row>
    <row r="275" spans="11:14">
      <c r="K275">
        <f>SMALL(SimData200!$B$9:$B$208,67)</f>
        <v>0.33139616554286244</v>
      </c>
      <c r="L275">
        <f>1/(COUNT(SimData200!$B$9:$B$208)-1)+$L$274</f>
        <v>0.33165829145728659</v>
      </c>
      <c r="M275">
        <f>SMALL(SimData200!$C$9:$C$208,67)</f>
        <v>0.34807583488327509</v>
      </c>
      <c r="N275">
        <f>1/(COUNT(SimData200!$C$9:$C$208)-1)+$N$274</f>
        <v>0.33165829145728659</v>
      </c>
    </row>
    <row r="276" spans="11:14">
      <c r="K276">
        <f>SMALL(SimData200!$B$9:$B$208,68)</f>
        <v>0.33630223102548679</v>
      </c>
      <c r="L276">
        <f>1/(COUNT(SimData200!$B$9:$B$208)-1)+$L$275</f>
        <v>0.33668341708542732</v>
      </c>
      <c r="M276">
        <f>SMALL(SimData200!$C$9:$C$208,68)</f>
        <v>0.35278701264087431</v>
      </c>
      <c r="N276">
        <f>1/(COUNT(SimData200!$C$9:$C$208)-1)+$N$275</f>
        <v>0.33668341708542732</v>
      </c>
    </row>
    <row r="277" spans="11:14">
      <c r="K277">
        <f>SMALL(SimData200!$B$9:$B$208,69)</f>
        <v>0.34296498438761686</v>
      </c>
      <c r="L277">
        <f>1/(COUNT(SimData200!$B$9:$B$208)-1)+$L$276</f>
        <v>0.34170854271356804</v>
      </c>
      <c r="M277">
        <f>SMALL(SimData200!$C$9:$C$208,69)</f>
        <v>0.35691183871676913</v>
      </c>
      <c r="N277">
        <f>1/(COUNT(SimData200!$C$9:$C$208)-1)+$N$276</f>
        <v>0.34170854271356804</v>
      </c>
    </row>
    <row r="278" spans="11:14">
      <c r="K278">
        <f>SMALL(SimData200!$B$9:$B$208,70)</f>
        <v>0.34623976733797224</v>
      </c>
      <c r="L278">
        <f>1/(COUNT(SimData200!$B$9:$B$208)-1)+$L$277</f>
        <v>0.34673366834170877</v>
      </c>
      <c r="M278">
        <f>SMALL(SimData200!$C$9:$C$208,70)</f>
        <v>0.36047495521233941</v>
      </c>
      <c r="N278">
        <f>1/(COUNT(SimData200!$C$9:$C$208)-1)+$N$277</f>
        <v>0.34673366834170877</v>
      </c>
    </row>
    <row r="279" spans="11:14">
      <c r="K279">
        <f>SMALL(SimData200!$B$9:$B$208,71)</f>
        <v>0.35028526501038237</v>
      </c>
      <c r="L279">
        <f>1/(COUNT(SimData200!$B$9:$B$208)-1)+$L$278</f>
        <v>0.35175879396984949</v>
      </c>
      <c r="M279">
        <f>SMALL(SimData200!$C$9:$C$208,71)</f>
        <v>0.36092934480802796</v>
      </c>
      <c r="N279">
        <f>1/(COUNT(SimData200!$C$9:$C$208)-1)+$N$278</f>
        <v>0.35175879396984949</v>
      </c>
    </row>
    <row r="280" spans="11:14">
      <c r="K280">
        <f>SMALL(SimData200!$B$9:$B$208,72)</f>
        <v>0.358717548710694</v>
      </c>
      <c r="L280">
        <f>1/(COUNT(SimData200!$B$9:$B$208)-1)+$L$279</f>
        <v>0.35678391959799022</v>
      </c>
      <c r="M280">
        <f>SMALL(SimData200!$C$9:$C$208,72)</f>
        <v>0.3651946770005452</v>
      </c>
      <c r="N280">
        <f>1/(COUNT(SimData200!$C$9:$C$208)-1)+$N$279</f>
        <v>0.35678391959799022</v>
      </c>
    </row>
    <row r="281" spans="11:14">
      <c r="K281">
        <f>SMALL(SimData200!$B$9:$B$208,73)</f>
        <v>0.36398775478219325</v>
      </c>
      <c r="L281">
        <f>1/(COUNT(SimData200!$B$9:$B$208)-1)+$L$280</f>
        <v>0.36180904522613094</v>
      </c>
      <c r="M281">
        <f>SMALL(SimData200!$C$9:$C$208,73)</f>
        <v>0.39618836017689318</v>
      </c>
      <c r="N281">
        <f>1/(COUNT(SimData200!$C$9:$C$208)-1)+$N$280</f>
        <v>0.36180904522613094</v>
      </c>
    </row>
    <row r="282" spans="11:14">
      <c r="K282">
        <f>SMALL(SimData200!$B$9:$B$208,74)</f>
        <v>0.36890474038987997</v>
      </c>
      <c r="L282">
        <f>1/(COUNT(SimData200!$B$9:$B$208)-1)+$L$281</f>
        <v>0.36683417085427167</v>
      </c>
      <c r="M282">
        <f>SMALL(SimData200!$C$9:$C$208,74)</f>
        <v>0.39663777441637649</v>
      </c>
      <c r="N282">
        <f>1/(COUNT(SimData200!$C$9:$C$208)-1)+$N$281</f>
        <v>0.36683417085427167</v>
      </c>
    </row>
    <row r="283" spans="11:14">
      <c r="K283">
        <f>SMALL(SimData200!$B$9:$B$208,75)</f>
        <v>0.37122922024485405</v>
      </c>
      <c r="L283">
        <f>1/(COUNT(SimData200!$B$9:$B$208)-1)+$L$282</f>
        <v>0.37185929648241239</v>
      </c>
      <c r="M283">
        <f>SMALL(SimData200!$C$9:$C$208,75)</f>
        <v>0.40197261083358171</v>
      </c>
      <c r="N283">
        <f>1/(COUNT(SimData200!$C$9:$C$208)-1)+$N$282</f>
        <v>0.37185929648241239</v>
      </c>
    </row>
    <row r="284" spans="11:14">
      <c r="K284">
        <f>SMALL(SimData200!$B$9:$B$208,76)</f>
        <v>0.3778170538607093</v>
      </c>
      <c r="L284">
        <f>1/(COUNT(SimData200!$B$9:$B$208)-1)+$L$283</f>
        <v>0.37688442211055312</v>
      </c>
      <c r="M284">
        <f>SMALL(SimData200!$C$9:$C$208,76)</f>
        <v>0.40335669982596301</v>
      </c>
      <c r="N284">
        <f>1/(COUNT(SimData200!$C$9:$C$208)-1)+$N$283</f>
        <v>0.37688442211055312</v>
      </c>
    </row>
    <row r="285" spans="11:14">
      <c r="K285">
        <f>SMALL(SimData200!$B$9:$B$208,77)</f>
        <v>0.38328691903112622</v>
      </c>
      <c r="L285">
        <f>1/(COUNT(SimData200!$B$9:$B$208)-1)+$L$284</f>
        <v>0.38190954773869384</v>
      </c>
      <c r="M285">
        <f>SMALL(SimData200!$C$9:$C$208,77)</f>
        <v>0.40844485749403248</v>
      </c>
      <c r="N285">
        <f>1/(COUNT(SimData200!$C$9:$C$208)-1)+$N$284</f>
        <v>0.38190954773869384</v>
      </c>
    </row>
    <row r="286" spans="11:14">
      <c r="K286">
        <f>SMALL(SimData200!$B$9:$B$208,78)</f>
        <v>0.38942888184088026</v>
      </c>
      <c r="L286">
        <f>1/(COUNT(SimData200!$B$9:$B$208)-1)+$L$285</f>
        <v>0.38693467336683457</v>
      </c>
      <c r="M286">
        <f>SMALL(SimData200!$C$9:$C$208,78)</f>
        <v>0.41692303933450603</v>
      </c>
      <c r="N286">
        <f>1/(COUNT(SimData200!$C$9:$C$208)-1)+$N$285</f>
        <v>0.38693467336683457</v>
      </c>
    </row>
    <row r="287" spans="11:14">
      <c r="K287">
        <f>SMALL(SimData200!$B$9:$B$208,79)</f>
        <v>0.39070270569545751</v>
      </c>
      <c r="L287">
        <f>1/(COUNT(SimData200!$B$9:$B$208)-1)+$L$286</f>
        <v>0.39195979899497529</v>
      </c>
      <c r="M287">
        <f>SMALL(SimData200!$C$9:$C$208,79)</f>
        <v>0.4263087726340018</v>
      </c>
      <c r="N287">
        <f>1/(COUNT(SimData200!$C$9:$C$208)-1)+$N$286</f>
        <v>0.39195979899497529</v>
      </c>
    </row>
    <row r="288" spans="11:14">
      <c r="K288">
        <f>SMALL(SimData200!$B$9:$B$208,80)</f>
        <v>0.39734768248217828</v>
      </c>
      <c r="L288">
        <f>1/(COUNT(SimData200!$B$9:$B$208)-1)+$L$287</f>
        <v>0.39698492462311602</v>
      </c>
      <c r="M288">
        <f>SMALL(SimData200!$C$9:$C$208,80)</f>
        <v>0.42882269448728039</v>
      </c>
      <c r="N288">
        <f>1/(COUNT(SimData200!$C$9:$C$208)-1)+$N$287</f>
        <v>0.39698492462311602</v>
      </c>
    </row>
    <row r="289" spans="11:14">
      <c r="K289">
        <f>SMALL(SimData200!$B$9:$B$208,81)</f>
        <v>0.40230696135021438</v>
      </c>
      <c r="L289">
        <f>1/(COUNT(SimData200!$B$9:$B$208)-1)+$L$288</f>
        <v>0.40201005025125675</v>
      </c>
      <c r="M289">
        <f>SMALL(SimData200!$C$9:$C$208,81)</f>
        <v>0.42994051379355369</v>
      </c>
      <c r="N289">
        <f>1/(COUNT(SimData200!$C$9:$C$208)-1)+$N$288</f>
        <v>0.40201005025125675</v>
      </c>
    </row>
    <row r="290" spans="11:14">
      <c r="K290">
        <f>SMALL(SimData200!$B$9:$B$208,82)</f>
        <v>0.40831124678796882</v>
      </c>
      <c r="L290">
        <f>1/(COUNT(SimData200!$B$9:$B$208)-1)+$L$289</f>
        <v>0.40703517587939747</v>
      </c>
      <c r="M290">
        <f>SMALL(SimData200!$C$9:$C$208,82)</f>
        <v>0.43193070048164373</v>
      </c>
      <c r="N290">
        <f>1/(COUNT(SimData200!$C$9:$C$208)-1)+$N$289</f>
        <v>0.40703517587939747</v>
      </c>
    </row>
    <row r="291" spans="11:14">
      <c r="K291">
        <f>SMALL(SimData200!$B$9:$B$208,83)</f>
        <v>0.41493546477284649</v>
      </c>
      <c r="L291">
        <f>1/(COUNT(SimData200!$B$9:$B$208)-1)+$L$290</f>
        <v>0.4120603015075382</v>
      </c>
      <c r="M291">
        <f>SMALL(SimData200!$C$9:$C$208,83)</f>
        <v>0.43779027233904344</v>
      </c>
      <c r="N291">
        <f>1/(COUNT(SimData200!$C$9:$C$208)-1)+$N$290</f>
        <v>0.4120603015075382</v>
      </c>
    </row>
    <row r="292" spans="11:14">
      <c r="K292">
        <f>SMALL(SimData200!$B$9:$B$208,84)</f>
        <v>0.41954495261529112</v>
      </c>
      <c r="L292">
        <f>1/(COUNT(SimData200!$B$9:$B$208)-1)+$L$291</f>
        <v>0.41708542713567892</v>
      </c>
      <c r="M292">
        <f>SMALL(SimData200!$C$9:$C$208,84)</f>
        <v>0.44730499845445593</v>
      </c>
      <c r="N292">
        <f>1/(COUNT(SimData200!$C$9:$C$208)-1)+$N$291</f>
        <v>0.41708542713567892</v>
      </c>
    </row>
    <row r="293" spans="11:14">
      <c r="K293">
        <f>SMALL(SimData200!$B$9:$B$208,85)</f>
        <v>0.42269148971831688</v>
      </c>
      <c r="L293">
        <f>1/(COUNT(SimData200!$B$9:$B$208)-1)+$L$292</f>
        <v>0.42211055276381965</v>
      </c>
      <c r="M293">
        <f>SMALL(SimData200!$C$9:$C$208,85)</f>
        <v>0.45058178430917906</v>
      </c>
      <c r="N293">
        <f>1/(COUNT(SimData200!$C$9:$C$208)-1)+$N$292</f>
        <v>0.42211055276381965</v>
      </c>
    </row>
    <row r="294" spans="11:14">
      <c r="K294">
        <f>SMALL(SimData200!$B$9:$B$208,86)</f>
        <v>0.42688316756437605</v>
      </c>
      <c r="L294">
        <f>1/(COUNT(SimData200!$B$9:$B$208)-1)+$L$293</f>
        <v>0.42713567839196037</v>
      </c>
      <c r="M294">
        <f>SMALL(SimData200!$C$9:$C$208,86)</f>
        <v>0.45758435038806056</v>
      </c>
      <c r="N294">
        <f>1/(COUNT(SimData200!$C$9:$C$208)-1)+$N$293</f>
        <v>0.42713567839196037</v>
      </c>
    </row>
    <row r="295" spans="11:14">
      <c r="K295">
        <f>SMALL(SimData200!$B$9:$B$208,87)</f>
        <v>0.43114572649615485</v>
      </c>
      <c r="L295">
        <f>1/(COUNT(SimData200!$B$9:$B$208)-1)+$L$294</f>
        <v>0.4321608040201011</v>
      </c>
      <c r="M295">
        <f>SMALL(SimData200!$C$9:$C$208,87)</f>
        <v>0.45912170685005549</v>
      </c>
      <c r="N295">
        <f>1/(COUNT(SimData200!$C$9:$C$208)-1)+$N$294</f>
        <v>0.4321608040201011</v>
      </c>
    </row>
    <row r="296" spans="11:14">
      <c r="K296">
        <f>SMALL(SimData200!$B$9:$B$208,88)</f>
        <v>0.43614855170858763</v>
      </c>
      <c r="L296">
        <f>1/(COUNT(SimData200!$B$9:$B$208)-1)+$L$295</f>
        <v>0.43718592964824182</v>
      </c>
      <c r="M296">
        <f>SMALL(SimData200!$C$9:$C$208,88)</f>
        <v>0.4598541326540726</v>
      </c>
      <c r="N296">
        <f>1/(COUNT(SimData200!$C$9:$C$208)-1)+$N$295</f>
        <v>0.43718592964824182</v>
      </c>
    </row>
    <row r="297" spans="11:14">
      <c r="K297">
        <f>SMALL(SimData200!$B$9:$B$208,89)</f>
        <v>0.44195071427313393</v>
      </c>
      <c r="L297">
        <f>1/(COUNT(SimData200!$B$9:$B$208)-1)+$L$296</f>
        <v>0.44221105527638255</v>
      </c>
      <c r="M297">
        <f>SMALL(SimData200!$C$9:$C$208,89)</f>
        <v>0.46477847534970351</v>
      </c>
      <c r="N297">
        <f>1/(COUNT(SimData200!$C$9:$C$208)-1)+$N$296</f>
        <v>0.44221105527638255</v>
      </c>
    </row>
    <row r="298" spans="11:14">
      <c r="K298">
        <f>SMALL(SimData200!$B$9:$B$208,90)</f>
        <v>0.44642067516604916</v>
      </c>
      <c r="L298">
        <f>1/(COUNT(SimData200!$B$9:$B$208)-1)+$L$297</f>
        <v>0.44723618090452327</v>
      </c>
      <c r="M298">
        <f>SMALL(SimData200!$C$9:$C$208,90)</f>
        <v>0.46765638791202946</v>
      </c>
      <c r="N298">
        <f>1/(COUNT(SimData200!$C$9:$C$208)-1)+$N$297</f>
        <v>0.44723618090452327</v>
      </c>
    </row>
    <row r="299" spans="11:14">
      <c r="K299">
        <f>SMALL(SimData200!$B$9:$B$208,91)</f>
        <v>0.45416057185483177</v>
      </c>
      <c r="L299">
        <f>1/(COUNT(SimData200!$B$9:$B$208)-1)+$L$298</f>
        <v>0.452261306532664</v>
      </c>
      <c r="M299">
        <f>SMALL(SimData200!$C$9:$C$208,91)</f>
        <v>0.46889097124221735</v>
      </c>
      <c r="N299">
        <f>1/(COUNT(SimData200!$C$9:$C$208)-1)+$N$298</f>
        <v>0.452261306532664</v>
      </c>
    </row>
    <row r="300" spans="11:14">
      <c r="K300">
        <f>SMALL(SimData200!$B$9:$B$208,92)</f>
        <v>0.45531581822091616</v>
      </c>
      <c r="L300">
        <f>1/(COUNT(SimData200!$B$9:$B$208)-1)+$L$299</f>
        <v>0.45728643216080472</v>
      </c>
      <c r="M300">
        <f>SMALL(SimData200!$C$9:$C$208,92)</f>
        <v>0.48072231329933857</v>
      </c>
      <c r="N300">
        <f>1/(COUNT(SimData200!$C$9:$C$208)-1)+$N$299</f>
        <v>0.45728643216080472</v>
      </c>
    </row>
    <row r="301" spans="11:14">
      <c r="K301">
        <f>SMALL(SimData200!$B$9:$B$208,93)</f>
        <v>0.46460216766330459</v>
      </c>
      <c r="L301">
        <f>1/(COUNT(SimData200!$B$9:$B$208)-1)+$L$300</f>
        <v>0.46231155778894545</v>
      </c>
      <c r="M301">
        <f>SMALL(SimData200!$C$9:$C$208,93)</f>
        <v>0.48164920989168536</v>
      </c>
      <c r="N301">
        <f>1/(COUNT(SimData200!$C$9:$C$208)-1)+$N$300</f>
        <v>0.46231155778894545</v>
      </c>
    </row>
    <row r="302" spans="11:14">
      <c r="K302">
        <f>SMALL(SimData200!$B$9:$B$208,94)</f>
        <v>0.4668414298460915</v>
      </c>
      <c r="L302">
        <f>1/(COUNT(SimData200!$B$9:$B$208)-1)+$L$301</f>
        <v>0.46733668341708617</v>
      </c>
      <c r="M302">
        <f>SMALL(SimData200!$C$9:$C$208,94)</f>
        <v>0.48476108698196185</v>
      </c>
      <c r="N302">
        <f>1/(COUNT(SimData200!$C$9:$C$208)-1)+$N$301</f>
        <v>0.46733668341708617</v>
      </c>
    </row>
    <row r="303" spans="11:14">
      <c r="K303">
        <f>SMALL(SimData200!$B$9:$B$208,95)</f>
        <v>0.47470171581713994</v>
      </c>
      <c r="L303">
        <f>1/(COUNT(SimData200!$B$9:$B$208)-1)+$L$302</f>
        <v>0.4723618090452269</v>
      </c>
      <c r="M303">
        <f>SMALL(SimData200!$C$9:$C$208,95)</f>
        <v>0.48823417839048489</v>
      </c>
      <c r="N303">
        <f>1/(COUNT(SimData200!$C$9:$C$208)-1)+$N$302</f>
        <v>0.4723618090452269</v>
      </c>
    </row>
    <row r="304" spans="11:14">
      <c r="K304">
        <f>SMALL(SimData200!$B$9:$B$208,96)</f>
        <v>0.47633679468681495</v>
      </c>
      <c r="L304">
        <f>1/(COUNT(SimData200!$B$9:$B$208)-1)+$L$303</f>
        <v>0.47738693467336762</v>
      </c>
      <c r="M304">
        <f>SMALL(SimData200!$C$9:$C$208,96)</f>
        <v>0.49487950832644856</v>
      </c>
      <c r="N304">
        <f>1/(COUNT(SimData200!$C$9:$C$208)-1)+$N$303</f>
        <v>0.47738693467336762</v>
      </c>
    </row>
    <row r="305" spans="11:14">
      <c r="K305">
        <f>SMALL(SimData200!$B$9:$B$208,97)</f>
        <v>0.48318196554742338</v>
      </c>
      <c r="L305">
        <f>1/(COUNT(SimData200!$B$9:$B$208)-1)+$L$304</f>
        <v>0.48241206030150835</v>
      </c>
      <c r="M305">
        <f>SMALL(SimData200!$C$9:$C$208,97)</f>
        <v>0.50206705096115911</v>
      </c>
      <c r="N305">
        <f>1/(COUNT(SimData200!$C$9:$C$208)-1)+$N$304</f>
        <v>0.48241206030150835</v>
      </c>
    </row>
    <row r="306" spans="11:14">
      <c r="K306">
        <f>SMALL(SimData200!$B$9:$B$208,98)</f>
        <v>0.48779513589637241</v>
      </c>
      <c r="L306">
        <f>1/(COUNT(SimData200!$B$9:$B$208)-1)+$L$305</f>
        <v>0.48743718592964907</v>
      </c>
      <c r="M306">
        <f>SMALL(SimData200!$C$9:$C$208,98)</f>
        <v>0.50585305309687101</v>
      </c>
      <c r="N306">
        <f>1/(COUNT(SimData200!$C$9:$C$208)-1)+$N$305</f>
        <v>0.48743718592964907</v>
      </c>
    </row>
    <row r="307" spans="11:14">
      <c r="K307">
        <f>SMALL(SimData200!$B$9:$B$208,99)</f>
        <v>0.49352430193068558</v>
      </c>
      <c r="L307">
        <f>1/(COUNT(SimData200!$B$9:$B$208)-1)+$L$306</f>
        <v>0.4924623115577898</v>
      </c>
      <c r="M307">
        <f>SMALL(SimData200!$C$9:$C$208,99)</f>
        <v>0.50774077604182821</v>
      </c>
      <c r="N307">
        <f>1/(COUNT(SimData200!$C$9:$C$208)-1)+$N$306</f>
        <v>0.4924623115577898</v>
      </c>
    </row>
    <row r="308" spans="11:14">
      <c r="K308">
        <f>SMALL(SimData200!$B$9:$B$208,100)</f>
        <v>0.49858035607463225</v>
      </c>
      <c r="L308">
        <f>1/(COUNT(SimData200!$B$9:$B$208)-1)+$L$307</f>
        <v>0.49748743718593053</v>
      </c>
      <c r="M308">
        <f>SMALL(SimData200!$C$9:$C$208,100)</f>
        <v>0.5111659093408889</v>
      </c>
      <c r="N308">
        <f>1/(COUNT(SimData200!$C$9:$C$208)-1)+$N$307</f>
        <v>0.49748743718593053</v>
      </c>
    </row>
    <row r="309" spans="11:14">
      <c r="K309">
        <f>SMALL(SimData200!$B$9:$B$208,101)</f>
        <v>0.50091316337369218</v>
      </c>
      <c r="L309">
        <f>1/(COUNT(SimData200!$B$9:$B$208)-1)+$L$308</f>
        <v>0.5025125628140712</v>
      </c>
      <c r="M309">
        <f>SMALL(SimData200!$C$9:$C$208,101)</f>
        <v>0.51175807802610507</v>
      </c>
      <c r="N309">
        <f>1/(COUNT(SimData200!$C$9:$C$208)-1)+$N$308</f>
        <v>0.5025125628140712</v>
      </c>
    </row>
    <row r="310" spans="11:14">
      <c r="K310">
        <f>SMALL(SimData200!$B$9:$B$208,102)</f>
        <v>0.50645030399818214</v>
      </c>
      <c r="L310">
        <f>1/(COUNT(SimData200!$B$9:$B$208)-1)+$L$309</f>
        <v>0.50753768844221192</v>
      </c>
      <c r="M310">
        <f>SMALL(SimData200!$C$9:$C$208,102)</f>
        <v>0.51375476420980704</v>
      </c>
      <c r="N310">
        <f>1/(COUNT(SimData200!$C$9:$C$208)-1)+$N$309</f>
        <v>0.50753768844221192</v>
      </c>
    </row>
    <row r="311" spans="11:14">
      <c r="K311">
        <f>SMALL(SimData200!$B$9:$B$208,103)</f>
        <v>0.51451736423641381</v>
      </c>
      <c r="L311">
        <f>1/(COUNT(SimData200!$B$9:$B$208)-1)+$L$310</f>
        <v>0.51256281407035265</v>
      </c>
      <c r="M311">
        <f>SMALL(SimData200!$C$9:$C$208,103)</f>
        <v>0.52021789377249661</v>
      </c>
      <c r="N311">
        <f>1/(COUNT(SimData200!$C$9:$C$208)-1)+$N$310</f>
        <v>0.51256281407035265</v>
      </c>
    </row>
    <row r="312" spans="11:14">
      <c r="K312">
        <f>SMALL(SimData200!$B$9:$B$208,104)</f>
        <v>0.51784291659664428</v>
      </c>
      <c r="L312">
        <f>1/(COUNT(SimData200!$B$9:$B$208)-1)+$L$311</f>
        <v>0.51758793969849337</v>
      </c>
      <c r="M312">
        <f>SMALL(SimData200!$C$9:$C$208,104)</f>
        <v>0.52227806361679541</v>
      </c>
      <c r="N312">
        <f>1/(COUNT(SimData200!$C$9:$C$208)-1)+$N$311</f>
        <v>0.51758793969849337</v>
      </c>
    </row>
    <row r="313" spans="11:14">
      <c r="K313">
        <f>SMALL(SimData200!$B$9:$B$208,105)</f>
        <v>0.52269655414221261</v>
      </c>
      <c r="L313">
        <f>1/(COUNT(SimData200!$B$9:$B$208)-1)+$L$312</f>
        <v>0.5226130653266341</v>
      </c>
      <c r="M313">
        <f>SMALL(SimData200!$C$9:$C$208,105)</f>
        <v>0.52916467263821687</v>
      </c>
      <c r="N313">
        <f>1/(COUNT(SimData200!$C$9:$C$208)-1)+$N$312</f>
        <v>0.5226130653266341</v>
      </c>
    </row>
    <row r="314" spans="11:14">
      <c r="K314">
        <f>SMALL(SimData200!$B$9:$B$208,106)</f>
        <v>0.52548682179778972</v>
      </c>
      <c r="L314">
        <f>1/(COUNT(SimData200!$B$9:$B$208)-1)+$L$313</f>
        <v>0.52763819095477482</v>
      </c>
      <c r="M314">
        <f>SMALL(SimData200!$C$9:$C$208,106)</f>
        <v>0.53237595269001758</v>
      </c>
      <c r="N314">
        <f>1/(COUNT(SimData200!$C$9:$C$208)-1)+$N$313</f>
        <v>0.52763819095477482</v>
      </c>
    </row>
    <row r="315" spans="11:14">
      <c r="K315">
        <f>SMALL(SimData200!$B$9:$B$208,107)</f>
        <v>0.53136868458505926</v>
      </c>
      <c r="L315">
        <f>1/(COUNT(SimData200!$B$9:$B$208)-1)+$L$314</f>
        <v>0.53266331658291555</v>
      </c>
      <c r="M315">
        <f>SMALL(SimData200!$C$9:$C$208,107)</f>
        <v>0.54795090411971614</v>
      </c>
      <c r="N315">
        <f>1/(COUNT(SimData200!$C$9:$C$208)-1)+$N$314</f>
        <v>0.53266331658291555</v>
      </c>
    </row>
    <row r="316" spans="11:14">
      <c r="K316">
        <f>SMALL(SimData200!$B$9:$B$208,108)</f>
        <v>0.53918356520919675</v>
      </c>
      <c r="L316">
        <f>1/(COUNT(SimData200!$B$9:$B$208)-1)+$L$315</f>
        <v>0.53768844221105627</v>
      </c>
      <c r="M316">
        <f>SMALL(SimData200!$C$9:$C$208,108)</f>
        <v>0.54873235231389117</v>
      </c>
      <c r="N316">
        <f>1/(COUNT(SimData200!$C$9:$C$208)-1)+$N$315</f>
        <v>0.53768844221105627</v>
      </c>
    </row>
    <row r="317" spans="11:14">
      <c r="K317">
        <f>SMALL(SimData200!$B$9:$B$208,109)</f>
        <v>0.54497174439019791</v>
      </c>
      <c r="L317">
        <f>1/(COUNT(SimData200!$B$9:$B$208)-1)+$L$316</f>
        <v>0.542713567839197</v>
      </c>
      <c r="M317">
        <f>SMALL(SimData200!$C$9:$C$208,109)</f>
        <v>0.55948618497131974</v>
      </c>
      <c r="N317">
        <f>1/(COUNT(SimData200!$C$9:$C$208)-1)+$N$316</f>
        <v>0.542713567839197</v>
      </c>
    </row>
    <row r="318" spans="11:14">
      <c r="K318">
        <f>SMALL(SimData200!$B$9:$B$208,110)</f>
        <v>0.54982932611830282</v>
      </c>
      <c r="L318">
        <f>1/(COUNT(SimData200!$B$9:$B$208)-1)+$L$317</f>
        <v>0.54773869346733772</v>
      </c>
      <c r="M318">
        <f>SMALL(SimData200!$C$9:$C$208,110)</f>
        <v>0.56471685182350484</v>
      </c>
      <c r="N318">
        <f>1/(COUNT(SimData200!$C$9:$C$208)-1)+$N$317</f>
        <v>0.54773869346733772</v>
      </c>
    </row>
    <row r="319" spans="11:14">
      <c r="K319">
        <f>SMALL(SimData200!$B$9:$B$208,111)</f>
        <v>0.55270039105268676</v>
      </c>
      <c r="L319">
        <f>1/(COUNT(SimData200!$B$9:$B$208)-1)+$L$318</f>
        <v>0.55276381909547845</v>
      </c>
      <c r="M319">
        <f>SMALL(SimData200!$C$9:$C$208,111)</f>
        <v>0.56998988438863307</v>
      </c>
      <c r="N319">
        <f>1/(COUNT(SimData200!$C$9:$C$208)-1)+$N$318</f>
        <v>0.55276381909547845</v>
      </c>
    </row>
    <row r="320" spans="11:14">
      <c r="K320">
        <f>SMALL(SimData200!$B$9:$B$208,112)</f>
        <v>0.55865801597215659</v>
      </c>
      <c r="L320">
        <f>1/(COUNT(SimData200!$B$9:$B$208)-1)+$L$319</f>
        <v>0.55778894472361917</v>
      </c>
      <c r="M320">
        <f>SMALL(SimData200!$C$9:$C$208,112)</f>
        <v>0.57868910113666061</v>
      </c>
      <c r="N320">
        <f>1/(COUNT(SimData200!$C$9:$C$208)-1)+$N$319</f>
        <v>0.55778894472361917</v>
      </c>
    </row>
    <row r="321" spans="11:14">
      <c r="K321">
        <f>SMALL(SimData200!$B$9:$B$208,113)</f>
        <v>0.5642461163944672</v>
      </c>
      <c r="L321">
        <f>1/(COUNT(SimData200!$B$9:$B$208)-1)+$L$320</f>
        <v>0.5628140703517599</v>
      </c>
      <c r="M321">
        <f>SMALL(SimData200!$C$9:$C$208,113)</f>
        <v>0.58738323852958274</v>
      </c>
      <c r="N321">
        <f>1/(COUNT(SimData200!$C$9:$C$208)-1)+$N$320</f>
        <v>0.5628140703517599</v>
      </c>
    </row>
    <row r="322" spans="11:14">
      <c r="K322">
        <f>SMALL(SimData200!$B$9:$B$208,114)</f>
        <v>0.56904595947918624</v>
      </c>
      <c r="L322">
        <f>1/(COUNT(SimData200!$B$9:$B$208)-1)+$L$321</f>
        <v>0.56783919597990062</v>
      </c>
      <c r="M322">
        <f>SMALL(SimData200!$C$9:$C$208,114)</f>
        <v>0.59190909228436794</v>
      </c>
      <c r="N322">
        <f>1/(COUNT(SimData200!$C$9:$C$208)-1)+$N$321</f>
        <v>0.56783919597990062</v>
      </c>
    </row>
    <row r="323" spans="11:14">
      <c r="K323">
        <f>SMALL(SimData200!$B$9:$B$208,115)</f>
        <v>0.57324338774505146</v>
      </c>
      <c r="L323">
        <f>1/(COUNT(SimData200!$B$9:$B$208)-1)+$L$322</f>
        <v>0.57286432160804135</v>
      </c>
      <c r="M323">
        <f>SMALL(SimData200!$C$9:$C$208,115)</f>
        <v>0.59730773819774186</v>
      </c>
      <c r="N323">
        <f>1/(COUNT(SimData200!$C$9:$C$208)-1)+$N$322</f>
        <v>0.57286432160804135</v>
      </c>
    </row>
    <row r="324" spans="11:14">
      <c r="K324">
        <f>SMALL(SimData200!$B$9:$B$208,116)</f>
        <v>0.57642901929943569</v>
      </c>
      <c r="L324">
        <f>1/(COUNT(SimData200!$B$9:$B$208)-1)+$L$323</f>
        <v>0.57788944723618207</v>
      </c>
      <c r="M324">
        <f>SMALL(SimData200!$C$9:$C$208,116)</f>
        <v>0.59944243532572727</v>
      </c>
      <c r="N324">
        <f>1/(COUNT(SimData200!$C$9:$C$208)-1)+$N$323</f>
        <v>0.57788944723618207</v>
      </c>
    </row>
    <row r="325" spans="11:14">
      <c r="K325">
        <f>SMALL(SimData200!$B$9:$B$208,117)</f>
        <v>0.58372163881750816</v>
      </c>
      <c r="L325">
        <f>1/(COUNT(SimData200!$B$9:$B$208)-1)+$L$324</f>
        <v>0.5829145728643228</v>
      </c>
      <c r="M325">
        <f>SMALL(SimData200!$C$9:$C$208,117)</f>
        <v>0.60220813870819256</v>
      </c>
      <c r="N325">
        <f>1/(COUNT(SimData200!$C$9:$C$208)-1)+$N$324</f>
        <v>0.5829145728643228</v>
      </c>
    </row>
    <row r="326" spans="11:14">
      <c r="K326">
        <f>SMALL(SimData200!$B$9:$B$208,118)</f>
        <v>0.58884187945603439</v>
      </c>
      <c r="L326">
        <f>1/(COUNT(SimData200!$B$9:$B$208)-1)+$L$325</f>
        <v>0.58793969849246352</v>
      </c>
      <c r="M326">
        <f>SMALL(SimData200!$C$9:$C$208,118)</f>
        <v>0.6068478709212286</v>
      </c>
      <c r="N326">
        <f>1/(COUNT(SimData200!$C$9:$C$208)-1)+$N$325</f>
        <v>0.58793969849246352</v>
      </c>
    </row>
    <row r="327" spans="11:14">
      <c r="K327">
        <f>SMALL(SimData200!$B$9:$B$208,119)</f>
        <v>0.59008976651008471</v>
      </c>
      <c r="L327">
        <f>1/(COUNT(SimData200!$B$9:$B$208)-1)+$L$326</f>
        <v>0.59296482412060425</v>
      </c>
      <c r="M327">
        <f>SMALL(SimData200!$C$9:$C$208,119)</f>
        <v>0.60930404870669008</v>
      </c>
      <c r="N327">
        <f>1/(COUNT(SimData200!$C$9:$C$208)-1)+$N$326</f>
        <v>0.59296482412060425</v>
      </c>
    </row>
    <row r="328" spans="11:14">
      <c r="K328">
        <f>SMALL(SimData200!$B$9:$B$208,120)</f>
        <v>0.59670300266163023</v>
      </c>
      <c r="L328">
        <f>1/(COUNT(SimData200!$B$9:$B$208)-1)+$L$327</f>
        <v>0.59798994974874498</v>
      </c>
      <c r="M328">
        <f>SMALL(SimData200!$C$9:$C$208,120)</f>
        <v>0.62515399614221678</v>
      </c>
      <c r="N328">
        <f>1/(COUNT(SimData200!$C$9:$C$208)-1)+$N$327</f>
        <v>0.59798994974874498</v>
      </c>
    </row>
    <row r="329" spans="11:14">
      <c r="K329">
        <f>SMALL(SimData200!$B$9:$B$208,121)</f>
        <v>0.60318383370018192</v>
      </c>
      <c r="L329">
        <f>1/(COUNT(SimData200!$B$9:$B$208)-1)+$L$328</f>
        <v>0.6030150753768857</v>
      </c>
      <c r="M329">
        <f>SMALL(SimData200!$C$9:$C$208,121)</f>
        <v>0.62547618728331145</v>
      </c>
      <c r="N329">
        <f>1/(COUNT(SimData200!$C$9:$C$208)-1)+$N$328</f>
        <v>0.6030150753768857</v>
      </c>
    </row>
    <row r="330" spans="11:14">
      <c r="K330">
        <f>SMALL(SimData200!$B$9:$B$208,122)</f>
        <v>0.60518504770942616</v>
      </c>
      <c r="L330">
        <f>1/(COUNT(SimData200!$B$9:$B$208)-1)+$L$329</f>
        <v>0.60804020100502643</v>
      </c>
      <c r="M330">
        <f>SMALL(SimData200!$C$9:$C$208,122)</f>
        <v>0.63318495347903081</v>
      </c>
      <c r="N330">
        <f>1/(COUNT(SimData200!$C$9:$C$208)-1)+$N$329</f>
        <v>0.60804020100502643</v>
      </c>
    </row>
    <row r="331" spans="11:14">
      <c r="K331">
        <f>SMALL(SimData200!$B$9:$B$208,123)</f>
        <v>0.61123288590955382</v>
      </c>
      <c r="L331">
        <f>1/(COUNT(SimData200!$B$9:$B$208)-1)+$L$330</f>
        <v>0.61306532663316715</v>
      </c>
      <c r="M331">
        <f>SMALL(SimData200!$C$9:$C$208,123)</f>
        <v>0.64548157448371057</v>
      </c>
      <c r="N331">
        <f>1/(COUNT(SimData200!$C$9:$C$208)-1)+$N$330</f>
        <v>0.61306532663316715</v>
      </c>
    </row>
    <row r="332" spans="11:14">
      <c r="K332">
        <f>SMALL(SimData200!$B$9:$B$208,124)</f>
        <v>0.61603489438794434</v>
      </c>
      <c r="L332">
        <f>1/(COUNT(SimData200!$B$9:$B$208)-1)+$L$331</f>
        <v>0.61809045226130788</v>
      </c>
      <c r="M332">
        <f>SMALL(SimData200!$C$9:$C$208,124)</f>
        <v>0.64625848617288284</v>
      </c>
      <c r="N332">
        <f>1/(COUNT(SimData200!$C$9:$C$208)-1)+$N$331</f>
        <v>0.61809045226130788</v>
      </c>
    </row>
    <row r="333" spans="11:14">
      <c r="K333">
        <f>SMALL(SimData200!$B$9:$B$208,125)</f>
        <v>0.62411131154026633</v>
      </c>
      <c r="L333">
        <f>1/(COUNT(SimData200!$B$9:$B$208)-1)+$L$332</f>
        <v>0.6231155778894486</v>
      </c>
      <c r="M333">
        <f>SMALL(SimData200!$C$9:$C$208,125)</f>
        <v>0.64693904704472516</v>
      </c>
      <c r="N333">
        <f>1/(COUNT(SimData200!$C$9:$C$208)-1)+$N$332</f>
        <v>0.6231155778894486</v>
      </c>
    </row>
    <row r="334" spans="11:14">
      <c r="K334">
        <f>SMALL(SimData200!$B$9:$B$208,126)</f>
        <v>0.62990763938168703</v>
      </c>
      <c r="L334">
        <f>1/(COUNT(SimData200!$B$9:$B$208)-1)+$L$333</f>
        <v>0.62814070351758933</v>
      </c>
      <c r="M334">
        <f>SMALL(SimData200!$C$9:$C$208,126)</f>
        <v>0.64957761766709154</v>
      </c>
      <c r="N334">
        <f>1/(COUNT(SimData200!$C$9:$C$208)-1)+$N$333</f>
        <v>0.62814070351758933</v>
      </c>
    </row>
    <row r="335" spans="11:14">
      <c r="K335">
        <f>SMALL(SimData200!$B$9:$B$208,127)</f>
        <v>0.63373942275152995</v>
      </c>
      <c r="L335">
        <f>1/(COUNT(SimData200!$B$9:$B$208)-1)+$L$334</f>
        <v>0.63316582914573005</v>
      </c>
      <c r="M335">
        <f>SMALL(SimData200!$C$9:$C$208,127)</f>
        <v>0.64991888843360357</v>
      </c>
      <c r="N335">
        <f>1/(COUNT(SimData200!$C$9:$C$208)-1)+$N$334</f>
        <v>0.63316582914573005</v>
      </c>
    </row>
    <row r="336" spans="11:14">
      <c r="K336">
        <f>SMALL(SimData200!$B$9:$B$208,128)</f>
        <v>0.63990995427940733</v>
      </c>
      <c r="L336">
        <f>1/(COUNT(SimData200!$B$9:$B$208)-1)+$L$335</f>
        <v>0.63819095477387078</v>
      </c>
      <c r="M336">
        <f>SMALL(SimData200!$C$9:$C$208,128)</f>
        <v>0.65241465823601175</v>
      </c>
      <c r="N336">
        <f>1/(COUNT(SimData200!$C$9:$C$208)-1)+$N$335</f>
        <v>0.63819095477387078</v>
      </c>
    </row>
    <row r="337" spans="11:14">
      <c r="K337">
        <f>SMALL(SimData200!$B$9:$B$208,129)</f>
        <v>0.64478018706659324</v>
      </c>
      <c r="L337">
        <f>1/(COUNT(SimData200!$B$9:$B$208)-1)+$L$336</f>
        <v>0.6432160804020115</v>
      </c>
      <c r="M337">
        <f>SMALL(SimData200!$C$9:$C$208,129)</f>
        <v>0.65749761632832815</v>
      </c>
      <c r="N337">
        <f>1/(COUNT(SimData200!$C$9:$C$208)-1)+$N$336</f>
        <v>0.6432160804020115</v>
      </c>
    </row>
    <row r="338" spans="11:14">
      <c r="K338">
        <f>SMALL(SimData200!$B$9:$B$208,130)</f>
        <v>0.64955024585000942</v>
      </c>
      <c r="L338">
        <f>1/(COUNT(SimData200!$B$9:$B$208)-1)+$L$337</f>
        <v>0.64824120603015223</v>
      </c>
      <c r="M338">
        <f>SMALL(SimData200!$C$9:$C$208,130)</f>
        <v>0.66376465515895688</v>
      </c>
      <c r="N338">
        <f>1/(COUNT(SimData200!$C$9:$C$208)-1)+$N$337</f>
        <v>0.64824120603015223</v>
      </c>
    </row>
    <row r="339" spans="11:14">
      <c r="K339">
        <f>SMALL(SimData200!$B$9:$B$208,131)</f>
        <v>0.65092175333432889</v>
      </c>
      <c r="L339">
        <f>1/(COUNT(SimData200!$B$9:$B$208)-1)+$L$338</f>
        <v>0.65326633165829295</v>
      </c>
      <c r="M339">
        <f>SMALL(SimData200!$C$9:$C$208,131)</f>
        <v>0.66660119783500704</v>
      </c>
      <c r="N339">
        <f>1/(COUNT(SimData200!$C$9:$C$208)-1)+$N$338</f>
        <v>0.65326633165829295</v>
      </c>
    </row>
    <row r="340" spans="11:14">
      <c r="K340">
        <f>SMALL(SimData200!$B$9:$B$208,132)</f>
        <v>0.65735006789265893</v>
      </c>
      <c r="L340">
        <f>1/(COUNT(SimData200!$B$9:$B$208)-1)+$L$339</f>
        <v>0.65829145728643368</v>
      </c>
      <c r="M340">
        <f>SMALL(SimData200!$C$9:$C$208,132)</f>
        <v>0.66816060990731785</v>
      </c>
      <c r="N340">
        <f>1/(COUNT(SimData200!$C$9:$C$208)-1)+$N$339</f>
        <v>0.65829145728643368</v>
      </c>
    </row>
    <row r="341" spans="11:14">
      <c r="K341">
        <f>SMALL(SimData200!$B$9:$B$208,133)</f>
        <v>0.66465049980665791</v>
      </c>
      <c r="L341">
        <f>1/(COUNT(SimData200!$B$9:$B$208)-1)+$L$340</f>
        <v>0.6633165829145744</v>
      </c>
      <c r="M341">
        <f>SMALL(SimData200!$C$9:$C$208,133)</f>
        <v>0.67654678147755476</v>
      </c>
      <c r="N341">
        <f>1/(COUNT(SimData200!$C$9:$C$208)-1)+$N$340</f>
        <v>0.6633165829145744</v>
      </c>
    </row>
    <row r="342" spans="11:14">
      <c r="K342">
        <f>SMALL(SimData200!$B$9:$B$208,134)</f>
        <v>0.6689447587516496</v>
      </c>
      <c r="L342">
        <f>1/(COUNT(SimData200!$B$9:$B$208)-1)+$L$341</f>
        <v>0.66834170854271513</v>
      </c>
      <c r="M342">
        <f>SMALL(SimData200!$C$9:$C$208,134)</f>
        <v>0.67945810890341818</v>
      </c>
      <c r="N342">
        <f>1/(COUNT(SimData200!$C$9:$C$208)-1)+$N$341</f>
        <v>0.66834170854271513</v>
      </c>
    </row>
    <row r="343" spans="11:14">
      <c r="K343">
        <f>SMALL(SimData200!$B$9:$B$208,135)</f>
        <v>0.67353877515730887</v>
      </c>
      <c r="L343">
        <f>1/(COUNT(SimData200!$B$9:$B$208)-1)+$L$342</f>
        <v>0.67336683417085585</v>
      </c>
      <c r="M343">
        <f>SMALL(SimData200!$C$9:$C$208,135)</f>
        <v>0.68098357473081705</v>
      </c>
      <c r="N343">
        <f>1/(COUNT(SimData200!$C$9:$C$208)-1)+$N$342</f>
        <v>0.67336683417085585</v>
      </c>
    </row>
    <row r="344" spans="11:14">
      <c r="K344">
        <f>SMALL(SimData200!$B$9:$B$208,136)</f>
        <v>0.67877269338904245</v>
      </c>
      <c r="L344">
        <f>1/(COUNT(SimData200!$B$9:$B$208)-1)+$L$343</f>
        <v>0.67839195979899658</v>
      </c>
      <c r="M344">
        <f>SMALL(SimData200!$C$9:$C$208,136)</f>
        <v>0.69823948296470917</v>
      </c>
      <c r="N344">
        <f>1/(COUNT(SimData200!$C$9:$C$208)-1)+$N$343</f>
        <v>0.67839195979899658</v>
      </c>
    </row>
    <row r="345" spans="11:14">
      <c r="K345">
        <f>SMALL(SimData200!$B$9:$B$208,137)</f>
        <v>0.68165968945754218</v>
      </c>
      <c r="L345">
        <f>1/(COUNT(SimData200!$B$9:$B$208)-1)+$L$344</f>
        <v>0.68341708542713731</v>
      </c>
      <c r="M345">
        <f>SMALL(SimData200!$C$9:$C$208,137)</f>
        <v>0.69947364124709566</v>
      </c>
      <c r="N345">
        <f>1/(COUNT(SimData200!$C$9:$C$208)-1)+$N$344</f>
        <v>0.68341708542713731</v>
      </c>
    </row>
    <row r="346" spans="11:14">
      <c r="K346">
        <f>SMALL(SimData200!$B$9:$B$208,138)</f>
        <v>0.68933926747980034</v>
      </c>
      <c r="L346">
        <f>1/(COUNT(SimData200!$B$9:$B$208)-1)+$L$345</f>
        <v>0.68844221105527803</v>
      </c>
      <c r="M346">
        <f>SMALL(SimData200!$C$9:$C$208,138)</f>
        <v>0.70156285728717194</v>
      </c>
      <c r="N346">
        <f>1/(COUNT(SimData200!$C$9:$C$208)-1)+$N$345</f>
        <v>0.68844221105527803</v>
      </c>
    </row>
    <row r="347" spans="11:14">
      <c r="K347">
        <f>SMALL(SimData200!$B$9:$B$208,139)</f>
        <v>0.69487010599809462</v>
      </c>
      <c r="L347">
        <f>1/(COUNT(SimData200!$B$9:$B$208)-1)+$L$346</f>
        <v>0.69346733668341876</v>
      </c>
      <c r="M347">
        <f>SMALL(SimData200!$C$9:$C$208,139)</f>
        <v>0.71210151378454611</v>
      </c>
      <c r="N347">
        <f>1/(COUNT(SimData200!$C$9:$C$208)-1)+$N$346</f>
        <v>0.69346733668341876</v>
      </c>
    </row>
    <row r="348" spans="11:14">
      <c r="K348">
        <f>SMALL(SimData200!$B$9:$B$208,140)</f>
        <v>0.69977731315879554</v>
      </c>
      <c r="L348">
        <f>1/(COUNT(SimData200!$B$9:$B$208)-1)+$L$347</f>
        <v>0.69849246231155948</v>
      </c>
      <c r="M348">
        <f>SMALL(SimData200!$C$9:$C$208,140)</f>
        <v>0.71226180126177496</v>
      </c>
      <c r="N348">
        <f>1/(COUNT(SimData200!$C$9:$C$208)-1)+$N$347</f>
        <v>0.69849246231155948</v>
      </c>
    </row>
    <row r="349" spans="11:14">
      <c r="K349">
        <f>SMALL(SimData200!$B$9:$B$208,141)</f>
        <v>0.70246833635085926</v>
      </c>
      <c r="L349">
        <f>1/(COUNT(SimData200!$B$9:$B$208)-1)+$L$348</f>
        <v>0.70351758793970021</v>
      </c>
      <c r="M349">
        <f>SMALL(SimData200!$C$9:$C$208,141)</f>
        <v>0.71603810169563076</v>
      </c>
      <c r="N349">
        <f>1/(COUNT(SimData200!$C$9:$C$208)-1)+$N$348</f>
        <v>0.70351758793970021</v>
      </c>
    </row>
    <row r="350" spans="11:14">
      <c r="K350">
        <f>SMALL(SimData200!$B$9:$B$208,142)</f>
        <v>0.70879649940617295</v>
      </c>
      <c r="L350">
        <f>1/(COUNT(SimData200!$B$9:$B$208)-1)+$L$349</f>
        <v>0.70854271356784093</v>
      </c>
      <c r="M350">
        <f>SMALL(SimData200!$C$9:$C$208,142)</f>
        <v>0.72641631776969007</v>
      </c>
      <c r="N350">
        <f>1/(COUNT(SimData200!$C$9:$C$208)-1)+$N$349</f>
        <v>0.70854271356784093</v>
      </c>
    </row>
    <row r="351" spans="11:14">
      <c r="K351">
        <f>SMALL(SimData200!$B$9:$B$208,143)</f>
        <v>0.71467817094635178</v>
      </c>
      <c r="L351">
        <f>1/(COUNT(SimData200!$B$9:$B$208)-1)+$L$350</f>
        <v>0.71356783919598166</v>
      </c>
      <c r="M351">
        <f>SMALL(SimData200!$C$9:$C$208,143)</f>
        <v>0.73653812769043725</v>
      </c>
      <c r="N351">
        <f>1/(COUNT(SimData200!$C$9:$C$208)-1)+$N$350</f>
        <v>0.71356783919598166</v>
      </c>
    </row>
    <row r="352" spans="11:14">
      <c r="K352">
        <f>SMALL(SimData200!$B$9:$B$208,144)</f>
        <v>0.71934050827621021</v>
      </c>
      <c r="L352">
        <f>1/(COUNT(SimData200!$B$9:$B$208)-1)+$L$351</f>
        <v>0.71859296482412238</v>
      </c>
      <c r="M352">
        <f>SMALL(SimData200!$C$9:$C$208,144)</f>
        <v>0.73668585419818555</v>
      </c>
      <c r="N352">
        <f>1/(COUNT(SimData200!$C$9:$C$208)-1)+$N$351</f>
        <v>0.71859296482412238</v>
      </c>
    </row>
    <row r="353" spans="11:14">
      <c r="K353">
        <f>SMALL(SimData200!$B$9:$B$208,145)</f>
        <v>0.72154358296807475</v>
      </c>
      <c r="L353">
        <f>1/(COUNT(SimData200!$B$9:$B$208)-1)+$L$352</f>
        <v>0.72361809045226311</v>
      </c>
      <c r="M353">
        <f>SMALL(SimData200!$C$9:$C$208,145)</f>
        <v>0.7368919746049869</v>
      </c>
      <c r="N353">
        <f>1/(COUNT(SimData200!$C$9:$C$208)-1)+$N$352</f>
        <v>0.72361809045226311</v>
      </c>
    </row>
    <row r="354" spans="11:14">
      <c r="K354">
        <f>SMALL(SimData200!$B$9:$B$208,146)</f>
        <v>0.72726085498748827</v>
      </c>
      <c r="L354">
        <f>1/(COUNT(SimData200!$B$9:$B$208)-1)+$L$353</f>
        <v>0.72864321608040383</v>
      </c>
      <c r="M354">
        <f>SMALL(SimData200!$C$9:$C$208,146)</f>
        <v>0.74002559764085163</v>
      </c>
      <c r="N354">
        <f>1/(COUNT(SimData200!$C$9:$C$208)-1)+$N$353</f>
        <v>0.72864321608040383</v>
      </c>
    </row>
    <row r="355" spans="11:14">
      <c r="K355">
        <f>SMALL(SimData200!$B$9:$B$208,147)</f>
        <v>0.73098141902265634</v>
      </c>
      <c r="L355">
        <f>1/(COUNT(SimData200!$B$9:$B$208)-1)+$L$354</f>
        <v>0.73366834170854456</v>
      </c>
      <c r="M355">
        <f>SMALL(SimData200!$C$9:$C$208,147)</f>
        <v>0.74880401266818808</v>
      </c>
      <c r="N355">
        <f>1/(COUNT(SimData200!$C$9:$C$208)-1)+$N$354</f>
        <v>0.73366834170854456</v>
      </c>
    </row>
    <row r="356" spans="11:14">
      <c r="K356">
        <f>SMALL(SimData200!$B$9:$B$208,148)</f>
        <v>0.73885065856130117</v>
      </c>
      <c r="L356">
        <f>1/(COUNT(SimData200!$B$9:$B$208)-1)+$L$355</f>
        <v>0.73869346733668528</v>
      </c>
      <c r="M356">
        <f>SMALL(SimData200!$C$9:$C$208,148)</f>
        <v>0.75325418039483338</v>
      </c>
      <c r="N356">
        <f>1/(COUNT(SimData200!$C$9:$C$208)-1)+$N$355</f>
        <v>0.73869346733668528</v>
      </c>
    </row>
    <row r="357" spans="11:14">
      <c r="K357">
        <f>SMALL(SimData200!$B$9:$B$208,149)</f>
        <v>0.7416518136466973</v>
      </c>
      <c r="L357">
        <f>1/(COUNT(SimData200!$B$9:$B$208)-1)+$L$356</f>
        <v>0.74371859296482601</v>
      </c>
      <c r="M357">
        <f>SMALL(SimData200!$C$9:$C$208,149)</f>
        <v>0.75526887409705523</v>
      </c>
      <c r="N357">
        <f>1/(COUNT(SimData200!$C$9:$C$208)-1)+$N$356</f>
        <v>0.74371859296482601</v>
      </c>
    </row>
    <row r="358" spans="11:14">
      <c r="K358">
        <f>SMALL(SimData200!$B$9:$B$208,150)</f>
        <v>0.74804861343420315</v>
      </c>
      <c r="L358">
        <f>1/(COUNT(SimData200!$B$9:$B$208)-1)+$L$357</f>
        <v>0.74874371859296673</v>
      </c>
      <c r="M358">
        <f>SMALL(SimData200!$C$9:$C$208,150)</f>
        <v>0.75638334180075617</v>
      </c>
      <c r="N358">
        <f>1/(COUNT(SimData200!$C$9:$C$208)-1)+$N$357</f>
        <v>0.74874371859296673</v>
      </c>
    </row>
    <row r="359" spans="11:14">
      <c r="K359">
        <f>SMALL(SimData200!$B$9:$B$208,151)</f>
        <v>0.75112464349743091</v>
      </c>
      <c r="L359">
        <f>1/(COUNT(SimData200!$B$9:$B$208)-1)+$L$358</f>
        <v>0.75376884422110746</v>
      </c>
      <c r="M359">
        <f>SMALL(SimData200!$C$9:$C$208,151)</f>
        <v>0.76188718877256179</v>
      </c>
      <c r="N359">
        <f>1/(COUNT(SimData200!$C$9:$C$208)-1)+$N$358</f>
        <v>0.75376884422110746</v>
      </c>
    </row>
    <row r="360" spans="11:14">
      <c r="K360">
        <f>SMALL(SimData200!$B$9:$B$208,152)</f>
        <v>0.75976829813555069</v>
      </c>
      <c r="L360">
        <f>1/(COUNT(SimData200!$B$9:$B$208)-1)+$L$359</f>
        <v>0.75879396984924818</v>
      </c>
      <c r="M360">
        <f>SMALL(SimData200!$C$9:$C$208,152)</f>
        <v>0.76214922366307292</v>
      </c>
      <c r="N360">
        <f>1/(COUNT(SimData200!$C$9:$C$208)-1)+$N$359</f>
        <v>0.75879396984924818</v>
      </c>
    </row>
    <row r="361" spans="11:14">
      <c r="K361">
        <f>SMALL(SimData200!$B$9:$B$208,153)</f>
        <v>0.76279146491149252</v>
      </c>
      <c r="L361">
        <f>1/(COUNT(SimData200!$B$9:$B$208)-1)+$L$360</f>
        <v>0.76381909547738891</v>
      </c>
      <c r="M361">
        <f>SMALL(SimData200!$C$9:$C$208,153)</f>
        <v>0.76218699323726469</v>
      </c>
      <c r="N361">
        <f>1/(COUNT(SimData200!$C$9:$C$208)-1)+$N$360</f>
        <v>0.76381909547738891</v>
      </c>
    </row>
    <row r="362" spans="11:14">
      <c r="K362">
        <f>SMALL(SimData200!$B$9:$B$208,154)</f>
        <v>0.7667192979254106</v>
      </c>
      <c r="L362">
        <f>1/(COUNT(SimData200!$B$9:$B$208)-1)+$L$361</f>
        <v>0.76884422110552963</v>
      </c>
      <c r="M362">
        <f>SMALL(SimData200!$C$9:$C$208,154)</f>
        <v>0.76842440695327241</v>
      </c>
      <c r="N362">
        <f>1/(COUNT(SimData200!$C$9:$C$208)-1)+$N$361</f>
        <v>0.76884422110552963</v>
      </c>
    </row>
    <row r="363" spans="11:14">
      <c r="K363">
        <f>SMALL(SimData200!$B$9:$B$208,155)</f>
        <v>0.77064307075823735</v>
      </c>
      <c r="L363">
        <f>1/(COUNT(SimData200!$B$9:$B$208)-1)+$L$362</f>
        <v>0.77386934673367036</v>
      </c>
      <c r="M363">
        <f>SMALL(SimData200!$C$9:$C$208,155)</f>
        <v>0.77388715679171582</v>
      </c>
      <c r="N363">
        <f>1/(COUNT(SimData200!$C$9:$C$208)-1)+$N$362</f>
        <v>0.77386934673367036</v>
      </c>
    </row>
    <row r="364" spans="11:14">
      <c r="K364">
        <f>SMALL(SimData200!$B$9:$B$208,156)</f>
        <v>0.7759834670114758</v>
      </c>
      <c r="L364">
        <f>1/(COUNT(SimData200!$B$9:$B$208)-1)+$L$363</f>
        <v>0.77889447236181109</v>
      </c>
      <c r="M364">
        <f>SMALL(SimData200!$C$9:$C$208,156)</f>
        <v>0.77652214135741815</v>
      </c>
      <c r="N364">
        <f>1/(COUNT(SimData200!$C$9:$C$208)-1)+$N$363</f>
        <v>0.77889447236181109</v>
      </c>
    </row>
    <row r="365" spans="11:14">
      <c r="K365">
        <f>SMALL(SimData200!$B$9:$B$208,157)</f>
        <v>0.78332819603344617</v>
      </c>
      <c r="L365">
        <f>1/(COUNT(SimData200!$B$9:$B$208)-1)+$L$364</f>
        <v>0.78391959798995181</v>
      </c>
      <c r="M365">
        <f>SMALL(SimData200!$C$9:$C$208,157)</f>
        <v>0.77992630426251708</v>
      </c>
      <c r="N365">
        <f>1/(COUNT(SimData200!$C$9:$C$208)-1)+$N$364</f>
        <v>0.78391959798995181</v>
      </c>
    </row>
    <row r="366" spans="11:14">
      <c r="K366">
        <f>SMALL(SimData200!$B$9:$B$208,158)</f>
        <v>0.78813162117338076</v>
      </c>
      <c r="L366">
        <f>1/(COUNT(SimData200!$B$9:$B$208)-1)+$L$365</f>
        <v>0.78894472361809254</v>
      </c>
      <c r="M366">
        <f>SMALL(SimData200!$C$9:$C$208,158)</f>
        <v>0.78610421304892952</v>
      </c>
      <c r="N366">
        <f>1/(COUNT(SimData200!$C$9:$C$208)-1)+$N$365</f>
        <v>0.78894472361809254</v>
      </c>
    </row>
    <row r="367" spans="11:14">
      <c r="K367">
        <f>SMALL(SimData200!$B$9:$B$208,159)</f>
        <v>0.79079008837830966</v>
      </c>
      <c r="L367">
        <f>1/(COUNT(SimData200!$B$9:$B$208)-1)+$L$366</f>
        <v>0.79396984924623326</v>
      </c>
      <c r="M367">
        <f>SMALL(SimData200!$C$9:$C$208,159)</f>
        <v>0.7875995179383608</v>
      </c>
      <c r="N367">
        <f>1/(COUNT(SimData200!$C$9:$C$208)-1)+$N$366</f>
        <v>0.79396984924623326</v>
      </c>
    </row>
    <row r="368" spans="11:14">
      <c r="K368">
        <f>SMALL(SimData200!$B$9:$B$208,160)</f>
        <v>0.79876278401440071</v>
      </c>
      <c r="L368">
        <f>1/(COUNT(SimData200!$B$9:$B$208)-1)+$L$367</f>
        <v>0.79899497487437399</v>
      </c>
      <c r="M368">
        <f>SMALL(SimData200!$C$9:$C$208,160)</f>
        <v>0.78788819586952741</v>
      </c>
      <c r="N368">
        <f>1/(COUNT(SimData200!$C$9:$C$208)-1)+$N$367</f>
        <v>0.79899497487437399</v>
      </c>
    </row>
    <row r="369" spans="11:14">
      <c r="K369">
        <f>SMALL(SimData200!$B$9:$B$208,161)</f>
        <v>0.80261184914214811</v>
      </c>
      <c r="L369">
        <f>1/(COUNT(SimData200!$B$9:$B$208)-1)+$L$368</f>
        <v>0.80402010050251471</v>
      </c>
      <c r="M369">
        <f>SMALL(SimData200!$C$9:$C$208,161)</f>
        <v>0.78819542282781185</v>
      </c>
      <c r="N369">
        <f>1/(COUNT(SimData200!$C$9:$C$208)-1)+$N$368</f>
        <v>0.80402010050251471</v>
      </c>
    </row>
    <row r="370" spans="11:14">
      <c r="K370">
        <f>SMALL(SimData200!$B$9:$B$208,162)</f>
        <v>0.80912931716165715</v>
      </c>
      <c r="L370">
        <f>1/(COUNT(SimData200!$B$9:$B$208)-1)+$L$369</f>
        <v>0.80904522613065544</v>
      </c>
      <c r="M370">
        <f>SMALL(SimData200!$C$9:$C$208,162)</f>
        <v>0.80383209746014472</v>
      </c>
      <c r="N370">
        <f>1/(COUNT(SimData200!$C$9:$C$208)-1)+$N$369</f>
        <v>0.80904522613065544</v>
      </c>
    </row>
    <row r="371" spans="11:14">
      <c r="K371">
        <f>SMALL(SimData200!$B$9:$B$208,163)</f>
        <v>0.81319237651028486</v>
      </c>
      <c r="L371">
        <f>1/(COUNT(SimData200!$B$9:$B$208)-1)+$L$370</f>
        <v>0.81407035175879616</v>
      </c>
      <c r="M371">
        <f>SMALL(SimData200!$C$9:$C$208,163)</f>
        <v>0.80455703339976026</v>
      </c>
      <c r="N371">
        <f>1/(COUNT(SimData200!$C$9:$C$208)-1)+$N$370</f>
        <v>0.81407035175879616</v>
      </c>
    </row>
    <row r="372" spans="11:14">
      <c r="K372">
        <f>SMALL(SimData200!$B$9:$B$208,164)</f>
        <v>0.81644929100094588</v>
      </c>
      <c r="L372">
        <f>1/(COUNT(SimData200!$B$9:$B$208)-1)+$L$371</f>
        <v>0.81909547738693689</v>
      </c>
      <c r="M372">
        <f>SMALL(SimData200!$C$9:$C$208,164)</f>
        <v>0.81259485406735621</v>
      </c>
      <c r="N372">
        <f>1/(COUNT(SimData200!$C$9:$C$208)-1)+$N$371</f>
        <v>0.81909547738693689</v>
      </c>
    </row>
    <row r="373" spans="11:14">
      <c r="K373">
        <f>SMALL(SimData200!$B$9:$B$208,165)</f>
        <v>0.8232956287028026</v>
      </c>
      <c r="L373">
        <f>1/(COUNT(SimData200!$B$9:$B$208)-1)+$L$372</f>
        <v>0.82412060301507761</v>
      </c>
      <c r="M373">
        <f>SMALL(SimData200!$C$9:$C$208,165)</f>
        <v>0.81611378955676628</v>
      </c>
      <c r="N373">
        <f>1/(COUNT(SimData200!$C$9:$C$208)-1)+$N$372</f>
        <v>0.82412060301507761</v>
      </c>
    </row>
    <row r="374" spans="11:14">
      <c r="K374">
        <f>SMALL(SimData200!$B$9:$B$208,166)</f>
        <v>0.82849611716426352</v>
      </c>
      <c r="L374">
        <f>1/(COUNT(SimData200!$B$9:$B$208)-1)+$L$373</f>
        <v>0.82914572864321834</v>
      </c>
      <c r="M374">
        <f>SMALL(SimData200!$C$9:$C$208,166)</f>
        <v>0.82537482416046259</v>
      </c>
      <c r="N374">
        <f>1/(COUNT(SimData200!$C$9:$C$208)-1)+$N$373</f>
        <v>0.82914572864321834</v>
      </c>
    </row>
    <row r="375" spans="11:14">
      <c r="K375">
        <f>SMALL(SimData200!$B$9:$B$208,167)</f>
        <v>0.83209637523444757</v>
      </c>
      <c r="L375">
        <f>1/(COUNT(SimData200!$B$9:$B$208)-1)+$L$374</f>
        <v>0.83417085427135906</v>
      </c>
      <c r="M375">
        <f>SMALL(SimData200!$C$9:$C$208,167)</f>
        <v>0.83283542289973411</v>
      </c>
      <c r="N375">
        <f>1/(COUNT(SimData200!$C$9:$C$208)-1)+$N$374</f>
        <v>0.83417085427135906</v>
      </c>
    </row>
    <row r="376" spans="11:14">
      <c r="K376">
        <f>SMALL(SimData200!$B$9:$B$208,168)</f>
        <v>0.83805167944008763</v>
      </c>
      <c r="L376">
        <f>1/(COUNT(SimData200!$B$9:$B$208)-1)+$L$375</f>
        <v>0.83919597989949979</v>
      </c>
      <c r="M376">
        <f>SMALL(SimData200!$C$9:$C$208,168)</f>
        <v>0.838582277491696</v>
      </c>
      <c r="N376">
        <f>1/(COUNT(SimData200!$C$9:$C$208)-1)+$N$375</f>
        <v>0.83919597989949979</v>
      </c>
    </row>
    <row r="377" spans="11:14">
      <c r="K377">
        <f>SMALL(SimData200!$B$9:$B$208,169)</f>
        <v>0.84034499224050552</v>
      </c>
      <c r="L377">
        <f>1/(COUNT(SimData200!$B$9:$B$208)-1)+$L$376</f>
        <v>0.84422110552764051</v>
      </c>
      <c r="M377">
        <f>SMALL(SimData200!$C$9:$C$208,169)</f>
        <v>0.83970745681199332</v>
      </c>
      <c r="N377">
        <f>1/(COUNT(SimData200!$C$9:$C$208)-1)+$N$376</f>
        <v>0.84422110552764051</v>
      </c>
    </row>
    <row r="378" spans="11:14">
      <c r="K378">
        <f>SMALL(SimData200!$B$9:$B$208,170)</f>
        <v>0.84714822137312695</v>
      </c>
      <c r="L378">
        <f>1/(COUNT(SimData200!$B$9:$B$208)-1)+$L$377</f>
        <v>0.84924623115578124</v>
      </c>
      <c r="M378">
        <f>SMALL(SimData200!$C$9:$C$208,170)</f>
        <v>0.84126447874314181</v>
      </c>
      <c r="N378">
        <f>1/(COUNT(SimData200!$C$9:$C$208)-1)+$N$377</f>
        <v>0.84924623115578124</v>
      </c>
    </row>
    <row r="379" spans="11:14">
      <c r="K379">
        <f>SMALL(SimData200!$B$9:$B$208,171)</f>
        <v>0.8500680329045438</v>
      </c>
      <c r="L379">
        <f>1/(COUNT(SimData200!$B$9:$B$208)-1)+$L$378</f>
        <v>0.85427135678392196</v>
      </c>
      <c r="M379">
        <f>SMALL(SimData200!$C$9:$C$208,171)</f>
        <v>0.85169863889223052</v>
      </c>
      <c r="N379">
        <f>1/(COUNT(SimData200!$C$9:$C$208)-1)+$N$378</f>
        <v>0.85427135678392196</v>
      </c>
    </row>
    <row r="380" spans="11:14">
      <c r="K380">
        <f>SMALL(SimData200!$B$9:$B$208,172)</f>
        <v>0.85924341618298627</v>
      </c>
      <c r="L380">
        <f>1/(COUNT(SimData200!$B$9:$B$208)-1)+$L$379</f>
        <v>0.85929648241206269</v>
      </c>
      <c r="M380">
        <f>SMALL(SimData200!$C$9:$C$208,172)</f>
        <v>0.85223150646470458</v>
      </c>
      <c r="N380">
        <f>1/(COUNT(SimData200!$C$9:$C$208)-1)+$N$379</f>
        <v>0.85929648241206269</v>
      </c>
    </row>
    <row r="381" spans="11:14">
      <c r="K381">
        <f>SMALL(SimData200!$B$9:$B$208,173)</f>
        <v>0.86080582109880766</v>
      </c>
      <c r="L381">
        <f>1/(COUNT(SimData200!$B$9:$B$208)-1)+$L$380</f>
        <v>0.86432160804020342</v>
      </c>
      <c r="M381">
        <f>SMALL(SimData200!$C$9:$C$208,173)</f>
        <v>0.85235564858521684</v>
      </c>
      <c r="N381">
        <f>1/(COUNT(SimData200!$C$9:$C$208)-1)+$N$380</f>
        <v>0.86432160804020342</v>
      </c>
    </row>
    <row r="382" spans="11:14">
      <c r="K382">
        <f>SMALL(SimData200!$B$9:$B$208,174)</f>
        <v>0.86832023689833482</v>
      </c>
      <c r="L382">
        <f>1/(COUNT(SimData200!$B$9:$B$208)-1)+$L$381</f>
        <v>0.86934673366834414</v>
      </c>
      <c r="M382">
        <f>SMALL(SimData200!$C$9:$C$208,174)</f>
        <v>0.85413243392849836</v>
      </c>
      <c r="N382">
        <f>1/(COUNT(SimData200!$C$9:$C$208)-1)+$N$381</f>
        <v>0.86934673366834414</v>
      </c>
    </row>
    <row r="383" spans="11:14">
      <c r="K383">
        <f>SMALL(SimData200!$B$9:$B$208,175)</f>
        <v>0.87366611607225297</v>
      </c>
      <c r="L383">
        <f>1/(COUNT(SimData200!$B$9:$B$208)-1)+$L$382</f>
        <v>0.87437185929648487</v>
      </c>
      <c r="M383">
        <f>SMALL(SimData200!$C$9:$C$208,175)</f>
        <v>0.85427298966715171</v>
      </c>
      <c r="N383">
        <f>1/(COUNT(SimData200!$C$9:$C$208)-1)+$N$382</f>
        <v>0.87437185929648487</v>
      </c>
    </row>
    <row r="384" spans="11:14">
      <c r="K384">
        <f>SMALL(SimData200!$B$9:$B$208,176)</f>
        <v>0.87579313017562799</v>
      </c>
      <c r="L384">
        <f>1/(COUNT(SimData200!$B$9:$B$208)-1)+$L$383</f>
        <v>0.87939698492462559</v>
      </c>
      <c r="M384">
        <f>SMALL(SimData200!$C$9:$C$208,176)</f>
        <v>0.86630084857551992</v>
      </c>
      <c r="N384">
        <f>1/(COUNT(SimData200!$C$9:$C$208)-1)+$N$383</f>
        <v>0.87939698492462559</v>
      </c>
    </row>
    <row r="385" spans="11:14">
      <c r="K385">
        <f>SMALL(SimData200!$B$9:$B$208,177)</f>
        <v>0.88077994114504665</v>
      </c>
      <c r="L385">
        <f>1/(COUNT(SimData200!$B$9:$B$208)-1)+$L$384</f>
        <v>0.88442211055276632</v>
      </c>
      <c r="M385">
        <f>SMALL(SimData200!$C$9:$C$208,177)</f>
        <v>0.87655915611230739</v>
      </c>
      <c r="N385">
        <f>1/(COUNT(SimData200!$C$9:$C$208)-1)+$N$384</f>
        <v>0.88442211055276632</v>
      </c>
    </row>
    <row r="386" spans="11:14">
      <c r="K386">
        <f>SMALL(SimData200!$B$9:$B$208,178)</f>
        <v>0.88634671913724072</v>
      </c>
      <c r="L386">
        <f>1/(COUNT(SimData200!$B$9:$B$208)-1)+$L$385</f>
        <v>0.88944723618090704</v>
      </c>
      <c r="M386">
        <f>SMALL(SimData200!$C$9:$C$208,178)</f>
        <v>0.89751475780121837</v>
      </c>
      <c r="N386">
        <f>1/(COUNT(SimData200!$C$9:$C$208)-1)+$N$385</f>
        <v>0.88944723618090704</v>
      </c>
    </row>
    <row r="387" spans="11:14">
      <c r="K387">
        <f>SMALL(SimData200!$B$9:$B$208,179)</f>
        <v>0.8925100021978164</v>
      </c>
      <c r="L387">
        <f>1/(COUNT(SimData200!$B$9:$B$208)-1)+$L$386</f>
        <v>0.89447236180904777</v>
      </c>
      <c r="M387">
        <f>SMALL(SimData200!$C$9:$C$208,179)</f>
        <v>0.90807304619829665</v>
      </c>
      <c r="N387">
        <f>1/(COUNT(SimData200!$C$9:$C$208)-1)+$N$386</f>
        <v>0.89447236180904777</v>
      </c>
    </row>
    <row r="388" spans="11:14">
      <c r="K388">
        <f>SMALL(SimData200!$B$9:$B$208,180)</f>
        <v>0.89910969349651348</v>
      </c>
      <c r="L388">
        <f>1/(COUNT(SimData200!$B$9:$B$208)-1)+$L$387</f>
        <v>0.89949748743718849</v>
      </c>
      <c r="M388">
        <f>SMALL(SimData200!$C$9:$C$208,180)</f>
        <v>0.91820962438487186</v>
      </c>
      <c r="N388">
        <f>1/(COUNT(SimData200!$C$9:$C$208)-1)+$N$387</f>
        <v>0.89949748743718849</v>
      </c>
    </row>
    <row r="389" spans="11:14">
      <c r="K389">
        <f>SMALL(SimData200!$B$9:$B$208,181)</f>
        <v>0.9038023922647821</v>
      </c>
      <c r="L389">
        <f>1/(COUNT(SimData200!$B$9:$B$208)-1)+$L$388</f>
        <v>0.90452261306532922</v>
      </c>
      <c r="M389">
        <f>SMALL(SimData200!$C$9:$C$208,181)</f>
        <v>0.91873081180256122</v>
      </c>
      <c r="N389">
        <f>1/(COUNT(SimData200!$C$9:$C$208)-1)+$N$388</f>
        <v>0.90452261306532922</v>
      </c>
    </row>
    <row r="390" spans="11:14">
      <c r="K390">
        <f>SMALL(SimData200!$B$9:$B$208,182)</f>
        <v>0.90597507333987748</v>
      </c>
      <c r="L390">
        <f>1/(COUNT(SimData200!$B$9:$B$208)-1)+$L$389</f>
        <v>0.90954773869346994</v>
      </c>
      <c r="M390">
        <f>SMALL(SimData200!$C$9:$C$208,182)</f>
        <v>0.92337313225834805</v>
      </c>
      <c r="N390">
        <f>1/(COUNT(SimData200!$C$9:$C$208)-1)+$N$389</f>
        <v>0.90954773869346994</v>
      </c>
    </row>
    <row r="391" spans="11:14">
      <c r="K391">
        <f>SMALL(SimData200!$B$9:$B$208,183)</f>
        <v>0.91035731677556342</v>
      </c>
      <c r="L391">
        <f>1/(COUNT(SimData200!$B$9:$B$208)-1)+$L$390</f>
        <v>0.91457286432161067</v>
      </c>
      <c r="M391">
        <f>SMALL(SimData200!$C$9:$C$208,183)</f>
        <v>0.92522255254880292</v>
      </c>
      <c r="N391">
        <f>1/(COUNT(SimData200!$C$9:$C$208)-1)+$N$390</f>
        <v>0.91457286432161067</v>
      </c>
    </row>
    <row r="392" spans="11:14">
      <c r="K392">
        <f>SMALL(SimData200!$B$9:$B$208,184)</f>
        <v>0.915603177477746</v>
      </c>
      <c r="L392">
        <f>1/(COUNT(SimData200!$B$9:$B$208)-1)+$L$391</f>
        <v>0.91959798994975139</v>
      </c>
      <c r="M392">
        <f>SMALL(SimData200!$C$9:$C$208,184)</f>
        <v>0.92575042614680569</v>
      </c>
      <c r="N392">
        <f>1/(COUNT(SimData200!$C$9:$C$208)-1)+$N$391</f>
        <v>0.91959798994975139</v>
      </c>
    </row>
    <row r="393" spans="11:14">
      <c r="K393">
        <f>SMALL(SimData200!$B$9:$B$208,185)</f>
        <v>0.92059067170149433</v>
      </c>
      <c r="L393">
        <f>1/(COUNT(SimData200!$B$9:$B$208)-1)+$L$392</f>
        <v>0.92462311557789212</v>
      </c>
      <c r="M393">
        <f>SMALL(SimData200!$C$9:$C$208,185)</f>
        <v>0.92802128956282104</v>
      </c>
      <c r="N393">
        <f>1/(COUNT(SimData200!$C$9:$C$208)-1)+$N$392</f>
        <v>0.92462311557789212</v>
      </c>
    </row>
    <row r="394" spans="11:14">
      <c r="K394">
        <f>SMALL(SimData200!$B$9:$B$208,186)</f>
        <v>0.92989869932292468</v>
      </c>
      <c r="L394">
        <f>1/(COUNT(SimData200!$B$9:$B$208)-1)+$L$393</f>
        <v>0.92964824120603284</v>
      </c>
      <c r="M394">
        <f>SMALL(SimData200!$C$9:$C$208,186)</f>
        <v>0.92836384508703418</v>
      </c>
      <c r="N394">
        <f>1/(COUNT(SimData200!$C$9:$C$208)-1)+$N$393</f>
        <v>0.92964824120603284</v>
      </c>
    </row>
    <row r="395" spans="11:14">
      <c r="K395">
        <f>SMALL(SimData200!$B$9:$B$208,187)</f>
        <v>0.93237372216125336</v>
      </c>
      <c r="L395">
        <f>1/(COUNT(SimData200!$B$9:$B$208)-1)+$L$394</f>
        <v>0.93467336683417357</v>
      </c>
      <c r="M395">
        <f>SMALL(SimData200!$C$9:$C$208,187)</f>
        <v>0.9315932662684645</v>
      </c>
      <c r="N395">
        <f>1/(COUNT(SimData200!$C$9:$C$208)-1)+$N$394</f>
        <v>0.93467336683417357</v>
      </c>
    </row>
    <row r="396" spans="11:14">
      <c r="K396">
        <f>SMALL(SimData200!$B$9:$B$208,188)</f>
        <v>0.93514066600942525</v>
      </c>
      <c r="L396">
        <f>1/(COUNT(SimData200!$B$9:$B$208)-1)+$L$395</f>
        <v>0.93969849246231429</v>
      </c>
      <c r="M396">
        <f>SMALL(SimData200!$C$9:$C$208,188)</f>
        <v>0.93355664567297936</v>
      </c>
      <c r="N396">
        <f>1/(COUNT(SimData200!$C$9:$C$208)-1)+$N$395</f>
        <v>0.93969849246231429</v>
      </c>
    </row>
    <row r="397" spans="11:14">
      <c r="K397">
        <f>SMALL(SimData200!$B$9:$B$208,189)</f>
        <v>0.94159865360627848</v>
      </c>
      <c r="L397">
        <f>1/(COUNT(SimData200!$B$9:$B$208)-1)+$L$396</f>
        <v>0.94472361809045502</v>
      </c>
      <c r="M397">
        <f>SMALL(SimData200!$C$9:$C$208,189)</f>
        <v>0.9414110839852583</v>
      </c>
      <c r="N397">
        <f>1/(COUNT(SimData200!$C$9:$C$208)-1)+$N$396</f>
        <v>0.94472361809045502</v>
      </c>
    </row>
    <row r="398" spans="11:14">
      <c r="K398">
        <f>SMALL(SimData200!$B$9:$B$208,190)</f>
        <v>0.94823438536800309</v>
      </c>
      <c r="L398">
        <f>1/(COUNT(SimData200!$B$9:$B$208)-1)+$L$397</f>
        <v>0.94974874371859574</v>
      </c>
      <c r="M398">
        <f>SMALL(SimData200!$C$9:$C$208,190)</f>
        <v>0.94278713926087221</v>
      </c>
      <c r="N398">
        <f>1/(COUNT(SimData200!$C$9:$C$208)-1)+$N$397</f>
        <v>0.94974874371859574</v>
      </c>
    </row>
    <row r="399" spans="11:14">
      <c r="K399">
        <f>SMALL(SimData200!$B$9:$B$208,191)</f>
        <v>0.95081263335440591</v>
      </c>
      <c r="L399">
        <f>1/(COUNT(SimData200!$B$9:$B$208)-1)+$L$398</f>
        <v>0.95477386934673647</v>
      </c>
      <c r="M399">
        <f>SMALL(SimData200!$C$9:$C$208,191)</f>
        <v>0.94549757085133024</v>
      </c>
      <c r="N399">
        <f>1/(COUNT(SimData200!$C$9:$C$208)-1)+$N$398</f>
        <v>0.95477386934673647</v>
      </c>
    </row>
    <row r="400" spans="11:14">
      <c r="K400">
        <f>SMALL(SimData200!$B$9:$B$208,192)</f>
        <v>0.95738166709136718</v>
      </c>
      <c r="L400">
        <f>1/(COUNT(SimData200!$B$9:$B$208)-1)+$L$399</f>
        <v>0.9597989949748772</v>
      </c>
      <c r="M400">
        <f>SMALL(SimData200!$C$9:$C$208,192)</f>
        <v>0.94854275964371482</v>
      </c>
      <c r="N400">
        <f>1/(COUNT(SimData200!$C$9:$C$208)-1)+$N$399</f>
        <v>0.9597989949748772</v>
      </c>
    </row>
    <row r="401" spans="11:14">
      <c r="K401">
        <f>SMALL(SimData200!$B$9:$B$208,193)</f>
        <v>0.96443919559461977</v>
      </c>
      <c r="L401">
        <f>1/(COUNT(SimData200!$B$9:$B$208)-1)+$L$400</f>
        <v>0.96482412060301792</v>
      </c>
      <c r="M401">
        <f>SMALL(SimData200!$C$9:$C$208,193)</f>
        <v>0.95896475779591128</v>
      </c>
      <c r="N401">
        <f>1/(COUNT(SimData200!$C$9:$C$208)-1)+$N$400</f>
        <v>0.96482412060301792</v>
      </c>
    </row>
    <row r="402" spans="11:14">
      <c r="K402">
        <f>SMALL(SimData200!$B$9:$B$208,194)</f>
        <v>0.96538310783225656</v>
      </c>
      <c r="L402">
        <f>1/(COUNT(SimData200!$B$9:$B$208)-1)+$L$401</f>
        <v>0.96984924623115865</v>
      </c>
      <c r="M402">
        <f>SMALL(SimData200!$C$9:$C$208,194)</f>
        <v>0.95955686771003457</v>
      </c>
      <c r="N402">
        <f>1/(COUNT(SimData200!$C$9:$C$208)-1)+$N$401</f>
        <v>0.96984924623115865</v>
      </c>
    </row>
    <row r="403" spans="11:14">
      <c r="K403">
        <f>SMALL(SimData200!$B$9:$B$208,195)</f>
        <v>0.97355709208840435</v>
      </c>
      <c r="L403">
        <f>1/(COUNT(SimData200!$B$9:$B$208)-1)+$L$402</f>
        <v>0.97487437185929937</v>
      </c>
      <c r="M403">
        <f>SMALL(SimData200!$C$9:$C$208,195)</f>
        <v>0.96662283398291038</v>
      </c>
      <c r="N403">
        <f>1/(COUNT(SimData200!$C$9:$C$208)-1)+$N$402</f>
        <v>0.97487437185929937</v>
      </c>
    </row>
    <row r="404" spans="11:14">
      <c r="K404">
        <f>SMALL(SimData200!$B$9:$B$208,196)</f>
        <v>0.977479971906282</v>
      </c>
      <c r="L404">
        <f>1/(COUNT(SimData200!$B$9:$B$208)-1)+$L$403</f>
        <v>0.9798994974874401</v>
      </c>
      <c r="M404">
        <f>SMALL(SimData200!$C$9:$C$208,196)</f>
        <v>0.96688825335331785</v>
      </c>
      <c r="N404">
        <f>1/(COUNT(SimData200!$C$9:$C$208)-1)+$N$403</f>
        <v>0.9798994974874401</v>
      </c>
    </row>
    <row r="405" spans="11:14">
      <c r="K405">
        <f>SMALL(SimData200!$B$9:$B$208,197)</f>
        <v>0.98407179578418646</v>
      </c>
      <c r="L405">
        <f>1/(COUNT(SimData200!$B$9:$B$208)-1)+$L$404</f>
        <v>0.98492462311558082</v>
      </c>
      <c r="M405">
        <f>SMALL(SimData200!$C$9:$C$208,197)</f>
        <v>0.97570306240049831</v>
      </c>
      <c r="N405">
        <f>1/(COUNT(SimData200!$C$9:$C$208)-1)+$N$404</f>
        <v>0.98492462311558082</v>
      </c>
    </row>
    <row r="406" spans="11:14">
      <c r="K406">
        <f>SMALL(SimData200!$B$9:$B$208,198)</f>
        <v>0.9872460870752684</v>
      </c>
      <c r="L406">
        <f>1/(COUNT(SimData200!$B$9:$B$208)-1)+$L$405</f>
        <v>0.98994974874372155</v>
      </c>
      <c r="M406">
        <f>SMALL(SimData200!$C$9:$C$208,198)</f>
        <v>0.98167097004989046</v>
      </c>
      <c r="N406">
        <f>1/(COUNT(SimData200!$C$9:$C$208)-1)+$N$405</f>
        <v>0.98994974874372155</v>
      </c>
    </row>
    <row r="407" spans="11:14">
      <c r="K407">
        <f>SMALL(SimData200!$B$9:$B$208,199)</f>
        <v>0.9938271924466423</v>
      </c>
      <c r="L407">
        <f>1/(COUNT(SimData200!$B$9:$B$208)-1)+$L$406</f>
        <v>0.99497487437186227</v>
      </c>
      <c r="M407">
        <f>SMALL(SimData200!$C$9:$C$208,199)</f>
        <v>0.98695043608950073</v>
      </c>
      <c r="N407">
        <f>1/(COUNT(SimData200!$C$9:$C$208)-1)+$N$406</f>
        <v>0.99497487437186227</v>
      </c>
    </row>
    <row r="408" spans="11:14">
      <c r="K408">
        <f>SMALL(SimData200!$B$9:$B$208,200)</f>
        <v>0.99890018230860589</v>
      </c>
      <c r="L408">
        <f>1/(COUNT(SimData200!$B$9:$B$208)-1)+$L$407</f>
        <v>1.0000000000000029</v>
      </c>
      <c r="M408">
        <f>SMALL(SimData200!$C$9:$C$208,200)</f>
        <v>0.992992086018603</v>
      </c>
      <c r="N408">
        <f>1/(COUNT(SimData200!$C$9:$C$208)-1)+$N$407</f>
        <v>1.0000000000000029</v>
      </c>
    </row>
  </sheetData>
  <sheetCalcPr fullCalcOnLoad="1"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08"/>
  <sheetViews>
    <sheetView workbookViewId="0"/>
  </sheetViews>
  <sheetFormatPr defaultRowHeight="12.75"/>
  <sheetData>
    <row r="1" spans="1:3">
      <c r="A1" t="s">
        <v>29</v>
      </c>
    </row>
    <row r="2" spans="1:3">
      <c r="A2" t="s">
        <v>0</v>
      </c>
      <c r="B2" t="str">
        <f ca="1">ADDRESS(ROW(Sheet1!$D$10),COLUMN(Sheet1!$D$10),4,,_xll.WSNAME(Sheet1!$D$10))</f>
        <v>Sheet1!D10</v>
      </c>
      <c r="C2" t="str">
        <f ca="1">ADDRESS(ROW(Sheet1!$B$10),COLUMN(Sheet1!$B$10),4,,_xll.WSNAME(Sheet1!$B$10))</f>
        <v>Sheet1!B10</v>
      </c>
    </row>
    <row r="3" spans="1:3">
      <c r="A3" t="s">
        <v>1</v>
      </c>
      <c r="B3">
        <f>AVERAGE(B9:B508)</f>
        <v>0.49998482208143863</v>
      </c>
      <c r="C3">
        <f>AVERAGE(C9:C508)</f>
        <v>0.50039367343046393</v>
      </c>
    </row>
    <row r="4" spans="1:3">
      <c r="A4" t="s">
        <v>2</v>
      </c>
      <c r="B4">
        <f>STDEV(B9:B508)</f>
        <v>0.28898819182059249</v>
      </c>
      <c r="C4">
        <f>STDEV(C9:C508)</f>
        <v>0.29480464747108437</v>
      </c>
    </row>
    <row r="5" spans="1:3">
      <c r="A5" t="s">
        <v>3</v>
      </c>
      <c r="B5">
        <f>100*B4/B3</f>
        <v>57.799392913075557</v>
      </c>
      <c r="C5">
        <f>100*C4/C3</f>
        <v>58.91454331347601</v>
      </c>
    </row>
    <row r="6" spans="1:3">
      <c r="A6" t="s">
        <v>4</v>
      </c>
      <c r="B6">
        <f>MIN(B9:B508)</f>
        <v>8.9498454865417096E-4</v>
      </c>
      <c r="C6">
        <f>MIN(C9:C508)</f>
        <v>5.360703835322056E-5</v>
      </c>
    </row>
    <row r="7" spans="1:3">
      <c r="A7" t="s">
        <v>5</v>
      </c>
      <c r="B7">
        <f>MAX(B9:B508)</f>
        <v>0.99916531637058725</v>
      </c>
      <c r="C7">
        <f>MAX(C9:C508)</f>
        <v>0.99982033155993122</v>
      </c>
    </row>
    <row r="8" spans="1:3">
      <c r="A8" t="s">
        <v>6</v>
      </c>
      <c r="B8" t="str">
        <f>Sheet1!$C$10</f>
        <v>Latin</v>
      </c>
      <c r="C8" t="str">
        <f>Sheet1!$A$10</f>
        <v>Monte</v>
      </c>
    </row>
    <row r="9" spans="1:3">
      <c r="A9">
        <v>1</v>
      </c>
      <c r="B9">
        <v>0.51279258502432901</v>
      </c>
      <c r="C9">
        <v>0.35808986806296161</v>
      </c>
    </row>
    <row r="10" spans="1:3">
      <c r="A10">
        <v>2</v>
      </c>
      <c r="B10">
        <v>0.30731618374942715</v>
      </c>
      <c r="C10">
        <v>0.62598614841408562</v>
      </c>
    </row>
    <row r="11" spans="1:3">
      <c r="A11">
        <v>3</v>
      </c>
      <c r="B11">
        <v>0.58127656182117671</v>
      </c>
      <c r="C11">
        <v>0.13412511772457947</v>
      </c>
    </row>
    <row r="12" spans="1:3">
      <c r="A12">
        <v>4</v>
      </c>
      <c r="B12">
        <v>0.78749454220279458</v>
      </c>
      <c r="C12">
        <v>0.9703768736890197</v>
      </c>
    </row>
    <row r="13" spans="1:3">
      <c r="A13">
        <v>5</v>
      </c>
      <c r="B13">
        <v>0.94208974494600894</v>
      </c>
      <c r="C13">
        <v>0.59493203848705889</v>
      </c>
    </row>
    <row r="14" spans="1:3">
      <c r="A14">
        <v>6</v>
      </c>
      <c r="B14">
        <v>0.73597149695408803</v>
      </c>
      <c r="C14">
        <v>0.37902273323925328</v>
      </c>
    </row>
    <row r="15" spans="1:3">
      <c r="A15">
        <v>7</v>
      </c>
      <c r="B15">
        <v>4.8922840030147428E-2</v>
      </c>
      <c r="C15">
        <v>0.47292755780563311</v>
      </c>
    </row>
    <row r="16" spans="1:3">
      <c r="A16">
        <v>8</v>
      </c>
      <c r="B16">
        <v>0.23732975038218537</v>
      </c>
      <c r="C16">
        <v>0.96250913779476832</v>
      </c>
    </row>
    <row r="17" spans="1:3">
      <c r="A17">
        <v>9</v>
      </c>
      <c r="B17">
        <v>0.95556767467911541</v>
      </c>
      <c r="C17">
        <v>0.7480460040324175</v>
      </c>
    </row>
    <row r="18" spans="1:3">
      <c r="A18">
        <v>10</v>
      </c>
      <c r="B18">
        <v>0.63466196219033144</v>
      </c>
      <c r="C18">
        <v>0.71668191162598305</v>
      </c>
    </row>
    <row r="19" spans="1:3">
      <c r="A19">
        <v>11</v>
      </c>
      <c r="B19">
        <v>0.64042563921874984</v>
      </c>
      <c r="C19">
        <v>0.88042021661976833</v>
      </c>
    </row>
    <row r="20" spans="1:3">
      <c r="A20">
        <v>12</v>
      </c>
      <c r="B20">
        <v>0.1683734228439567</v>
      </c>
      <c r="C20">
        <v>4.1986628863924125E-2</v>
      </c>
    </row>
    <row r="21" spans="1:3">
      <c r="A21">
        <v>13</v>
      </c>
      <c r="B21">
        <v>0.9152837725121723</v>
      </c>
      <c r="C21">
        <v>8.4439316267889808E-2</v>
      </c>
    </row>
    <row r="22" spans="1:3">
      <c r="A22">
        <v>14</v>
      </c>
      <c r="B22">
        <v>4.2284383617407731E-2</v>
      </c>
      <c r="C22">
        <v>0.54561679074777203</v>
      </c>
    </row>
    <row r="23" spans="1:3">
      <c r="A23">
        <v>15</v>
      </c>
      <c r="B23">
        <v>0.20490836771459048</v>
      </c>
      <c r="C23">
        <v>0.81110348201036686</v>
      </c>
    </row>
    <row r="24" spans="1:3">
      <c r="A24">
        <v>16</v>
      </c>
      <c r="B24">
        <v>0.3995315924593088</v>
      </c>
      <c r="C24">
        <v>0.11050421326490323</v>
      </c>
    </row>
    <row r="25" spans="1:3">
      <c r="A25">
        <v>17</v>
      </c>
      <c r="B25">
        <v>7.6865085050665093E-3</v>
      </c>
      <c r="C25">
        <v>0.2537662363047275</v>
      </c>
    </row>
    <row r="26" spans="1:3">
      <c r="A26">
        <v>18</v>
      </c>
      <c r="B26">
        <v>0.47860872747576999</v>
      </c>
      <c r="C26">
        <v>0.5509707511491797</v>
      </c>
    </row>
    <row r="27" spans="1:3">
      <c r="A27">
        <v>19</v>
      </c>
      <c r="B27">
        <v>0.73042038163645673</v>
      </c>
      <c r="C27">
        <v>0.18061586258045281</v>
      </c>
    </row>
    <row r="28" spans="1:3">
      <c r="A28">
        <v>20</v>
      </c>
      <c r="B28">
        <v>0.55259476396781271</v>
      </c>
      <c r="C28">
        <v>0.2927213212233255</v>
      </c>
    </row>
    <row r="29" spans="1:3">
      <c r="A29">
        <v>21</v>
      </c>
      <c r="B29">
        <v>0.18035655745359988</v>
      </c>
      <c r="C29">
        <v>0.42993120171558985</v>
      </c>
    </row>
    <row r="30" spans="1:3">
      <c r="A30">
        <v>22</v>
      </c>
      <c r="B30">
        <v>0.72746232771488428</v>
      </c>
      <c r="C30">
        <v>0.38784155513167207</v>
      </c>
    </row>
    <row r="31" spans="1:3">
      <c r="A31">
        <v>23</v>
      </c>
      <c r="B31">
        <v>3.8899683778849357E-2</v>
      </c>
      <c r="C31">
        <v>0.69926077186937619</v>
      </c>
    </row>
    <row r="32" spans="1:3">
      <c r="A32">
        <v>24</v>
      </c>
      <c r="B32">
        <v>0.12731575134706585</v>
      </c>
      <c r="C32">
        <v>0.40154261778752698</v>
      </c>
    </row>
    <row r="33" spans="1:3">
      <c r="A33">
        <v>25</v>
      </c>
      <c r="B33">
        <v>0.84200028374744595</v>
      </c>
      <c r="C33">
        <v>0.63815498330950504</v>
      </c>
    </row>
    <row r="34" spans="1:3">
      <c r="A34">
        <v>26</v>
      </c>
      <c r="B34">
        <v>0.24252806116745995</v>
      </c>
      <c r="C34">
        <v>6.268837803054339E-2</v>
      </c>
    </row>
    <row r="35" spans="1:3">
      <c r="A35">
        <v>27</v>
      </c>
      <c r="B35">
        <v>0.36315993770052679</v>
      </c>
      <c r="C35">
        <v>0.43436671268318605</v>
      </c>
    </row>
    <row r="36" spans="1:3">
      <c r="A36">
        <v>28</v>
      </c>
      <c r="B36">
        <v>0.3559805648219726</v>
      </c>
      <c r="C36">
        <v>0.46872456096571113</v>
      </c>
    </row>
    <row r="37" spans="1:3">
      <c r="A37">
        <v>29</v>
      </c>
      <c r="B37">
        <v>0.78232963743766992</v>
      </c>
      <c r="C37">
        <v>0.77121281681502296</v>
      </c>
    </row>
    <row r="38" spans="1:3">
      <c r="A38">
        <v>30</v>
      </c>
      <c r="B38">
        <v>0.43397783237322646</v>
      </c>
      <c r="C38">
        <v>0.41044188944670168</v>
      </c>
    </row>
    <row r="39" spans="1:3">
      <c r="A39">
        <v>31</v>
      </c>
      <c r="B39">
        <v>0.31335272806355563</v>
      </c>
      <c r="C39">
        <v>0.9498829942640441</v>
      </c>
    </row>
    <row r="40" spans="1:3">
      <c r="A40">
        <v>32</v>
      </c>
      <c r="B40">
        <v>0.27156811295113714</v>
      </c>
      <c r="C40">
        <v>0.63417970135105861</v>
      </c>
    </row>
    <row r="41" spans="1:3">
      <c r="A41">
        <v>33</v>
      </c>
      <c r="B41">
        <v>0.24596268438872942</v>
      </c>
      <c r="C41">
        <v>0.67675203390535899</v>
      </c>
    </row>
    <row r="42" spans="1:3">
      <c r="A42">
        <v>34</v>
      </c>
      <c r="B42">
        <v>0.95650450170424406</v>
      </c>
      <c r="C42">
        <v>0.69437824152100802</v>
      </c>
    </row>
    <row r="43" spans="1:3">
      <c r="A43">
        <v>35</v>
      </c>
      <c r="B43">
        <v>3.6822843602584407E-2</v>
      </c>
      <c r="C43">
        <v>0.14834774046357779</v>
      </c>
    </row>
    <row r="44" spans="1:3">
      <c r="A44">
        <v>36</v>
      </c>
      <c r="B44">
        <v>5.2998589924303487E-2</v>
      </c>
      <c r="C44">
        <v>0.66606044288073463</v>
      </c>
    </row>
    <row r="45" spans="1:3">
      <c r="A45">
        <v>37</v>
      </c>
      <c r="B45">
        <v>0.8813984294625461</v>
      </c>
      <c r="C45">
        <v>0.49503002889468917</v>
      </c>
    </row>
    <row r="46" spans="1:3">
      <c r="A46">
        <v>38</v>
      </c>
      <c r="B46">
        <v>0.77442513285400938</v>
      </c>
      <c r="C46">
        <v>0.66567397987000732</v>
      </c>
    </row>
    <row r="47" spans="1:3">
      <c r="A47">
        <v>39</v>
      </c>
      <c r="B47">
        <v>0.35794434326932401</v>
      </c>
      <c r="C47">
        <v>0.1918528201913432</v>
      </c>
    </row>
    <row r="48" spans="1:3">
      <c r="A48">
        <v>40</v>
      </c>
      <c r="B48">
        <v>0.14092622078091985</v>
      </c>
      <c r="C48">
        <v>0.4393644751771717</v>
      </c>
    </row>
    <row r="49" spans="1:3">
      <c r="A49">
        <v>41</v>
      </c>
      <c r="B49">
        <v>0.99916531637058725</v>
      </c>
      <c r="C49">
        <v>0.18104539332125569</v>
      </c>
    </row>
    <row r="50" spans="1:3">
      <c r="A50">
        <v>42</v>
      </c>
      <c r="B50">
        <v>8.9498454865417096E-4</v>
      </c>
      <c r="C50">
        <v>0.42077186297228764</v>
      </c>
    </row>
    <row r="51" spans="1:3">
      <c r="A51">
        <v>43</v>
      </c>
      <c r="B51">
        <v>0.55575163267873029</v>
      </c>
      <c r="C51">
        <v>0.80815723637533665</v>
      </c>
    </row>
    <row r="52" spans="1:3">
      <c r="A52">
        <v>44</v>
      </c>
      <c r="B52">
        <v>7.9210480125437133E-2</v>
      </c>
      <c r="C52">
        <v>0.37565586383880145</v>
      </c>
    </row>
    <row r="53" spans="1:3">
      <c r="A53">
        <v>45</v>
      </c>
      <c r="B53">
        <v>0.38266635324355824</v>
      </c>
      <c r="C53">
        <v>0.23076909627343412</v>
      </c>
    </row>
    <row r="54" spans="1:3">
      <c r="A54">
        <v>46</v>
      </c>
      <c r="B54">
        <v>0.15113056015296156</v>
      </c>
      <c r="C54">
        <v>0.55235243542028911</v>
      </c>
    </row>
    <row r="55" spans="1:3">
      <c r="A55">
        <v>47</v>
      </c>
      <c r="B55">
        <v>0.84617593506541466</v>
      </c>
      <c r="C55">
        <v>0.64212360824421921</v>
      </c>
    </row>
    <row r="56" spans="1:3">
      <c r="A56">
        <v>48</v>
      </c>
      <c r="B56">
        <v>0.74629027466389586</v>
      </c>
      <c r="C56">
        <v>0.20749777365017508</v>
      </c>
    </row>
    <row r="57" spans="1:3">
      <c r="A57">
        <v>49</v>
      </c>
      <c r="B57">
        <v>0.42809902563041519</v>
      </c>
      <c r="C57">
        <v>0.78078299319622602</v>
      </c>
    </row>
    <row r="58" spans="1:3">
      <c r="A58">
        <v>50</v>
      </c>
      <c r="B58">
        <v>5.4365112603727055E-2</v>
      </c>
      <c r="C58">
        <v>2.7802811349829426E-2</v>
      </c>
    </row>
    <row r="59" spans="1:3">
      <c r="A59">
        <v>51</v>
      </c>
      <c r="B59">
        <v>0.78403480397119063</v>
      </c>
      <c r="C59">
        <v>0.99538104976727482</v>
      </c>
    </row>
    <row r="60" spans="1:3">
      <c r="A60">
        <v>52</v>
      </c>
      <c r="B60">
        <v>0.44500465964456198</v>
      </c>
      <c r="C60">
        <v>0.68439494119047595</v>
      </c>
    </row>
    <row r="61" spans="1:3">
      <c r="A61">
        <v>53</v>
      </c>
      <c r="B61">
        <v>0.44052813111397626</v>
      </c>
      <c r="C61">
        <v>0.63601432464292884</v>
      </c>
    </row>
    <row r="62" spans="1:3">
      <c r="A62">
        <v>54</v>
      </c>
      <c r="B62">
        <v>0.24181316770096614</v>
      </c>
      <c r="C62">
        <v>0.28859013685723767</v>
      </c>
    </row>
    <row r="63" spans="1:3">
      <c r="A63">
        <v>55</v>
      </c>
      <c r="B63">
        <v>6.5950196295499378E-2</v>
      </c>
      <c r="C63">
        <v>0.38578194065757998</v>
      </c>
    </row>
    <row r="64" spans="1:3">
      <c r="A64">
        <v>56</v>
      </c>
      <c r="B64">
        <v>0.84573491602151996</v>
      </c>
      <c r="C64">
        <v>0.96147437518266088</v>
      </c>
    </row>
    <row r="65" spans="1:3">
      <c r="A65">
        <v>57</v>
      </c>
      <c r="B65">
        <v>0.86399466866720342</v>
      </c>
      <c r="C65">
        <v>0.7870398330169337</v>
      </c>
    </row>
    <row r="66" spans="1:3">
      <c r="A66">
        <v>58</v>
      </c>
      <c r="B66">
        <v>0.69680977580528924</v>
      </c>
      <c r="C66">
        <v>0.83634752367288456</v>
      </c>
    </row>
    <row r="67" spans="1:3">
      <c r="A67">
        <v>59</v>
      </c>
      <c r="B67">
        <v>0.82499592280504208</v>
      </c>
      <c r="C67">
        <v>0.72279816015270626</v>
      </c>
    </row>
    <row r="68" spans="1:3">
      <c r="A68">
        <v>60</v>
      </c>
      <c r="B68">
        <v>0.41647979659272349</v>
      </c>
      <c r="C68">
        <v>0.17963566584330692</v>
      </c>
    </row>
    <row r="69" spans="1:3">
      <c r="A69">
        <v>61</v>
      </c>
      <c r="B69">
        <v>0.61554585562496122</v>
      </c>
      <c r="C69">
        <v>0.93043230940475041</v>
      </c>
    </row>
    <row r="70" spans="1:3">
      <c r="A70">
        <v>62</v>
      </c>
      <c r="B70">
        <v>0.49243533895500824</v>
      </c>
      <c r="C70">
        <v>0.93763316749391379</v>
      </c>
    </row>
    <row r="71" spans="1:3">
      <c r="A71">
        <v>63</v>
      </c>
      <c r="B71">
        <v>0.37848962625406907</v>
      </c>
      <c r="C71">
        <v>0.54658888342510181</v>
      </c>
    </row>
    <row r="72" spans="1:3">
      <c r="A72">
        <v>64</v>
      </c>
      <c r="B72">
        <v>0.90873851069871758</v>
      </c>
      <c r="C72">
        <v>0.77755126168085553</v>
      </c>
    </row>
    <row r="73" spans="1:3">
      <c r="A73">
        <v>65</v>
      </c>
      <c r="B73">
        <v>0.97917544802072809</v>
      </c>
      <c r="C73">
        <v>0.98850967429189041</v>
      </c>
    </row>
    <row r="74" spans="1:3">
      <c r="A74">
        <v>66</v>
      </c>
      <c r="B74">
        <v>0.8263200552087091</v>
      </c>
      <c r="C74">
        <v>0.93085653382513556</v>
      </c>
    </row>
    <row r="75" spans="1:3">
      <c r="A75">
        <v>67</v>
      </c>
      <c r="B75">
        <v>0.78916627540839057</v>
      </c>
      <c r="C75">
        <v>0.43846531960298307</v>
      </c>
    </row>
    <row r="76" spans="1:3">
      <c r="A76">
        <v>68</v>
      </c>
      <c r="B76">
        <v>0.67732398542420102</v>
      </c>
      <c r="C76">
        <v>0.43635737276417785</v>
      </c>
    </row>
    <row r="77" spans="1:3">
      <c r="A77">
        <v>69</v>
      </c>
      <c r="B77">
        <v>0.8773930580102357</v>
      </c>
      <c r="C77">
        <v>8.6665058296603092E-2</v>
      </c>
    </row>
    <row r="78" spans="1:3">
      <c r="A78">
        <v>70</v>
      </c>
      <c r="B78">
        <v>0.66255058607611594</v>
      </c>
      <c r="C78">
        <v>6.8329399247886613E-2</v>
      </c>
    </row>
    <row r="79" spans="1:3">
      <c r="A79">
        <v>71</v>
      </c>
      <c r="B79">
        <v>0.32066733398304026</v>
      </c>
      <c r="C79">
        <v>0.85361703494254471</v>
      </c>
    </row>
    <row r="80" spans="1:3">
      <c r="A80">
        <v>72</v>
      </c>
      <c r="B80">
        <v>0.46147488153993033</v>
      </c>
      <c r="C80">
        <v>0.13746213534068374</v>
      </c>
    </row>
    <row r="81" spans="1:3">
      <c r="A81">
        <v>73</v>
      </c>
      <c r="B81">
        <v>0.39332594676626054</v>
      </c>
      <c r="C81">
        <v>0.75344681281876547</v>
      </c>
    </row>
    <row r="82" spans="1:3">
      <c r="A82">
        <v>74</v>
      </c>
      <c r="B82">
        <v>0.6138340931646139</v>
      </c>
      <c r="C82">
        <v>0.207264644010138</v>
      </c>
    </row>
    <row r="83" spans="1:3">
      <c r="A83">
        <v>75</v>
      </c>
      <c r="B83">
        <v>0.69189782630277286</v>
      </c>
      <c r="C83">
        <v>0.96824661999471573</v>
      </c>
    </row>
    <row r="84" spans="1:3">
      <c r="A84">
        <v>76</v>
      </c>
      <c r="B84">
        <v>0.11626932891045449</v>
      </c>
      <c r="C84">
        <v>0.38268614359367348</v>
      </c>
    </row>
    <row r="85" spans="1:3">
      <c r="A85">
        <v>77</v>
      </c>
      <c r="B85">
        <v>0.23591052455080452</v>
      </c>
      <c r="C85">
        <v>0.92444460185015487</v>
      </c>
    </row>
    <row r="86" spans="1:3">
      <c r="A86">
        <v>78</v>
      </c>
      <c r="B86">
        <v>3.114689816607789E-2</v>
      </c>
      <c r="C86">
        <v>7.0606277651677374E-2</v>
      </c>
    </row>
    <row r="87" spans="1:3">
      <c r="A87">
        <v>79</v>
      </c>
      <c r="B87">
        <v>0.15748964865493811</v>
      </c>
      <c r="C87">
        <v>0.18802639109620145</v>
      </c>
    </row>
    <row r="88" spans="1:3">
      <c r="A88">
        <v>80</v>
      </c>
      <c r="B88">
        <v>9.7693161822318367E-2</v>
      </c>
      <c r="C88">
        <v>0.91281503053778579</v>
      </c>
    </row>
    <row r="89" spans="1:3">
      <c r="A89">
        <v>81</v>
      </c>
      <c r="B89">
        <v>0.47627452400007153</v>
      </c>
      <c r="C89">
        <v>0.14616993564777658</v>
      </c>
    </row>
    <row r="90" spans="1:3">
      <c r="A90">
        <v>82</v>
      </c>
      <c r="B90">
        <v>0.85881328032836635</v>
      </c>
      <c r="C90">
        <v>0.51900659768489277</v>
      </c>
    </row>
    <row r="91" spans="1:3">
      <c r="A91">
        <v>83</v>
      </c>
      <c r="B91">
        <v>0.24810576325750577</v>
      </c>
      <c r="C91">
        <v>0.16300461022183299</v>
      </c>
    </row>
    <row r="92" spans="1:3">
      <c r="A92">
        <v>84</v>
      </c>
      <c r="B92">
        <v>0.41255608204765154</v>
      </c>
      <c r="C92">
        <v>5.3987730238986842E-2</v>
      </c>
    </row>
    <row r="93" spans="1:3">
      <c r="A93">
        <v>85</v>
      </c>
      <c r="B93">
        <v>0.83908787199973311</v>
      </c>
      <c r="C93">
        <v>0.37370095532423875</v>
      </c>
    </row>
    <row r="94" spans="1:3">
      <c r="A94">
        <v>86</v>
      </c>
      <c r="B94">
        <v>0.61858095000977187</v>
      </c>
      <c r="C94">
        <v>6.2022045186495234E-2</v>
      </c>
    </row>
    <row r="95" spans="1:3">
      <c r="A95">
        <v>87</v>
      </c>
      <c r="B95">
        <v>0.33522836828865771</v>
      </c>
      <c r="C95">
        <v>0.56025827292251051</v>
      </c>
    </row>
    <row r="96" spans="1:3">
      <c r="A96">
        <v>88</v>
      </c>
      <c r="B96">
        <v>0.27539369570542915</v>
      </c>
      <c r="C96">
        <v>0.14580619095795555</v>
      </c>
    </row>
    <row r="97" spans="1:3">
      <c r="A97">
        <v>89</v>
      </c>
      <c r="B97">
        <v>0.22496278361765731</v>
      </c>
      <c r="C97">
        <v>7.8716404877013701E-2</v>
      </c>
    </row>
    <row r="98" spans="1:3">
      <c r="A98">
        <v>90</v>
      </c>
      <c r="B98">
        <v>0.97319938044464194</v>
      </c>
      <c r="C98">
        <v>0.46023399105069984</v>
      </c>
    </row>
    <row r="99" spans="1:3">
      <c r="A99">
        <v>91</v>
      </c>
      <c r="B99">
        <v>0.85358859623307093</v>
      </c>
      <c r="C99">
        <v>7.3249053513791296E-2</v>
      </c>
    </row>
    <row r="100" spans="1:3">
      <c r="A100">
        <v>92</v>
      </c>
      <c r="B100">
        <v>0.21896170639269094</v>
      </c>
      <c r="C100">
        <v>5.0284835998354538E-2</v>
      </c>
    </row>
    <row r="101" spans="1:3">
      <c r="A101">
        <v>93</v>
      </c>
      <c r="B101">
        <v>0.63237348653431369</v>
      </c>
      <c r="C101">
        <v>0.30355146034708014</v>
      </c>
    </row>
    <row r="102" spans="1:3">
      <c r="A102">
        <v>94</v>
      </c>
      <c r="B102">
        <v>0.85425413554866192</v>
      </c>
      <c r="C102">
        <v>0.24360377207176498</v>
      </c>
    </row>
    <row r="103" spans="1:3">
      <c r="A103">
        <v>95</v>
      </c>
      <c r="B103">
        <v>0.69420888678780968</v>
      </c>
      <c r="C103">
        <v>0.62029358819017943</v>
      </c>
    </row>
    <row r="104" spans="1:3">
      <c r="A104">
        <v>96</v>
      </c>
      <c r="B104">
        <v>0.33652340381697832</v>
      </c>
      <c r="C104">
        <v>0.7548519556703468</v>
      </c>
    </row>
    <row r="105" spans="1:3">
      <c r="A105">
        <v>97</v>
      </c>
      <c r="B105">
        <v>0.83507832861623688</v>
      </c>
      <c r="C105">
        <v>0.61683220133636496</v>
      </c>
    </row>
    <row r="106" spans="1:3">
      <c r="A106">
        <v>98</v>
      </c>
      <c r="B106">
        <v>0.40319816624447663</v>
      </c>
      <c r="C106">
        <v>8.1076568151729589E-2</v>
      </c>
    </row>
    <row r="107" spans="1:3">
      <c r="A107">
        <v>99</v>
      </c>
      <c r="B107">
        <v>0.47368177018214064</v>
      </c>
      <c r="C107">
        <v>0.54377568777093188</v>
      </c>
    </row>
    <row r="108" spans="1:3">
      <c r="A108">
        <v>100</v>
      </c>
      <c r="B108">
        <v>0.29978569719562903</v>
      </c>
      <c r="C108">
        <v>0.3249777995988552</v>
      </c>
    </row>
    <row r="109" spans="1:3">
      <c r="A109">
        <v>101</v>
      </c>
      <c r="B109">
        <v>0.87951319335529421</v>
      </c>
      <c r="C109">
        <v>0.65291373004492925</v>
      </c>
    </row>
    <row r="110" spans="1:3">
      <c r="A110">
        <v>102</v>
      </c>
      <c r="B110">
        <v>0.68828357636003845</v>
      </c>
      <c r="C110">
        <v>0.20238918658105831</v>
      </c>
    </row>
    <row r="111" spans="1:3">
      <c r="A111">
        <v>103</v>
      </c>
      <c r="B111">
        <v>0.64763890303569815</v>
      </c>
      <c r="C111">
        <v>0.92087160300525284</v>
      </c>
    </row>
    <row r="112" spans="1:3">
      <c r="A112">
        <v>104</v>
      </c>
      <c r="B112">
        <v>0.2511828156386462</v>
      </c>
      <c r="C112">
        <v>0.27198072266037343</v>
      </c>
    </row>
    <row r="113" spans="1:3">
      <c r="A113">
        <v>105</v>
      </c>
      <c r="B113">
        <v>0.6501680946685765</v>
      </c>
      <c r="C113">
        <v>0.24336099085758178</v>
      </c>
    </row>
    <row r="114" spans="1:3">
      <c r="A114">
        <v>106</v>
      </c>
      <c r="B114">
        <v>0.40708994983441427</v>
      </c>
      <c r="C114">
        <v>0.92695994077257637</v>
      </c>
    </row>
    <row r="115" spans="1:3">
      <c r="A115">
        <v>107</v>
      </c>
      <c r="B115">
        <v>0.92128212929407183</v>
      </c>
      <c r="C115">
        <v>0.53170238843904372</v>
      </c>
    </row>
    <row r="116" spans="1:3">
      <c r="A116">
        <v>108</v>
      </c>
      <c r="B116">
        <v>8.5938923311871224E-2</v>
      </c>
      <c r="C116">
        <v>0.43630020506316214</v>
      </c>
    </row>
    <row r="117" spans="1:3">
      <c r="A117">
        <v>109</v>
      </c>
      <c r="B117">
        <v>0.3447168635136254</v>
      </c>
      <c r="C117">
        <v>0.96845017567011382</v>
      </c>
    </row>
    <row r="118" spans="1:3">
      <c r="A118">
        <v>110</v>
      </c>
      <c r="B118">
        <v>0.20017155042806908</v>
      </c>
      <c r="C118">
        <v>0.11115129116478784</v>
      </c>
    </row>
    <row r="119" spans="1:3">
      <c r="A119">
        <v>111</v>
      </c>
      <c r="B119">
        <v>0.56682567509981474</v>
      </c>
      <c r="C119">
        <v>0.76529787495474011</v>
      </c>
    </row>
    <row r="120" spans="1:3">
      <c r="A120">
        <v>112</v>
      </c>
      <c r="B120">
        <v>9.0724696621001855E-2</v>
      </c>
      <c r="C120">
        <v>0.19504604354733601</v>
      </c>
    </row>
    <row r="121" spans="1:3">
      <c r="A121">
        <v>113</v>
      </c>
      <c r="B121">
        <v>0.55756664885384177</v>
      </c>
      <c r="C121">
        <v>6.6950813637049578E-2</v>
      </c>
    </row>
    <row r="122" spans="1:3">
      <c r="A122">
        <v>114</v>
      </c>
      <c r="B122">
        <v>0.93791487942913432</v>
      </c>
      <c r="C122">
        <v>0.10983249634773529</v>
      </c>
    </row>
    <row r="123" spans="1:3">
      <c r="A123">
        <v>115</v>
      </c>
      <c r="B123">
        <v>0.54076397631521433</v>
      </c>
      <c r="C123">
        <v>0.1413443079118224</v>
      </c>
    </row>
    <row r="124" spans="1:3">
      <c r="A124">
        <v>116</v>
      </c>
      <c r="B124">
        <v>0.89465580928946276</v>
      </c>
      <c r="C124">
        <v>0.49178794765975908</v>
      </c>
    </row>
    <row r="125" spans="1:3">
      <c r="A125">
        <v>117</v>
      </c>
      <c r="B125">
        <v>0.77370691508280742</v>
      </c>
      <c r="C125">
        <v>0.97670548315272754</v>
      </c>
    </row>
    <row r="126" spans="1:3">
      <c r="A126">
        <v>118</v>
      </c>
      <c r="B126">
        <v>0.7120017165280883</v>
      </c>
      <c r="C126">
        <v>0.56517686240658804</v>
      </c>
    </row>
    <row r="127" spans="1:3">
      <c r="A127">
        <v>119</v>
      </c>
      <c r="B127">
        <v>0.12471743138011485</v>
      </c>
      <c r="C127">
        <v>0.57465745311674254</v>
      </c>
    </row>
    <row r="128" spans="1:3">
      <c r="A128">
        <v>120</v>
      </c>
      <c r="B128">
        <v>0.31726228662516509</v>
      </c>
      <c r="C128">
        <v>0.96695115484635608</v>
      </c>
    </row>
    <row r="129" spans="1:3">
      <c r="A129">
        <v>121</v>
      </c>
      <c r="B129">
        <v>0.3221968356324818</v>
      </c>
      <c r="C129">
        <v>8.3227851650008233E-2</v>
      </c>
    </row>
    <row r="130" spans="1:3">
      <c r="A130">
        <v>122</v>
      </c>
      <c r="B130">
        <v>0.80764983022204828</v>
      </c>
      <c r="C130">
        <v>0.95385306291338168</v>
      </c>
    </row>
    <row r="131" spans="1:3">
      <c r="A131">
        <v>123</v>
      </c>
      <c r="B131">
        <v>0.51880851232651826</v>
      </c>
      <c r="C131">
        <v>0.19002853701340428</v>
      </c>
    </row>
    <row r="132" spans="1:3">
      <c r="A132">
        <v>124</v>
      </c>
      <c r="B132">
        <v>0.19487925558883679</v>
      </c>
      <c r="C132">
        <v>0.21135877520691793</v>
      </c>
    </row>
    <row r="133" spans="1:3">
      <c r="A133">
        <v>125</v>
      </c>
      <c r="B133">
        <v>0.90271421821478626</v>
      </c>
      <c r="C133">
        <v>0.36195148824208445</v>
      </c>
    </row>
    <row r="134" spans="1:3">
      <c r="A134">
        <v>126</v>
      </c>
      <c r="B134">
        <v>0.13693198440711293</v>
      </c>
      <c r="C134">
        <v>0.6686673724143759</v>
      </c>
    </row>
    <row r="135" spans="1:3">
      <c r="A135">
        <v>127</v>
      </c>
      <c r="B135">
        <v>0.67822774257097107</v>
      </c>
      <c r="C135">
        <v>0.86134160174879071</v>
      </c>
    </row>
    <row r="136" spans="1:3">
      <c r="A136">
        <v>128</v>
      </c>
      <c r="B136">
        <v>0.87106666486455753</v>
      </c>
      <c r="C136">
        <v>0.99982033155993122</v>
      </c>
    </row>
    <row r="137" spans="1:3">
      <c r="A137">
        <v>129</v>
      </c>
      <c r="B137">
        <v>0.17031572109980408</v>
      </c>
      <c r="C137">
        <v>0.80650893665369949</v>
      </c>
    </row>
    <row r="138" spans="1:3">
      <c r="A138">
        <v>130</v>
      </c>
      <c r="B138">
        <v>0.43604758805736143</v>
      </c>
      <c r="C138">
        <v>6.8294557669105416E-2</v>
      </c>
    </row>
    <row r="139" spans="1:3">
      <c r="A139">
        <v>131</v>
      </c>
      <c r="B139">
        <v>1.8160271186418896E-2</v>
      </c>
      <c r="C139">
        <v>0.90754529515652393</v>
      </c>
    </row>
    <row r="140" spans="1:3">
      <c r="A140">
        <v>132</v>
      </c>
      <c r="B140">
        <v>0.46425499926932501</v>
      </c>
      <c r="C140">
        <v>0.82762015028947644</v>
      </c>
    </row>
    <row r="141" spans="1:3">
      <c r="A141">
        <v>133</v>
      </c>
      <c r="B141">
        <v>0.56037584680094754</v>
      </c>
      <c r="C141">
        <v>0.96668633332592435</v>
      </c>
    </row>
    <row r="142" spans="1:3">
      <c r="A142">
        <v>134</v>
      </c>
      <c r="B142">
        <v>0.64841472619455642</v>
      </c>
      <c r="C142">
        <v>0.4846475954136622</v>
      </c>
    </row>
    <row r="143" spans="1:3">
      <c r="A143">
        <v>135</v>
      </c>
      <c r="B143">
        <v>1.2150179470924236E-2</v>
      </c>
      <c r="C143">
        <v>0.86625712451677828</v>
      </c>
    </row>
    <row r="144" spans="1:3">
      <c r="A144">
        <v>136</v>
      </c>
      <c r="B144">
        <v>0.45859956067022856</v>
      </c>
      <c r="C144">
        <v>0.4724274911759494</v>
      </c>
    </row>
    <row r="145" spans="1:3">
      <c r="A145">
        <v>137</v>
      </c>
      <c r="B145">
        <v>0.52789833025492228</v>
      </c>
      <c r="C145">
        <v>0.13382627224564203</v>
      </c>
    </row>
    <row r="146" spans="1:3">
      <c r="A146">
        <v>138</v>
      </c>
      <c r="B146">
        <v>0.5020640156772137</v>
      </c>
      <c r="C146">
        <v>0.17368857454039244</v>
      </c>
    </row>
    <row r="147" spans="1:3">
      <c r="A147">
        <v>139</v>
      </c>
      <c r="B147">
        <v>0.19660001256377435</v>
      </c>
      <c r="C147">
        <v>0.64598808865230239</v>
      </c>
    </row>
    <row r="148" spans="1:3">
      <c r="A148">
        <v>140</v>
      </c>
      <c r="B148">
        <v>0.16353874481877748</v>
      </c>
      <c r="C148">
        <v>0.32702639557192015</v>
      </c>
    </row>
    <row r="149" spans="1:3">
      <c r="A149">
        <v>141</v>
      </c>
      <c r="B149">
        <v>8.2625588322669641E-2</v>
      </c>
      <c r="C149">
        <v>0.67800853247899795</v>
      </c>
    </row>
    <row r="150" spans="1:3">
      <c r="A150">
        <v>142</v>
      </c>
      <c r="B150">
        <v>0.93472805340605047</v>
      </c>
      <c r="C150">
        <v>0.32837563113844226</v>
      </c>
    </row>
    <row r="151" spans="1:3">
      <c r="A151">
        <v>143</v>
      </c>
      <c r="B151">
        <v>0.31175698884896869</v>
      </c>
      <c r="C151">
        <v>0.19196029805243597</v>
      </c>
    </row>
    <row r="152" spans="1:3">
      <c r="A152">
        <v>144</v>
      </c>
      <c r="B152">
        <v>7.46411420872065E-2</v>
      </c>
      <c r="C152">
        <v>0.67981436952595686</v>
      </c>
    </row>
    <row r="153" spans="1:3">
      <c r="A153">
        <v>145</v>
      </c>
      <c r="B153">
        <v>6.7927512472478552E-2</v>
      </c>
      <c r="C153">
        <v>0.60749223897983029</v>
      </c>
    </row>
    <row r="154" spans="1:3">
      <c r="A154">
        <v>146</v>
      </c>
      <c r="B154">
        <v>0.79952953147225303</v>
      </c>
      <c r="C154">
        <v>0.75581359980606067</v>
      </c>
    </row>
    <row r="155" spans="1:3">
      <c r="A155">
        <v>147</v>
      </c>
      <c r="B155">
        <v>0.62403020221181915</v>
      </c>
      <c r="C155">
        <v>0.65526746990963147</v>
      </c>
    </row>
    <row r="156" spans="1:3">
      <c r="A156">
        <v>148</v>
      </c>
      <c r="B156">
        <v>0.36910983594486252</v>
      </c>
      <c r="C156">
        <v>0.42852321021564421</v>
      </c>
    </row>
    <row r="157" spans="1:3">
      <c r="A157">
        <v>149</v>
      </c>
      <c r="B157">
        <v>0.562596480067027</v>
      </c>
      <c r="C157">
        <v>0.92359510737060191</v>
      </c>
    </row>
    <row r="158" spans="1:3">
      <c r="A158">
        <v>150</v>
      </c>
      <c r="B158">
        <v>0.52051933691755858</v>
      </c>
      <c r="C158">
        <v>0.83198654737316247</v>
      </c>
    </row>
    <row r="159" spans="1:3">
      <c r="A159">
        <v>151</v>
      </c>
      <c r="B159">
        <v>0.74889778106633986</v>
      </c>
      <c r="C159">
        <v>3.7385695607554226E-2</v>
      </c>
    </row>
    <row r="160" spans="1:3">
      <c r="A160">
        <v>152</v>
      </c>
      <c r="B160">
        <v>0.6705461886270313</v>
      </c>
      <c r="C160">
        <v>0.14931717543367995</v>
      </c>
    </row>
    <row r="161" spans="1:3">
      <c r="A161">
        <v>153</v>
      </c>
      <c r="B161">
        <v>0.6820023969113832</v>
      </c>
      <c r="C161">
        <v>0.51055425291542633</v>
      </c>
    </row>
    <row r="162" spans="1:3">
      <c r="A162">
        <v>154</v>
      </c>
      <c r="B162">
        <v>0.21378960223630758</v>
      </c>
      <c r="C162">
        <v>0.27014851304011245</v>
      </c>
    </row>
    <row r="163" spans="1:3">
      <c r="A163">
        <v>155</v>
      </c>
      <c r="B163">
        <v>0.15821058163424268</v>
      </c>
      <c r="C163">
        <v>0.64641685779224645</v>
      </c>
    </row>
    <row r="164" spans="1:3">
      <c r="A164">
        <v>156</v>
      </c>
      <c r="B164">
        <v>0.96267495671954817</v>
      </c>
      <c r="C164">
        <v>0.46965005440506502</v>
      </c>
    </row>
    <row r="165" spans="1:3">
      <c r="A165">
        <v>157</v>
      </c>
      <c r="B165">
        <v>7.6397199106029517E-2</v>
      </c>
      <c r="C165">
        <v>5.6660458343685605E-2</v>
      </c>
    </row>
    <row r="166" spans="1:3">
      <c r="A166">
        <v>158</v>
      </c>
      <c r="B166">
        <v>0.80870773745717195</v>
      </c>
      <c r="C166">
        <v>0.53666580865956348</v>
      </c>
    </row>
    <row r="167" spans="1:3">
      <c r="A167">
        <v>159</v>
      </c>
      <c r="B167">
        <v>0.26299237218661992</v>
      </c>
      <c r="C167">
        <v>0.96666496239231492</v>
      </c>
    </row>
    <row r="168" spans="1:3">
      <c r="A168">
        <v>160</v>
      </c>
      <c r="B168">
        <v>0.75179503516242718</v>
      </c>
      <c r="C168">
        <v>0.61977976339949237</v>
      </c>
    </row>
    <row r="169" spans="1:3">
      <c r="A169">
        <v>161</v>
      </c>
      <c r="B169">
        <v>0.44947791691624511</v>
      </c>
      <c r="C169">
        <v>0.97481762907500524</v>
      </c>
    </row>
    <row r="170" spans="1:3">
      <c r="A170">
        <v>162</v>
      </c>
      <c r="B170">
        <v>0.92975297630386267</v>
      </c>
      <c r="C170">
        <v>0.40436735116236378</v>
      </c>
    </row>
    <row r="171" spans="1:3">
      <c r="A171">
        <v>163</v>
      </c>
      <c r="B171">
        <v>0.19286439740631367</v>
      </c>
      <c r="C171">
        <v>0.20650128864781436</v>
      </c>
    </row>
    <row r="172" spans="1:3">
      <c r="A172">
        <v>164</v>
      </c>
      <c r="B172">
        <v>0.41973720601800302</v>
      </c>
      <c r="C172">
        <v>0.31830304090726713</v>
      </c>
    </row>
    <row r="173" spans="1:3">
      <c r="A173">
        <v>165</v>
      </c>
      <c r="B173">
        <v>0.34308036139632581</v>
      </c>
      <c r="C173">
        <v>0.64793854597247957</v>
      </c>
    </row>
    <row r="174" spans="1:3">
      <c r="A174">
        <v>166</v>
      </c>
      <c r="B174">
        <v>0.81285425129040478</v>
      </c>
      <c r="C174">
        <v>0.87459957225382823</v>
      </c>
    </row>
    <row r="175" spans="1:3">
      <c r="A175">
        <v>167</v>
      </c>
      <c r="B175">
        <v>0.68119011714430289</v>
      </c>
      <c r="C175">
        <v>0.42970338856321177</v>
      </c>
    </row>
    <row r="176" spans="1:3">
      <c r="A176">
        <v>168</v>
      </c>
      <c r="B176">
        <v>0.30006659547241094</v>
      </c>
      <c r="C176">
        <v>0.42609611192801822</v>
      </c>
    </row>
    <row r="177" spans="1:3">
      <c r="A177">
        <v>169</v>
      </c>
      <c r="B177">
        <v>0.25523805917362635</v>
      </c>
      <c r="C177">
        <v>0.36184026681257819</v>
      </c>
    </row>
    <row r="178" spans="1:3">
      <c r="A178">
        <v>170</v>
      </c>
      <c r="B178">
        <v>0.37212458360011796</v>
      </c>
      <c r="C178">
        <v>0.40865344857047603</v>
      </c>
    </row>
    <row r="179" spans="1:3">
      <c r="A179">
        <v>171</v>
      </c>
      <c r="B179">
        <v>0.37707723437786966</v>
      </c>
      <c r="C179">
        <v>0.35792963940002664</v>
      </c>
    </row>
    <row r="180" spans="1:3">
      <c r="A180">
        <v>172</v>
      </c>
      <c r="B180">
        <v>0.67214856430798497</v>
      </c>
      <c r="C180">
        <v>0.30478770251738752</v>
      </c>
    </row>
    <row r="181" spans="1:3">
      <c r="A181">
        <v>173</v>
      </c>
      <c r="B181">
        <v>2.6449174138356273E-2</v>
      </c>
      <c r="C181">
        <v>0.71374318924063118</v>
      </c>
    </row>
    <row r="182" spans="1:3">
      <c r="A182">
        <v>174</v>
      </c>
      <c r="B182">
        <v>3.5522995573357447E-2</v>
      </c>
      <c r="C182">
        <v>0.84395589078030753</v>
      </c>
    </row>
    <row r="183" spans="1:3">
      <c r="A183">
        <v>175</v>
      </c>
      <c r="B183">
        <v>0.17693819873569028</v>
      </c>
      <c r="C183">
        <v>0.1860086976976163</v>
      </c>
    </row>
    <row r="184" spans="1:3">
      <c r="A184">
        <v>176</v>
      </c>
      <c r="B184">
        <v>0.37564816872348267</v>
      </c>
      <c r="C184">
        <v>0.42533671817818686</v>
      </c>
    </row>
    <row r="185" spans="1:3">
      <c r="A185">
        <v>177</v>
      </c>
      <c r="B185">
        <v>0.76734073077732246</v>
      </c>
      <c r="C185">
        <v>0.20076831792175653</v>
      </c>
    </row>
    <row r="186" spans="1:3">
      <c r="A186">
        <v>178</v>
      </c>
      <c r="B186">
        <v>0.99296373040530916</v>
      </c>
      <c r="C186">
        <v>0.68511066041537561</v>
      </c>
    </row>
    <row r="187" spans="1:3">
      <c r="A187">
        <v>179</v>
      </c>
      <c r="B187">
        <v>0.45628181372216942</v>
      </c>
      <c r="C187">
        <v>0.4027293582648781</v>
      </c>
    </row>
    <row r="188" spans="1:3">
      <c r="A188">
        <v>180</v>
      </c>
      <c r="B188">
        <v>0.46909369012180102</v>
      </c>
      <c r="C188">
        <v>0.3892104449278122</v>
      </c>
    </row>
    <row r="189" spans="1:3">
      <c r="A189">
        <v>181</v>
      </c>
      <c r="B189">
        <v>8.7941896393881627E-2</v>
      </c>
      <c r="C189">
        <v>0.91329585384391976</v>
      </c>
    </row>
    <row r="190" spans="1:3">
      <c r="A190">
        <v>182</v>
      </c>
      <c r="B190">
        <v>0.98773356687411051</v>
      </c>
      <c r="C190">
        <v>0.31617162822294631</v>
      </c>
    </row>
    <row r="191" spans="1:3">
      <c r="A191">
        <v>183</v>
      </c>
      <c r="B191">
        <v>0.57777257354924749</v>
      </c>
      <c r="C191">
        <v>0.63407393680881796</v>
      </c>
    </row>
    <row r="192" spans="1:3">
      <c r="A192">
        <v>184</v>
      </c>
      <c r="B192">
        <v>0.91640040480308249</v>
      </c>
      <c r="C192">
        <v>0.31067257441281981</v>
      </c>
    </row>
    <row r="193" spans="1:3">
      <c r="A193">
        <v>185</v>
      </c>
      <c r="B193">
        <v>0.77089331119947446</v>
      </c>
      <c r="C193">
        <v>0.31835128935381363</v>
      </c>
    </row>
    <row r="194" spans="1:3">
      <c r="A194">
        <v>186</v>
      </c>
      <c r="B194">
        <v>0.50740535800331399</v>
      </c>
      <c r="C194">
        <v>0.77696000534797349</v>
      </c>
    </row>
    <row r="195" spans="1:3">
      <c r="A195">
        <v>187</v>
      </c>
      <c r="B195">
        <v>0.66406528149965816</v>
      </c>
      <c r="C195">
        <v>0.96180042923151632</v>
      </c>
    </row>
    <row r="196" spans="1:3">
      <c r="A196">
        <v>188</v>
      </c>
      <c r="B196">
        <v>0.34901218361244823</v>
      </c>
      <c r="C196">
        <v>0.71103124944056617</v>
      </c>
    </row>
    <row r="197" spans="1:3">
      <c r="A197">
        <v>189</v>
      </c>
      <c r="B197">
        <v>0.66772029383334341</v>
      </c>
      <c r="C197">
        <v>0.62973930789576116</v>
      </c>
    </row>
    <row r="198" spans="1:3">
      <c r="A198">
        <v>190</v>
      </c>
      <c r="B198">
        <v>0.56591497294789062</v>
      </c>
      <c r="C198">
        <v>0.52548888852652453</v>
      </c>
    </row>
    <row r="199" spans="1:3">
      <c r="A199">
        <v>191</v>
      </c>
      <c r="B199">
        <v>5.8825073841220016E-2</v>
      </c>
      <c r="C199">
        <v>0.2206645604728692</v>
      </c>
    </row>
    <row r="200" spans="1:3">
      <c r="A200">
        <v>192</v>
      </c>
      <c r="B200">
        <v>0.76234134116916485</v>
      </c>
      <c r="C200">
        <v>0.89002282478941197</v>
      </c>
    </row>
    <row r="201" spans="1:3">
      <c r="A201">
        <v>193</v>
      </c>
      <c r="B201">
        <v>0.91362527331002652</v>
      </c>
      <c r="C201">
        <v>0.17981892033003533</v>
      </c>
    </row>
    <row r="202" spans="1:3">
      <c r="A202">
        <v>194</v>
      </c>
      <c r="B202">
        <v>7.182168631391174E-2</v>
      </c>
      <c r="C202">
        <v>0.64673367877912824</v>
      </c>
    </row>
    <row r="203" spans="1:3">
      <c r="A203">
        <v>195</v>
      </c>
      <c r="B203">
        <v>0.81488155513696403</v>
      </c>
      <c r="C203">
        <v>0.15557129181161145</v>
      </c>
    </row>
    <row r="204" spans="1:3">
      <c r="A204">
        <v>196</v>
      </c>
      <c r="B204">
        <v>0.75569227952223561</v>
      </c>
      <c r="C204">
        <v>0.42936228001781274</v>
      </c>
    </row>
    <row r="205" spans="1:3">
      <c r="A205">
        <v>197</v>
      </c>
      <c r="B205">
        <v>0.39585502701668418</v>
      </c>
      <c r="C205">
        <v>0.8995896287551659</v>
      </c>
    </row>
    <row r="206" spans="1:3">
      <c r="A206">
        <v>198</v>
      </c>
      <c r="B206">
        <v>0.81151663492003379</v>
      </c>
      <c r="C206">
        <v>0.66332484803206171</v>
      </c>
    </row>
    <row r="207" spans="1:3">
      <c r="A207">
        <v>199</v>
      </c>
      <c r="B207">
        <v>0.73288848651454053</v>
      </c>
      <c r="C207">
        <v>0.57007180701384641</v>
      </c>
    </row>
    <row r="208" spans="1:3">
      <c r="A208">
        <v>200</v>
      </c>
      <c r="B208">
        <v>0.94011978586020872</v>
      </c>
      <c r="C208">
        <v>0.7935652949163341</v>
      </c>
    </row>
    <row r="209" spans="1:3">
      <c r="A209">
        <v>201</v>
      </c>
      <c r="B209">
        <v>0.1542451183647488</v>
      </c>
      <c r="C209">
        <v>0.28667762364329974</v>
      </c>
    </row>
    <row r="210" spans="1:3">
      <c r="A210">
        <v>202</v>
      </c>
      <c r="B210">
        <v>9.279781756382384E-2</v>
      </c>
      <c r="C210">
        <v>0.30043765198388428</v>
      </c>
    </row>
    <row r="211" spans="1:3">
      <c r="A211">
        <v>203</v>
      </c>
      <c r="B211">
        <v>0.77621992032328146</v>
      </c>
      <c r="C211">
        <v>0.16497251606506325</v>
      </c>
    </row>
    <row r="212" spans="1:3">
      <c r="A212">
        <v>204</v>
      </c>
      <c r="B212">
        <v>0.59524800837115577</v>
      </c>
      <c r="C212">
        <v>8.5129269147728337E-2</v>
      </c>
    </row>
    <row r="213" spans="1:3">
      <c r="A213">
        <v>205</v>
      </c>
      <c r="B213">
        <v>0.11200066098989934</v>
      </c>
      <c r="C213">
        <v>0.7159573402013848</v>
      </c>
    </row>
    <row r="214" spans="1:3">
      <c r="A214">
        <v>206</v>
      </c>
      <c r="B214">
        <v>0.4100614144583376</v>
      </c>
      <c r="C214">
        <v>3.6476958286584704E-2</v>
      </c>
    </row>
    <row r="215" spans="1:3">
      <c r="A215">
        <v>207</v>
      </c>
      <c r="B215">
        <v>0.98264614846293019</v>
      </c>
      <c r="C215">
        <v>0.31191639400003623</v>
      </c>
    </row>
    <row r="216" spans="1:3">
      <c r="A216">
        <v>208</v>
      </c>
      <c r="B216">
        <v>0.69330337889755689</v>
      </c>
      <c r="C216">
        <v>6.060179513588082E-2</v>
      </c>
    </row>
    <row r="217" spans="1:3">
      <c r="A217">
        <v>209</v>
      </c>
      <c r="B217">
        <v>0.94615084527296733</v>
      </c>
      <c r="C217">
        <v>0.77791042327862669</v>
      </c>
    </row>
    <row r="218" spans="1:3">
      <c r="A218">
        <v>210</v>
      </c>
      <c r="B218">
        <v>0.52567380194311819</v>
      </c>
      <c r="C218">
        <v>0.31810035679882276</v>
      </c>
    </row>
    <row r="219" spans="1:3">
      <c r="A219">
        <v>211</v>
      </c>
      <c r="B219">
        <v>0.48657483702166354</v>
      </c>
      <c r="C219">
        <v>0.59620435870510846</v>
      </c>
    </row>
    <row r="220" spans="1:3">
      <c r="A220">
        <v>212</v>
      </c>
      <c r="B220">
        <v>0.49044032595689419</v>
      </c>
      <c r="C220">
        <v>0.87298892724174948</v>
      </c>
    </row>
    <row r="221" spans="1:3">
      <c r="A221">
        <v>213</v>
      </c>
      <c r="B221">
        <v>0.74513267144214657</v>
      </c>
      <c r="C221">
        <v>0.55267881303916511</v>
      </c>
    </row>
    <row r="222" spans="1:3">
      <c r="A222">
        <v>214</v>
      </c>
      <c r="B222">
        <v>0.60718699616267979</v>
      </c>
      <c r="C222">
        <v>0.35734853868507344</v>
      </c>
    </row>
    <row r="223" spans="1:3">
      <c r="A223">
        <v>215</v>
      </c>
      <c r="B223">
        <v>0.64290105875602477</v>
      </c>
      <c r="C223">
        <v>0.21909754813168547</v>
      </c>
    </row>
    <row r="224" spans="1:3">
      <c r="A224">
        <v>216</v>
      </c>
      <c r="B224">
        <v>0.27955428482348893</v>
      </c>
      <c r="C224">
        <v>3.1681696112173086E-2</v>
      </c>
    </row>
    <row r="225" spans="1:3">
      <c r="A225">
        <v>217</v>
      </c>
      <c r="B225">
        <v>0.59666469221437923</v>
      </c>
      <c r="C225">
        <v>0.91670670996791159</v>
      </c>
    </row>
    <row r="226" spans="1:3">
      <c r="A226">
        <v>218</v>
      </c>
      <c r="B226">
        <v>0.77892806733933473</v>
      </c>
      <c r="C226">
        <v>0.85452179890216939</v>
      </c>
    </row>
    <row r="227" spans="1:3">
      <c r="A227">
        <v>219</v>
      </c>
      <c r="B227">
        <v>0.38078867940017685</v>
      </c>
      <c r="C227">
        <v>0.45931914358516224</v>
      </c>
    </row>
    <row r="228" spans="1:3">
      <c r="A228">
        <v>220</v>
      </c>
      <c r="B228">
        <v>0.21745767516676748</v>
      </c>
      <c r="C228">
        <v>0.27771616386962705</v>
      </c>
    </row>
    <row r="229" spans="1:3">
      <c r="A229">
        <v>221</v>
      </c>
      <c r="B229">
        <v>0.29353839045240038</v>
      </c>
      <c r="C229">
        <v>0.33132913035572642</v>
      </c>
    </row>
    <row r="230" spans="1:3">
      <c r="A230">
        <v>222</v>
      </c>
      <c r="B230">
        <v>0.80247201590996053</v>
      </c>
      <c r="C230">
        <v>0.13027671848340105</v>
      </c>
    </row>
    <row r="231" spans="1:3">
      <c r="A231">
        <v>223</v>
      </c>
      <c r="B231">
        <v>0.22034815696541876</v>
      </c>
      <c r="C231">
        <v>0.73265672502748203</v>
      </c>
    </row>
    <row r="232" spans="1:3">
      <c r="A232">
        <v>224</v>
      </c>
      <c r="B232">
        <v>0.45398823610460115</v>
      </c>
      <c r="C232">
        <v>0.17085718577800435</v>
      </c>
    </row>
    <row r="233" spans="1:3">
      <c r="A233">
        <v>225</v>
      </c>
      <c r="B233">
        <v>0.50561745964726834</v>
      </c>
      <c r="C233">
        <v>0.65772908848157385</v>
      </c>
    </row>
    <row r="234" spans="1:3">
      <c r="A234">
        <v>226</v>
      </c>
      <c r="B234">
        <v>0.94829972279171926</v>
      </c>
      <c r="C234">
        <v>3.7612971568705689E-2</v>
      </c>
    </row>
    <row r="235" spans="1:3">
      <c r="A235">
        <v>227</v>
      </c>
      <c r="B235">
        <v>9.9176887973485714E-2</v>
      </c>
      <c r="C235">
        <v>0.62886718276786269</v>
      </c>
    </row>
    <row r="236" spans="1:3">
      <c r="A236">
        <v>228</v>
      </c>
      <c r="B236">
        <v>0.73914753574439029</v>
      </c>
      <c r="C236">
        <v>0.43804692959292879</v>
      </c>
    </row>
    <row r="237" spans="1:3">
      <c r="A237">
        <v>229</v>
      </c>
      <c r="B237">
        <v>0.44303197606164774</v>
      </c>
      <c r="C237">
        <v>0.25184031069329649</v>
      </c>
    </row>
    <row r="238" spans="1:3">
      <c r="A238">
        <v>230</v>
      </c>
      <c r="B238">
        <v>8.8287832611773129E-2</v>
      </c>
      <c r="C238">
        <v>0.40931376216121862</v>
      </c>
    </row>
    <row r="239" spans="1:3">
      <c r="A239">
        <v>231</v>
      </c>
      <c r="B239">
        <v>0.78019682860332462</v>
      </c>
      <c r="C239">
        <v>0.42938907264760928</v>
      </c>
    </row>
    <row r="240" spans="1:3">
      <c r="A240">
        <v>232</v>
      </c>
      <c r="B240">
        <v>1.0463921972658467E-2</v>
      </c>
      <c r="C240">
        <v>0.34863140338984522</v>
      </c>
    </row>
    <row r="241" spans="1:3">
      <c r="A241">
        <v>233</v>
      </c>
      <c r="B241">
        <v>0.9398404208905623</v>
      </c>
      <c r="C241">
        <v>0.11815121772997372</v>
      </c>
    </row>
    <row r="242" spans="1:3">
      <c r="A242">
        <v>234</v>
      </c>
      <c r="B242">
        <v>0.76488023125028248</v>
      </c>
      <c r="C242">
        <v>0.74136148814886837</v>
      </c>
    </row>
    <row r="243" spans="1:3">
      <c r="A243">
        <v>235</v>
      </c>
      <c r="B243">
        <v>0.58999010215326919</v>
      </c>
      <c r="C243">
        <v>0.8868602431139152</v>
      </c>
    </row>
    <row r="244" spans="1:3">
      <c r="A244">
        <v>236</v>
      </c>
      <c r="B244">
        <v>0.90543602584103033</v>
      </c>
      <c r="C244">
        <v>0.30006471494471043</v>
      </c>
    </row>
    <row r="245" spans="1:3">
      <c r="A245">
        <v>237</v>
      </c>
      <c r="B245">
        <v>0.30224807503313011</v>
      </c>
      <c r="C245">
        <v>0.63060928771119507</v>
      </c>
    </row>
    <row r="246" spans="1:3">
      <c r="A246">
        <v>238</v>
      </c>
      <c r="B246">
        <v>0.21032068440465274</v>
      </c>
      <c r="C246">
        <v>4.2979726146768371E-2</v>
      </c>
    </row>
    <row r="247" spans="1:3">
      <c r="A247">
        <v>239</v>
      </c>
      <c r="B247">
        <v>0.48148239360365142</v>
      </c>
      <c r="C247">
        <v>0.69372137625759933</v>
      </c>
    </row>
    <row r="248" spans="1:3">
      <c r="A248">
        <v>240</v>
      </c>
      <c r="B248">
        <v>0.88417502928762115</v>
      </c>
      <c r="C248">
        <v>0.65034886102148448</v>
      </c>
    </row>
    <row r="249" spans="1:3">
      <c r="A249">
        <v>241</v>
      </c>
      <c r="B249">
        <v>0.43553799204564142</v>
      </c>
      <c r="C249">
        <v>0.94613883784677455</v>
      </c>
    </row>
    <row r="250" spans="1:3">
      <c r="A250">
        <v>242</v>
      </c>
      <c r="B250">
        <v>0.35819200978386029</v>
      </c>
      <c r="C250">
        <v>0.12640360470504675</v>
      </c>
    </row>
    <row r="251" spans="1:3">
      <c r="A251">
        <v>243</v>
      </c>
      <c r="B251">
        <v>0.89232781748108747</v>
      </c>
      <c r="C251">
        <v>3.8699369434652908E-2</v>
      </c>
    </row>
    <row r="252" spans="1:3">
      <c r="A252">
        <v>244</v>
      </c>
      <c r="B252">
        <v>0.9683612515680402</v>
      </c>
      <c r="C252">
        <v>0.75769246715208283</v>
      </c>
    </row>
    <row r="253" spans="1:3">
      <c r="A253">
        <v>245</v>
      </c>
      <c r="B253">
        <v>0.42546706123265138</v>
      </c>
      <c r="C253">
        <v>0.94551773700641206</v>
      </c>
    </row>
    <row r="254" spans="1:3">
      <c r="A254">
        <v>246</v>
      </c>
      <c r="B254">
        <v>0.40949650421959732</v>
      </c>
      <c r="C254">
        <v>0.26197967845837411</v>
      </c>
    </row>
    <row r="255" spans="1:3">
      <c r="A255">
        <v>247</v>
      </c>
      <c r="B255">
        <v>0.95893937706689802</v>
      </c>
      <c r="C255">
        <v>0.53970808603935438</v>
      </c>
    </row>
    <row r="256" spans="1:3">
      <c r="A256">
        <v>248</v>
      </c>
      <c r="B256">
        <v>0.14333693607462034</v>
      </c>
      <c r="C256">
        <v>0.89601868969839416</v>
      </c>
    </row>
    <row r="257" spans="1:3">
      <c r="A257">
        <v>249</v>
      </c>
      <c r="B257">
        <v>0.27331696147036666</v>
      </c>
      <c r="C257">
        <v>0.84041283947590273</v>
      </c>
    </row>
    <row r="258" spans="1:3">
      <c r="A258">
        <v>250</v>
      </c>
      <c r="B258">
        <v>0.82992566763235387</v>
      </c>
      <c r="C258">
        <v>0.9209993718422993</v>
      </c>
    </row>
    <row r="259" spans="1:3">
      <c r="A259">
        <v>251</v>
      </c>
      <c r="B259">
        <v>0.91956688811014564</v>
      </c>
      <c r="C259">
        <v>0.42898602732202562</v>
      </c>
    </row>
    <row r="260" spans="1:3">
      <c r="A260">
        <v>252</v>
      </c>
      <c r="B260">
        <v>5.7862474789345288E-2</v>
      </c>
      <c r="C260">
        <v>0.41185606460658164</v>
      </c>
    </row>
    <row r="261" spans="1:3">
      <c r="A261">
        <v>253</v>
      </c>
      <c r="B261">
        <v>0.99702269526315446</v>
      </c>
      <c r="C261">
        <v>0.88435952672807616</v>
      </c>
    </row>
    <row r="262" spans="1:3">
      <c r="A262">
        <v>254</v>
      </c>
      <c r="B262">
        <v>0.8304694889202876</v>
      </c>
      <c r="C262">
        <v>0.30129641239820515</v>
      </c>
    </row>
    <row r="263" spans="1:3">
      <c r="A263">
        <v>255</v>
      </c>
      <c r="B263">
        <v>0.40474647302337607</v>
      </c>
      <c r="C263">
        <v>3.4818510101104039E-2</v>
      </c>
    </row>
    <row r="264" spans="1:3">
      <c r="A264">
        <v>256</v>
      </c>
      <c r="B264">
        <v>2.0737350022126302E-2</v>
      </c>
      <c r="C264">
        <v>5.360703835322056E-5</v>
      </c>
    </row>
    <row r="265" spans="1:3">
      <c r="A265">
        <v>257</v>
      </c>
      <c r="B265">
        <v>0.97759074761150189</v>
      </c>
      <c r="C265">
        <v>0.67495035428601113</v>
      </c>
    </row>
    <row r="266" spans="1:3">
      <c r="A266">
        <v>258</v>
      </c>
      <c r="B266">
        <v>0.59287797052433666</v>
      </c>
      <c r="C266">
        <v>0.78022253359449678</v>
      </c>
    </row>
    <row r="267" spans="1:3">
      <c r="A267">
        <v>259</v>
      </c>
      <c r="B267">
        <v>0.26748884418687985</v>
      </c>
      <c r="C267">
        <v>0.99360788871763361</v>
      </c>
    </row>
    <row r="268" spans="1:3">
      <c r="A268">
        <v>260</v>
      </c>
      <c r="B268">
        <v>0.38656005664229393</v>
      </c>
      <c r="C268">
        <v>0.42080579956929753</v>
      </c>
    </row>
    <row r="269" spans="1:3">
      <c r="A269">
        <v>261</v>
      </c>
      <c r="B269">
        <v>0.30461438404410485</v>
      </c>
      <c r="C269">
        <v>0.14497911753460357</v>
      </c>
    </row>
    <row r="270" spans="1:3">
      <c r="A270">
        <v>262</v>
      </c>
      <c r="B270">
        <v>0.93289768087884817</v>
      </c>
      <c r="C270">
        <v>0.93556926871406176</v>
      </c>
    </row>
    <row r="271" spans="1:3">
      <c r="A271">
        <v>263</v>
      </c>
      <c r="B271">
        <v>0.99093620644438452</v>
      </c>
      <c r="C271">
        <v>0.23382761814355035</v>
      </c>
    </row>
    <row r="272" spans="1:3">
      <c r="A272">
        <v>264</v>
      </c>
      <c r="B272">
        <v>0.38499360920931064</v>
      </c>
      <c r="C272">
        <v>0.21850464557701343</v>
      </c>
    </row>
    <row r="273" spans="1:3">
      <c r="A273">
        <v>265</v>
      </c>
      <c r="B273">
        <v>0.84110157479092051</v>
      </c>
      <c r="C273">
        <v>0.91561999336227018</v>
      </c>
    </row>
    <row r="274" spans="1:3">
      <c r="A274">
        <v>266</v>
      </c>
      <c r="B274">
        <v>0.81765955920416389</v>
      </c>
      <c r="C274">
        <v>1.282382496901846E-2</v>
      </c>
    </row>
    <row r="275" spans="1:3">
      <c r="A275">
        <v>267</v>
      </c>
      <c r="B275">
        <v>0.63682522861632174</v>
      </c>
      <c r="C275">
        <v>0.84722927328130027</v>
      </c>
    </row>
    <row r="276" spans="1:3">
      <c r="A276">
        <v>268</v>
      </c>
      <c r="B276">
        <v>0.10499784772586959</v>
      </c>
      <c r="C276">
        <v>0.90102549753282801</v>
      </c>
    </row>
    <row r="277" spans="1:3">
      <c r="A277">
        <v>269</v>
      </c>
      <c r="B277">
        <v>0.38842287342912118</v>
      </c>
      <c r="C277">
        <v>0.58025005016588693</v>
      </c>
    </row>
    <row r="278" spans="1:3">
      <c r="A278">
        <v>270</v>
      </c>
      <c r="B278">
        <v>0.79795805208756543</v>
      </c>
      <c r="C278">
        <v>0.52748989907559007</v>
      </c>
    </row>
    <row r="279" spans="1:3">
      <c r="A279">
        <v>271</v>
      </c>
      <c r="B279">
        <v>0.54972640379651605</v>
      </c>
      <c r="C279">
        <v>0.32783933665177756</v>
      </c>
    </row>
    <row r="280" spans="1:3">
      <c r="A280">
        <v>272</v>
      </c>
      <c r="B280">
        <v>0.98508577072878512</v>
      </c>
      <c r="C280">
        <v>0.60910031504499784</v>
      </c>
    </row>
    <row r="281" spans="1:3">
      <c r="A281">
        <v>273</v>
      </c>
      <c r="B281">
        <v>0.97167939101617762</v>
      </c>
      <c r="C281">
        <v>0.54108636644832586</v>
      </c>
    </row>
    <row r="282" spans="1:3">
      <c r="A282">
        <v>274</v>
      </c>
      <c r="B282">
        <v>0.60422473608754212</v>
      </c>
      <c r="C282">
        <v>0.75931150536416681</v>
      </c>
    </row>
    <row r="283" spans="1:3">
      <c r="A283">
        <v>275</v>
      </c>
      <c r="B283">
        <v>0.95365437849928958</v>
      </c>
      <c r="C283">
        <v>0.2507498290424337</v>
      </c>
    </row>
    <row r="284" spans="1:3">
      <c r="A284">
        <v>276</v>
      </c>
      <c r="B284">
        <v>0.72575438292458527</v>
      </c>
      <c r="C284">
        <v>0.78437553759431466</v>
      </c>
    </row>
    <row r="285" spans="1:3">
      <c r="A285">
        <v>277</v>
      </c>
      <c r="B285">
        <v>0.52215087083358103</v>
      </c>
      <c r="C285">
        <v>0.51914517127806903</v>
      </c>
    </row>
    <row r="286" spans="1:3">
      <c r="A286">
        <v>278</v>
      </c>
      <c r="B286">
        <v>0.61793410987126041</v>
      </c>
      <c r="C286">
        <v>0.82482995039663365</v>
      </c>
    </row>
    <row r="287" spans="1:3">
      <c r="A287">
        <v>279</v>
      </c>
      <c r="B287">
        <v>0.89633012215195462</v>
      </c>
      <c r="C287">
        <v>0.16241834108768671</v>
      </c>
    </row>
    <row r="288" spans="1:3">
      <c r="A288">
        <v>280</v>
      </c>
      <c r="B288">
        <v>0.32787056122111868</v>
      </c>
      <c r="C288">
        <v>0.59660571075164626</v>
      </c>
    </row>
    <row r="289" spans="1:3">
      <c r="A289">
        <v>281</v>
      </c>
      <c r="B289">
        <v>0.23017393037122066</v>
      </c>
      <c r="C289">
        <v>0.27169500973104732</v>
      </c>
    </row>
    <row r="290" spans="1:3">
      <c r="A290">
        <v>282</v>
      </c>
      <c r="B290">
        <v>0.72365667858106475</v>
      </c>
      <c r="C290">
        <v>0.42956508996849152</v>
      </c>
    </row>
    <row r="291" spans="1:3">
      <c r="A291">
        <v>283</v>
      </c>
      <c r="B291">
        <v>0.76944216386728048</v>
      </c>
      <c r="C291">
        <v>0.58987909861389198</v>
      </c>
    </row>
    <row r="292" spans="1:3">
      <c r="A292">
        <v>284</v>
      </c>
      <c r="B292">
        <v>0.32887739155508516</v>
      </c>
      <c r="C292">
        <v>0.9200622643902534</v>
      </c>
    </row>
    <row r="293" spans="1:3">
      <c r="A293">
        <v>285</v>
      </c>
      <c r="B293">
        <v>0.87599053449649145</v>
      </c>
      <c r="C293">
        <v>0.32723689402155287</v>
      </c>
    </row>
    <row r="294" spans="1:3">
      <c r="A294">
        <v>286</v>
      </c>
      <c r="B294">
        <v>0.36097231414797071</v>
      </c>
      <c r="C294">
        <v>0.67204326819955895</v>
      </c>
    </row>
    <row r="295" spans="1:3">
      <c r="A295">
        <v>287</v>
      </c>
      <c r="B295">
        <v>0.20899807023326822</v>
      </c>
      <c r="C295">
        <v>0.60772626993002632</v>
      </c>
    </row>
    <row r="296" spans="1:3">
      <c r="A296">
        <v>288</v>
      </c>
      <c r="B296">
        <v>0.83632056377090536</v>
      </c>
      <c r="C296">
        <v>0.84585382762088557</v>
      </c>
    </row>
    <row r="297" spans="1:3">
      <c r="A297">
        <v>289</v>
      </c>
      <c r="B297">
        <v>0.57544755110830248</v>
      </c>
      <c r="C297">
        <v>3.1950437645718921E-2</v>
      </c>
    </row>
    <row r="298" spans="1:3">
      <c r="A298">
        <v>290</v>
      </c>
      <c r="B298">
        <v>0.85603546488751558</v>
      </c>
      <c r="C298">
        <v>0.14123235792339983</v>
      </c>
    </row>
    <row r="299" spans="1:3">
      <c r="A299">
        <v>291</v>
      </c>
      <c r="B299">
        <v>0.41522028698148677</v>
      </c>
      <c r="C299">
        <v>0.39170261673463358</v>
      </c>
    </row>
    <row r="300" spans="1:3">
      <c r="A300">
        <v>292</v>
      </c>
      <c r="B300">
        <v>0.16028682082711879</v>
      </c>
      <c r="C300">
        <v>0.72094403421806419</v>
      </c>
    </row>
    <row r="301" spans="1:3">
      <c r="A301">
        <v>293</v>
      </c>
      <c r="B301">
        <v>0.79344333973513992</v>
      </c>
      <c r="C301">
        <v>0.96843540146073792</v>
      </c>
    </row>
    <row r="302" spans="1:3">
      <c r="A302">
        <v>294</v>
      </c>
      <c r="B302">
        <v>0.5333418535425658</v>
      </c>
      <c r="C302">
        <v>0.92263894972256821</v>
      </c>
    </row>
    <row r="303" spans="1:3">
      <c r="A303">
        <v>295</v>
      </c>
      <c r="B303">
        <v>2.4610811794318916E-3</v>
      </c>
      <c r="C303">
        <v>0.21007513107360865</v>
      </c>
    </row>
    <row r="304" spans="1:3">
      <c r="A304">
        <v>296</v>
      </c>
      <c r="B304">
        <v>0.79496765836397365</v>
      </c>
      <c r="C304">
        <v>0.87065649230953568</v>
      </c>
    </row>
    <row r="305" spans="1:3">
      <c r="A305">
        <v>297</v>
      </c>
      <c r="B305">
        <v>0.51163813442262773</v>
      </c>
      <c r="C305">
        <v>0.78640774266750668</v>
      </c>
    </row>
    <row r="306" spans="1:3">
      <c r="A306">
        <v>298</v>
      </c>
      <c r="B306">
        <v>2.4280256726844297E-2</v>
      </c>
      <c r="C306">
        <v>0.70354737551588187</v>
      </c>
    </row>
    <row r="307" spans="1:3">
      <c r="A307">
        <v>299</v>
      </c>
      <c r="B307">
        <v>0.89045307798228535</v>
      </c>
      <c r="C307">
        <v>0.68549031282418582</v>
      </c>
    </row>
    <row r="308" spans="1:3">
      <c r="A308">
        <v>300</v>
      </c>
      <c r="B308">
        <v>0.64559621832137837</v>
      </c>
      <c r="C308">
        <v>0.13080956998692272</v>
      </c>
    </row>
    <row r="309" spans="1:3">
      <c r="A309">
        <v>301</v>
      </c>
      <c r="B309">
        <v>0.93051256607997057</v>
      </c>
      <c r="C309">
        <v>0.24364677766425302</v>
      </c>
    </row>
    <row r="310" spans="1:3">
      <c r="A310">
        <v>302</v>
      </c>
      <c r="B310">
        <v>0.86791326581079353</v>
      </c>
      <c r="C310">
        <v>3.5701878655345354E-2</v>
      </c>
    </row>
    <row r="311" spans="1:3">
      <c r="A311">
        <v>303</v>
      </c>
      <c r="B311">
        <v>0.14618445562156487</v>
      </c>
      <c r="C311">
        <v>0.36591640445294615</v>
      </c>
    </row>
    <row r="312" spans="1:3">
      <c r="A312">
        <v>304</v>
      </c>
      <c r="B312">
        <v>0.71573960619413757</v>
      </c>
      <c r="C312">
        <v>0.64809339072689909</v>
      </c>
    </row>
    <row r="313" spans="1:3">
      <c r="A313">
        <v>305</v>
      </c>
      <c r="B313">
        <v>0.16616836642617555</v>
      </c>
      <c r="C313">
        <v>0.49554709877340031</v>
      </c>
    </row>
    <row r="314" spans="1:3">
      <c r="A314">
        <v>306</v>
      </c>
      <c r="B314">
        <v>0.10377789906081229</v>
      </c>
      <c r="C314">
        <v>0.34489761672057284</v>
      </c>
    </row>
    <row r="315" spans="1:3">
      <c r="A315">
        <v>307</v>
      </c>
      <c r="B315">
        <v>0.63980064957630833</v>
      </c>
      <c r="C315">
        <v>0.87032551483662246</v>
      </c>
    </row>
    <row r="316" spans="1:3">
      <c r="A316">
        <v>308</v>
      </c>
      <c r="B316">
        <v>0.5863477089457092</v>
      </c>
      <c r="C316">
        <v>0.8873569154748111</v>
      </c>
    </row>
    <row r="317" spans="1:3">
      <c r="A317">
        <v>309</v>
      </c>
      <c r="B317">
        <v>0.59980247973692657</v>
      </c>
      <c r="C317">
        <v>0.24272050318177207</v>
      </c>
    </row>
    <row r="318" spans="1:3">
      <c r="A318">
        <v>310</v>
      </c>
      <c r="B318">
        <v>0.65751474345836669</v>
      </c>
      <c r="C318">
        <v>0.15458824731376808</v>
      </c>
    </row>
    <row r="319" spans="1:3">
      <c r="A319">
        <v>311</v>
      </c>
      <c r="B319">
        <v>0.15354803216539975</v>
      </c>
      <c r="C319">
        <v>0.90058223384221492</v>
      </c>
    </row>
    <row r="320" spans="1:3">
      <c r="A320">
        <v>312</v>
      </c>
      <c r="B320">
        <v>0.13024654389830459</v>
      </c>
      <c r="C320">
        <v>0.22926613057097711</v>
      </c>
    </row>
    <row r="321" spans="1:3">
      <c r="A321">
        <v>313</v>
      </c>
      <c r="B321">
        <v>0.8869895724423672</v>
      </c>
      <c r="C321">
        <v>0.80382686384564295</v>
      </c>
    </row>
    <row r="322" spans="1:3">
      <c r="A322">
        <v>314</v>
      </c>
      <c r="B322">
        <v>0.71832041309967642</v>
      </c>
      <c r="C322">
        <v>0.66588510364454123</v>
      </c>
    </row>
    <row r="323" spans="1:3">
      <c r="A323">
        <v>315</v>
      </c>
      <c r="B323">
        <v>0.10890880101754069</v>
      </c>
      <c r="C323">
        <v>0.69267419006700948</v>
      </c>
    </row>
    <row r="324" spans="1:3">
      <c r="A324">
        <v>316</v>
      </c>
      <c r="B324">
        <v>0.20276342300157144</v>
      </c>
      <c r="C324">
        <v>8.7921752599868341E-2</v>
      </c>
    </row>
    <row r="325" spans="1:3">
      <c r="A325">
        <v>317</v>
      </c>
      <c r="B325">
        <v>0.25748881049256045</v>
      </c>
      <c r="C325">
        <v>0.15187027583397139</v>
      </c>
    </row>
    <row r="326" spans="1:3">
      <c r="A326">
        <v>318</v>
      </c>
      <c r="B326">
        <v>0.2585648389371496</v>
      </c>
      <c r="C326">
        <v>0.1754734940623166</v>
      </c>
    </row>
    <row r="327" spans="1:3">
      <c r="A327">
        <v>319</v>
      </c>
      <c r="B327">
        <v>0.44793229624254915</v>
      </c>
      <c r="C327">
        <v>0.71275453754424234</v>
      </c>
    </row>
    <row r="328" spans="1:3">
      <c r="A328">
        <v>320</v>
      </c>
      <c r="B328">
        <v>0.6106965235636328</v>
      </c>
      <c r="C328">
        <v>0.18897554343038792</v>
      </c>
    </row>
    <row r="329" spans="1:3">
      <c r="A329">
        <v>321</v>
      </c>
      <c r="B329">
        <v>0.3501009351345945</v>
      </c>
      <c r="C329">
        <v>0.29954384408301848</v>
      </c>
    </row>
    <row r="330" spans="1:3">
      <c r="A330">
        <v>322</v>
      </c>
      <c r="B330">
        <v>0.46280817364733856</v>
      </c>
      <c r="C330">
        <v>0.30088596065706952</v>
      </c>
    </row>
    <row r="331" spans="1:3">
      <c r="A331">
        <v>323</v>
      </c>
      <c r="B331">
        <v>0.54264630538193659</v>
      </c>
      <c r="C331">
        <v>0.65144735541980481</v>
      </c>
    </row>
    <row r="332" spans="1:3">
      <c r="A332">
        <v>324</v>
      </c>
      <c r="B332">
        <v>3.2688896049440121E-2</v>
      </c>
      <c r="C332">
        <v>2.7441130713668827E-2</v>
      </c>
    </row>
    <row r="333" spans="1:3">
      <c r="A333">
        <v>325</v>
      </c>
      <c r="B333">
        <v>0.18560821755686968</v>
      </c>
      <c r="C333">
        <v>0.13318659480319184</v>
      </c>
    </row>
    <row r="334" spans="1:3">
      <c r="A334">
        <v>326</v>
      </c>
      <c r="B334">
        <v>0.70832641251439377</v>
      </c>
      <c r="C334">
        <v>0.7059380229738963</v>
      </c>
    </row>
    <row r="335" spans="1:3">
      <c r="A335">
        <v>327</v>
      </c>
      <c r="B335">
        <v>0.33072424837265263</v>
      </c>
      <c r="C335">
        <v>0.61501598069662577</v>
      </c>
    </row>
    <row r="336" spans="1:3">
      <c r="A336">
        <v>328</v>
      </c>
      <c r="B336">
        <v>0.39040555452238895</v>
      </c>
      <c r="C336">
        <v>0.49113752726407256</v>
      </c>
    </row>
    <row r="337" spans="1:3">
      <c r="A337">
        <v>329</v>
      </c>
      <c r="B337">
        <v>0.29762399934968536</v>
      </c>
      <c r="C337">
        <v>0.94195853160908882</v>
      </c>
    </row>
    <row r="338" spans="1:3">
      <c r="A338">
        <v>330</v>
      </c>
      <c r="B338">
        <v>0.51406091831672496</v>
      </c>
      <c r="C338">
        <v>0.70681949531171995</v>
      </c>
    </row>
    <row r="339" spans="1:3">
      <c r="A339">
        <v>331</v>
      </c>
      <c r="B339">
        <v>0.96077714228601596</v>
      </c>
      <c r="C339">
        <v>0.41402765361090133</v>
      </c>
    </row>
    <row r="340" spans="1:3">
      <c r="A340">
        <v>332</v>
      </c>
      <c r="B340">
        <v>0.72100780361308903</v>
      </c>
      <c r="C340">
        <v>1.3948780559076113E-2</v>
      </c>
    </row>
    <row r="341" spans="1:3">
      <c r="A341">
        <v>333</v>
      </c>
      <c r="B341">
        <v>0.75686964860345929</v>
      </c>
      <c r="C341">
        <v>0.95554431703658338</v>
      </c>
    </row>
    <row r="342" spans="1:3">
      <c r="A342">
        <v>334</v>
      </c>
      <c r="B342">
        <v>4.5860830674381188E-2</v>
      </c>
      <c r="C342">
        <v>0.92409517010310083</v>
      </c>
    </row>
    <row r="343" spans="1:3">
      <c r="A343">
        <v>335</v>
      </c>
      <c r="B343">
        <v>0.17832068414807337</v>
      </c>
      <c r="C343">
        <v>0.60940340494562406</v>
      </c>
    </row>
    <row r="344" spans="1:3">
      <c r="A344">
        <v>336</v>
      </c>
      <c r="B344">
        <v>0.51785230097217783</v>
      </c>
      <c r="C344">
        <v>0.83401461244193342</v>
      </c>
    </row>
    <row r="345" spans="1:3">
      <c r="A345">
        <v>337</v>
      </c>
      <c r="B345">
        <v>0.75233860406287445</v>
      </c>
      <c r="C345">
        <v>0.58909570901050756</v>
      </c>
    </row>
    <row r="346" spans="1:3">
      <c r="A346">
        <v>338</v>
      </c>
      <c r="B346">
        <v>0.65581731601288018</v>
      </c>
      <c r="C346">
        <v>0.28954072302894929</v>
      </c>
    </row>
    <row r="347" spans="1:3">
      <c r="A347">
        <v>339</v>
      </c>
      <c r="B347">
        <v>0.60901593244378827</v>
      </c>
      <c r="C347">
        <v>0.50309051965086837</v>
      </c>
    </row>
    <row r="348" spans="1:3">
      <c r="A348">
        <v>340</v>
      </c>
      <c r="B348">
        <v>0.28120299653597242</v>
      </c>
      <c r="C348">
        <v>0.9385534857347011</v>
      </c>
    </row>
    <row r="349" spans="1:3">
      <c r="A349">
        <v>341</v>
      </c>
      <c r="B349">
        <v>0.90769654762458452</v>
      </c>
      <c r="C349">
        <v>0.3381592710629775</v>
      </c>
    </row>
    <row r="350" spans="1:3">
      <c r="A350">
        <v>342</v>
      </c>
      <c r="B350">
        <v>0.49507529987326709</v>
      </c>
      <c r="C350">
        <v>0.63072181792267656</v>
      </c>
    </row>
    <row r="351" spans="1:3">
      <c r="A351">
        <v>343</v>
      </c>
      <c r="B351">
        <v>0.10797235742769491</v>
      </c>
      <c r="C351">
        <v>0.57526705063810368</v>
      </c>
    </row>
    <row r="352" spans="1:3">
      <c r="A352">
        <v>344</v>
      </c>
      <c r="B352">
        <v>0.28728256193671431</v>
      </c>
      <c r="C352">
        <v>8.0395121305627981E-2</v>
      </c>
    </row>
    <row r="353" spans="1:3">
      <c r="A353">
        <v>345</v>
      </c>
      <c r="B353">
        <v>0.90030623707089252</v>
      </c>
      <c r="C353">
        <v>0.80459309601337736</v>
      </c>
    </row>
    <row r="354" spans="1:3">
      <c r="A354">
        <v>346</v>
      </c>
      <c r="B354">
        <v>0.22899648082326085</v>
      </c>
      <c r="C354">
        <v>0.38074883667104586</v>
      </c>
    </row>
    <row r="355" spans="1:3">
      <c r="A355">
        <v>347</v>
      </c>
      <c r="B355">
        <v>0.33801215459453227</v>
      </c>
      <c r="C355">
        <v>0.29171612405662017</v>
      </c>
    </row>
    <row r="356" spans="1:3">
      <c r="A356">
        <v>348</v>
      </c>
      <c r="B356">
        <v>0.48262042877511596</v>
      </c>
      <c r="C356">
        <v>0.65254836620169954</v>
      </c>
    </row>
    <row r="357" spans="1:3">
      <c r="A357">
        <v>349</v>
      </c>
      <c r="B357">
        <v>0.86173359034250807</v>
      </c>
      <c r="C357">
        <v>0.38291271076377598</v>
      </c>
    </row>
    <row r="358" spans="1:3">
      <c r="A358">
        <v>350</v>
      </c>
      <c r="B358">
        <v>0.62665239202851719</v>
      </c>
      <c r="C358">
        <v>0.89550893949399324</v>
      </c>
    </row>
    <row r="359" spans="1:3">
      <c r="A359">
        <v>351</v>
      </c>
      <c r="B359">
        <v>9.5667917135559929E-2</v>
      </c>
      <c r="C359">
        <v>0.14038832582991745</v>
      </c>
    </row>
    <row r="360" spans="1:3">
      <c r="A360">
        <v>352</v>
      </c>
      <c r="B360">
        <v>0.45433558645852273</v>
      </c>
      <c r="C360">
        <v>7.6704312691617815E-2</v>
      </c>
    </row>
    <row r="361" spans="1:3">
      <c r="A361">
        <v>353</v>
      </c>
      <c r="B361">
        <v>0.6855958858550516</v>
      </c>
      <c r="C361">
        <v>0.2211181311213295</v>
      </c>
    </row>
    <row r="362" spans="1:3">
      <c r="A362">
        <v>354</v>
      </c>
      <c r="B362">
        <v>0.485639598788144</v>
      </c>
      <c r="C362">
        <v>0.13220749739775783</v>
      </c>
    </row>
    <row r="363" spans="1:3">
      <c r="A363">
        <v>355</v>
      </c>
      <c r="B363">
        <v>2.2518083358769789E-2</v>
      </c>
      <c r="C363">
        <v>0.90131886383460369</v>
      </c>
    </row>
    <row r="364" spans="1:3">
      <c r="A364">
        <v>356</v>
      </c>
      <c r="B364">
        <v>5.1087807018563101E-2</v>
      </c>
      <c r="C364">
        <v>4.4247171247661754E-2</v>
      </c>
    </row>
    <row r="365" spans="1:3">
      <c r="A365">
        <v>357</v>
      </c>
      <c r="B365">
        <v>0.30899022935027959</v>
      </c>
      <c r="C365">
        <v>0.64649258799363452</v>
      </c>
    </row>
    <row r="366" spans="1:3">
      <c r="A366">
        <v>358</v>
      </c>
      <c r="B366">
        <v>0.89936063327485716</v>
      </c>
      <c r="C366">
        <v>0.84897043041291909</v>
      </c>
    </row>
    <row r="367" spans="1:3">
      <c r="A367">
        <v>359</v>
      </c>
      <c r="B367">
        <v>0.36649085464619358</v>
      </c>
      <c r="C367">
        <v>0.27563476933937636</v>
      </c>
    </row>
    <row r="368" spans="1:3">
      <c r="A368">
        <v>360</v>
      </c>
      <c r="B368">
        <v>0.28590596732588158</v>
      </c>
      <c r="C368">
        <v>0.22716094493080163</v>
      </c>
    </row>
    <row r="369" spans="1:3">
      <c r="A369">
        <v>361</v>
      </c>
      <c r="B369">
        <v>0.43114011241568723</v>
      </c>
      <c r="C369">
        <v>0.26813018148368428</v>
      </c>
    </row>
    <row r="370" spans="1:3">
      <c r="A370">
        <v>362</v>
      </c>
      <c r="B370">
        <v>0.95123203227651121</v>
      </c>
      <c r="C370">
        <v>0.2532024472620833</v>
      </c>
    </row>
    <row r="371" spans="1:3">
      <c r="A371">
        <v>363</v>
      </c>
      <c r="B371">
        <v>0.60071004538301143</v>
      </c>
      <c r="C371">
        <v>0.69147896294909117</v>
      </c>
    </row>
    <row r="372" spans="1:3">
      <c r="A372">
        <v>364</v>
      </c>
      <c r="B372">
        <v>7.2961000300701934E-2</v>
      </c>
      <c r="C372">
        <v>0.28276687395327826</v>
      </c>
    </row>
    <row r="373" spans="1:3">
      <c r="A373">
        <v>365</v>
      </c>
      <c r="B373">
        <v>0.35240652135908757</v>
      </c>
      <c r="C373">
        <v>0.52065192366944757</v>
      </c>
    </row>
    <row r="374" spans="1:3">
      <c r="A374">
        <v>366</v>
      </c>
      <c r="B374">
        <v>0.57089937150126779</v>
      </c>
      <c r="C374">
        <v>0.99694466763685341</v>
      </c>
    </row>
    <row r="375" spans="1:3">
      <c r="A375">
        <v>367</v>
      </c>
      <c r="B375">
        <v>0.20672957411425413</v>
      </c>
      <c r="C375">
        <v>0.57159811002111383</v>
      </c>
    </row>
    <row r="376" spans="1:3">
      <c r="A376">
        <v>368</v>
      </c>
      <c r="B376">
        <v>0.67599610569002011</v>
      </c>
      <c r="C376">
        <v>0.49327492327392974</v>
      </c>
    </row>
    <row r="377" spans="1:3">
      <c r="A377">
        <v>369</v>
      </c>
      <c r="B377">
        <v>0.87301456324314108</v>
      </c>
      <c r="C377">
        <v>0.95687112533869367</v>
      </c>
    </row>
    <row r="378" spans="1:3">
      <c r="A378">
        <v>370</v>
      </c>
      <c r="B378">
        <v>0.13917134226327096</v>
      </c>
      <c r="C378">
        <v>0.67357380797329824</v>
      </c>
    </row>
    <row r="379" spans="1:3">
      <c r="A379">
        <v>371</v>
      </c>
      <c r="B379">
        <v>0.86966636255561991</v>
      </c>
      <c r="C379">
        <v>0.25773166439103079</v>
      </c>
    </row>
    <row r="380" spans="1:3">
      <c r="A380">
        <v>372</v>
      </c>
      <c r="B380">
        <v>0.98183625752288761</v>
      </c>
      <c r="C380">
        <v>0.70686901643694</v>
      </c>
    </row>
    <row r="381" spans="1:3">
      <c r="A381">
        <v>373</v>
      </c>
      <c r="B381">
        <v>2.9366084214152325E-2</v>
      </c>
      <c r="C381">
        <v>0.92536089148597966</v>
      </c>
    </row>
    <row r="382" spans="1:3">
      <c r="A382">
        <v>374</v>
      </c>
      <c r="B382">
        <v>0.31471608400128692</v>
      </c>
      <c r="C382">
        <v>0.57633731449550396</v>
      </c>
    </row>
    <row r="383" spans="1:3">
      <c r="A383">
        <v>375</v>
      </c>
      <c r="B383">
        <v>8.1697313519589906E-2</v>
      </c>
      <c r="C383">
        <v>0.9414254607327166</v>
      </c>
    </row>
    <row r="384" spans="1:3">
      <c r="A384">
        <v>376</v>
      </c>
      <c r="B384">
        <v>0.23297282850858123</v>
      </c>
      <c r="C384">
        <v>0.88098750597691833</v>
      </c>
    </row>
    <row r="385" spans="1:3">
      <c r="A385">
        <v>377</v>
      </c>
      <c r="B385">
        <v>0.70464444961739814</v>
      </c>
      <c r="C385">
        <v>0.62676713308792387</v>
      </c>
    </row>
    <row r="386" spans="1:3">
      <c r="A386">
        <v>378</v>
      </c>
      <c r="B386">
        <v>0.96618388402140332</v>
      </c>
      <c r="C386">
        <v>0.78496439663013007</v>
      </c>
    </row>
    <row r="387" spans="1:3">
      <c r="A387">
        <v>379</v>
      </c>
      <c r="B387">
        <v>0.29588937472968579</v>
      </c>
      <c r="C387">
        <v>1.634600606848835E-2</v>
      </c>
    </row>
    <row r="388" spans="1:3">
      <c r="A388">
        <v>380</v>
      </c>
      <c r="B388">
        <v>0.72932734233032148</v>
      </c>
      <c r="C388">
        <v>0.45464683110094484</v>
      </c>
    </row>
    <row r="389" spans="1:3">
      <c r="A389">
        <v>381</v>
      </c>
      <c r="B389">
        <v>0.88804422146734885</v>
      </c>
      <c r="C389">
        <v>0.8901757739859022</v>
      </c>
    </row>
    <row r="390" spans="1:3">
      <c r="A390">
        <v>382</v>
      </c>
      <c r="B390">
        <v>0.53888621788911661</v>
      </c>
      <c r="C390">
        <v>0.57777785605958343</v>
      </c>
    </row>
    <row r="391" spans="1:3">
      <c r="A391">
        <v>383</v>
      </c>
      <c r="B391">
        <v>0.14486493057824321</v>
      </c>
      <c r="C391">
        <v>0.13352899689925835</v>
      </c>
    </row>
    <row r="392" spans="1:3">
      <c r="A392">
        <v>384</v>
      </c>
      <c r="B392">
        <v>0.24744268961377505</v>
      </c>
      <c r="C392">
        <v>0.91268550104268797</v>
      </c>
    </row>
    <row r="393" spans="1:3">
      <c r="A393">
        <v>385</v>
      </c>
      <c r="B393">
        <v>0.66119875140422923</v>
      </c>
      <c r="C393">
        <v>0.16900066061680263</v>
      </c>
    </row>
    <row r="394" spans="1:3">
      <c r="A394">
        <v>386</v>
      </c>
      <c r="B394">
        <v>0.82394420991650419</v>
      </c>
      <c r="C394">
        <v>0.20058979244367947</v>
      </c>
    </row>
    <row r="395" spans="1:3">
      <c r="A395">
        <v>387</v>
      </c>
      <c r="B395">
        <v>0.18389513510044087</v>
      </c>
      <c r="C395">
        <v>0.11251462629661546</v>
      </c>
    </row>
    <row r="396" spans="1:3">
      <c r="A396">
        <v>388</v>
      </c>
      <c r="B396">
        <v>0.71641753528183738</v>
      </c>
      <c r="C396">
        <v>1.8305352532479446E-2</v>
      </c>
    </row>
    <row r="397" spans="1:3">
      <c r="A397">
        <v>389</v>
      </c>
      <c r="B397">
        <v>0.88265316056195953</v>
      </c>
      <c r="C397">
        <v>0.46720614455534815</v>
      </c>
    </row>
    <row r="398" spans="1:3">
      <c r="A398">
        <v>390</v>
      </c>
      <c r="B398">
        <v>0.80038359955893457</v>
      </c>
      <c r="C398">
        <v>0.8935579231056181</v>
      </c>
    </row>
    <row r="399" spans="1:3">
      <c r="A399">
        <v>391</v>
      </c>
      <c r="B399">
        <v>0.27754028405005582</v>
      </c>
      <c r="C399">
        <v>0.28713087296364392</v>
      </c>
    </row>
    <row r="400" spans="1:3">
      <c r="A400">
        <v>392</v>
      </c>
      <c r="B400">
        <v>0.45009722407164454</v>
      </c>
      <c r="C400">
        <v>0.90490792819400667</v>
      </c>
    </row>
    <row r="401" spans="1:3">
      <c r="A401">
        <v>393</v>
      </c>
      <c r="B401">
        <v>0.17480775808561774</v>
      </c>
      <c r="C401">
        <v>0.34539142991707195</v>
      </c>
    </row>
    <row r="402" spans="1:3">
      <c r="A402">
        <v>394</v>
      </c>
      <c r="B402">
        <v>0.92499243740062054</v>
      </c>
      <c r="C402">
        <v>0.94897137031057355</v>
      </c>
    </row>
    <row r="403" spans="1:3">
      <c r="A403">
        <v>395</v>
      </c>
      <c r="B403">
        <v>0.39669646562093325</v>
      </c>
      <c r="C403">
        <v>0.79822809666256944</v>
      </c>
    </row>
    <row r="404" spans="1:3">
      <c r="A404">
        <v>396</v>
      </c>
      <c r="B404">
        <v>0.10089880143080344</v>
      </c>
      <c r="C404">
        <v>0.45207366900740453</v>
      </c>
    </row>
    <row r="405" spans="1:3">
      <c r="A405">
        <v>397</v>
      </c>
      <c r="B405">
        <v>0.4392292784860426</v>
      </c>
      <c r="C405">
        <v>0.89634973423744668</v>
      </c>
    </row>
    <row r="406" spans="1:3">
      <c r="A406">
        <v>398</v>
      </c>
      <c r="B406">
        <v>0.54760321524450628</v>
      </c>
      <c r="C406">
        <v>0.30136530154322827</v>
      </c>
    </row>
    <row r="407" spans="1:3">
      <c r="A407">
        <v>399</v>
      </c>
      <c r="B407">
        <v>0.76013333995503685</v>
      </c>
      <c r="C407">
        <v>0.39177482378545392</v>
      </c>
    </row>
    <row r="408" spans="1:3">
      <c r="A408">
        <v>400</v>
      </c>
      <c r="B408">
        <v>4.743833584418481E-2</v>
      </c>
      <c r="C408">
        <v>2.0899958058180346E-2</v>
      </c>
    </row>
    <row r="409" spans="1:3">
      <c r="A409">
        <v>401</v>
      </c>
      <c r="B409">
        <v>0.42000369825121103</v>
      </c>
      <c r="C409">
        <v>0.21467865912563866</v>
      </c>
    </row>
    <row r="410" spans="1:3">
      <c r="A410">
        <v>402</v>
      </c>
      <c r="B410">
        <v>0.63197369879064469</v>
      </c>
      <c r="C410">
        <v>0.55754680151221692</v>
      </c>
    </row>
    <row r="411" spans="1:3">
      <c r="A411">
        <v>403</v>
      </c>
      <c r="B411">
        <v>0.28945610368704799</v>
      </c>
      <c r="C411">
        <v>0.2369352702080505</v>
      </c>
    </row>
    <row r="412" spans="1:3">
      <c r="A412">
        <v>404</v>
      </c>
      <c r="B412">
        <v>0.83216870422106448</v>
      </c>
      <c r="C412">
        <v>0.95592223324911174</v>
      </c>
    </row>
    <row r="413" spans="1:3">
      <c r="A413">
        <v>405</v>
      </c>
      <c r="B413">
        <v>0.49880314943399356</v>
      </c>
      <c r="C413">
        <v>8.4918033078793087E-2</v>
      </c>
    </row>
    <row r="414" spans="1:3">
      <c r="A414">
        <v>406</v>
      </c>
      <c r="B414">
        <v>0.13527442326659206</v>
      </c>
      <c r="C414">
        <v>0.58788427728541137</v>
      </c>
    </row>
    <row r="415" spans="1:3">
      <c r="A415">
        <v>407</v>
      </c>
      <c r="B415">
        <v>1.6134846747418597E-2</v>
      </c>
      <c r="C415">
        <v>0.73147576434806183</v>
      </c>
    </row>
    <row r="416" spans="1:3">
      <c r="A416">
        <v>408</v>
      </c>
      <c r="B416">
        <v>0.55085192728528098</v>
      </c>
      <c r="C416">
        <v>0.76863512076943152</v>
      </c>
    </row>
    <row r="417" spans="1:3">
      <c r="A417">
        <v>409</v>
      </c>
      <c r="B417">
        <v>0.31867591535362322</v>
      </c>
      <c r="C417">
        <v>0.15257985473181179</v>
      </c>
    </row>
    <row r="418" spans="1:3">
      <c r="A418">
        <v>410</v>
      </c>
      <c r="B418">
        <v>0.96483647485841917</v>
      </c>
      <c r="C418">
        <v>0.89341690140008723</v>
      </c>
    </row>
    <row r="419" spans="1:3">
      <c r="A419">
        <v>411</v>
      </c>
      <c r="B419">
        <v>0.52904407351348637</v>
      </c>
      <c r="C419">
        <v>0.56149659958100528</v>
      </c>
    </row>
    <row r="420" spans="1:3">
      <c r="A420">
        <v>412</v>
      </c>
      <c r="B420">
        <v>0.74114961786129263</v>
      </c>
      <c r="C420">
        <v>0.58940048125077737</v>
      </c>
    </row>
    <row r="421" spans="1:3">
      <c r="A421">
        <v>413</v>
      </c>
      <c r="B421">
        <v>0.53634656670744218</v>
      </c>
      <c r="C421">
        <v>0.20106233309616073</v>
      </c>
    </row>
    <row r="422" spans="1:3">
      <c r="A422">
        <v>414</v>
      </c>
      <c r="B422">
        <v>0.50945658586627263</v>
      </c>
      <c r="C422">
        <v>0.75195512607933779</v>
      </c>
    </row>
    <row r="423" spans="1:3">
      <c r="A423">
        <v>415</v>
      </c>
      <c r="B423">
        <v>0.26106749106735627</v>
      </c>
      <c r="C423">
        <v>0.80044958852340642</v>
      </c>
    </row>
    <row r="424" spans="1:3">
      <c r="A424">
        <v>416</v>
      </c>
      <c r="B424">
        <v>0.25281670941850559</v>
      </c>
      <c r="C424">
        <v>0.60293943728265731</v>
      </c>
    </row>
    <row r="425" spans="1:3">
      <c r="A425">
        <v>417</v>
      </c>
      <c r="B425">
        <v>0.12208658050282081</v>
      </c>
      <c r="C425">
        <v>0.70528040159118177</v>
      </c>
    </row>
    <row r="426" spans="1:3">
      <c r="A426">
        <v>418</v>
      </c>
      <c r="B426">
        <v>0.11148787849244844</v>
      </c>
      <c r="C426">
        <v>6.7968674453254607E-2</v>
      </c>
    </row>
    <row r="427" spans="1:3">
      <c r="A427">
        <v>419</v>
      </c>
      <c r="B427">
        <v>0.60263691949393527</v>
      </c>
      <c r="C427">
        <v>9.6119306382661307E-2</v>
      </c>
    </row>
    <row r="428" spans="1:3">
      <c r="A428">
        <v>420</v>
      </c>
      <c r="B428">
        <v>0.99528668366821638</v>
      </c>
      <c r="C428">
        <v>0.35834859277747455</v>
      </c>
    </row>
    <row r="429" spans="1:3">
      <c r="A429">
        <v>421</v>
      </c>
      <c r="B429">
        <v>0.4000775649026217</v>
      </c>
      <c r="C429">
        <v>0.16654939824366011</v>
      </c>
    </row>
    <row r="430" spans="1:3">
      <c r="A430">
        <v>422</v>
      </c>
      <c r="B430">
        <v>0.1298858927623103</v>
      </c>
      <c r="C430">
        <v>0.99966575342386932</v>
      </c>
    </row>
    <row r="431" spans="1:3">
      <c r="A431">
        <v>423</v>
      </c>
      <c r="B431">
        <v>0.79007793260414105</v>
      </c>
      <c r="C431">
        <v>3.7510294287130819E-2</v>
      </c>
    </row>
    <row r="432" spans="1:3">
      <c r="A432">
        <v>424</v>
      </c>
      <c r="B432">
        <v>0.19100068196817319</v>
      </c>
      <c r="C432">
        <v>5.25627503711803E-2</v>
      </c>
    </row>
    <row r="433" spans="1:3">
      <c r="A433">
        <v>425</v>
      </c>
      <c r="B433">
        <v>0.91131058854919633</v>
      </c>
      <c r="C433">
        <v>0.89666468979339697</v>
      </c>
    </row>
    <row r="434" spans="1:3">
      <c r="A434">
        <v>426</v>
      </c>
      <c r="B434">
        <v>4.0346475242717769E-2</v>
      </c>
      <c r="C434">
        <v>0.83761974164281128</v>
      </c>
    </row>
    <row r="435" spans="1:3">
      <c r="A435">
        <v>427</v>
      </c>
      <c r="B435">
        <v>0.6691350965674816</v>
      </c>
      <c r="C435">
        <v>0.5301909423124016</v>
      </c>
    </row>
    <row r="436" spans="1:3">
      <c r="A436">
        <v>428</v>
      </c>
      <c r="B436">
        <v>0.12055708462105996</v>
      </c>
      <c r="C436">
        <v>0.16550800190543669</v>
      </c>
    </row>
    <row r="437" spans="1:3">
      <c r="A437">
        <v>429</v>
      </c>
      <c r="B437">
        <v>0.86578082111100219</v>
      </c>
      <c r="C437">
        <v>0.86742729551770026</v>
      </c>
    </row>
    <row r="438" spans="1:3">
      <c r="A438">
        <v>430</v>
      </c>
      <c r="B438">
        <v>0.49640816204212795</v>
      </c>
      <c r="C438">
        <v>0.98199003516765515</v>
      </c>
    </row>
    <row r="439" spans="1:3">
      <c r="A439">
        <v>431</v>
      </c>
      <c r="B439">
        <v>0.85027280337090438</v>
      </c>
      <c r="C439">
        <v>0.83366594225117296</v>
      </c>
    </row>
    <row r="440" spans="1:3">
      <c r="A440">
        <v>432</v>
      </c>
      <c r="B440">
        <v>0.18880326782837586</v>
      </c>
      <c r="C440">
        <v>0.11223993758630968</v>
      </c>
    </row>
    <row r="441" spans="1:3">
      <c r="A441">
        <v>433</v>
      </c>
      <c r="B441">
        <v>0.26864136925959992</v>
      </c>
      <c r="C441">
        <v>0.75242480424276437</v>
      </c>
    </row>
    <row r="442" spans="1:3">
      <c r="A442">
        <v>434</v>
      </c>
      <c r="B442">
        <v>0.36520820730859604</v>
      </c>
      <c r="C442">
        <v>0.60589490400161594</v>
      </c>
    </row>
    <row r="443" spans="1:3">
      <c r="A443">
        <v>435</v>
      </c>
      <c r="B443">
        <v>0.11456406125718822</v>
      </c>
      <c r="C443">
        <v>0.56476275652221375</v>
      </c>
    </row>
    <row r="444" spans="1:3">
      <c r="A444">
        <v>436</v>
      </c>
      <c r="B444">
        <v>0.16402818441624478</v>
      </c>
      <c r="C444">
        <v>0.41264640565532318</v>
      </c>
    </row>
    <row r="445" spans="1:3">
      <c r="A445">
        <v>437</v>
      </c>
      <c r="B445">
        <v>0.55997676876233349</v>
      </c>
      <c r="C445">
        <v>0.69216414475977217</v>
      </c>
    </row>
    <row r="446" spans="1:3">
      <c r="A446">
        <v>438</v>
      </c>
      <c r="B446">
        <v>0.18743822533577639</v>
      </c>
      <c r="C446">
        <v>0.22878785687862546</v>
      </c>
    </row>
    <row r="447" spans="1:3">
      <c r="A447">
        <v>439</v>
      </c>
      <c r="B447">
        <v>0.26474885546712873</v>
      </c>
      <c r="C447">
        <v>0.75260266247551044</v>
      </c>
    </row>
    <row r="448" spans="1:3">
      <c r="A448">
        <v>440</v>
      </c>
      <c r="B448">
        <v>0.19827581538545799</v>
      </c>
      <c r="C448">
        <v>0.90974795393412933</v>
      </c>
    </row>
    <row r="449" spans="1:3">
      <c r="A449">
        <v>441</v>
      </c>
      <c r="B449">
        <v>0.68662210094989795</v>
      </c>
      <c r="C449">
        <v>0.68629208777838357</v>
      </c>
    </row>
    <row r="450" spans="1:3">
      <c r="A450">
        <v>442</v>
      </c>
      <c r="B450">
        <v>0.84850159765745081</v>
      </c>
      <c r="C450">
        <v>0.71706614348840958</v>
      </c>
    </row>
    <row r="451" spans="1:3">
      <c r="A451">
        <v>443</v>
      </c>
      <c r="B451">
        <v>0.22246634185278469</v>
      </c>
      <c r="C451">
        <v>0.53796497673192789</v>
      </c>
    </row>
    <row r="452" spans="1:3">
      <c r="A452">
        <v>444</v>
      </c>
      <c r="B452">
        <v>0.62301727080834501</v>
      </c>
      <c r="C452">
        <v>0.30591096269563423</v>
      </c>
    </row>
    <row r="453" spans="1:3">
      <c r="A453">
        <v>445</v>
      </c>
      <c r="B453">
        <v>0.11944000216560438</v>
      </c>
      <c r="C453">
        <v>0.73801835613903677</v>
      </c>
    </row>
    <row r="454" spans="1:3">
      <c r="A454">
        <v>446</v>
      </c>
      <c r="B454">
        <v>0.17214044378421747</v>
      </c>
      <c r="C454">
        <v>0.43924150709062815</v>
      </c>
    </row>
    <row r="455" spans="1:3">
      <c r="A455">
        <v>447</v>
      </c>
      <c r="B455">
        <v>0.69805789769255977</v>
      </c>
      <c r="C455">
        <v>0.28273283288945095</v>
      </c>
    </row>
    <row r="456" spans="1:3">
      <c r="A456">
        <v>448</v>
      </c>
      <c r="B456">
        <v>4.3829461462756032E-3</v>
      </c>
      <c r="C456">
        <v>0.17140890889913862</v>
      </c>
    </row>
    <row r="457" spans="1:3">
      <c r="A457">
        <v>449</v>
      </c>
      <c r="B457">
        <v>0.33283249980277207</v>
      </c>
      <c r="C457">
        <v>0.26494360028118535</v>
      </c>
    </row>
    <row r="458" spans="1:3">
      <c r="A458">
        <v>450</v>
      </c>
      <c r="B458">
        <v>0.37081394447544913</v>
      </c>
      <c r="C458">
        <v>0.44866711402755755</v>
      </c>
    </row>
    <row r="459" spans="1:3">
      <c r="A459">
        <v>451</v>
      </c>
      <c r="B459">
        <v>0.58327171698847591</v>
      </c>
      <c r="C459">
        <v>0.3102275004830517</v>
      </c>
    </row>
    <row r="460" spans="1:3">
      <c r="A460">
        <v>452</v>
      </c>
      <c r="B460">
        <v>0.57397522747842011</v>
      </c>
      <c r="C460">
        <v>1.0524076165893348E-2</v>
      </c>
    </row>
    <row r="461" spans="1:3">
      <c r="A461">
        <v>453</v>
      </c>
      <c r="B461">
        <v>0.48827532973146892</v>
      </c>
      <c r="C461">
        <v>2.2104111593762354E-2</v>
      </c>
    </row>
    <row r="462" spans="1:3">
      <c r="A462">
        <v>454</v>
      </c>
      <c r="B462">
        <v>0.21419678557808436</v>
      </c>
      <c r="C462">
        <v>0.66583264180917467</v>
      </c>
    </row>
    <row r="463" spans="1:3">
      <c r="A463">
        <v>455</v>
      </c>
      <c r="B463">
        <v>0.56958746600933075</v>
      </c>
      <c r="C463">
        <v>0.92211402009070298</v>
      </c>
    </row>
    <row r="464" spans="1:3">
      <c r="A464">
        <v>456</v>
      </c>
      <c r="B464">
        <v>0.82174358895787591</v>
      </c>
      <c r="C464">
        <v>0.86468839429289801</v>
      </c>
    </row>
    <row r="465" spans="1:3">
      <c r="A465">
        <v>457</v>
      </c>
      <c r="B465">
        <v>0.34752447169961509</v>
      </c>
      <c r="C465">
        <v>0.39898469546005799</v>
      </c>
    </row>
    <row r="466" spans="1:3">
      <c r="A466">
        <v>458</v>
      </c>
      <c r="B466">
        <v>0.75887140113508134</v>
      </c>
      <c r="C466">
        <v>0.38479514188838948</v>
      </c>
    </row>
    <row r="467" spans="1:3">
      <c r="A467">
        <v>459</v>
      </c>
      <c r="B467">
        <v>0.62825961174123446</v>
      </c>
      <c r="C467">
        <v>0.32058851660713117</v>
      </c>
    </row>
    <row r="468" spans="1:3">
      <c r="A468">
        <v>460</v>
      </c>
      <c r="B468">
        <v>0.47565334596989056</v>
      </c>
      <c r="C468">
        <v>0.38155289872884168</v>
      </c>
    </row>
    <row r="469" spans="1:3">
      <c r="A469">
        <v>461</v>
      </c>
      <c r="B469">
        <v>0.98967198447037297</v>
      </c>
      <c r="C469">
        <v>0.95252432465986203</v>
      </c>
    </row>
    <row r="470" spans="1:3">
      <c r="A470">
        <v>462</v>
      </c>
      <c r="B470">
        <v>0.47028811631265283</v>
      </c>
      <c r="C470">
        <v>0.94316407018595783</v>
      </c>
    </row>
    <row r="471" spans="1:3">
      <c r="A471">
        <v>463</v>
      </c>
      <c r="B471">
        <v>0.14895168358761623</v>
      </c>
      <c r="C471">
        <v>0.91544163538583234</v>
      </c>
    </row>
    <row r="472" spans="1:3">
      <c r="A472">
        <v>464</v>
      </c>
      <c r="B472">
        <v>0.42632306705841866</v>
      </c>
      <c r="C472">
        <v>6.7445113323628902E-2</v>
      </c>
    </row>
    <row r="473" spans="1:3">
      <c r="A473">
        <v>465</v>
      </c>
      <c r="B473">
        <v>1.4506519055111919E-2</v>
      </c>
      <c r="C473">
        <v>0.72145481541792833</v>
      </c>
    </row>
    <row r="474" spans="1:3">
      <c r="A474">
        <v>466</v>
      </c>
      <c r="B474">
        <v>0.92795621877767986</v>
      </c>
      <c r="C474">
        <v>0.24549228036812565</v>
      </c>
    </row>
    <row r="475" spans="1:3">
      <c r="A475">
        <v>467</v>
      </c>
      <c r="B475">
        <v>0.74390084265309875</v>
      </c>
      <c r="C475">
        <v>0.98709850867908244</v>
      </c>
    </row>
    <row r="476" spans="1:3">
      <c r="A476">
        <v>468</v>
      </c>
      <c r="B476">
        <v>0.53103248839570039</v>
      </c>
      <c r="C476">
        <v>0.84468511806700519</v>
      </c>
    </row>
    <row r="477" spans="1:3">
      <c r="A477">
        <v>469</v>
      </c>
      <c r="B477">
        <v>0.57917134363324652</v>
      </c>
      <c r="C477">
        <v>0.95071758965787012</v>
      </c>
    </row>
    <row r="478" spans="1:3">
      <c r="A478">
        <v>470</v>
      </c>
      <c r="B478">
        <v>0.2399835868817716</v>
      </c>
      <c r="C478">
        <v>0.32518725232785073</v>
      </c>
    </row>
    <row r="479" spans="1:3">
      <c r="A479">
        <v>471</v>
      </c>
      <c r="B479">
        <v>0.29129430626036928</v>
      </c>
      <c r="C479">
        <v>7.3625559316496947E-2</v>
      </c>
    </row>
    <row r="480" spans="1:3">
      <c r="A480">
        <v>472</v>
      </c>
      <c r="B480">
        <v>9.6058045038035621E-3</v>
      </c>
      <c r="C480">
        <v>0.53353263467397483</v>
      </c>
    </row>
    <row r="481" spans="1:3">
      <c r="A481">
        <v>473</v>
      </c>
      <c r="B481">
        <v>0.80428002186079506</v>
      </c>
      <c r="C481">
        <v>0.69182126694158796</v>
      </c>
    </row>
    <row r="482" spans="1:3">
      <c r="A482">
        <v>474</v>
      </c>
      <c r="B482">
        <v>0.94533542023118011</v>
      </c>
      <c r="C482">
        <v>0.63134575392177794</v>
      </c>
    </row>
    <row r="483" spans="1:3">
      <c r="A483">
        <v>475</v>
      </c>
      <c r="B483">
        <v>0.58549076285480772</v>
      </c>
      <c r="C483">
        <v>0.46083157860539359</v>
      </c>
    </row>
    <row r="484" spans="1:3">
      <c r="A484">
        <v>476</v>
      </c>
      <c r="B484">
        <v>0.65282736807242669</v>
      </c>
      <c r="C484">
        <v>0.40023996812851692</v>
      </c>
    </row>
    <row r="485" spans="1:3">
      <c r="A485">
        <v>477</v>
      </c>
      <c r="B485">
        <v>0.1330507811184625</v>
      </c>
      <c r="C485">
        <v>0.51738243655290717</v>
      </c>
    </row>
    <row r="486" spans="1:3">
      <c r="A486">
        <v>478</v>
      </c>
      <c r="B486">
        <v>0.70777360852150561</v>
      </c>
      <c r="C486">
        <v>0.1403906038212881</v>
      </c>
    </row>
    <row r="487" spans="1:3">
      <c r="A487">
        <v>479</v>
      </c>
      <c r="B487">
        <v>0.32594296318943211</v>
      </c>
      <c r="C487">
        <v>7.1154580690745206E-2</v>
      </c>
    </row>
    <row r="488" spans="1:3">
      <c r="A488">
        <v>480</v>
      </c>
      <c r="B488">
        <v>0.70038926263255741</v>
      </c>
      <c r="C488">
        <v>0.16679885035955522</v>
      </c>
    </row>
    <row r="489" spans="1:3">
      <c r="A489">
        <v>481</v>
      </c>
      <c r="B489">
        <v>0.71183173344932305</v>
      </c>
      <c r="C489">
        <v>0.76601672291238287</v>
      </c>
    </row>
    <row r="490" spans="1:3">
      <c r="A490">
        <v>482</v>
      </c>
      <c r="B490">
        <v>0.62017235217945943</v>
      </c>
      <c r="C490">
        <v>0.14370020014303009</v>
      </c>
    </row>
    <row r="491" spans="1:3">
      <c r="A491">
        <v>483</v>
      </c>
      <c r="B491">
        <v>0.97521237143576434</v>
      </c>
      <c r="C491">
        <v>9.4492186502975528E-2</v>
      </c>
    </row>
    <row r="492" spans="1:3">
      <c r="A492">
        <v>484</v>
      </c>
      <c r="B492">
        <v>0.42278251621704138</v>
      </c>
      <c r="C492">
        <v>0.14891308225651301</v>
      </c>
    </row>
    <row r="493" spans="1:3">
      <c r="A493">
        <v>485</v>
      </c>
      <c r="B493">
        <v>0.70213752580763256</v>
      </c>
      <c r="C493">
        <v>0.32777039914435591</v>
      </c>
    </row>
    <row r="494" spans="1:3">
      <c r="A494">
        <v>486</v>
      </c>
      <c r="B494">
        <v>0.73645267596246033</v>
      </c>
      <c r="C494">
        <v>0.72170266939792782</v>
      </c>
    </row>
    <row r="495" spans="1:3">
      <c r="A495">
        <v>487</v>
      </c>
      <c r="B495">
        <v>0.28348514034633643</v>
      </c>
      <c r="C495">
        <v>0.58546718635261641</v>
      </c>
    </row>
    <row r="496" spans="1:3">
      <c r="A496">
        <v>488</v>
      </c>
      <c r="B496">
        <v>0.34165699473946753</v>
      </c>
      <c r="C496">
        <v>3.1528967592748813E-3</v>
      </c>
    </row>
    <row r="497" spans="1:12">
      <c r="A497">
        <v>489</v>
      </c>
      <c r="B497">
        <v>6.9719486672831579E-2</v>
      </c>
      <c r="C497">
        <v>0.70752788925437926</v>
      </c>
    </row>
    <row r="498" spans="1:12">
      <c r="A498">
        <v>490</v>
      </c>
      <c r="B498">
        <v>0.50060510236132072</v>
      </c>
      <c r="C498">
        <v>0.5844778162008879</v>
      </c>
    </row>
    <row r="499" spans="1:12">
      <c r="A499">
        <v>491</v>
      </c>
      <c r="B499">
        <v>0.54403785306123043</v>
      </c>
      <c r="C499">
        <v>0.2001492006356953</v>
      </c>
    </row>
    <row r="500" spans="1:12">
      <c r="A500">
        <v>492</v>
      </c>
      <c r="B500">
        <v>0.46666240907569007</v>
      </c>
      <c r="C500">
        <v>0.55619428683894512</v>
      </c>
    </row>
    <row r="501" spans="1:12">
      <c r="A501">
        <v>493</v>
      </c>
      <c r="B501">
        <v>0.53508600628401293</v>
      </c>
      <c r="C501">
        <v>0.32912419175863761</v>
      </c>
    </row>
    <row r="502" spans="1:12">
      <c r="A502">
        <v>494</v>
      </c>
      <c r="B502">
        <v>0.22604034862109471</v>
      </c>
      <c r="C502">
        <v>0.12420579275568855</v>
      </c>
    </row>
    <row r="503" spans="1:12">
      <c r="A503">
        <v>495</v>
      </c>
      <c r="B503">
        <v>0.59141028647111038</v>
      </c>
      <c r="C503">
        <v>0.73695040733764472</v>
      </c>
    </row>
    <row r="504" spans="1:12">
      <c r="A504">
        <v>496</v>
      </c>
      <c r="B504">
        <v>0.6597127061201522</v>
      </c>
      <c r="C504">
        <v>0.25866020159901382</v>
      </c>
    </row>
    <row r="505" spans="1:12">
      <c r="A505">
        <v>497</v>
      </c>
      <c r="B505">
        <v>6.0384001222528516E-2</v>
      </c>
      <c r="C505">
        <v>0.48586338704990339</v>
      </c>
    </row>
    <row r="506" spans="1:12">
      <c r="A506">
        <v>498</v>
      </c>
      <c r="B506">
        <v>0.8187193166838771</v>
      </c>
      <c r="C506">
        <v>0.8919448024016674</v>
      </c>
    </row>
    <row r="507" spans="1:12">
      <c r="A507">
        <v>499</v>
      </c>
      <c r="B507">
        <v>0.9238618127926862</v>
      </c>
      <c r="C507">
        <v>0.59557725440936338</v>
      </c>
    </row>
    <row r="508" spans="1:12">
      <c r="A508">
        <v>500</v>
      </c>
      <c r="B508">
        <v>6.2790099583750147E-2</v>
      </c>
      <c r="C508">
        <v>0.17332491586603282</v>
      </c>
      <c r="I508" t="str">
        <f>SimData500!$B$8</f>
        <v>Latin</v>
      </c>
      <c r="J508" t="s">
        <v>8</v>
      </c>
      <c r="K508" t="str">
        <f>SimData500!$C$8</f>
        <v>Monte</v>
      </c>
      <c r="L508" t="s">
        <v>8</v>
      </c>
    </row>
    <row r="509" spans="1:12">
      <c r="I509">
        <f>SMALL(SimData500!$B$9:$B$508,1)</f>
        <v>8.9498454865417096E-4</v>
      </c>
      <c r="J509">
        <v>0</v>
      </c>
      <c r="K509">
        <f>SMALL(SimData500!$C$9:$C$508,1)</f>
        <v>5.360703835322056E-5</v>
      </c>
      <c r="L509">
        <v>0</v>
      </c>
    </row>
    <row r="510" spans="1:12">
      <c r="A510" t="s">
        <v>18</v>
      </c>
      <c r="I510">
        <f>SMALL(SimData500!$B$9:$B$508,2)</f>
        <v>2.4610811794318916E-3</v>
      </c>
      <c r="J510">
        <f>1/(COUNT(SimData500!$B$9:$B$508)-1)+$J$509</f>
        <v>2.004008016032064E-3</v>
      </c>
      <c r="K510">
        <f>SMALL(SimData500!$C$9:$C$508,2)</f>
        <v>3.1528967592748813E-3</v>
      </c>
      <c r="L510">
        <f>1/(COUNT(SimData500!$C$9:$C$508)-1)+$L$509</f>
        <v>2.004008016032064E-3</v>
      </c>
    </row>
    <row r="511" spans="1:12">
      <c r="A511" t="s">
        <v>19</v>
      </c>
      <c r="B511" t="str">
        <f>IF(ISBLANK($B510)=TRUE,"",_xll.EDF(B9:B508,$B510))</f>
        <v/>
      </c>
      <c r="C511" t="str">
        <f>IF(ISBLANK($C510)=TRUE,"",_xll.EDF(C9:C508,$C510))</f>
        <v/>
      </c>
      <c r="I511">
        <f>SMALL(SimData500!$B$9:$B$508,3)</f>
        <v>4.3829461462756032E-3</v>
      </c>
      <c r="J511">
        <f>1/(COUNT(SimData500!$B$9:$B$508)-1)+$J$510</f>
        <v>4.0080160320641279E-3</v>
      </c>
      <c r="K511">
        <f>SMALL(SimData500!$C$9:$C$508,3)</f>
        <v>1.0524076165893348E-2</v>
      </c>
      <c r="L511">
        <f>1/(COUNT(SimData500!$C$9:$C$508)-1)+$L$510</f>
        <v>4.0080160320641279E-3</v>
      </c>
    </row>
    <row r="512" spans="1:12">
      <c r="A512" t="s">
        <v>20</v>
      </c>
      <c r="I512">
        <f>SMALL(SimData500!$B$9:$B$508,4)</f>
        <v>7.6865085050665093E-3</v>
      </c>
      <c r="J512">
        <f>1/(COUNT(SimData500!$B$9:$B$508)-1)+$J$511</f>
        <v>6.0120240480961915E-3</v>
      </c>
      <c r="K512">
        <f>SMALL(SimData500!$C$9:$C$508,4)</f>
        <v>1.282382496901846E-2</v>
      </c>
      <c r="L512">
        <f>1/(COUNT(SimData500!$C$9:$C$508)-1)+$L$511</f>
        <v>6.0120240480961915E-3</v>
      </c>
    </row>
    <row r="513" spans="1:12">
      <c r="A513" t="s">
        <v>21</v>
      </c>
      <c r="B513" t="str">
        <f>IF(ISBLANK($B512)=TRUE,"",_xll.EDF(B9:B508,$B512))</f>
        <v/>
      </c>
      <c r="C513" t="str">
        <f>IF(ISBLANK($C512)=TRUE,"",_xll.EDF(C9:C508,$C512))</f>
        <v/>
      </c>
      <c r="I513">
        <f>SMALL(SimData500!$B$9:$B$508,5)</f>
        <v>9.6058045038035621E-3</v>
      </c>
      <c r="J513">
        <f>1/(COUNT(SimData500!$B$9:$B$508)-1)+$J$512</f>
        <v>8.0160320641282558E-3</v>
      </c>
      <c r="K513">
        <f>SMALL(SimData500!$C$9:$C$508,5)</f>
        <v>1.3948780559076113E-2</v>
      </c>
      <c r="L513">
        <f>1/(COUNT(SimData500!$C$9:$C$508)-1)+$L$512</f>
        <v>8.0160320641282558E-3</v>
      </c>
    </row>
    <row r="514" spans="1:12">
      <c r="A514" t="s">
        <v>22</v>
      </c>
      <c r="I514">
        <f>SMALL(SimData500!$B$9:$B$508,6)</f>
        <v>1.0463921972658467E-2</v>
      </c>
      <c r="J514">
        <f>1/(COUNT(SimData500!$B$9:$B$508)-1)+$J$513</f>
        <v>1.002004008016032E-2</v>
      </c>
      <c r="K514">
        <f>SMALL(SimData500!$C$9:$C$508,6)</f>
        <v>1.634600606848835E-2</v>
      </c>
      <c r="L514">
        <f>1/(COUNT(SimData500!$C$9:$C$508)-1)+$L$513</f>
        <v>1.002004008016032E-2</v>
      </c>
    </row>
    <row r="515" spans="1:12">
      <c r="A515" t="s">
        <v>23</v>
      </c>
      <c r="B515" t="str">
        <f>IF(ISBLANK($B514)=TRUE,"",_xll.EDF(B9:B508,$B514))</f>
        <v/>
      </c>
      <c r="C515" t="str">
        <f>IF(ISBLANK($C514)=TRUE,"",_xll.EDF(C9:C508,$C514))</f>
        <v/>
      </c>
      <c r="I515">
        <f>SMALL(SimData500!$B$9:$B$508,7)</f>
        <v>1.2150179470924236E-2</v>
      </c>
      <c r="J515">
        <f>1/(COUNT(SimData500!$B$9:$B$508)-1)+$J$514</f>
        <v>1.2024048096192385E-2</v>
      </c>
      <c r="K515">
        <f>SMALL(SimData500!$C$9:$C$508,7)</f>
        <v>1.8305352532479446E-2</v>
      </c>
      <c r="L515">
        <f>1/(COUNT(SimData500!$C$9:$C$508)-1)+$L$514</f>
        <v>1.2024048096192385E-2</v>
      </c>
    </row>
    <row r="516" spans="1:12">
      <c r="A516" t="s">
        <v>24</v>
      </c>
      <c r="I516">
        <f>SMALL(SimData500!$B$9:$B$508,8)</f>
        <v>1.4506519055111919E-2</v>
      </c>
      <c r="J516">
        <f>1/(COUNT(SimData500!$B$9:$B$508)-1)+$J$515</f>
        <v>1.4028056112224449E-2</v>
      </c>
      <c r="K516">
        <f>SMALL(SimData500!$C$9:$C$508,8)</f>
        <v>2.0899958058180346E-2</v>
      </c>
      <c r="L516">
        <f>1/(COUNT(SimData500!$C$9:$C$508)-1)+$L$515</f>
        <v>1.4028056112224449E-2</v>
      </c>
    </row>
    <row r="517" spans="1:12">
      <c r="A517" t="s">
        <v>25</v>
      </c>
      <c r="B517" t="str">
        <f>IF(ISBLANK($B516)=TRUE,"",_xll.EDF(B9:B508,$B516))</f>
        <v/>
      </c>
      <c r="C517" t="str">
        <f>IF(ISBLANK($C516)=TRUE,"",_xll.EDF(C9:C508,$C516))</f>
        <v/>
      </c>
      <c r="I517">
        <f>SMALL(SimData500!$B$9:$B$508,9)</f>
        <v>1.6134846747418597E-2</v>
      </c>
      <c r="J517">
        <f>1/(COUNT(SimData500!$B$9:$B$508)-1)+$J$516</f>
        <v>1.6032064128256512E-2</v>
      </c>
      <c r="K517">
        <f>SMALL(SimData500!$C$9:$C$508,9)</f>
        <v>2.2104111593762354E-2</v>
      </c>
      <c r="L517">
        <f>1/(COUNT(SimData500!$C$9:$C$508)-1)+$L$516</f>
        <v>1.6032064128256512E-2</v>
      </c>
    </row>
    <row r="518" spans="1:12">
      <c r="A518" t="s">
        <v>26</v>
      </c>
      <c r="I518">
        <f>SMALL(SimData500!$B$9:$B$508,10)</f>
        <v>1.8160271186418896E-2</v>
      </c>
      <c r="J518">
        <f>1/(COUNT(SimData500!$B$9:$B$508)-1)+$J$517</f>
        <v>1.8036072144288574E-2</v>
      </c>
      <c r="K518">
        <f>SMALL(SimData500!$C$9:$C$508,10)</f>
        <v>2.7441130713668827E-2</v>
      </c>
      <c r="L518">
        <f>1/(COUNT(SimData500!$C$9:$C$508)-1)+$L$517</f>
        <v>1.8036072144288574E-2</v>
      </c>
    </row>
    <row r="519" spans="1:12">
      <c r="A519" t="s">
        <v>27</v>
      </c>
      <c r="B519" t="str">
        <f>IF(ISBLANK($B518)=TRUE,"",_xll.EDF(B9:B508,$B518))</f>
        <v/>
      </c>
      <c r="C519" t="str">
        <f>IF(ISBLANK($C518)=TRUE,"",_xll.EDF(C9:C508,$C518))</f>
        <v/>
      </c>
      <c r="I519">
        <f>SMALL(SimData500!$B$9:$B$508,11)</f>
        <v>2.0737350022126302E-2</v>
      </c>
      <c r="J519">
        <f>1/(COUNT(SimData500!$B$9:$B$508)-1)+$J$518</f>
        <v>2.0040080160320637E-2</v>
      </c>
      <c r="K519">
        <f>SMALL(SimData500!$C$9:$C$508,11)</f>
        <v>2.7802811349829426E-2</v>
      </c>
      <c r="L519">
        <f>1/(COUNT(SimData500!$C$9:$C$508)-1)+$L$518</f>
        <v>2.0040080160320637E-2</v>
      </c>
    </row>
    <row r="520" spans="1:12">
      <c r="I520">
        <f>SMALL(SimData500!$B$9:$B$508,12)</f>
        <v>2.2518083358769789E-2</v>
      </c>
      <c r="J520">
        <f>1/(COUNT(SimData500!$B$9:$B$508)-1)+$J$519</f>
        <v>2.20440881763527E-2</v>
      </c>
      <c r="K520">
        <f>SMALL(SimData500!$C$9:$C$508,12)</f>
        <v>3.1681696112173086E-2</v>
      </c>
      <c r="L520">
        <f>1/(COUNT(SimData500!$C$9:$C$508)-1)+$L$519</f>
        <v>2.20440881763527E-2</v>
      </c>
    </row>
    <row r="521" spans="1:12">
      <c r="I521">
        <f>SMALL(SimData500!$B$9:$B$508,13)</f>
        <v>2.4280256726844297E-2</v>
      </c>
      <c r="J521">
        <f>1/(COUNT(SimData500!$B$9:$B$508)-1)+$J$520</f>
        <v>2.4048096192384762E-2</v>
      </c>
      <c r="K521">
        <f>SMALL(SimData500!$C$9:$C$508,13)</f>
        <v>3.1950437645718921E-2</v>
      </c>
      <c r="L521">
        <f>1/(COUNT(SimData500!$C$9:$C$508)-1)+$L$520</f>
        <v>2.4048096192384762E-2</v>
      </c>
    </row>
    <row r="522" spans="1:12">
      <c r="I522">
        <f>SMALL(SimData500!$B$9:$B$508,14)</f>
        <v>2.6449174138356273E-2</v>
      </c>
      <c r="J522">
        <f>1/(COUNT(SimData500!$B$9:$B$508)-1)+$J$521</f>
        <v>2.6052104208416825E-2</v>
      </c>
      <c r="K522">
        <f>SMALL(SimData500!$C$9:$C$508,14)</f>
        <v>3.4818510101104039E-2</v>
      </c>
      <c r="L522">
        <f>1/(COUNT(SimData500!$C$9:$C$508)-1)+$L$521</f>
        <v>2.6052104208416825E-2</v>
      </c>
    </row>
    <row r="523" spans="1:12">
      <c r="I523">
        <f>SMALL(SimData500!$B$9:$B$508,15)</f>
        <v>2.9366084214152325E-2</v>
      </c>
      <c r="J523">
        <f>1/(COUNT(SimData500!$B$9:$B$508)-1)+$J$522</f>
        <v>2.8056112224448888E-2</v>
      </c>
      <c r="K523">
        <f>SMALL(SimData500!$C$9:$C$508,15)</f>
        <v>3.5701878655345354E-2</v>
      </c>
      <c r="L523">
        <f>1/(COUNT(SimData500!$C$9:$C$508)-1)+$L$522</f>
        <v>2.8056112224448888E-2</v>
      </c>
    </row>
    <row r="524" spans="1:12">
      <c r="I524">
        <f>SMALL(SimData500!$B$9:$B$508,16)</f>
        <v>3.114689816607789E-2</v>
      </c>
      <c r="J524">
        <f>1/(COUNT(SimData500!$B$9:$B$508)-1)+$J$523</f>
        <v>3.006012024048095E-2</v>
      </c>
      <c r="K524">
        <f>SMALL(SimData500!$C$9:$C$508,16)</f>
        <v>3.6476958286584704E-2</v>
      </c>
      <c r="L524">
        <f>1/(COUNT(SimData500!$C$9:$C$508)-1)+$L$523</f>
        <v>3.006012024048095E-2</v>
      </c>
    </row>
    <row r="525" spans="1:12">
      <c r="I525">
        <f>SMALL(SimData500!$B$9:$B$508,17)</f>
        <v>3.2688896049440121E-2</v>
      </c>
      <c r="J525">
        <f>1/(COUNT(SimData500!$B$9:$B$508)-1)+$J$524</f>
        <v>3.2064128256513016E-2</v>
      </c>
      <c r="K525">
        <f>SMALL(SimData500!$C$9:$C$508,17)</f>
        <v>3.7385695607554226E-2</v>
      </c>
      <c r="L525">
        <f>1/(COUNT(SimData500!$C$9:$C$508)-1)+$L$524</f>
        <v>3.2064128256513016E-2</v>
      </c>
    </row>
    <row r="526" spans="1:12">
      <c r="I526">
        <f>SMALL(SimData500!$B$9:$B$508,18)</f>
        <v>3.5522995573357447E-2</v>
      </c>
      <c r="J526">
        <f>1/(COUNT(SimData500!$B$9:$B$508)-1)+$J$525</f>
        <v>3.4068136272545083E-2</v>
      </c>
      <c r="K526">
        <f>SMALL(SimData500!$C$9:$C$508,18)</f>
        <v>3.7510294287130819E-2</v>
      </c>
      <c r="L526">
        <f>1/(COUNT(SimData500!$C$9:$C$508)-1)+$L$525</f>
        <v>3.4068136272545083E-2</v>
      </c>
    </row>
    <row r="527" spans="1:12">
      <c r="I527">
        <f>SMALL(SimData500!$B$9:$B$508,19)</f>
        <v>3.6822843602584407E-2</v>
      </c>
      <c r="J527">
        <f>1/(COUNT(SimData500!$B$9:$B$508)-1)+$J$526</f>
        <v>3.6072144288577149E-2</v>
      </c>
      <c r="K527">
        <f>SMALL(SimData500!$C$9:$C$508,19)</f>
        <v>3.7612971568705689E-2</v>
      </c>
      <c r="L527">
        <f>1/(COUNT(SimData500!$C$9:$C$508)-1)+$L$526</f>
        <v>3.6072144288577149E-2</v>
      </c>
    </row>
    <row r="528" spans="1:12">
      <c r="I528">
        <f>SMALL(SimData500!$B$9:$B$508,20)</f>
        <v>3.8899683778849357E-2</v>
      </c>
      <c r="J528">
        <f>1/(COUNT(SimData500!$B$9:$B$508)-1)+$J$527</f>
        <v>3.8076152304609215E-2</v>
      </c>
      <c r="K528">
        <f>SMALL(SimData500!$C$9:$C$508,20)</f>
        <v>3.8699369434652908E-2</v>
      </c>
      <c r="L528">
        <f>1/(COUNT(SimData500!$C$9:$C$508)-1)+$L$527</f>
        <v>3.8076152304609215E-2</v>
      </c>
    </row>
    <row r="529" spans="9:12">
      <c r="I529">
        <f>SMALL(SimData500!$B$9:$B$508,21)</f>
        <v>4.0346475242717769E-2</v>
      </c>
      <c r="J529">
        <f>1/(COUNT(SimData500!$B$9:$B$508)-1)+$J$528</f>
        <v>4.0080160320641281E-2</v>
      </c>
      <c r="K529">
        <f>SMALL(SimData500!$C$9:$C$508,21)</f>
        <v>4.1986628863924125E-2</v>
      </c>
      <c r="L529">
        <f>1/(COUNT(SimData500!$C$9:$C$508)-1)+$L$528</f>
        <v>4.0080160320641281E-2</v>
      </c>
    </row>
    <row r="530" spans="9:12">
      <c r="I530">
        <f>SMALL(SimData500!$B$9:$B$508,22)</f>
        <v>4.2284383617407731E-2</v>
      </c>
      <c r="J530">
        <f>1/(COUNT(SimData500!$B$9:$B$508)-1)+$J$529</f>
        <v>4.2084168336673347E-2</v>
      </c>
      <c r="K530">
        <f>SMALL(SimData500!$C$9:$C$508,22)</f>
        <v>4.2979726146768371E-2</v>
      </c>
      <c r="L530">
        <f>1/(COUNT(SimData500!$C$9:$C$508)-1)+$L$529</f>
        <v>4.2084168336673347E-2</v>
      </c>
    </row>
    <row r="531" spans="9:12">
      <c r="I531">
        <f>SMALL(SimData500!$B$9:$B$508,23)</f>
        <v>4.5860830674381188E-2</v>
      </c>
      <c r="J531">
        <f>1/(COUNT(SimData500!$B$9:$B$508)-1)+$J$530</f>
        <v>4.4088176352705413E-2</v>
      </c>
      <c r="K531">
        <f>SMALL(SimData500!$C$9:$C$508,23)</f>
        <v>4.4247171247661754E-2</v>
      </c>
      <c r="L531">
        <f>1/(COUNT(SimData500!$C$9:$C$508)-1)+$L$530</f>
        <v>4.4088176352705413E-2</v>
      </c>
    </row>
    <row r="532" spans="9:12">
      <c r="I532">
        <f>SMALL(SimData500!$B$9:$B$508,24)</f>
        <v>4.743833584418481E-2</v>
      </c>
      <c r="J532">
        <f>1/(COUNT(SimData500!$B$9:$B$508)-1)+$J$531</f>
        <v>4.6092184368737479E-2</v>
      </c>
      <c r="K532">
        <f>SMALL(SimData500!$C$9:$C$508,24)</f>
        <v>5.0284835998354538E-2</v>
      </c>
      <c r="L532">
        <f>1/(COUNT(SimData500!$C$9:$C$508)-1)+$L$531</f>
        <v>4.6092184368737479E-2</v>
      </c>
    </row>
    <row r="533" spans="9:12">
      <c r="I533">
        <f>SMALL(SimData500!$B$9:$B$508,25)</f>
        <v>4.8922840030147428E-2</v>
      </c>
      <c r="J533">
        <f>1/(COUNT(SimData500!$B$9:$B$508)-1)+$J$532</f>
        <v>4.8096192384769546E-2</v>
      </c>
      <c r="K533">
        <f>SMALL(SimData500!$C$9:$C$508,25)</f>
        <v>5.25627503711803E-2</v>
      </c>
      <c r="L533">
        <f>1/(COUNT(SimData500!$C$9:$C$508)-1)+$L$532</f>
        <v>4.8096192384769546E-2</v>
      </c>
    </row>
    <row r="534" spans="9:12">
      <c r="I534">
        <f>SMALL(SimData500!$B$9:$B$508,26)</f>
        <v>5.1087807018563101E-2</v>
      </c>
      <c r="J534">
        <f>1/(COUNT(SimData500!$B$9:$B$508)-1)+$J$533</f>
        <v>5.0100200400801612E-2</v>
      </c>
      <c r="K534">
        <f>SMALL(SimData500!$C$9:$C$508,26)</f>
        <v>5.3987730238986842E-2</v>
      </c>
      <c r="L534">
        <f>1/(COUNT(SimData500!$C$9:$C$508)-1)+$L$533</f>
        <v>5.0100200400801612E-2</v>
      </c>
    </row>
    <row r="535" spans="9:12">
      <c r="I535">
        <f>SMALL(SimData500!$B$9:$B$508,27)</f>
        <v>5.2998589924303487E-2</v>
      </c>
      <c r="J535">
        <f>1/(COUNT(SimData500!$B$9:$B$508)-1)+$J$534</f>
        <v>5.2104208416833678E-2</v>
      </c>
      <c r="K535">
        <f>SMALL(SimData500!$C$9:$C$508,27)</f>
        <v>5.6660458343685605E-2</v>
      </c>
      <c r="L535">
        <f>1/(COUNT(SimData500!$C$9:$C$508)-1)+$L$534</f>
        <v>5.2104208416833678E-2</v>
      </c>
    </row>
    <row r="536" spans="9:12">
      <c r="I536">
        <f>SMALL(SimData500!$B$9:$B$508,28)</f>
        <v>5.4365112603727055E-2</v>
      </c>
      <c r="J536">
        <f>1/(COUNT(SimData500!$B$9:$B$508)-1)+$J$535</f>
        <v>5.4108216432865744E-2</v>
      </c>
      <c r="K536">
        <f>SMALL(SimData500!$C$9:$C$508,28)</f>
        <v>6.060179513588082E-2</v>
      </c>
      <c r="L536">
        <f>1/(COUNT(SimData500!$C$9:$C$508)-1)+$L$535</f>
        <v>5.4108216432865744E-2</v>
      </c>
    </row>
    <row r="537" spans="9:12">
      <c r="I537">
        <f>SMALL(SimData500!$B$9:$B$508,29)</f>
        <v>5.7862474789345288E-2</v>
      </c>
      <c r="J537">
        <f>1/(COUNT(SimData500!$B$9:$B$508)-1)+$J$536</f>
        <v>5.611222444889781E-2</v>
      </c>
      <c r="K537">
        <f>SMALL(SimData500!$C$9:$C$508,29)</f>
        <v>6.2022045186495234E-2</v>
      </c>
      <c r="L537">
        <f>1/(COUNT(SimData500!$C$9:$C$508)-1)+$L$536</f>
        <v>5.611222444889781E-2</v>
      </c>
    </row>
    <row r="538" spans="9:12">
      <c r="I538">
        <f>SMALL(SimData500!$B$9:$B$508,30)</f>
        <v>5.8825073841220016E-2</v>
      </c>
      <c r="J538">
        <f>1/(COUNT(SimData500!$B$9:$B$508)-1)+$J$537</f>
        <v>5.8116232464929876E-2</v>
      </c>
      <c r="K538">
        <f>SMALL(SimData500!$C$9:$C$508,30)</f>
        <v>6.268837803054339E-2</v>
      </c>
      <c r="L538">
        <f>1/(COUNT(SimData500!$C$9:$C$508)-1)+$L$537</f>
        <v>5.8116232464929876E-2</v>
      </c>
    </row>
    <row r="539" spans="9:12">
      <c r="I539">
        <f>SMALL(SimData500!$B$9:$B$508,31)</f>
        <v>6.0384001222528516E-2</v>
      </c>
      <c r="J539">
        <f>1/(COUNT(SimData500!$B$9:$B$508)-1)+$J$538</f>
        <v>6.0120240480961942E-2</v>
      </c>
      <c r="K539">
        <f>SMALL(SimData500!$C$9:$C$508,31)</f>
        <v>6.6950813637049578E-2</v>
      </c>
      <c r="L539">
        <f>1/(COUNT(SimData500!$C$9:$C$508)-1)+$L$538</f>
        <v>6.0120240480961942E-2</v>
      </c>
    </row>
    <row r="540" spans="9:12">
      <c r="I540">
        <f>SMALL(SimData500!$B$9:$B$508,32)</f>
        <v>6.2790099583750147E-2</v>
      </c>
      <c r="J540">
        <f>1/(COUNT(SimData500!$B$9:$B$508)-1)+$J$539</f>
        <v>6.2124248496994008E-2</v>
      </c>
      <c r="K540">
        <f>SMALL(SimData500!$C$9:$C$508,32)</f>
        <v>6.7445113323628902E-2</v>
      </c>
      <c r="L540">
        <f>1/(COUNT(SimData500!$C$9:$C$508)-1)+$L$539</f>
        <v>6.2124248496994008E-2</v>
      </c>
    </row>
    <row r="541" spans="9:12">
      <c r="I541">
        <f>SMALL(SimData500!$B$9:$B$508,33)</f>
        <v>6.5950196295499378E-2</v>
      </c>
      <c r="J541">
        <f>1/(COUNT(SimData500!$B$9:$B$508)-1)+$J$540</f>
        <v>6.4128256513026075E-2</v>
      </c>
      <c r="K541">
        <f>SMALL(SimData500!$C$9:$C$508,33)</f>
        <v>6.7968674453254607E-2</v>
      </c>
      <c r="L541">
        <f>1/(COUNT(SimData500!$C$9:$C$508)-1)+$L$540</f>
        <v>6.4128256513026075E-2</v>
      </c>
    </row>
    <row r="542" spans="9:12">
      <c r="I542">
        <f>SMALL(SimData500!$B$9:$B$508,34)</f>
        <v>6.7927512472478552E-2</v>
      </c>
      <c r="J542">
        <f>1/(COUNT(SimData500!$B$9:$B$508)-1)+$J$541</f>
        <v>6.6132264529058141E-2</v>
      </c>
      <c r="K542">
        <f>SMALL(SimData500!$C$9:$C$508,34)</f>
        <v>6.8294557669105416E-2</v>
      </c>
      <c r="L542">
        <f>1/(COUNT(SimData500!$C$9:$C$508)-1)+$L$541</f>
        <v>6.6132264529058141E-2</v>
      </c>
    </row>
    <row r="543" spans="9:12">
      <c r="I543">
        <f>SMALL(SimData500!$B$9:$B$508,35)</f>
        <v>6.9719486672831579E-2</v>
      </c>
      <c r="J543">
        <f>1/(COUNT(SimData500!$B$9:$B$508)-1)+$J$542</f>
        <v>6.8136272545090207E-2</v>
      </c>
      <c r="K543">
        <f>SMALL(SimData500!$C$9:$C$508,35)</f>
        <v>6.8329399247886613E-2</v>
      </c>
      <c r="L543">
        <f>1/(COUNT(SimData500!$C$9:$C$508)-1)+$L$542</f>
        <v>6.8136272545090207E-2</v>
      </c>
    </row>
    <row r="544" spans="9:12">
      <c r="I544">
        <f>SMALL(SimData500!$B$9:$B$508,36)</f>
        <v>7.182168631391174E-2</v>
      </c>
      <c r="J544">
        <f>1/(COUNT(SimData500!$B$9:$B$508)-1)+$J$543</f>
        <v>7.0140280561122273E-2</v>
      </c>
      <c r="K544">
        <f>SMALL(SimData500!$C$9:$C$508,36)</f>
        <v>7.0606277651677374E-2</v>
      </c>
      <c r="L544">
        <f>1/(COUNT(SimData500!$C$9:$C$508)-1)+$L$543</f>
        <v>7.0140280561122273E-2</v>
      </c>
    </row>
    <row r="545" spans="9:12">
      <c r="I545">
        <f>SMALL(SimData500!$B$9:$B$508,37)</f>
        <v>7.2961000300701934E-2</v>
      </c>
      <c r="J545">
        <f>1/(COUNT(SimData500!$B$9:$B$508)-1)+$J$544</f>
        <v>7.2144288577154339E-2</v>
      </c>
      <c r="K545">
        <f>SMALL(SimData500!$C$9:$C$508,37)</f>
        <v>7.1154580690745206E-2</v>
      </c>
      <c r="L545">
        <f>1/(COUNT(SimData500!$C$9:$C$508)-1)+$L$544</f>
        <v>7.2144288577154339E-2</v>
      </c>
    </row>
    <row r="546" spans="9:12">
      <c r="I546">
        <f>SMALL(SimData500!$B$9:$B$508,38)</f>
        <v>7.46411420872065E-2</v>
      </c>
      <c r="J546">
        <f>1/(COUNT(SimData500!$B$9:$B$508)-1)+$J$545</f>
        <v>7.4148296593186405E-2</v>
      </c>
      <c r="K546">
        <f>SMALL(SimData500!$C$9:$C$508,38)</f>
        <v>7.3249053513791296E-2</v>
      </c>
      <c r="L546">
        <f>1/(COUNT(SimData500!$C$9:$C$508)-1)+$L$545</f>
        <v>7.4148296593186405E-2</v>
      </c>
    </row>
    <row r="547" spans="9:12">
      <c r="I547">
        <f>SMALL(SimData500!$B$9:$B$508,39)</f>
        <v>7.6397199106029517E-2</v>
      </c>
      <c r="J547">
        <f>1/(COUNT(SimData500!$B$9:$B$508)-1)+$J$546</f>
        <v>7.6152304609218471E-2</v>
      </c>
      <c r="K547">
        <f>SMALL(SimData500!$C$9:$C$508,39)</f>
        <v>7.3625559316496947E-2</v>
      </c>
      <c r="L547">
        <f>1/(COUNT(SimData500!$C$9:$C$508)-1)+$L$546</f>
        <v>7.6152304609218471E-2</v>
      </c>
    </row>
    <row r="548" spans="9:12">
      <c r="I548">
        <f>SMALL(SimData500!$B$9:$B$508,40)</f>
        <v>7.9210480125437133E-2</v>
      </c>
      <c r="J548">
        <f>1/(COUNT(SimData500!$B$9:$B$508)-1)+$J$547</f>
        <v>7.8156312625250537E-2</v>
      </c>
      <c r="K548">
        <f>SMALL(SimData500!$C$9:$C$508,40)</f>
        <v>7.6704312691617815E-2</v>
      </c>
      <c r="L548">
        <f>1/(COUNT(SimData500!$C$9:$C$508)-1)+$L$547</f>
        <v>7.8156312625250537E-2</v>
      </c>
    </row>
    <row r="549" spans="9:12">
      <c r="I549">
        <f>SMALL(SimData500!$B$9:$B$508,41)</f>
        <v>8.1697313519589906E-2</v>
      </c>
      <c r="J549">
        <f>1/(COUNT(SimData500!$B$9:$B$508)-1)+$J$548</f>
        <v>8.0160320641282604E-2</v>
      </c>
      <c r="K549">
        <f>SMALL(SimData500!$C$9:$C$508,41)</f>
        <v>7.8716404877013701E-2</v>
      </c>
      <c r="L549">
        <f>1/(COUNT(SimData500!$C$9:$C$508)-1)+$L$548</f>
        <v>8.0160320641282604E-2</v>
      </c>
    </row>
    <row r="550" spans="9:12">
      <c r="I550">
        <f>SMALL(SimData500!$B$9:$B$508,42)</f>
        <v>8.2625588322669641E-2</v>
      </c>
      <c r="J550">
        <f>1/(COUNT(SimData500!$B$9:$B$508)-1)+$J$549</f>
        <v>8.216432865731467E-2</v>
      </c>
      <c r="K550">
        <f>SMALL(SimData500!$C$9:$C$508,42)</f>
        <v>8.0395121305627981E-2</v>
      </c>
      <c r="L550">
        <f>1/(COUNT(SimData500!$C$9:$C$508)-1)+$L$549</f>
        <v>8.216432865731467E-2</v>
      </c>
    </row>
    <row r="551" spans="9:12">
      <c r="I551">
        <f>SMALL(SimData500!$B$9:$B$508,43)</f>
        <v>8.5938923311871224E-2</v>
      </c>
      <c r="J551">
        <f>1/(COUNT(SimData500!$B$9:$B$508)-1)+$J$550</f>
        <v>8.4168336673346736E-2</v>
      </c>
      <c r="K551">
        <f>SMALL(SimData500!$C$9:$C$508,43)</f>
        <v>8.1076568151729589E-2</v>
      </c>
      <c r="L551">
        <f>1/(COUNT(SimData500!$C$9:$C$508)-1)+$L$550</f>
        <v>8.4168336673346736E-2</v>
      </c>
    </row>
    <row r="552" spans="9:12">
      <c r="I552">
        <f>SMALL(SimData500!$B$9:$B$508,44)</f>
        <v>8.7941896393881627E-2</v>
      </c>
      <c r="J552">
        <f>1/(COUNT(SimData500!$B$9:$B$508)-1)+$J$551</f>
        <v>8.6172344689378802E-2</v>
      </c>
      <c r="K552">
        <f>SMALL(SimData500!$C$9:$C$508,44)</f>
        <v>8.3227851650008233E-2</v>
      </c>
      <c r="L552">
        <f>1/(COUNT(SimData500!$C$9:$C$508)-1)+$L$551</f>
        <v>8.6172344689378802E-2</v>
      </c>
    </row>
    <row r="553" spans="9:12">
      <c r="I553">
        <f>SMALL(SimData500!$B$9:$B$508,45)</f>
        <v>8.8287832611773129E-2</v>
      </c>
      <c r="J553">
        <f>1/(COUNT(SimData500!$B$9:$B$508)-1)+$J$552</f>
        <v>8.8176352705410868E-2</v>
      </c>
      <c r="K553">
        <f>SMALL(SimData500!$C$9:$C$508,45)</f>
        <v>8.4439316267889808E-2</v>
      </c>
      <c r="L553">
        <f>1/(COUNT(SimData500!$C$9:$C$508)-1)+$L$552</f>
        <v>8.8176352705410868E-2</v>
      </c>
    </row>
    <row r="554" spans="9:12">
      <c r="I554">
        <f>SMALL(SimData500!$B$9:$B$508,46)</f>
        <v>9.0724696621001855E-2</v>
      </c>
      <c r="J554">
        <f>1/(COUNT(SimData500!$B$9:$B$508)-1)+$J$553</f>
        <v>9.0180360721442934E-2</v>
      </c>
      <c r="K554">
        <f>SMALL(SimData500!$C$9:$C$508,46)</f>
        <v>8.4918033078793087E-2</v>
      </c>
      <c r="L554">
        <f>1/(COUNT(SimData500!$C$9:$C$508)-1)+$L$553</f>
        <v>9.0180360721442934E-2</v>
      </c>
    </row>
    <row r="555" spans="9:12">
      <c r="I555">
        <f>SMALL(SimData500!$B$9:$B$508,47)</f>
        <v>9.279781756382384E-2</v>
      </c>
      <c r="J555">
        <f>1/(COUNT(SimData500!$B$9:$B$508)-1)+$J$554</f>
        <v>9.2184368737475E-2</v>
      </c>
      <c r="K555">
        <f>SMALL(SimData500!$C$9:$C$508,47)</f>
        <v>8.5129269147728337E-2</v>
      </c>
      <c r="L555">
        <f>1/(COUNT(SimData500!$C$9:$C$508)-1)+$L$554</f>
        <v>9.2184368737475E-2</v>
      </c>
    </row>
    <row r="556" spans="9:12">
      <c r="I556">
        <f>SMALL(SimData500!$B$9:$B$508,48)</f>
        <v>9.5667917135559929E-2</v>
      </c>
      <c r="J556">
        <f>1/(COUNT(SimData500!$B$9:$B$508)-1)+$J$555</f>
        <v>9.4188376753507067E-2</v>
      </c>
      <c r="K556">
        <f>SMALL(SimData500!$C$9:$C$508,48)</f>
        <v>8.6665058296603092E-2</v>
      </c>
      <c r="L556">
        <f>1/(COUNT(SimData500!$C$9:$C$508)-1)+$L$555</f>
        <v>9.4188376753507067E-2</v>
      </c>
    </row>
    <row r="557" spans="9:12">
      <c r="I557">
        <f>SMALL(SimData500!$B$9:$B$508,49)</f>
        <v>9.7693161822318367E-2</v>
      </c>
      <c r="J557">
        <f>1/(COUNT(SimData500!$B$9:$B$508)-1)+$J$556</f>
        <v>9.6192384769539133E-2</v>
      </c>
      <c r="K557">
        <f>SMALL(SimData500!$C$9:$C$508,49)</f>
        <v>8.7921752599868341E-2</v>
      </c>
      <c r="L557">
        <f>1/(COUNT(SimData500!$C$9:$C$508)-1)+$L$556</f>
        <v>9.6192384769539133E-2</v>
      </c>
    </row>
    <row r="558" spans="9:12">
      <c r="I558">
        <f>SMALL(SimData500!$B$9:$B$508,50)</f>
        <v>9.9176887973485714E-2</v>
      </c>
      <c r="J558">
        <f>1/(COUNT(SimData500!$B$9:$B$508)-1)+$J$557</f>
        <v>9.8196392785571199E-2</v>
      </c>
      <c r="K558">
        <f>SMALL(SimData500!$C$9:$C$508,50)</f>
        <v>9.4492186502975528E-2</v>
      </c>
      <c r="L558">
        <f>1/(COUNT(SimData500!$C$9:$C$508)-1)+$L$557</f>
        <v>9.8196392785571199E-2</v>
      </c>
    </row>
    <row r="559" spans="9:12">
      <c r="I559">
        <f>SMALL(SimData500!$B$9:$B$508,51)</f>
        <v>0.10089880143080344</v>
      </c>
      <c r="J559">
        <f>1/(COUNT(SimData500!$B$9:$B$508)-1)+$J$558</f>
        <v>0.10020040080160326</v>
      </c>
      <c r="K559">
        <f>SMALL(SimData500!$C$9:$C$508,51)</f>
        <v>9.6119306382661307E-2</v>
      </c>
      <c r="L559">
        <f>1/(COUNT(SimData500!$C$9:$C$508)-1)+$L$558</f>
        <v>0.10020040080160326</v>
      </c>
    </row>
    <row r="560" spans="9:12">
      <c r="I560">
        <f>SMALL(SimData500!$B$9:$B$508,52)</f>
        <v>0.10377789906081229</v>
      </c>
      <c r="J560">
        <f>1/(COUNT(SimData500!$B$9:$B$508)-1)+$J$559</f>
        <v>0.10220440881763533</v>
      </c>
      <c r="K560">
        <f>SMALL(SimData500!$C$9:$C$508,52)</f>
        <v>0.10983249634773529</v>
      </c>
      <c r="L560">
        <f>1/(COUNT(SimData500!$C$9:$C$508)-1)+$L$559</f>
        <v>0.10220440881763533</v>
      </c>
    </row>
    <row r="561" spans="9:12">
      <c r="I561">
        <f>SMALL(SimData500!$B$9:$B$508,53)</f>
        <v>0.10499784772586959</v>
      </c>
      <c r="J561">
        <f>1/(COUNT(SimData500!$B$9:$B$508)-1)+$J$560</f>
        <v>0.1042084168336674</v>
      </c>
      <c r="K561">
        <f>SMALL(SimData500!$C$9:$C$508,53)</f>
        <v>0.11050421326490323</v>
      </c>
      <c r="L561">
        <f>1/(COUNT(SimData500!$C$9:$C$508)-1)+$L$560</f>
        <v>0.1042084168336674</v>
      </c>
    </row>
    <row r="562" spans="9:12">
      <c r="I562">
        <f>SMALL(SimData500!$B$9:$B$508,54)</f>
        <v>0.10797235742769491</v>
      </c>
      <c r="J562">
        <f>1/(COUNT(SimData500!$B$9:$B$508)-1)+$J$561</f>
        <v>0.10621242484969946</v>
      </c>
      <c r="K562">
        <f>SMALL(SimData500!$C$9:$C$508,54)</f>
        <v>0.11115129116478784</v>
      </c>
      <c r="L562">
        <f>1/(COUNT(SimData500!$C$9:$C$508)-1)+$L$561</f>
        <v>0.10621242484969946</v>
      </c>
    </row>
    <row r="563" spans="9:12">
      <c r="I563">
        <f>SMALL(SimData500!$B$9:$B$508,55)</f>
        <v>0.10890880101754069</v>
      </c>
      <c r="J563">
        <f>1/(COUNT(SimData500!$B$9:$B$508)-1)+$J$562</f>
        <v>0.10821643286573153</v>
      </c>
      <c r="K563">
        <f>SMALL(SimData500!$C$9:$C$508,55)</f>
        <v>0.11223993758630968</v>
      </c>
      <c r="L563">
        <f>1/(COUNT(SimData500!$C$9:$C$508)-1)+$L$562</f>
        <v>0.10821643286573153</v>
      </c>
    </row>
    <row r="564" spans="9:12">
      <c r="I564">
        <f>SMALL(SimData500!$B$9:$B$508,56)</f>
        <v>0.11148787849244844</v>
      </c>
      <c r="J564">
        <f>1/(COUNT(SimData500!$B$9:$B$508)-1)+$J$563</f>
        <v>0.1102204408817636</v>
      </c>
      <c r="K564">
        <f>SMALL(SimData500!$C$9:$C$508,56)</f>
        <v>0.11251462629661546</v>
      </c>
      <c r="L564">
        <f>1/(COUNT(SimData500!$C$9:$C$508)-1)+$L$563</f>
        <v>0.1102204408817636</v>
      </c>
    </row>
    <row r="565" spans="9:12">
      <c r="I565">
        <f>SMALL(SimData500!$B$9:$B$508,57)</f>
        <v>0.11200066098989934</v>
      </c>
      <c r="J565">
        <f>1/(COUNT(SimData500!$B$9:$B$508)-1)+$J$564</f>
        <v>0.11222444889779566</v>
      </c>
      <c r="K565">
        <f>SMALL(SimData500!$C$9:$C$508,57)</f>
        <v>0.11815121772997372</v>
      </c>
      <c r="L565">
        <f>1/(COUNT(SimData500!$C$9:$C$508)-1)+$L$564</f>
        <v>0.11222444889779566</v>
      </c>
    </row>
    <row r="566" spans="9:12">
      <c r="I566">
        <f>SMALL(SimData500!$B$9:$B$508,58)</f>
        <v>0.11456406125718822</v>
      </c>
      <c r="J566">
        <f>1/(COUNT(SimData500!$B$9:$B$508)-1)+$J$565</f>
        <v>0.11422845691382773</v>
      </c>
      <c r="K566">
        <f>SMALL(SimData500!$C$9:$C$508,58)</f>
        <v>0.12420579275568855</v>
      </c>
      <c r="L566">
        <f>1/(COUNT(SimData500!$C$9:$C$508)-1)+$L$565</f>
        <v>0.11422845691382773</v>
      </c>
    </row>
    <row r="567" spans="9:12">
      <c r="I567">
        <f>SMALL(SimData500!$B$9:$B$508,59)</f>
        <v>0.11626932891045449</v>
      </c>
      <c r="J567">
        <f>1/(COUNT(SimData500!$B$9:$B$508)-1)+$J$566</f>
        <v>0.11623246492985979</v>
      </c>
      <c r="K567">
        <f>SMALL(SimData500!$C$9:$C$508,59)</f>
        <v>0.12640360470504675</v>
      </c>
      <c r="L567">
        <f>1/(COUNT(SimData500!$C$9:$C$508)-1)+$L$566</f>
        <v>0.11623246492985979</v>
      </c>
    </row>
    <row r="568" spans="9:12">
      <c r="I568">
        <f>SMALL(SimData500!$B$9:$B$508,60)</f>
        <v>0.11944000216560438</v>
      </c>
      <c r="J568">
        <f>1/(COUNT(SimData500!$B$9:$B$508)-1)+$J$567</f>
        <v>0.11823647294589186</v>
      </c>
      <c r="K568">
        <f>SMALL(SimData500!$C$9:$C$508,60)</f>
        <v>0.13027671848340105</v>
      </c>
      <c r="L568">
        <f>1/(COUNT(SimData500!$C$9:$C$508)-1)+$L$567</f>
        <v>0.11823647294589186</v>
      </c>
    </row>
    <row r="569" spans="9:12">
      <c r="I569">
        <f>SMALL(SimData500!$B$9:$B$508,61)</f>
        <v>0.12055708462105996</v>
      </c>
      <c r="J569">
        <f>1/(COUNT(SimData500!$B$9:$B$508)-1)+$J$568</f>
        <v>0.12024048096192393</v>
      </c>
      <c r="K569">
        <f>SMALL(SimData500!$C$9:$C$508,61)</f>
        <v>0.13080956998692272</v>
      </c>
      <c r="L569">
        <f>1/(COUNT(SimData500!$C$9:$C$508)-1)+$L$568</f>
        <v>0.12024048096192393</v>
      </c>
    </row>
    <row r="570" spans="9:12">
      <c r="I570">
        <f>SMALL(SimData500!$B$9:$B$508,62)</f>
        <v>0.12208658050282081</v>
      </c>
      <c r="J570">
        <f>1/(COUNT(SimData500!$B$9:$B$508)-1)+$J$569</f>
        <v>0.12224448897795599</v>
      </c>
      <c r="K570">
        <f>SMALL(SimData500!$C$9:$C$508,62)</f>
        <v>0.13220749739775783</v>
      </c>
      <c r="L570">
        <f>1/(COUNT(SimData500!$C$9:$C$508)-1)+$L$569</f>
        <v>0.12224448897795599</v>
      </c>
    </row>
    <row r="571" spans="9:12">
      <c r="I571">
        <f>SMALL(SimData500!$B$9:$B$508,63)</f>
        <v>0.12471743138011485</v>
      </c>
      <c r="J571">
        <f>1/(COUNT(SimData500!$B$9:$B$508)-1)+$J$570</f>
        <v>0.12424849699398806</v>
      </c>
      <c r="K571">
        <f>SMALL(SimData500!$C$9:$C$508,63)</f>
        <v>0.13318659480319184</v>
      </c>
      <c r="L571">
        <f>1/(COUNT(SimData500!$C$9:$C$508)-1)+$L$570</f>
        <v>0.12424849699398806</v>
      </c>
    </row>
    <row r="572" spans="9:12">
      <c r="I572">
        <f>SMALL(SimData500!$B$9:$B$508,64)</f>
        <v>0.12731575134706585</v>
      </c>
      <c r="J572">
        <f>1/(COUNT(SimData500!$B$9:$B$508)-1)+$J$571</f>
        <v>0.12625250501002011</v>
      </c>
      <c r="K572">
        <f>SMALL(SimData500!$C$9:$C$508,64)</f>
        <v>0.13352899689925835</v>
      </c>
      <c r="L572">
        <f>1/(COUNT(SimData500!$C$9:$C$508)-1)+$L$571</f>
        <v>0.12625250501002011</v>
      </c>
    </row>
    <row r="573" spans="9:12">
      <c r="I573">
        <f>SMALL(SimData500!$B$9:$B$508,65)</f>
        <v>0.1298858927623103</v>
      </c>
      <c r="J573">
        <f>1/(COUNT(SimData500!$B$9:$B$508)-1)+$J$572</f>
        <v>0.12825651302605218</v>
      </c>
      <c r="K573">
        <f>SMALL(SimData500!$C$9:$C$508,65)</f>
        <v>0.13382627224564203</v>
      </c>
      <c r="L573">
        <f>1/(COUNT(SimData500!$C$9:$C$508)-1)+$L$572</f>
        <v>0.12825651302605218</v>
      </c>
    </row>
    <row r="574" spans="9:12">
      <c r="I574">
        <f>SMALL(SimData500!$B$9:$B$508,66)</f>
        <v>0.13024654389830459</v>
      </c>
      <c r="J574">
        <f>1/(COUNT(SimData500!$B$9:$B$508)-1)+$J$573</f>
        <v>0.13026052104208424</v>
      </c>
      <c r="K574">
        <f>SMALL(SimData500!$C$9:$C$508,66)</f>
        <v>0.13412511772457947</v>
      </c>
      <c r="L574">
        <f>1/(COUNT(SimData500!$C$9:$C$508)-1)+$L$573</f>
        <v>0.13026052104208424</v>
      </c>
    </row>
    <row r="575" spans="9:12">
      <c r="I575">
        <f>SMALL(SimData500!$B$9:$B$508,67)</f>
        <v>0.1330507811184625</v>
      </c>
      <c r="J575">
        <f>1/(COUNT(SimData500!$B$9:$B$508)-1)+$J$574</f>
        <v>0.13226452905811631</v>
      </c>
      <c r="K575">
        <f>SMALL(SimData500!$C$9:$C$508,67)</f>
        <v>0.13746213534068374</v>
      </c>
      <c r="L575">
        <f>1/(COUNT(SimData500!$C$9:$C$508)-1)+$L$574</f>
        <v>0.13226452905811631</v>
      </c>
    </row>
    <row r="576" spans="9:12">
      <c r="I576">
        <f>SMALL(SimData500!$B$9:$B$508,68)</f>
        <v>0.13527442326659206</v>
      </c>
      <c r="J576">
        <f>1/(COUNT(SimData500!$B$9:$B$508)-1)+$J$575</f>
        <v>0.13426853707414838</v>
      </c>
      <c r="K576">
        <f>SMALL(SimData500!$C$9:$C$508,68)</f>
        <v>0.14038832582991745</v>
      </c>
      <c r="L576">
        <f>1/(COUNT(SimData500!$C$9:$C$508)-1)+$L$575</f>
        <v>0.13426853707414838</v>
      </c>
    </row>
    <row r="577" spans="9:12">
      <c r="I577">
        <f>SMALL(SimData500!$B$9:$B$508,69)</f>
        <v>0.13693198440711293</v>
      </c>
      <c r="J577">
        <f>1/(COUNT(SimData500!$B$9:$B$508)-1)+$J$576</f>
        <v>0.13627254509018044</v>
      </c>
      <c r="K577">
        <f>SMALL(SimData500!$C$9:$C$508,69)</f>
        <v>0.1403906038212881</v>
      </c>
      <c r="L577">
        <f>1/(COUNT(SimData500!$C$9:$C$508)-1)+$L$576</f>
        <v>0.13627254509018044</v>
      </c>
    </row>
    <row r="578" spans="9:12">
      <c r="I578">
        <f>SMALL(SimData500!$B$9:$B$508,70)</f>
        <v>0.13917134226327096</v>
      </c>
      <c r="J578">
        <f>1/(COUNT(SimData500!$B$9:$B$508)-1)+$J$577</f>
        <v>0.13827655310621251</v>
      </c>
      <c r="K578">
        <f>SMALL(SimData500!$C$9:$C$508,70)</f>
        <v>0.14123235792339983</v>
      </c>
      <c r="L578">
        <f>1/(COUNT(SimData500!$C$9:$C$508)-1)+$L$577</f>
        <v>0.13827655310621251</v>
      </c>
    </row>
    <row r="579" spans="9:12">
      <c r="I579">
        <f>SMALL(SimData500!$B$9:$B$508,71)</f>
        <v>0.14092622078091985</v>
      </c>
      <c r="J579">
        <f>1/(COUNT(SimData500!$B$9:$B$508)-1)+$J$578</f>
        <v>0.14028056112224457</v>
      </c>
      <c r="K579">
        <f>SMALL(SimData500!$C$9:$C$508,71)</f>
        <v>0.1413443079118224</v>
      </c>
      <c r="L579">
        <f>1/(COUNT(SimData500!$C$9:$C$508)-1)+$L$578</f>
        <v>0.14028056112224457</v>
      </c>
    </row>
    <row r="580" spans="9:12">
      <c r="I580">
        <f>SMALL(SimData500!$B$9:$B$508,72)</f>
        <v>0.14333693607462034</v>
      </c>
      <c r="J580">
        <f>1/(COUNT(SimData500!$B$9:$B$508)-1)+$J$579</f>
        <v>0.14228456913827664</v>
      </c>
      <c r="K580">
        <f>SMALL(SimData500!$C$9:$C$508,72)</f>
        <v>0.14370020014303009</v>
      </c>
      <c r="L580">
        <f>1/(COUNT(SimData500!$C$9:$C$508)-1)+$L$579</f>
        <v>0.14228456913827664</v>
      </c>
    </row>
    <row r="581" spans="9:12">
      <c r="I581">
        <f>SMALL(SimData500!$B$9:$B$508,73)</f>
        <v>0.14486493057824321</v>
      </c>
      <c r="J581">
        <f>1/(COUNT(SimData500!$B$9:$B$508)-1)+$J$580</f>
        <v>0.14428857715430871</v>
      </c>
      <c r="K581">
        <f>SMALL(SimData500!$C$9:$C$508,73)</f>
        <v>0.14497911753460357</v>
      </c>
      <c r="L581">
        <f>1/(COUNT(SimData500!$C$9:$C$508)-1)+$L$580</f>
        <v>0.14428857715430871</v>
      </c>
    </row>
    <row r="582" spans="9:12">
      <c r="I582">
        <f>SMALL(SimData500!$B$9:$B$508,74)</f>
        <v>0.14618445562156487</v>
      </c>
      <c r="J582">
        <f>1/(COUNT(SimData500!$B$9:$B$508)-1)+$J$581</f>
        <v>0.14629258517034077</v>
      </c>
      <c r="K582">
        <f>SMALL(SimData500!$C$9:$C$508,74)</f>
        <v>0.14580619095795555</v>
      </c>
      <c r="L582">
        <f>1/(COUNT(SimData500!$C$9:$C$508)-1)+$L$581</f>
        <v>0.14629258517034077</v>
      </c>
    </row>
    <row r="583" spans="9:12">
      <c r="I583">
        <f>SMALL(SimData500!$B$9:$B$508,75)</f>
        <v>0.14895168358761623</v>
      </c>
      <c r="J583">
        <f>1/(COUNT(SimData500!$B$9:$B$508)-1)+$J$582</f>
        <v>0.14829659318637284</v>
      </c>
      <c r="K583">
        <f>SMALL(SimData500!$C$9:$C$508,75)</f>
        <v>0.14616993564777658</v>
      </c>
      <c r="L583">
        <f>1/(COUNT(SimData500!$C$9:$C$508)-1)+$L$582</f>
        <v>0.14829659318637284</v>
      </c>
    </row>
    <row r="584" spans="9:12">
      <c r="I584">
        <f>SMALL(SimData500!$B$9:$B$508,76)</f>
        <v>0.15113056015296156</v>
      </c>
      <c r="J584">
        <f>1/(COUNT(SimData500!$B$9:$B$508)-1)+$J$583</f>
        <v>0.1503006012024049</v>
      </c>
      <c r="K584">
        <f>SMALL(SimData500!$C$9:$C$508,76)</f>
        <v>0.14834774046357779</v>
      </c>
      <c r="L584">
        <f>1/(COUNT(SimData500!$C$9:$C$508)-1)+$L$583</f>
        <v>0.1503006012024049</v>
      </c>
    </row>
    <row r="585" spans="9:12">
      <c r="I585">
        <f>SMALL(SimData500!$B$9:$B$508,77)</f>
        <v>0.15354803216539975</v>
      </c>
      <c r="J585">
        <f>1/(COUNT(SimData500!$B$9:$B$508)-1)+$J$584</f>
        <v>0.15230460921843697</v>
      </c>
      <c r="K585">
        <f>SMALL(SimData500!$C$9:$C$508,77)</f>
        <v>0.14891308225651301</v>
      </c>
      <c r="L585">
        <f>1/(COUNT(SimData500!$C$9:$C$508)-1)+$L$584</f>
        <v>0.15230460921843697</v>
      </c>
    </row>
    <row r="586" spans="9:12">
      <c r="I586">
        <f>SMALL(SimData500!$B$9:$B$508,78)</f>
        <v>0.1542451183647488</v>
      </c>
      <c r="J586">
        <f>1/(COUNT(SimData500!$B$9:$B$508)-1)+$J$585</f>
        <v>0.15430861723446904</v>
      </c>
      <c r="K586">
        <f>SMALL(SimData500!$C$9:$C$508,78)</f>
        <v>0.14931717543367995</v>
      </c>
      <c r="L586">
        <f>1/(COUNT(SimData500!$C$9:$C$508)-1)+$L$585</f>
        <v>0.15430861723446904</v>
      </c>
    </row>
    <row r="587" spans="9:12">
      <c r="I587">
        <f>SMALL(SimData500!$B$9:$B$508,79)</f>
        <v>0.15748964865493811</v>
      </c>
      <c r="J587">
        <f>1/(COUNT(SimData500!$B$9:$B$508)-1)+$J$586</f>
        <v>0.1563126252505011</v>
      </c>
      <c r="K587">
        <f>SMALL(SimData500!$C$9:$C$508,79)</f>
        <v>0.15187027583397139</v>
      </c>
      <c r="L587">
        <f>1/(COUNT(SimData500!$C$9:$C$508)-1)+$L$586</f>
        <v>0.1563126252505011</v>
      </c>
    </row>
    <row r="588" spans="9:12">
      <c r="I588">
        <f>SMALL(SimData500!$B$9:$B$508,80)</f>
        <v>0.15821058163424268</v>
      </c>
      <c r="J588">
        <f>1/(COUNT(SimData500!$B$9:$B$508)-1)+$J$587</f>
        <v>0.15831663326653317</v>
      </c>
      <c r="K588">
        <f>SMALL(SimData500!$C$9:$C$508,80)</f>
        <v>0.15257985473181179</v>
      </c>
      <c r="L588">
        <f>1/(COUNT(SimData500!$C$9:$C$508)-1)+$L$587</f>
        <v>0.15831663326653317</v>
      </c>
    </row>
    <row r="589" spans="9:12">
      <c r="I589">
        <f>SMALL(SimData500!$B$9:$B$508,81)</f>
        <v>0.16028682082711879</v>
      </c>
      <c r="J589">
        <f>1/(COUNT(SimData500!$B$9:$B$508)-1)+$J$588</f>
        <v>0.16032064128256523</v>
      </c>
      <c r="K589">
        <f>SMALL(SimData500!$C$9:$C$508,81)</f>
        <v>0.15458824731376808</v>
      </c>
      <c r="L589">
        <f>1/(COUNT(SimData500!$C$9:$C$508)-1)+$L$588</f>
        <v>0.16032064128256523</v>
      </c>
    </row>
    <row r="590" spans="9:12">
      <c r="I590">
        <f>SMALL(SimData500!$B$9:$B$508,82)</f>
        <v>0.16353874481877748</v>
      </c>
      <c r="J590">
        <f>1/(COUNT(SimData500!$B$9:$B$508)-1)+$J$589</f>
        <v>0.1623246492985973</v>
      </c>
      <c r="K590">
        <f>SMALL(SimData500!$C$9:$C$508,82)</f>
        <v>0.15557129181161145</v>
      </c>
      <c r="L590">
        <f>1/(COUNT(SimData500!$C$9:$C$508)-1)+$L$589</f>
        <v>0.1623246492985973</v>
      </c>
    </row>
    <row r="591" spans="9:12">
      <c r="I591">
        <f>SMALL(SimData500!$B$9:$B$508,83)</f>
        <v>0.16402818441624478</v>
      </c>
      <c r="J591">
        <f>1/(COUNT(SimData500!$B$9:$B$508)-1)+$J$590</f>
        <v>0.16432865731462937</v>
      </c>
      <c r="K591">
        <f>SMALL(SimData500!$C$9:$C$508,83)</f>
        <v>0.16241834108768671</v>
      </c>
      <c r="L591">
        <f>1/(COUNT(SimData500!$C$9:$C$508)-1)+$L$590</f>
        <v>0.16432865731462937</v>
      </c>
    </row>
    <row r="592" spans="9:12">
      <c r="I592">
        <f>SMALL(SimData500!$B$9:$B$508,84)</f>
        <v>0.16616836642617555</v>
      </c>
      <c r="J592">
        <f>1/(COUNT(SimData500!$B$9:$B$508)-1)+$J$591</f>
        <v>0.16633266533066143</v>
      </c>
      <c r="K592">
        <f>SMALL(SimData500!$C$9:$C$508,84)</f>
        <v>0.16300461022183299</v>
      </c>
      <c r="L592">
        <f>1/(COUNT(SimData500!$C$9:$C$508)-1)+$L$591</f>
        <v>0.16633266533066143</v>
      </c>
    </row>
    <row r="593" spans="9:12">
      <c r="I593">
        <f>SMALL(SimData500!$B$9:$B$508,85)</f>
        <v>0.1683734228439567</v>
      </c>
      <c r="J593">
        <f>1/(COUNT(SimData500!$B$9:$B$508)-1)+$J$592</f>
        <v>0.1683366733466935</v>
      </c>
      <c r="K593">
        <f>SMALL(SimData500!$C$9:$C$508,85)</f>
        <v>0.16497251606506325</v>
      </c>
      <c r="L593">
        <f>1/(COUNT(SimData500!$C$9:$C$508)-1)+$L$592</f>
        <v>0.1683366733466935</v>
      </c>
    </row>
    <row r="594" spans="9:12">
      <c r="I594">
        <f>SMALL(SimData500!$B$9:$B$508,86)</f>
        <v>0.17031572109980408</v>
      </c>
      <c r="J594">
        <f>1/(COUNT(SimData500!$B$9:$B$508)-1)+$J$593</f>
        <v>0.17034068136272557</v>
      </c>
      <c r="K594">
        <f>SMALL(SimData500!$C$9:$C$508,86)</f>
        <v>0.16550800190543669</v>
      </c>
      <c r="L594">
        <f>1/(COUNT(SimData500!$C$9:$C$508)-1)+$L$593</f>
        <v>0.17034068136272557</v>
      </c>
    </row>
    <row r="595" spans="9:12">
      <c r="I595">
        <f>SMALL(SimData500!$B$9:$B$508,87)</f>
        <v>0.17214044378421747</v>
      </c>
      <c r="J595">
        <f>1/(COUNT(SimData500!$B$9:$B$508)-1)+$J$594</f>
        <v>0.17234468937875763</v>
      </c>
      <c r="K595">
        <f>SMALL(SimData500!$C$9:$C$508,87)</f>
        <v>0.16654939824366011</v>
      </c>
      <c r="L595">
        <f>1/(COUNT(SimData500!$C$9:$C$508)-1)+$L$594</f>
        <v>0.17234468937875763</v>
      </c>
    </row>
    <row r="596" spans="9:12">
      <c r="I596">
        <f>SMALL(SimData500!$B$9:$B$508,88)</f>
        <v>0.17480775808561774</v>
      </c>
      <c r="J596">
        <f>1/(COUNT(SimData500!$B$9:$B$508)-1)+$J$595</f>
        <v>0.1743486973947897</v>
      </c>
      <c r="K596">
        <f>SMALL(SimData500!$C$9:$C$508,88)</f>
        <v>0.16679885035955522</v>
      </c>
      <c r="L596">
        <f>1/(COUNT(SimData500!$C$9:$C$508)-1)+$L$595</f>
        <v>0.1743486973947897</v>
      </c>
    </row>
    <row r="597" spans="9:12">
      <c r="I597">
        <f>SMALL(SimData500!$B$9:$B$508,89)</f>
        <v>0.17693819873569028</v>
      </c>
      <c r="J597">
        <f>1/(COUNT(SimData500!$B$9:$B$508)-1)+$J$596</f>
        <v>0.17635270541082176</v>
      </c>
      <c r="K597">
        <f>SMALL(SimData500!$C$9:$C$508,89)</f>
        <v>0.16900066061680263</v>
      </c>
      <c r="L597">
        <f>1/(COUNT(SimData500!$C$9:$C$508)-1)+$L$596</f>
        <v>0.17635270541082176</v>
      </c>
    </row>
    <row r="598" spans="9:12">
      <c r="I598">
        <f>SMALL(SimData500!$B$9:$B$508,90)</f>
        <v>0.17832068414807337</v>
      </c>
      <c r="J598">
        <f>1/(COUNT(SimData500!$B$9:$B$508)-1)+$J$597</f>
        <v>0.17835671342685383</v>
      </c>
      <c r="K598">
        <f>SMALL(SimData500!$C$9:$C$508,90)</f>
        <v>0.17085718577800435</v>
      </c>
      <c r="L598">
        <f>1/(COUNT(SimData500!$C$9:$C$508)-1)+$L$597</f>
        <v>0.17835671342685383</v>
      </c>
    </row>
    <row r="599" spans="9:12">
      <c r="I599">
        <f>SMALL(SimData500!$B$9:$B$508,91)</f>
        <v>0.18035655745359988</v>
      </c>
      <c r="J599">
        <f>1/(COUNT(SimData500!$B$9:$B$508)-1)+$J$598</f>
        <v>0.1803607214428859</v>
      </c>
      <c r="K599">
        <f>SMALL(SimData500!$C$9:$C$508,91)</f>
        <v>0.17140890889913862</v>
      </c>
      <c r="L599">
        <f>1/(COUNT(SimData500!$C$9:$C$508)-1)+$L$598</f>
        <v>0.1803607214428859</v>
      </c>
    </row>
    <row r="600" spans="9:12">
      <c r="I600">
        <f>SMALL(SimData500!$B$9:$B$508,92)</f>
        <v>0.18389513510044087</v>
      </c>
      <c r="J600">
        <f>1/(COUNT(SimData500!$B$9:$B$508)-1)+$J$599</f>
        <v>0.18236472945891796</v>
      </c>
      <c r="K600">
        <f>SMALL(SimData500!$C$9:$C$508,92)</f>
        <v>0.17332491586603282</v>
      </c>
      <c r="L600">
        <f>1/(COUNT(SimData500!$C$9:$C$508)-1)+$L$599</f>
        <v>0.18236472945891796</v>
      </c>
    </row>
    <row r="601" spans="9:12">
      <c r="I601">
        <f>SMALL(SimData500!$B$9:$B$508,93)</f>
        <v>0.18560821755686968</v>
      </c>
      <c r="J601">
        <f>1/(COUNT(SimData500!$B$9:$B$508)-1)+$J$600</f>
        <v>0.18436873747495003</v>
      </c>
      <c r="K601">
        <f>SMALL(SimData500!$C$9:$C$508,93)</f>
        <v>0.17368857454039244</v>
      </c>
      <c r="L601">
        <f>1/(COUNT(SimData500!$C$9:$C$508)-1)+$L$600</f>
        <v>0.18436873747495003</v>
      </c>
    </row>
    <row r="602" spans="9:12">
      <c r="I602">
        <f>SMALL(SimData500!$B$9:$B$508,94)</f>
        <v>0.18743822533577639</v>
      </c>
      <c r="J602">
        <f>1/(COUNT(SimData500!$B$9:$B$508)-1)+$J$601</f>
        <v>0.18637274549098209</v>
      </c>
      <c r="K602">
        <f>SMALL(SimData500!$C$9:$C$508,94)</f>
        <v>0.1754734940623166</v>
      </c>
      <c r="L602">
        <f>1/(COUNT(SimData500!$C$9:$C$508)-1)+$L$601</f>
        <v>0.18637274549098209</v>
      </c>
    </row>
    <row r="603" spans="9:12">
      <c r="I603">
        <f>SMALL(SimData500!$B$9:$B$508,95)</f>
        <v>0.18880326782837586</v>
      </c>
      <c r="J603">
        <f>1/(COUNT(SimData500!$B$9:$B$508)-1)+$J$602</f>
        <v>0.18837675350701416</v>
      </c>
      <c r="K603">
        <f>SMALL(SimData500!$C$9:$C$508,95)</f>
        <v>0.17963566584330692</v>
      </c>
      <c r="L603">
        <f>1/(COUNT(SimData500!$C$9:$C$508)-1)+$L$602</f>
        <v>0.18837675350701416</v>
      </c>
    </row>
    <row r="604" spans="9:12">
      <c r="I604">
        <f>SMALL(SimData500!$B$9:$B$508,96)</f>
        <v>0.19100068196817319</v>
      </c>
      <c r="J604">
        <f>1/(COUNT(SimData500!$B$9:$B$508)-1)+$J$603</f>
        <v>0.19038076152304623</v>
      </c>
      <c r="K604">
        <f>SMALL(SimData500!$C$9:$C$508,96)</f>
        <v>0.17981892033003533</v>
      </c>
      <c r="L604">
        <f>1/(COUNT(SimData500!$C$9:$C$508)-1)+$L$603</f>
        <v>0.19038076152304623</v>
      </c>
    </row>
    <row r="605" spans="9:12">
      <c r="I605">
        <f>SMALL(SimData500!$B$9:$B$508,97)</f>
        <v>0.19286439740631367</v>
      </c>
      <c r="J605">
        <f>1/(COUNT(SimData500!$B$9:$B$508)-1)+$J$604</f>
        <v>0.19238476953907829</v>
      </c>
      <c r="K605">
        <f>SMALL(SimData500!$C$9:$C$508,97)</f>
        <v>0.18061586258045281</v>
      </c>
      <c r="L605">
        <f>1/(COUNT(SimData500!$C$9:$C$508)-1)+$L$604</f>
        <v>0.19238476953907829</v>
      </c>
    </row>
    <row r="606" spans="9:12">
      <c r="I606">
        <f>SMALL(SimData500!$B$9:$B$508,98)</f>
        <v>0.19487925558883679</v>
      </c>
      <c r="J606">
        <f>1/(COUNT(SimData500!$B$9:$B$508)-1)+$J$605</f>
        <v>0.19438877755511036</v>
      </c>
      <c r="K606">
        <f>SMALL(SimData500!$C$9:$C$508,98)</f>
        <v>0.18104539332125569</v>
      </c>
      <c r="L606">
        <f>1/(COUNT(SimData500!$C$9:$C$508)-1)+$L$605</f>
        <v>0.19438877755511036</v>
      </c>
    </row>
    <row r="607" spans="9:12">
      <c r="I607">
        <f>SMALL(SimData500!$B$9:$B$508,99)</f>
        <v>0.19660001256377435</v>
      </c>
      <c r="J607">
        <f>1/(COUNT(SimData500!$B$9:$B$508)-1)+$J$606</f>
        <v>0.19639278557114243</v>
      </c>
      <c r="K607">
        <f>SMALL(SimData500!$C$9:$C$508,99)</f>
        <v>0.1860086976976163</v>
      </c>
      <c r="L607">
        <f>1/(COUNT(SimData500!$C$9:$C$508)-1)+$L$606</f>
        <v>0.19639278557114243</v>
      </c>
    </row>
    <row r="608" spans="9:12">
      <c r="I608">
        <f>SMALL(SimData500!$B$9:$B$508,100)</f>
        <v>0.19827581538545799</v>
      </c>
      <c r="J608">
        <f>1/(COUNT(SimData500!$B$9:$B$508)-1)+$J$607</f>
        <v>0.19839679358717449</v>
      </c>
      <c r="K608">
        <f>SMALL(SimData500!$C$9:$C$508,100)</f>
        <v>0.18802639109620145</v>
      </c>
      <c r="L608">
        <f>1/(COUNT(SimData500!$C$9:$C$508)-1)+$L$607</f>
        <v>0.19839679358717449</v>
      </c>
    </row>
    <row r="609" spans="9:12">
      <c r="I609">
        <f>SMALL(SimData500!$B$9:$B$508,101)</f>
        <v>0.20017155042806908</v>
      </c>
      <c r="J609">
        <f>1/(COUNT(SimData500!$B$9:$B$508)-1)+$J$608</f>
        <v>0.20040080160320656</v>
      </c>
      <c r="K609">
        <f>SMALL(SimData500!$C$9:$C$508,101)</f>
        <v>0.18897554343038792</v>
      </c>
      <c r="L609">
        <f>1/(COUNT(SimData500!$C$9:$C$508)-1)+$L$608</f>
        <v>0.20040080160320656</v>
      </c>
    </row>
    <row r="610" spans="9:12">
      <c r="I610">
        <f>SMALL(SimData500!$B$9:$B$508,102)</f>
        <v>0.20276342300157144</v>
      </c>
      <c r="J610">
        <f>1/(COUNT(SimData500!$B$9:$B$508)-1)+$J$609</f>
        <v>0.20240480961923862</v>
      </c>
      <c r="K610">
        <f>SMALL(SimData500!$C$9:$C$508,102)</f>
        <v>0.19002853701340428</v>
      </c>
      <c r="L610">
        <f>1/(COUNT(SimData500!$C$9:$C$508)-1)+$L$609</f>
        <v>0.20240480961923862</v>
      </c>
    </row>
    <row r="611" spans="9:12">
      <c r="I611">
        <f>SMALL(SimData500!$B$9:$B$508,103)</f>
        <v>0.20490836771459048</v>
      </c>
      <c r="J611">
        <f>1/(COUNT(SimData500!$B$9:$B$508)-1)+$J$610</f>
        <v>0.20440881763527069</v>
      </c>
      <c r="K611">
        <f>SMALL(SimData500!$C$9:$C$508,103)</f>
        <v>0.1918528201913432</v>
      </c>
      <c r="L611">
        <f>1/(COUNT(SimData500!$C$9:$C$508)-1)+$L$610</f>
        <v>0.20440881763527069</v>
      </c>
    </row>
    <row r="612" spans="9:12">
      <c r="I612">
        <f>SMALL(SimData500!$B$9:$B$508,104)</f>
        <v>0.20672957411425413</v>
      </c>
      <c r="J612">
        <f>1/(COUNT(SimData500!$B$9:$B$508)-1)+$J$611</f>
        <v>0.20641282565130276</v>
      </c>
      <c r="K612">
        <f>SMALL(SimData500!$C$9:$C$508,104)</f>
        <v>0.19196029805243597</v>
      </c>
      <c r="L612">
        <f>1/(COUNT(SimData500!$C$9:$C$508)-1)+$L$611</f>
        <v>0.20641282565130276</v>
      </c>
    </row>
    <row r="613" spans="9:12">
      <c r="I613">
        <f>SMALL(SimData500!$B$9:$B$508,105)</f>
        <v>0.20899807023326822</v>
      </c>
      <c r="J613">
        <f>1/(COUNT(SimData500!$B$9:$B$508)-1)+$J$612</f>
        <v>0.20841683366733482</v>
      </c>
      <c r="K613">
        <f>SMALL(SimData500!$C$9:$C$508,105)</f>
        <v>0.19504604354733601</v>
      </c>
      <c r="L613">
        <f>1/(COUNT(SimData500!$C$9:$C$508)-1)+$L$612</f>
        <v>0.20841683366733482</v>
      </c>
    </row>
    <row r="614" spans="9:12">
      <c r="I614">
        <f>SMALL(SimData500!$B$9:$B$508,106)</f>
        <v>0.21032068440465274</v>
      </c>
      <c r="J614">
        <f>1/(COUNT(SimData500!$B$9:$B$508)-1)+$J$613</f>
        <v>0.21042084168336689</v>
      </c>
      <c r="K614">
        <f>SMALL(SimData500!$C$9:$C$508,106)</f>
        <v>0.2001492006356953</v>
      </c>
      <c r="L614">
        <f>1/(COUNT(SimData500!$C$9:$C$508)-1)+$L$613</f>
        <v>0.21042084168336689</v>
      </c>
    </row>
    <row r="615" spans="9:12">
      <c r="I615">
        <f>SMALL(SimData500!$B$9:$B$508,107)</f>
        <v>0.21378960223630758</v>
      </c>
      <c r="J615">
        <f>1/(COUNT(SimData500!$B$9:$B$508)-1)+$J$614</f>
        <v>0.21242484969939895</v>
      </c>
      <c r="K615">
        <f>SMALL(SimData500!$C$9:$C$508,107)</f>
        <v>0.20058979244367947</v>
      </c>
      <c r="L615">
        <f>1/(COUNT(SimData500!$C$9:$C$508)-1)+$L$614</f>
        <v>0.21242484969939895</v>
      </c>
    </row>
    <row r="616" spans="9:12">
      <c r="I616">
        <f>SMALL(SimData500!$B$9:$B$508,108)</f>
        <v>0.21419678557808436</v>
      </c>
      <c r="J616">
        <f>1/(COUNT(SimData500!$B$9:$B$508)-1)+$J$615</f>
        <v>0.21442885771543102</v>
      </c>
      <c r="K616">
        <f>SMALL(SimData500!$C$9:$C$508,108)</f>
        <v>0.20076831792175653</v>
      </c>
      <c r="L616">
        <f>1/(COUNT(SimData500!$C$9:$C$508)-1)+$L$615</f>
        <v>0.21442885771543102</v>
      </c>
    </row>
    <row r="617" spans="9:12">
      <c r="I617">
        <f>SMALL(SimData500!$B$9:$B$508,109)</f>
        <v>0.21745767516676748</v>
      </c>
      <c r="J617">
        <f>1/(COUNT(SimData500!$B$9:$B$508)-1)+$J$616</f>
        <v>0.21643286573146309</v>
      </c>
      <c r="K617">
        <f>SMALL(SimData500!$C$9:$C$508,109)</f>
        <v>0.20106233309616073</v>
      </c>
      <c r="L617">
        <f>1/(COUNT(SimData500!$C$9:$C$508)-1)+$L$616</f>
        <v>0.21643286573146309</v>
      </c>
    </row>
    <row r="618" spans="9:12">
      <c r="I618">
        <f>SMALL(SimData500!$B$9:$B$508,110)</f>
        <v>0.21896170639269094</v>
      </c>
      <c r="J618">
        <f>1/(COUNT(SimData500!$B$9:$B$508)-1)+$J$617</f>
        <v>0.21843687374749515</v>
      </c>
      <c r="K618">
        <f>SMALL(SimData500!$C$9:$C$508,110)</f>
        <v>0.20238918658105831</v>
      </c>
      <c r="L618">
        <f>1/(COUNT(SimData500!$C$9:$C$508)-1)+$L$617</f>
        <v>0.21843687374749515</v>
      </c>
    </row>
    <row r="619" spans="9:12">
      <c r="I619">
        <f>SMALL(SimData500!$B$9:$B$508,111)</f>
        <v>0.22034815696541876</v>
      </c>
      <c r="J619">
        <f>1/(COUNT(SimData500!$B$9:$B$508)-1)+$J$618</f>
        <v>0.22044088176352722</v>
      </c>
      <c r="K619">
        <f>SMALL(SimData500!$C$9:$C$508,111)</f>
        <v>0.20650128864781436</v>
      </c>
      <c r="L619">
        <f>1/(COUNT(SimData500!$C$9:$C$508)-1)+$L$618</f>
        <v>0.22044088176352722</v>
      </c>
    </row>
    <row r="620" spans="9:12">
      <c r="I620">
        <f>SMALL(SimData500!$B$9:$B$508,112)</f>
        <v>0.22246634185278469</v>
      </c>
      <c r="J620">
        <f>1/(COUNT(SimData500!$B$9:$B$508)-1)+$J$619</f>
        <v>0.22244488977955928</v>
      </c>
      <c r="K620">
        <f>SMALL(SimData500!$C$9:$C$508,112)</f>
        <v>0.207264644010138</v>
      </c>
      <c r="L620">
        <f>1/(COUNT(SimData500!$C$9:$C$508)-1)+$L$619</f>
        <v>0.22244488977955928</v>
      </c>
    </row>
    <row r="621" spans="9:12">
      <c r="I621">
        <f>SMALL(SimData500!$B$9:$B$508,113)</f>
        <v>0.22496278361765731</v>
      </c>
      <c r="J621">
        <f>1/(COUNT(SimData500!$B$9:$B$508)-1)+$J$620</f>
        <v>0.22444889779559135</v>
      </c>
      <c r="K621">
        <f>SMALL(SimData500!$C$9:$C$508,113)</f>
        <v>0.20749777365017508</v>
      </c>
      <c r="L621">
        <f>1/(COUNT(SimData500!$C$9:$C$508)-1)+$L$620</f>
        <v>0.22444889779559135</v>
      </c>
    </row>
    <row r="622" spans="9:12">
      <c r="I622">
        <f>SMALL(SimData500!$B$9:$B$508,114)</f>
        <v>0.22604034862109471</v>
      </c>
      <c r="J622">
        <f>1/(COUNT(SimData500!$B$9:$B$508)-1)+$J$621</f>
        <v>0.22645290581162342</v>
      </c>
      <c r="K622">
        <f>SMALL(SimData500!$C$9:$C$508,114)</f>
        <v>0.21007513107360865</v>
      </c>
      <c r="L622">
        <f>1/(COUNT(SimData500!$C$9:$C$508)-1)+$L$621</f>
        <v>0.22645290581162342</v>
      </c>
    </row>
    <row r="623" spans="9:12">
      <c r="I623">
        <f>SMALL(SimData500!$B$9:$B$508,115)</f>
        <v>0.22899648082326085</v>
      </c>
      <c r="J623">
        <f>1/(COUNT(SimData500!$B$9:$B$508)-1)+$J$622</f>
        <v>0.22845691382765548</v>
      </c>
      <c r="K623">
        <f>SMALL(SimData500!$C$9:$C$508,115)</f>
        <v>0.21135877520691793</v>
      </c>
      <c r="L623">
        <f>1/(COUNT(SimData500!$C$9:$C$508)-1)+$L$622</f>
        <v>0.22845691382765548</v>
      </c>
    </row>
    <row r="624" spans="9:12">
      <c r="I624">
        <f>SMALL(SimData500!$B$9:$B$508,116)</f>
        <v>0.23017393037122066</v>
      </c>
      <c r="J624">
        <f>1/(COUNT(SimData500!$B$9:$B$508)-1)+$J$623</f>
        <v>0.23046092184368755</v>
      </c>
      <c r="K624">
        <f>SMALL(SimData500!$C$9:$C$508,116)</f>
        <v>0.21467865912563866</v>
      </c>
      <c r="L624">
        <f>1/(COUNT(SimData500!$C$9:$C$508)-1)+$L$623</f>
        <v>0.23046092184368755</v>
      </c>
    </row>
    <row r="625" spans="9:12">
      <c r="I625">
        <f>SMALL(SimData500!$B$9:$B$508,117)</f>
        <v>0.23297282850858123</v>
      </c>
      <c r="J625">
        <f>1/(COUNT(SimData500!$B$9:$B$508)-1)+$J$624</f>
        <v>0.23246492985971962</v>
      </c>
      <c r="K625">
        <f>SMALL(SimData500!$C$9:$C$508,117)</f>
        <v>0.21850464557701343</v>
      </c>
      <c r="L625">
        <f>1/(COUNT(SimData500!$C$9:$C$508)-1)+$L$624</f>
        <v>0.23246492985971962</v>
      </c>
    </row>
    <row r="626" spans="9:12">
      <c r="I626">
        <f>SMALL(SimData500!$B$9:$B$508,118)</f>
        <v>0.23591052455080452</v>
      </c>
      <c r="J626">
        <f>1/(COUNT(SimData500!$B$9:$B$508)-1)+$J$625</f>
        <v>0.23446893787575168</v>
      </c>
      <c r="K626">
        <f>SMALL(SimData500!$C$9:$C$508,118)</f>
        <v>0.21909754813168547</v>
      </c>
      <c r="L626">
        <f>1/(COUNT(SimData500!$C$9:$C$508)-1)+$L$625</f>
        <v>0.23446893787575168</v>
      </c>
    </row>
    <row r="627" spans="9:12">
      <c r="I627">
        <f>SMALL(SimData500!$B$9:$B$508,119)</f>
        <v>0.23732975038218537</v>
      </c>
      <c r="J627">
        <f>1/(COUNT(SimData500!$B$9:$B$508)-1)+$J$626</f>
        <v>0.23647294589178375</v>
      </c>
      <c r="K627">
        <f>SMALL(SimData500!$C$9:$C$508,119)</f>
        <v>0.2206645604728692</v>
      </c>
      <c r="L627">
        <f>1/(COUNT(SimData500!$C$9:$C$508)-1)+$L$626</f>
        <v>0.23647294589178375</v>
      </c>
    </row>
    <row r="628" spans="9:12">
      <c r="I628">
        <f>SMALL(SimData500!$B$9:$B$508,120)</f>
        <v>0.2399835868817716</v>
      </c>
      <c r="J628">
        <f>1/(COUNT(SimData500!$B$9:$B$508)-1)+$J$627</f>
        <v>0.23847695390781581</v>
      </c>
      <c r="K628">
        <f>SMALL(SimData500!$C$9:$C$508,120)</f>
        <v>0.2211181311213295</v>
      </c>
      <c r="L628">
        <f>1/(COUNT(SimData500!$C$9:$C$508)-1)+$L$627</f>
        <v>0.23847695390781581</v>
      </c>
    </row>
    <row r="629" spans="9:12">
      <c r="I629">
        <f>SMALL(SimData500!$B$9:$B$508,121)</f>
        <v>0.24181316770096614</v>
      </c>
      <c r="J629">
        <f>1/(COUNT(SimData500!$B$9:$B$508)-1)+$J$628</f>
        <v>0.24048096192384788</v>
      </c>
      <c r="K629">
        <f>SMALL(SimData500!$C$9:$C$508,121)</f>
        <v>0.22716094493080163</v>
      </c>
      <c r="L629">
        <f>1/(COUNT(SimData500!$C$9:$C$508)-1)+$L$628</f>
        <v>0.24048096192384788</v>
      </c>
    </row>
    <row r="630" spans="9:12">
      <c r="I630">
        <f>SMALL(SimData500!$B$9:$B$508,122)</f>
        <v>0.24252806116745995</v>
      </c>
      <c r="J630">
        <f>1/(COUNT(SimData500!$B$9:$B$508)-1)+$J$629</f>
        <v>0.24248496993987995</v>
      </c>
      <c r="K630">
        <f>SMALL(SimData500!$C$9:$C$508,122)</f>
        <v>0.22878785687862546</v>
      </c>
      <c r="L630">
        <f>1/(COUNT(SimData500!$C$9:$C$508)-1)+$L$629</f>
        <v>0.24248496993987995</v>
      </c>
    </row>
    <row r="631" spans="9:12">
      <c r="I631">
        <f>SMALL(SimData500!$B$9:$B$508,123)</f>
        <v>0.24596268438872942</v>
      </c>
      <c r="J631">
        <f>1/(COUNT(SimData500!$B$9:$B$508)-1)+$J$630</f>
        <v>0.24448897795591201</v>
      </c>
      <c r="K631">
        <f>SMALL(SimData500!$C$9:$C$508,123)</f>
        <v>0.22926613057097711</v>
      </c>
      <c r="L631">
        <f>1/(COUNT(SimData500!$C$9:$C$508)-1)+$L$630</f>
        <v>0.24448897795591201</v>
      </c>
    </row>
    <row r="632" spans="9:12">
      <c r="I632">
        <f>SMALL(SimData500!$B$9:$B$508,124)</f>
        <v>0.24744268961377505</v>
      </c>
      <c r="J632">
        <f>1/(COUNT(SimData500!$B$9:$B$508)-1)+$J$631</f>
        <v>0.24649298597194408</v>
      </c>
      <c r="K632">
        <f>SMALL(SimData500!$C$9:$C$508,124)</f>
        <v>0.23076909627343412</v>
      </c>
      <c r="L632">
        <f>1/(COUNT(SimData500!$C$9:$C$508)-1)+$L$631</f>
        <v>0.24649298597194408</v>
      </c>
    </row>
    <row r="633" spans="9:12">
      <c r="I633">
        <f>SMALL(SimData500!$B$9:$B$508,125)</f>
        <v>0.24810576325750577</v>
      </c>
      <c r="J633">
        <f>1/(COUNT(SimData500!$B$9:$B$508)-1)+$J$632</f>
        <v>0.24849699398797614</v>
      </c>
      <c r="K633">
        <f>SMALL(SimData500!$C$9:$C$508,125)</f>
        <v>0.23382761814355035</v>
      </c>
      <c r="L633">
        <f>1/(COUNT(SimData500!$C$9:$C$508)-1)+$L$632</f>
        <v>0.24849699398797614</v>
      </c>
    </row>
    <row r="634" spans="9:12">
      <c r="I634">
        <f>SMALL(SimData500!$B$9:$B$508,126)</f>
        <v>0.2511828156386462</v>
      </c>
      <c r="J634">
        <f>1/(COUNT(SimData500!$B$9:$B$508)-1)+$J$633</f>
        <v>0.25050100200400821</v>
      </c>
      <c r="K634">
        <f>SMALL(SimData500!$C$9:$C$508,126)</f>
        <v>0.2369352702080505</v>
      </c>
      <c r="L634">
        <f>1/(COUNT(SimData500!$C$9:$C$508)-1)+$L$633</f>
        <v>0.25050100200400821</v>
      </c>
    </row>
    <row r="635" spans="9:12">
      <c r="I635">
        <f>SMALL(SimData500!$B$9:$B$508,127)</f>
        <v>0.25281670941850559</v>
      </c>
      <c r="J635">
        <f>1/(COUNT(SimData500!$B$9:$B$508)-1)+$J$634</f>
        <v>0.25250501002004028</v>
      </c>
      <c r="K635">
        <f>SMALL(SimData500!$C$9:$C$508,127)</f>
        <v>0.24272050318177207</v>
      </c>
      <c r="L635">
        <f>1/(COUNT(SimData500!$C$9:$C$508)-1)+$L$634</f>
        <v>0.25250501002004028</v>
      </c>
    </row>
    <row r="636" spans="9:12">
      <c r="I636">
        <f>SMALL(SimData500!$B$9:$B$508,128)</f>
        <v>0.25523805917362635</v>
      </c>
      <c r="J636">
        <f>1/(COUNT(SimData500!$B$9:$B$508)-1)+$J$635</f>
        <v>0.25450901803607234</v>
      </c>
      <c r="K636">
        <f>SMALL(SimData500!$C$9:$C$508,128)</f>
        <v>0.24336099085758178</v>
      </c>
      <c r="L636">
        <f>1/(COUNT(SimData500!$C$9:$C$508)-1)+$L$635</f>
        <v>0.25450901803607234</v>
      </c>
    </row>
    <row r="637" spans="9:12">
      <c r="I637">
        <f>SMALL(SimData500!$B$9:$B$508,129)</f>
        <v>0.25748881049256045</v>
      </c>
      <c r="J637">
        <f>1/(COUNT(SimData500!$B$9:$B$508)-1)+$J$636</f>
        <v>0.25651302605210441</v>
      </c>
      <c r="K637">
        <f>SMALL(SimData500!$C$9:$C$508,129)</f>
        <v>0.24360377207176498</v>
      </c>
      <c r="L637">
        <f>1/(COUNT(SimData500!$C$9:$C$508)-1)+$L$636</f>
        <v>0.25651302605210441</v>
      </c>
    </row>
    <row r="638" spans="9:12">
      <c r="I638">
        <f>SMALL(SimData500!$B$9:$B$508,130)</f>
        <v>0.2585648389371496</v>
      </c>
      <c r="J638">
        <f>1/(COUNT(SimData500!$B$9:$B$508)-1)+$J$637</f>
        <v>0.25851703406813648</v>
      </c>
      <c r="K638">
        <f>SMALL(SimData500!$C$9:$C$508,130)</f>
        <v>0.24364677766425302</v>
      </c>
      <c r="L638">
        <f>1/(COUNT(SimData500!$C$9:$C$508)-1)+$L$637</f>
        <v>0.25851703406813648</v>
      </c>
    </row>
    <row r="639" spans="9:12">
      <c r="I639">
        <f>SMALL(SimData500!$B$9:$B$508,131)</f>
        <v>0.26106749106735627</v>
      </c>
      <c r="J639">
        <f>1/(COUNT(SimData500!$B$9:$B$508)-1)+$J$638</f>
        <v>0.26052104208416854</v>
      </c>
      <c r="K639">
        <f>SMALL(SimData500!$C$9:$C$508,131)</f>
        <v>0.24549228036812565</v>
      </c>
      <c r="L639">
        <f>1/(COUNT(SimData500!$C$9:$C$508)-1)+$L$638</f>
        <v>0.26052104208416854</v>
      </c>
    </row>
    <row r="640" spans="9:12">
      <c r="I640">
        <f>SMALL(SimData500!$B$9:$B$508,132)</f>
        <v>0.26299237218661992</v>
      </c>
      <c r="J640">
        <f>1/(COUNT(SimData500!$B$9:$B$508)-1)+$J$639</f>
        <v>0.26252505010020061</v>
      </c>
      <c r="K640">
        <f>SMALL(SimData500!$C$9:$C$508,132)</f>
        <v>0.2507498290424337</v>
      </c>
      <c r="L640">
        <f>1/(COUNT(SimData500!$C$9:$C$508)-1)+$L$639</f>
        <v>0.26252505010020061</v>
      </c>
    </row>
    <row r="641" spans="9:12">
      <c r="I641">
        <f>SMALL(SimData500!$B$9:$B$508,133)</f>
        <v>0.26474885546712873</v>
      </c>
      <c r="J641">
        <f>1/(COUNT(SimData500!$B$9:$B$508)-1)+$J$640</f>
        <v>0.26452905811623267</v>
      </c>
      <c r="K641">
        <f>SMALL(SimData500!$C$9:$C$508,133)</f>
        <v>0.25184031069329649</v>
      </c>
      <c r="L641">
        <f>1/(COUNT(SimData500!$C$9:$C$508)-1)+$L$640</f>
        <v>0.26452905811623267</v>
      </c>
    </row>
    <row r="642" spans="9:12">
      <c r="I642">
        <f>SMALL(SimData500!$B$9:$B$508,134)</f>
        <v>0.26748884418687985</v>
      </c>
      <c r="J642">
        <f>1/(COUNT(SimData500!$B$9:$B$508)-1)+$J$641</f>
        <v>0.26653306613226474</v>
      </c>
      <c r="K642">
        <f>SMALL(SimData500!$C$9:$C$508,134)</f>
        <v>0.2532024472620833</v>
      </c>
      <c r="L642">
        <f>1/(COUNT(SimData500!$C$9:$C$508)-1)+$L$641</f>
        <v>0.26653306613226474</v>
      </c>
    </row>
    <row r="643" spans="9:12">
      <c r="I643">
        <f>SMALL(SimData500!$B$9:$B$508,135)</f>
        <v>0.26864136925959992</v>
      </c>
      <c r="J643">
        <f>1/(COUNT(SimData500!$B$9:$B$508)-1)+$J$642</f>
        <v>0.26853707414829681</v>
      </c>
      <c r="K643">
        <f>SMALL(SimData500!$C$9:$C$508,135)</f>
        <v>0.2537662363047275</v>
      </c>
      <c r="L643">
        <f>1/(COUNT(SimData500!$C$9:$C$508)-1)+$L$642</f>
        <v>0.26853707414829681</v>
      </c>
    </row>
    <row r="644" spans="9:12">
      <c r="I644">
        <f>SMALL(SimData500!$B$9:$B$508,136)</f>
        <v>0.27156811295113714</v>
      </c>
      <c r="J644">
        <f>1/(COUNT(SimData500!$B$9:$B$508)-1)+$J$643</f>
        <v>0.27054108216432887</v>
      </c>
      <c r="K644">
        <f>SMALL(SimData500!$C$9:$C$508,136)</f>
        <v>0.25773166439103079</v>
      </c>
      <c r="L644">
        <f>1/(COUNT(SimData500!$C$9:$C$508)-1)+$L$643</f>
        <v>0.27054108216432887</v>
      </c>
    </row>
    <row r="645" spans="9:12">
      <c r="I645">
        <f>SMALL(SimData500!$B$9:$B$508,137)</f>
        <v>0.27331696147036666</v>
      </c>
      <c r="J645">
        <f>1/(COUNT(SimData500!$B$9:$B$508)-1)+$J$644</f>
        <v>0.27254509018036094</v>
      </c>
      <c r="K645">
        <f>SMALL(SimData500!$C$9:$C$508,137)</f>
        <v>0.25866020159901382</v>
      </c>
      <c r="L645">
        <f>1/(COUNT(SimData500!$C$9:$C$508)-1)+$L$644</f>
        <v>0.27254509018036094</v>
      </c>
    </row>
    <row r="646" spans="9:12">
      <c r="I646">
        <f>SMALL(SimData500!$B$9:$B$508,138)</f>
        <v>0.27539369570542915</v>
      </c>
      <c r="J646">
        <f>1/(COUNT(SimData500!$B$9:$B$508)-1)+$J$645</f>
        <v>0.274549098196393</v>
      </c>
      <c r="K646">
        <f>SMALL(SimData500!$C$9:$C$508,138)</f>
        <v>0.26197967845837411</v>
      </c>
      <c r="L646">
        <f>1/(COUNT(SimData500!$C$9:$C$508)-1)+$L$645</f>
        <v>0.274549098196393</v>
      </c>
    </row>
    <row r="647" spans="9:12">
      <c r="I647">
        <f>SMALL(SimData500!$B$9:$B$508,139)</f>
        <v>0.27754028405005582</v>
      </c>
      <c r="J647">
        <f>1/(COUNT(SimData500!$B$9:$B$508)-1)+$J$646</f>
        <v>0.27655310621242507</v>
      </c>
      <c r="K647">
        <f>SMALL(SimData500!$C$9:$C$508,139)</f>
        <v>0.26494360028118535</v>
      </c>
      <c r="L647">
        <f>1/(COUNT(SimData500!$C$9:$C$508)-1)+$L$646</f>
        <v>0.27655310621242507</v>
      </c>
    </row>
    <row r="648" spans="9:12">
      <c r="I648">
        <f>SMALL(SimData500!$B$9:$B$508,140)</f>
        <v>0.27955428482348893</v>
      </c>
      <c r="J648">
        <f>1/(COUNT(SimData500!$B$9:$B$508)-1)+$J$647</f>
        <v>0.27855711422845714</v>
      </c>
      <c r="K648">
        <f>SMALL(SimData500!$C$9:$C$508,140)</f>
        <v>0.26813018148368428</v>
      </c>
      <c r="L648">
        <f>1/(COUNT(SimData500!$C$9:$C$508)-1)+$L$647</f>
        <v>0.27855711422845714</v>
      </c>
    </row>
    <row r="649" spans="9:12">
      <c r="I649">
        <f>SMALL(SimData500!$B$9:$B$508,141)</f>
        <v>0.28120299653597242</v>
      </c>
      <c r="J649">
        <f>1/(COUNT(SimData500!$B$9:$B$508)-1)+$J$648</f>
        <v>0.2805611222444892</v>
      </c>
      <c r="K649">
        <f>SMALL(SimData500!$C$9:$C$508,141)</f>
        <v>0.27014851304011245</v>
      </c>
      <c r="L649">
        <f>1/(COUNT(SimData500!$C$9:$C$508)-1)+$L$648</f>
        <v>0.2805611222444892</v>
      </c>
    </row>
    <row r="650" spans="9:12">
      <c r="I650">
        <f>SMALL(SimData500!$B$9:$B$508,142)</f>
        <v>0.28348514034633643</v>
      </c>
      <c r="J650">
        <f>1/(COUNT(SimData500!$B$9:$B$508)-1)+$J$649</f>
        <v>0.28256513026052127</v>
      </c>
      <c r="K650">
        <f>SMALL(SimData500!$C$9:$C$508,142)</f>
        <v>0.27169500973104732</v>
      </c>
      <c r="L650">
        <f>1/(COUNT(SimData500!$C$9:$C$508)-1)+$L$649</f>
        <v>0.28256513026052127</v>
      </c>
    </row>
    <row r="651" spans="9:12">
      <c r="I651">
        <f>SMALL(SimData500!$B$9:$B$508,143)</f>
        <v>0.28590596732588158</v>
      </c>
      <c r="J651">
        <f>1/(COUNT(SimData500!$B$9:$B$508)-1)+$J$650</f>
        <v>0.28456913827655334</v>
      </c>
      <c r="K651">
        <f>SMALL(SimData500!$C$9:$C$508,143)</f>
        <v>0.27198072266037343</v>
      </c>
      <c r="L651">
        <f>1/(COUNT(SimData500!$C$9:$C$508)-1)+$L$650</f>
        <v>0.28456913827655334</v>
      </c>
    </row>
    <row r="652" spans="9:12">
      <c r="I652">
        <f>SMALL(SimData500!$B$9:$B$508,144)</f>
        <v>0.28728256193671431</v>
      </c>
      <c r="J652">
        <f>1/(COUNT(SimData500!$B$9:$B$508)-1)+$J$651</f>
        <v>0.2865731462925854</v>
      </c>
      <c r="K652">
        <f>SMALL(SimData500!$C$9:$C$508,144)</f>
        <v>0.27563476933937636</v>
      </c>
      <c r="L652">
        <f>1/(COUNT(SimData500!$C$9:$C$508)-1)+$L$651</f>
        <v>0.2865731462925854</v>
      </c>
    </row>
    <row r="653" spans="9:12">
      <c r="I653">
        <f>SMALL(SimData500!$B$9:$B$508,145)</f>
        <v>0.28945610368704799</v>
      </c>
      <c r="J653">
        <f>1/(COUNT(SimData500!$B$9:$B$508)-1)+$J$652</f>
        <v>0.28857715430861747</v>
      </c>
      <c r="K653">
        <f>SMALL(SimData500!$C$9:$C$508,145)</f>
        <v>0.27771616386962705</v>
      </c>
      <c r="L653">
        <f>1/(COUNT(SimData500!$C$9:$C$508)-1)+$L$652</f>
        <v>0.28857715430861747</v>
      </c>
    </row>
    <row r="654" spans="9:12">
      <c r="I654">
        <f>SMALL(SimData500!$B$9:$B$508,146)</f>
        <v>0.29129430626036928</v>
      </c>
      <c r="J654">
        <f>1/(COUNT(SimData500!$B$9:$B$508)-1)+$J$653</f>
        <v>0.29058116232464953</v>
      </c>
      <c r="K654">
        <f>SMALL(SimData500!$C$9:$C$508,146)</f>
        <v>0.28273283288945095</v>
      </c>
      <c r="L654">
        <f>1/(COUNT(SimData500!$C$9:$C$508)-1)+$L$653</f>
        <v>0.29058116232464953</v>
      </c>
    </row>
    <row r="655" spans="9:12">
      <c r="I655">
        <f>SMALL(SimData500!$B$9:$B$508,147)</f>
        <v>0.29353839045240038</v>
      </c>
      <c r="J655">
        <f>1/(COUNT(SimData500!$B$9:$B$508)-1)+$J$654</f>
        <v>0.2925851703406816</v>
      </c>
      <c r="K655">
        <f>SMALL(SimData500!$C$9:$C$508,147)</f>
        <v>0.28276687395327826</v>
      </c>
      <c r="L655">
        <f>1/(COUNT(SimData500!$C$9:$C$508)-1)+$L$654</f>
        <v>0.2925851703406816</v>
      </c>
    </row>
    <row r="656" spans="9:12">
      <c r="I656">
        <f>SMALL(SimData500!$B$9:$B$508,148)</f>
        <v>0.29588937472968579</v>
      </c>
      <c r="J656">
        <f>1/(COUNT(SimData500!$B$9:$B$508)-1)+$J$655</f>
        <v>0.29458917835671367</v>
      </c>
      <c r="K656">
        <f>SMALL(SimData500!$C$9:$C$508,148)</f>
        <v>0.28667762364329974</v>
      </c>
      <c r="L656">
        <f>1/(COUNT(SimData500!$C$9:$C$508)-1)+$L$655</f>
        <v>0.29458917835671367</v>
      </c>
    </row>
    <row r="657" spans="9:12">
      <c r="I657">
        <f>SMALL(SimData500!$B$9:$B$508,149)</f>
        <v>0.29762399934968536</v>
      </c>
      <c r="J657">
        <f>1/(COUNT(SimData500!$B$9:$B$508)-1)+$J$656</f>
        <v>0.29659318637274573</v>
      </c>
      <c r="K657">
        <f>SMALL(SimData500!$C$9:$C$508,149)</f>
        <v>0.28713087296364392</v>
      </c>
      <c r="L657">
        <f>1/(COUNT(SimData500!$C$9:$C$508)-1)+$L$656</f>
        <v>0.29659318637274573</v>
      </c>
    </row>
    <row r="658" spans="9:12">
      <c r="I658">
        <f>SMALL(SimData500!$B$9:$B$508,150)</f>
        <v>0.29978569719562903</v>
      </c>
      <c r="J658">
        <f>1/(COUNT(SimData500!$B$9:$B$508)-1)+$J$657</f>
        <v>0.2985971943887778</v>
      </c>
      <c r="K658">
        <f>SMALL(SimData500!$C$9:$C$508,150)</f>
        <v>0.28859013685723767</v>
      </c>
      <c r="L658">
        <f>1/(COUNT(SimData500!$C$9:$C$508)-1)+$L$657</f>
        <v>0.2985971943887778</v>
      </c>
    </row>
    <row r="659" spans="9:12">
      <c r="I659">
        <f>SMALL(SimData500!$B$9:$B$508,151)</f>
        <v>0.30006659547241094</v>
      </c>
      <c r="J659">
        <f>1/(COUNT(SimData500!$B$9:$B$508)-1)+$J$658</f>
        <v>0.30060120240480986</v>
      </c>
      <c r="K659">
        <f>SMALL(SimData500!$C$9:$C$508,151)</f>
        <v>0.28954072302894929</v>
      </c>
      <c r="L659">
        <f>1/(COUNT(SimData500!$C$9:$C$508)-1)+$L$658</f>
        <v>0.30060120240480986</v>
      </c>
    </row>
    <row r="660" spans="9:12">
      <c r="I660">
        <f>SMALL(SimData500!$B$9:$B$508,152)</f>
        <v>0.30224807503313011</v>
      </c>
      <c r="J660">
        <f>1/(COUNT(SimData500!$B$9:$B$508)-1)+$J$659</f>
        <v>0.30260521042084193</v>
      </c>
      <c r="K660">
        <f>SMALL(SimData500!$C$9:$C$508,152)</f>
        <v>0.29171612405662017</v>
      </c>
      <c r="L660">
        <f>1/(COUNT(SimData500!$C$9:$C$508)-1)+$L$659</f>
        <v>0.30260521042084193</v>
      </c>
    </row>
    <row r="661" spans="9:12">
      <c r="I661">
        <f>SMALL(SimData500!$B$9:$B$508,153)</f>
        <v>0.30461438404410485</v>
      </c>
      <c r="J661">
        <f>1/(COUNT(SimData500!$B$9:$B$508)-1)+$J$660</f>
        <v>0.304609218436874</v>
      </c>
      <c r="K661">
        <f>SMALL(SimData500!$C$9:$C$508,153)</f>
        <v>0.2927213212233255</v>
      </c>
      <c r="L661">
        <f>1/(COUNT(SimData500!$C$9:$C$508)-1)+$L$660</f>
        <v>0.304609218436874</v>
      </c>
    </row>
    <row r="662" spans="9:12">
      <c r="I662">
        <f>SMALL(SimData500!$B$9:$B$508,154)</f>
        <v>0.30731618374942715</v>
      </c>
      <c r="J662">
        <f>1/(COUNT(SimData500!$B$9:$B$508)-1)+$J$661</f>
        <v>0.30661322645290606</v>
      </c>
      <c r="K662">
        <f>SMALL(SimData500!$C$9:$C$508,154)</f>
        <v>0.29954384408301848</v>
      </c>
      <c r="L662">
        <f>1/(COUNT(SimData500!$C$9:$C$508)-1)+$L$661</f>
        <v>0.30661322645290606</v>
      </c>
    </row>
    <row r="663" spans="9:12">
      <c r="I663">
        <f>SMALL(SimData500!$B$9:$B$508,155)</f>
        <v>0.30899022935027959</v>
      </c>
      <c r="J663">
        <f>1/(COUNT(SimData500!$B$9:$B$508)-1)+$J$662</f>
        <v>0.30861723446893813</v>
      </c>
      <c r="K663">
        <f>SMALL(SimData500!$C$9:$C$508,155)</f>
        <v>0.30006471494471043</v>
      </c>
      <c r="L663">
        <f>1/(COUNT(SimData500!$C$9:$C$508)-1)+$L$662</f>
        <v>0.30861723446893813</v>
      </c>
    </row>
    <row r="664" spans="9:12">
      <c r="I664">
        <f>SMALL(SimData500!$B$9:$B$508,156)</f>
        <v>0.31175698884896869</v>
      </c>
      <c r="J664">
        <f>1/(COUNT(SimData500!$B$9:$B$508)-1)+$J$663</f>
        <v>0.31062124248497019</v>
      </c>
      <c r="K664">
        <f>SMALL(SimData500!$C$9:$C$508,156)</f>
        <v>0.30043765198388428</v>
      </c>
      <c r="L664">
        <f>1/(COUNT(SimData500!$C$9:$C$508)-1)+$L$663</f>
        <v>0.31062124248497019</v>
      </c>
    </row>
    <row r="665" spans="9:12">
      <c r="I665">
        <f>SMALL(SimData500!$B$9:$B$508,157)</f>
        <v>0.31335272806355563</v>
      </c>
      <c r="J665">
        <f>1/(COUNT(SimData500!$B$9:$B$508)-1)+$J$664</f>
        <v>0.31262525050100226</v>
      </c>
      <c r="K665">
        <f>SMALL(SimData500!$C$9:$C$508,157)</f>
        <v>0.30088596065706952</v>
      </c>
      <c r="L665">
        <f>1/(COUNT(SimData500!$C$9:$C$508)-1)+$L$664</f>
        <v>0.31262525050100226</v>
      </c>
    </row>
    <row r="666" spans="9:12">
      <c r="I666">
        <f>SMALL(SimData500!$B$9:$B$508,158)</f>
        <v>0.31471608400128692</v>
      </c>
      <c r="J666">
        <f>1/(COUNT(SimData500!$B$9:$B$508)-1)+$J$665</f>
        <v>0.31462925851703433</v>
      </c>
      <c r="K666">
        <f>SMALL(SimData500!$C$9:$C$508,158)</f>
        <v>0.30129641239820515</v>
      </c>
      <c r="L666">
        <f>1/(COUNT(SimData500!$C$9:$C$508)-1)+$L$665</f>
        <v>0.31462925851703433</v>
      </c>
    </row>
    <row r="667" spans="9:12">
      <c r="I667">
        <f>SMALL(SimData500!$B$9:$B$508,159)</f>
        <v>0.31726228662516509</v>
      </c>
      <c r="J667">
        <f>1/(COUNT(SimData500!$B$9:$B$508)-1)+$J$666</f>
        <v>0.31663326653306639</v>
      </c>
      <c r="K667">
        <f>SMALL(SimData500!$C$9:$C$508,159)</f>
        <v>0.30136530154322827</v>
      </c>
      <c r="L667">
        <f>1/(COUNT(SimData500!$C$9:$C$508)-1)+$L$666</f>
        <v>0.31663326653306639</v>
      </c>
    </row>
    <row r="668" spans="9:12">
      <c r="I668">
        <f>SMALL(SimData500!$B$9:$B$508,160)</f>
        <v>0.31867591535362322</v>
      </c>
      <c r="J668">
        <f>1/(COUNT(SimData500!$B$9:$B$508)-1)+$J$667</f>
        <v>0.31863727454909846</v>
      </c>
      <c r="K668">
        <f>SMALL(SimData500!$C$9:$C$508,160)</f>
        <v>0.30355146034708014</v>
      </c>
      <c r="L668">
        <f>1/(COUNT(SimData500!$C$9:$C$508)-1)+$L$667</f>
        <v>0.31863727454909846</v>
      </c>
    </row>
    <row r="669" spans="9:12">
      <c r="I669">
        <f>SMALL(SimData500!$B$9:$B$508,161)</f>
        <v>0.32066733398304026</v>
      </c>
      <c r="J669">
        <f>1/(COUNT(SimData500!$B$9:$B$508)-1)+$J$668</f>
        <v>0.32064128256513053</v>
      </c>
      <c r="K669">
        <f>SMALL(SimData500!$C$9:$C$508,161)</f>
        <v>0.30478770251738752</v>
      </c>
      <c r="L669">
        <f>1/(COUNT(SimData500!$C$9:$C$508)-1)+$L$668</f>
        <v>0.32064128256513053</v>
      </c>
    </row>
    <row r="670" spans="9:12">
      <c r="I670">
        <f>SMALL(SimData500!$B$9:$B$508,162)</f>
        <v>0.3221968356324818</v>
      </c>
      <c r="J670">
        <f>1/(COUNT(SimData500!$B$9:$B$508)-1)+$J$669</f>
        <v>0.32264529058116259</v>
      </c>
      <c r="K670">
        <f>SMALL(SimData500!$C$9:$C$508,162)</f>
        <v>0.30591096269563423</v>
      </c>
      <c r="L670">
        <f>1/(COUNT(SimData500!$C$9:$C$508)-1)+$L$669</f>
        <v>0.32264529058116259</v>
      </c>
    </row>
    <row r="671" spans="9:12">
      <c r="I671">
        <f>SMALL(SimData500!$B$9:$B$508,163)</f>
        <v>0.32594296318943211</v>
      </c>
      <c r="J671">
        <f>1/(COUNT(SimData500!$B$9:$B$508)-1)+$J$670</f>
        <v>0.32464929859719466</v>
      </c>
      <c r="K671">
        <f>SMALL(SimData500!$C$9:$C$508,163)</f>
        <v>0.3102275004830517</v>
      </c>
      <c r="L671">
        <f>1/(COUNT(SimData500!$C$9:$C$508)-1)+$L$670</f>
        <v>0.32464929859719466</v>
      </c>
    </row>
    <row r="672" spans="9:12">
      <c r="I672">
        <f>SMALL(SimData500!$B$9:$B$508,164)</f>
        <v>0.32787056122111868</v>
      </c>
      <c r="J672">
        <f>1/(COUNT(SimData500!$B$9:$B$508)-1)+$J$671</f>
        <v>0.32665330661322672</v>
      </c>
      <c r="K672">
        <f>SMALL(SimData500!$C$9:$C$508,164)</f>
        <v>0.31067257441281981</v>
      </c>
      <c r="L672">
        <f>1/(COUNT(SimData500!$C$9:$C$508)-1)+$L$671</f>
        <v>0.32665330661322672</v>
      </c>
    </row>
    <row r="673" spans="9:12">
      <c r="I673">
        <f>SMALL(SimData500!$B$9:$B$508,165)</f>
        <v>0.32887739155508516</v>
      </c>
      <c r="J673">
        <f>1/(COUNT(SimData500!$B$9:$B$508)-1)+$J$672</f>
        <v>0.32865731462925879</v>
      </c>
      <c r="K673">
        <f>SMALL(SimData500!$C$9:$C$508,165)</f>
        <v>0.31191639400003623</v>
      </c>
      <c r="L673">
        <f>1/(COUNT(SimData500!$C$9:$C$508)-1)+$L$672</f>
        <v>0.32865731462925879</v>
      </c>
    </row>
    <row r="674" spans="9:12">
      <c r="I674">
        <f>SMALL(SimData500!$B$9:$B$508,166)</f>
        <v>0.33072424837265263</v>
      </c>
      <c r="J674">
        <f>1/(COUNT(SimData500!$B$9:$B$508)-1)+$J$673</f>
        <v>0.33066132264529086</v>
      </c>
      <c r="K674">
        <f>SMALL(SimData500!$C$9:$C$508,166)</f>
        <v>0.31617162822294631</v>
      </c>
      <c r="L674">
        <f>1/(COUNT(SimData500!$C$9:$C$508)-1)+$L$673</f>
        <v>0.33066132264529086</v>
      </c>
    </row>
    <row r="675" spans="9:12">
      <c r="I675">
        <f>SMALL(SimData500!$B$9:$B$508,167)</f>
        <v>0.33283249980277207</v>
      </c>
      <c r="J675">
        <f>1/(COUNT(SimData500!$B$9:$B$508)-1)+$J$674</f>
        <v>0.33266533066132292</v>
      </c>
      <c r="K675">
        <f>SMALL(SimData500!$C$9:$C$508,167)</f>
        <v>0.31810035679882276</v>
      </c>
      <c r="L675">
        <f>1/(COUNT(SimData500!$C$9:$C$508)-1)+$L$674</f>
        <v>0.33266533066132292</v>
      </c>
    </row>
    <row r="676" spans="9:12">
      <c r="I676">
        <f>SMALL(SimData500!$B$9:$B$508,168)</f>
        <v>0.33522836828865771</v>
      </c>
      <c r="J676">
        <f>1/(COUNT(SimData500!$B$9:$B$508)-1)+$J$675</f>
        <v>0.33466933867735499</v>
      </c>
      <c r="K676">
        <f>SMALL(SimData500!$C$9:$C$508,168)</f>
        <v>0.31830304090726713</v>
      </c>
      <c r="L676">
        <f>1/(COUNT(SimData500!$C$9:$C$508)-1)+$L$675</f>
        <v>0.33466933867735499</v>
      </c>
    </row>
    <row r="677" spans="9:12">
      <c r="I677">
        <f>SMALL(SimData500!$B$9:$B$508,169)</f>
        <v>0.33652340381697832</v>
      </c>
      <c r="J677">
        <f>1/(COUNT(SimData500!$B$9:$B$508)-1)+$J$676</f>
        <v>0.33667334669338705</v>
      </c>
      <c r="K677">
        <f>SMALL(SimData500!$C$9:$C$508,169)</f>
        <v>0.31835128935381363</v>
      </c>
      <c r="L677">
        <f>1/(COUNT(SimData500!$C$9:$C$508)-1)+$L$676</f>
        <v>0.33667334669338705</v>
      </c>
    </row>
    <row r="678" spans="9:12">
      <c r="I678">
        <f>SMALL(SimData500!$B$9:$B$508,170)</f>
        <v>0.33801215459453227</v>
      </c>
      <c r="J678">
        <f>1/(COUNT(SimData500!$B$9:$B$508)-1)+$J$677</f>
        <v>0.33867735470941912</v>
      </c>
      <c r="K678">
        <f>SMALL(SimData500!$C$9:$C$508,170)</f>
        <v>0.32058851660713117</v>
      </c>
      <c r="L678">
        <f>1/(COUNT(SimData500!$C$9:$C$508)-1)+$L$677</f>
        <v>0.33867735470941912</v>
      </c>
    </row>
    <row r="679" spans="9:12">
      <c r="I679">
        <f>SMALL(SimData500!$B$9:$B$508,171)</f>
        <v>0.34165699473946753</v>
      </c>
      <c r="J679">
        <f>1/(COUNT(SimData500!$B$9:$B$508)-1)+$J$678</f>
        <v>0.34068136272545119</v>
      </c>
      <c r="K679">
        <f>SMALL(SimData500!$C$9:$C$508,171)</f>
        <v>0.3249777995988552</v>
      </c>
      <c r="L679">
        <f>1/(COUNT(SimData500!$C$9:$C$508)-1)+$L$678</f>
        <v>0.34068136272545119</v>
      </c>
    </row>
    <row r="680" spans="9:12">
      <c r="I680">
        <f>SMALL(SimData500!$B$9:$B$508,172)</f>
        <v>0.34308036139632581</v>
      </c>
      <c r="J680">
        <f>1/(COUNT(SimData500!$B$9:$B$508)-1)+$J$679</f>
        <v>0.34268537074148325</v>
      </c>
      <c r="K680">
        <f>SMALL(SimData500!$C$9:$C$508,172)</f>
        <v>0.32518725232785073</v>
      </c>
      <c r="L680">
        <f>1/(COUNT(SimData500!$C$9:$C$508)-1)+$L$679</f>
        <v>0.34268537074148325</v>
      </c>
    </row>
    <row r="681" spans="9:12">
      <c r="I681">
        <f>SMALL(SimData500!$B$9:$B$508,173)</f>
        <v>0.3447168635136254</v>
      </c>
      <c r="J681">
        <f>1/(COUNT(SimData500!$B$9:$B$508)-1)+$J$680</f>
        <v>0.34468937875751532</v>
      </c>
      <c r="K681">
        <f>SMALL(SimData500!$C$9:$C$508,173)</f>
        <v>0.32702639557192015</v>
      </c>
      <c r="L681">
        <f>1/(COUNT(SimData500!$C$9:$C$508)-1)+$L$680</f>
        <v>0.34468937875751532</v>
      </c>
    </row>
    <row r="682" spans="9:12">
      <c r="I682">
        <f>SMALL(SimData500!$B$9:$B$508,174)</f>
        <v>0.34752447169961509</v>
      </c>
      <c r="J682">
        <f>1/(COUNT(SimData500!$B$9:$B$508)-1)+$J$681</f>
        <v>0.34669338677354739</v>
      </c>
      <c r="K682">
        <f>SMALL(SimData500!$C$9:$C$508,174)</f>
        <v>0.32723689402155287</v>
      </c>
      <c r="L682">
        <f>1/(COUNT(SimData500!$C$9:$C$508)-1)+$L$681</f>
        <v>0.34669338677354739</v>
      </c>
    </row>
    <row r="683" spans="9:12">
      <c r="I683">
        <f>SMALL(SimData500!$B$9:$B$508,175)</f>
        <v>0.34901218361244823</v>
      </c>
      <c r="J683">
        <f>1/(COUNT(SimData500!$B$9:$B$508)-1)+$J$682</f>
        <v>0.34869739478957945</v>
      </c>
      <c r="K683">
        <f>SMALL(SimData500!$C$9:$C$508,175)</f>
        <v>0.32777039914435591</v>
      </c>
      <c r="L683">
        <f>1/(COUNT(SimData500!$C$9:$C$508)-1)+$L$682</f>
        <v>0.34869739478957945</v>
      </c>
    </row>
    <row r="684" spans="9:12">
      <c r="I684">
        <f>SMALL(SimData500!$B$9:$B$508,176)</f>
        <v>0.3501009351345945</v>
      </c>
      <c r="J684">
        <f>1/(COUNT(SimData500!$B$9:$B$508)-1)+$J$683</f>
        <v>0.35070140280561152</v>
      </c>
      <c r="K684">
        <f>SMALL(SimData500!$C$9:$C$508,176)</f>
        <v>0.32783933665177756</v>
      </c>
      <c r="L684">
        <f>1/(COUNT(SimData500!$C$9:$C$508)-1)+$L$683</f>
        <v>0.35070140280561152</v>
      </c>
    </row>
    <row r="685" spans="9:12">
      <c r="I685">
        <f>SMALL(SimData500!$B$9:$B$508,177)</f>
        <v>0.35240652135908757</v>
      </c>
      <c r="J685">
        <f>1/(COUNT(SimData500!$B$9:$B$508)-1)+$J$684</f>
        <v>0.35270541082164358</v>
      </c>
      <c r="K685">
        <f>SMALL(SimData500!$C$9:$C$508,177)</f>
        <v>0.32837563113844226</v>
      </c>
      <c r="L685">
        <f>1/(COUNT(SimData500!$C$9:$C$508)-1)+$L$684</f>
        <v>0.35270541082164358</v>
      </c>
    </row>
    <row r="686" spans="9:12">
      <c r="I686">
        <f>SMALL(SimData500!$B$9:$B$508,178)</f>
        <v>0.3559805648219726</v>
      </c>
      <c r="J686">
        <f>1/(COUNT(SimData500!$B$9:$B$508)-1)+$J$685</f>
        <v>0.35470941883767565</v>
      </c>
      <c r="K686">
        <f>SMALL(SimData500!$C$9:$C$508,178)</f>
        <v>0.32912419175863761</v>
      </c>
      <c r="L686">
        <f>1/(COUNT(SimData500!$C$9:$C$508)-1)+$L$685</f>
        <v>0.35470941883767565</v>
      </c>
    </row>
    <row r="687" spans="9:12">
      <c r="I687">
        <f>SMALL(SimData500!$B$9:$B$508,179)</f>
        <v>0.35794434326932401</v>
      </c>
      <c r="J687">
        <f>1/(COUNT(SimData500!$B$9:$B$508)-1)+$J$686</f>
        <v>0.35671342685370772</v>
      </c>
      <c r="K687">
        <f>SMALL(SimData500!$C$9:$C$508,179)</f>
        <v>0.33132913035572642</v>
      </c>
      <c r="L687">
        <f>1/(COUNT(SimData500!$C$9:$C$508)-1)+$L$686</f>
        <v>0.35671342685370772</v>
      </c>
    </row>
    <row r="688" spans="9:12">
      <c r="I688">
        <f>SMALL(SimData500!$B$9:$B$508,180)</f>
        <v>0.35819200978386029</v>
      </c>
      <c r="J688">
        <f>1/(COUNT(SimData500!$B$9:$B$508)-1)+$J$687</f>
        <v>0.35871743486973978</v>
      </c>
      <c r="K688">
        <f>SMALL(SimData500!$C$9:$C$508,180)</f>
        <v>0.3381592710629775</v>
      </c>
      <c r="L688">
        <f>1/(COUNT(SimData500!$C$9:$C$508)-1)+$L$687</f>
        <v>0.35871743486973978</v>
      </c>
    </row>
    <row r="689" spans="9:12">
      <c r="I689">
        <f>SMALL(SimData500!$B$9:$B$508,181)</f>
        <v>0.36097231414797071</v>
      </c>
      <c r="J689">
        <f>1/(COUNT(SimData500!$B$9:$B$508)-1)+$J$688</f>
        <v>0.36072144288577185</v>
      </c>
      <c r="K689">
        <f>SMALL(SimData500!$C$9:$C$508,181)</f>
        <v>0.34489761672057284</v>
      </c>
      <c r="L689">
        <f>1/(COUNT(SimData500!$C$9:$C$508)-1)+$L$688</f>
        <v>0.36072144288577185</v>
      </c>
    </row>
    <row r="690" spans="9:12">
      <c r="I690">
        <f>SMALL(SimData500!$B$9:$B$508,182)</f>
        <v>0.36315993770052679</v>
      </c>
      <c r="J690">
        <f>1/(COUNT(SimData500!$B$9:$B$508)-1)+$J$689</f>
        <v>0.36272545090180391</v>
      </c>
      <c r="K690">
        <f>SMALL(SimData500!$C$9:$C$508,182)</f>
        <v>0.34539142991707195</v>
      </c>
      <c r="L690">
        <f>1/(COUNT(SimData500!$C$9:$C$508)-1)+$L$689</f>
        <v>0.36272545090180391</v>
      </c>
    </row>
    <row r="691" spans="9:12">
      <c r="I691">
        <f>SMALL(SimData500!$B$9:$B$508,183)</f>
        <v>0.36520820730859604</v>
      </c>
      <c r="J691">
        <f>1/(COUNT(SimData500!$B$9:$B$508)-1)+$J$690</f>
        <v>0.36472945891783598</v>
      </c>
      <c r="K691">
        <f>SMALL(SimData500!$C$9:$C$508,183)</f>
        <v>0.34863140338984522</v>
      </c>
      <c r="L691">
        <f>1/(COUNT(SimData500!$C$9:$C$508)-1)+$L$690</f>
        <v>0.36472945891783598</v>
      </c>
    </row>
    <row r="692" spans="9:12">
      <c r="I692">
        <f>SMALL(SimData500!$B$9:$B$508,184)</f>
        <v>0.36649085464619358</v>
      </c>
      <c r="J692">
        <f>1/(COUNT(SimData500!$B$9:$B$508)-1)+$J$691</f>
        <v>0.36673346693386805</v>
      </c>
      <c r="K692">
        <f>SMALL(SimData500!$C$9:$C$508,184)</f>
        <v>0.35734853868507344</v>
      </c>
      <c r="L692">
        <f>1/(COUNT(SimData500!$C$9:$C$508)-1)+$L$691</f>
        <v>0.36673346693386805</v>
      </c>
    </row>
    <row r="693" spans="9:12">
      <c r="I693">
        <f>SMALL(SimData500!$B$9:$B$508,185)</f>
        <v>0.36910983594486252</v>
      </c>
      <c r="J693">
        <f>1/(COUNT(SimData500!$B$9:$B$508)-1)+$J$692</f>
        <v>0.36873747494990011</v>
      </c>
      <c r="K693">
        <f>SMALL(SimData500!$C$9:$C$508,185)</f>
        <v>0.35792963940002664</v>
      </c>
      <c r="L693">
        <f>1/(COUNT(SimData500!$C$9:$C$508)-1)+$L$692</f>
        <v>0.36873747494990011</v>
      </c>
    </row>
    <row r="694" spans="9:12">
      <c r="I694">
        <f>SMALL(SimData500!$B$9:$B$508,186)</f>
        <v>0.37081394447544913</v>
      </c>
      <c r="J694">
        <f>1/(COUNT(SimData500!$B$9:$B$508)-1)+$J$693</f>
        <v>0.37074148296593218</v>
      </c>
      <c r="K694">
        <f>SMALL(SimData500!$C$9:$C$508,186)</f>
        <v>0.35808986806296161</v>
      </c>
      <c r="L694">
        <f>1/(COUNT(SimData500!$C$9:$C$508)-1)+$L$693</f>
        <v>0.37074148296593218</v>
      </c>
    </row>
    <row r="695" spans="9:12">
      <c r="I695">
        <f>SMALL(SimData500!$B$9:$B$508,187)</f>
        <v>0.37212458360011796</v>
      </c>
      <c r="J695">
        <f>1/(COUNT(SimData500!$B$9:$B$508)-1)+$J$694</f>
        <v>0.37274549098196424</v>
      </c>
      <c r="K695">
        <f>SMALL(SimData500!$C$9:$C$508,187)</f>
        <v>0.35834859277747455</v>
      </c>
      <c r="L695">
        <f>1/(COUNT(SimData500!$C$9:$C$508)-1)+$L$694</f>
        <v>0.37274549098196424</v>
      </c>
    </row>
    <row r="696" spans="9:12">
      <c r="I696">
        <f>SMALL(SimData500!$B$9:$B$508,188)</f>
        <v>0.37564816872348267</v>
      </c>
      <c r="J696">
        <f>1/(COUNT(SimData500!$B$9:$B$508)-1)+$J$695</f>
        <v>0.37474949899799631</v>
      </c>
      <c r="K696">
        <f>SMALL(SimData500!$C$9:$C$508,188)</f>
        <v>0.36184026681257819</v>
      </c>
      <c r="L696">
        <f>1/(COUNT(SimData500!$C$9:$C$508)-1)+$L$695</f>
        <v>0.37474949899799631</v>
      </c>
    </row>
    <row r="697" spans="9:12">
      <c r="I697">
        <f>SMALL(SimData500!$B$9:$B$508,189)</f>
        <v>0.37707723437786966</v>
      </c>
      <c r="J697">
        <f>1/(COUNT(SimData500!$B$9:$B$508)-1)+$J$696</f>
        <v>0.37675350701402838</v>
      </c>
      <c r="K697">
        <f>SMALL(SimData500!$C$9:$C$508,189)</f>
        <v>0.36195148824208445</v>
      </c>
      <c r="L697">
        <f>1/(COUNT(SimData500!$C$9:$C$508)-1)+$L$696</f>
        <v>0.37675350701402838</v>
      </c>
    </row>
    <row r="698" spans="9:12">
      <c r="I698">
        <f>SMALL(SimData500!$B$9:$B$508,190)</f>
        <v>0.37848962625406907</v>
      </c>
      <c r="J698">
        <f>1/(COUNT(SimData500!$B$9:$B$508)-1)+$J$697</f>
        <v>0.37875751503006044</v>
      </c>
      <c r="K698">
        <f>SMALL(SimData500!$C$9:$C$508,190)</f>
        <v>0.36591640445294615</v>
      </c>
      <c r="L698">
        <f>1/(COUNT(SimData500!$C$9:$C$508)-1)+$L$697</f>
        <v>0.37875751503006044</v>
      </c>
    </row>
    <row r="699" spans="9:12">
      <c r="I699">
        <f>SMALL(SimData500!$B$9:$B$508,191)</f>
        <v>0.38078867940017685</v>
      </c>
      <c r="J699">
        <f>1/(COUNT(SimData500!$B$9:$B$508)-1)+$J$698</f>
        <v>0.38076152304609251</v>
      </c>
      <c r="K699">
        <f>SMALL(SimData500!$C$9:$C$508,191)</f>
        <v>0.37370095532423875</v>
      </c>
      <c r="L699">
        <f>1/(COUNT(SimData500!$C$9:$C$508)-1)+$L$698</f>
        <v>0.38076152304609251</v>
      </c>
    </row>
    <row r="700" spans="9:12">
      <c r="I700">
        <f>SMALL(SimData500!$B$9:$B$508,192)</f>
        <v>0.38266635324355824</v>
      </c>
      <c r="J700">
        <f>1/(COUNT(SimData500!$B$9:$B$508)-1)+$J$699</f>
        <v>0.38276553106212458</v>
      </c>
      <c r="K700">
        <f>SMALL(SimData500!$C$9:$C$508,192)</f>
        <v>0.37565586383880145</v>
      </c>
      <c r="L700">
        <f>1/(COUNT(SimData500!$C$9:$C$508)-1)+$L$699</f>
        <v>0.38276553106212458</v>
      </c>
    </row>
    <row r="701" spans="9:12">
      <c r="I701">
        <f>SMALL(SimData500!$B$9:$B$508,193)</f>
        <v>0.38499360920931064</v>
      </c>
      <c r="J701">
        <f>1/(COUNT(SimData500!$B$9:$B$508)-1)+$J$700</f>
        <v>0.38476953907815664</v>
      </c>
      <c r="K701">
        <f>SMALL(SimData500!$C$9:$C$508,193)</f>
        <v>0.37902273323925328</v>
      </c>
      <c r="L701">
        <f>1/(COUNT(SimData500!$C$9:$C$508)-1)+$L$700</f>
        <v>0.38476953907815664</v>
      </c>
    </row>
    <row r="702" spans="9:12">
      <c r="I702">
        <f>SMALL(SimData500!$B$9:$B$508,194)</f>
        <v>0.38656005664229393</v>
      </c>
      <c r="J702">
        <f>1/(COUNT(SimData500!$B$9:$B$508)-1)+$J$701</f>
        <v>0.38677354709418871</v>
      </c>
      <c r="K702">
        <f>SMALL(SimData500!$C$9:$C$508,194)</f>
        <v>0.38074883667104586</v>
      </c>
      <c r="L702">
        <f>1/(COUNT(SimData500!$C$9:$C$508)-1)+$L$701</f>
        <v>0.38677354709418871</v>
      </c>
    </row>
    <row r="703" spans="9:12">
      <c r="I703">
        <f>SMALL(SimData500!$B$9:$B$508,195)</f>
        <v>0.38842287342912118</v>
      </c>
      <c r="J703">
        <f>1/(COUNT(SimData500!$B$9:$B$508)-1)+$J$702</f>
        <v>0.38877755511022077</v>
      </c>
      <c r="K703">
        <f>SMALL(SimData500!$C$9:$C$508,195)</f>
        <v>0.38155289872884168</v>
      </c>
      <c r="L703">
        <f>1/(COUNT(SimData500!$C$9:$C$508)-1)+$L$702</f>
        <v>0.38877755511022077</v>
      </c>
    </row>
    <row r="704" spans="9:12">
      <c r="I704">
        <f>SMALL(SimData500!$B$9:$B$508,196)</f>
        <v>0.39040555452238895</v>
      </c>
      <c r="J704">
        <f>1/(COUNT(SimData500!$B$9:$B$508)-1)+$J$703</f>
        <v>0.39078156312625284</v>
      </c>
      <c r="K704">
        <f>SMALL(SimData500!$C$9:$C$508,196)</f>
        <v>0.38268614359367348</v>
      </c>
      <c r="L704">
        <f>1/(COUNT(SimData500!$C$9:$C$508)-1)+$L$703</f>
        <v>0.39078156312625284</v>
      </c>
    </row>
    <row r="705" spans="9:12">
      <c r="I705">
        <f>SMALL(SimData500!$B$9:$B$508,197)</f>
        <v>0.39332594676626054</v>
      </c>
      <c r="J705">
        <f>1/(COUNT(SimData500!$B$9:$B$508)-1)+$J$704</f>
        <v>0.39278557114228491</v>
      </c>
      <c r="K705">
        <f>SMALL(SimData500!$C$9:$C$508,197)</f>
        <v>0.38291271076377598</v>
      </c>
      <c r="L705">
        <f>1/(COUNT(SimData500!$C$9:$C$508)-1)+$L$704</f>
        <v>0.39278557114228491</v>
      </c>
    </row>
    <row r="706" spans="9:12">
      <c r="I706">
        <f>SMALL(SimData500!$B$9:$B$508,198)</f>
        <v>0.39585502701668418</v>
      </c>
      <c r="J706">
        <f>1/(COUNT(SimData500!$B$9:$B$508)-1)+$J$705</f>
        <v>0.39478957915831697</v>
      </c>
      <c r="K706">
        <f>SMALL(SimData500!$C$9:$C$508,198)</f>
        <v>0.38479514188838948</v>
      </c>
      <c r="L706">
        <f>1/(COUNT(SimData500!$C$9:$C$508)-1)+$L$705</f>
        <v>0.39478957915831697</v>
      </c>
    </row>
    <row r="707" spans="9:12">
      <c r="I707">
        <f>SMALL(SimData500!$B$9:$B$508,199)</f>
        <v>0.39669646562093325</v>
      </c>
      <c r="J707">
        <f>1/(COUNT(SimData500!$B$9:$B$508)-1)+$J$706</f>
        <v>0.39679358717434904</v>
      </c>
      <c r="K707">
        <f>SMALL(SimData500!$C$9:$C$508,199)</f>
        <v>0.38578194065757998</v>
      </c>
      <c r="L707">
        <f>1/(COUNT(SimData500!$C$9:$C$508)-1)+$L$706</f>
        <v>0.39679358717434904</v>
      </c>
    </row>
    <row r="708" spans="9:12">
      <c r="I708">
        <f>SMALL(SimData500!$B$9:$B$508,200)</f>
        <v>0.3995315924593088</v>
      </c>
      <c r="J708">
        <f>1/(COUNT(SimData500!$B$9:$B$508)-1)+$J$707</f>
        <v>0.3987975951903811</v>
      </c>
      <c r="K708">
        <f>SMALL(SimData500!$C$9:$C$508,200)</f>
        <v>0.38784155513167207</v>
      </c>
      <c r="L708">
        <f>1/(COUNT(SimData500!$C$9:$C$508)-1)+$L$707</f>
        <v>0.3987975951903811</v>
      </c>
    </row>
    <row r="709" spans="9:12">
      <c r="I709">
        <f>SMALL(SimData500!$B$9:$B$508,201)</f>
        <v>0.4000775649026217</v>
      </c>
      <c r="J709">
        <f>1/(COUNT(SimData500!$B$9:$B$508)-1)+$J$708</f>
        <v>0.40080160320641317</v>
      </c>
      <c r="K709">
        <f>SMALL(SimData500!$C$9:$C$508,201)</f>
        <v>0.3892104449278122</v>
      </c>
      <c r="L709">
        <f>1/(COUNT(SimData500!$C$9:$C$508)-1)+$L$708</f>
        <v>0.40080160320641317</v>
      </c>
    </row>
    <row r="710" spans="9:12">
      <c r="I710">
        <f>SMALL(SimData500!$B$9:$B$508,202)</f>
        <v>0.40319816624447663</v>
      </c>
      <c r="J710">
        <f>1/(COUNT(SimData500!$B$9:$B$508)-1)+$J$709</f>
        <v>0.40280561122244524</v>
      </c>
      <c r="K710">
        <f>SMALL(SimData500!$C$9:$C$508,202)</f>
        <v>0.39170261673463358</v>
      </c>
      <c r="L710">
        <f>1/(COUNT(SimData500!$C$9:$C$508)-1)+$L$709</f>
        <v>0.40280561122244524</v>
      </c>
    </row>
    <row r="711" spans="9:12">
      <c r="I711">
        <f>SMALL(SimData500!$B$9:$B$508,203)</f>
        <v>0.40474647302337607</v>
      </c>
      <c r="J711">
        <f>1/(COUNT(SimData500!$B$9:$B$508)-1)+$J$710</f>
        <v>0.4048096192384773</v>
      </c>
      <c r="K711">
        <f>SMALL(SimData500!$C$9:$C$508,203)</f>
        <v>0.39177482378545392</v>
      </c>
      <c r="L711">
        <f>1/(COUNT(SimData500!$C$9:$C$508)-1)+$L$710</f>
        <v>0.4048096192384773</v>
      </c>
    </row>
    <row r="712" spans="9:12">
      <c r="I712">
        <f>SMALL(SimData500!$B$9:$B$508,204)</f>
        <v>0.40708994983441427</v>
      </c>
      <c r="J712">
        <f>1/(COUNT(SimData500!$B$9:$B$508)-1)+$J$711</f>
        <v>0.40681362725450937</v>
      </c>
      <c r="K712">
        <f>SMALL(SimData500!$C$9:$C$508,204)</f>
        <v>0.39898469546005799</v>
      </c>
      <c r="L712">
        <f>1/(COUNT(SimData500!$C$9:$C$508)-1)+$L$711</f>
        <v>0.40681362725450937</v>
      </c>
    </row>
    <row r="713" spans="9:12">
      <c r="I713">
        <f>SMALL(SimData500!$B$9:$B$508,205)</f>
        <v>0.40949650421959732</v>
      </c>
      <c r="J713">
        <f>1/(COUNT(SimData500!$B$9:$B$508)-1)+$J$712</f>
        <v>0.40881763527054144</v>
      </c>
      <c r="K713">
        <f>SMALL(SimData500!$C$9:$C$508,205)</f>
        <v>0.40023996812851692</v>
      </c>
      <c r="L713">
        <f>1/(COUNT(SimData500!$C$9:$C$508)-1)+$L$712</f>
        <v>0.40881763527054144</v>
      </c>
    </row>
    <row r="714" spans="9:12">
      <c r="I714">
        <f>SMALL(SimData500!$B$9:$B$508,206)</f>
        <v>0.4100614144583376</v>
      </c>
      <c r="J714">
        <f>1/(COUNT(SimData500!$B$9:$B$508)-1)+$J$713</f>
        <v>0.4108216432865735</v>
      </c>
      <c r="K714">
        <f>SMALL(SimData500!$C$9:$C$508,206)</f>
        <v>0.40154261778752698</v>
      </c>
      <c r="L714">
        <f>1/(COUNT(SimData500!$C$9:$C$508)-1)+$L$713</f>
        <v>0.4108216432865735</v>
      </c>
    </row>
    <row r="715" spans="9:12">
      <c r="I715">
        <f>SMALL(SimData500!$B$9:$B$508,207)</f>
        <v>0.41255608204765154</v>
      </c>
      <c r="J715">
        <f>1/(COUNT(SimData500!$B$9:$B$508)-1)+$J$714</f>
        <v>0.41282565130260557</v>
      </c>
      <c r="K715">
        <f>SMALL(SimData500!$C$9:$C$508,207)</f>
        <v>0.4027293582648781</v>
      </c>
      <c r="L715">
        <f>1/(COUNT(SimData500!$C$9:$C$508)-1)+$L$714</f>
        <v>0.41282565130260557</v>
      </c>
    </row>
    <row r="716" spans="9:12">
      <c r="I716">
        <f>SMALL(SimData500!$B$9:$B$508,208)</f>
        <v>0.41522028698148677</v>
      </c>
      <c r="J716">
        <f>1/(COUNT(SimData500!$B$9:$B$508)-1)+$J$715</f>
        <v>0.41482965931863763</v>
      </c>
      <c r="K716">
        <f>SMALL(SimData500!$C$9:$C$508,208)</f>
        <v>0.40436735116236378</v>
      </c>
      <c r="L716">
        <f>1/(COUNT(SimData500!$C$9:$C$508)-1)+$L$715</f>
        <v>0.41482965931863763</v>
      </c>
    </row>
    <row r="717" spans="9:12">
      <c r="I717">
        <f>SMALL(SimData500!$B$9:$B$508,209)</f>
        <v>0.41647979659272349</v>
      </c>
      <c r="J717">
        <f>1/(COUNT(SimData500!$B$9:$B$508)-1)+$J$716</f>
        <v>0.4168336673346697</v>
      </c>
      <c r="K717">
        <f>SMALL(SimData500!$C$9:$C$508,209)</f>
        <v>0.40865344857047603</v>
      </c>
      <c r="L717">
        <f>1/(COUNT(SimData500!$C$9:$C$508)-1)+$L$716</f>
        <v>0.4168336673346697</v>
      </c>
    </row>
    <row r="718" spans="9:12">
      <c r="I718">
        <f>SMALL(SimData500!$B$9:$B$508,210)</f>
        <v>0.41973720601800302</v>
      </c>
      <c r="J718">
        <f>1/(COUNT(SimData500!$B$9:$B$508)-1)+$J$717</f>
        <v>0.41883767535070177</v>
      </c>
      <c r="K718">
        <f>SMALL(SimData500!$C$9:$C$508,210)</f>
        <v>0.40931376216121862</v>
      </c>
      <c r="L718">
        <f>1/(COUNT(SimData500!$C$9:$C$508)-1)+$L$717</f>
        <v>0.41883767535070177</v>
      </c>
    </row>
    <row r="719" spans="9:12">
      <c r="I719">
        <f>SMALL(SimData500!$B$9:$B$508,211)</f>
        <v>0.42000369825121103</v>
      </c>
      <c r="J719">
        <f>1/(COUNT(SimData500!$B$9:$B$508)-1)+$J$718</f>
        <v>0.42084168336673383</v>
      </c>
      <c r="K719">
        <f>SMALL(SimData500!$C$9:$C$508,211)</f>
        <v>0.41044188944670168</v>
      </c>
      <c r="L719">
        <f>1/(COUNT(SimData500!$C$9:$C$508)-1)+$L$718</f>
        <v>0.42084168336673383</v>
      </c>
    </row>
    <row r="720" spans="9:12">
      <c r="I720">
        <f>SMALL(SimData500!$B$9:$B$508,212)</f>
        <v>0.42278251621704138</v>
      </c>
      <c r="J720">
        <f>1/(COUNT(SimData500!$B$9:$B$508)-1)+$J$719</f>
        <v>0.4228456913827659</v>
      </c>
      <c r="K720">
        <f>SMALL(SimData500!$C$9:$C$508,212)</f>
        <v>0.41185606460658164</v>
      </c>
      <c r="L720">
        <f>1/(COUNT(SimData500!$C$9:$C$508)-1)+$L$719</f>
        <v>0.4228456913827659</v>
      </c>
    </row>
    <row r="721" spans="9:12">
      <c r="I721">
        <f>SMALL(SimData500!$B$9:$B$508,213)</f>
        <v>0.42546706123265138</v>
      </c>
      <c r="J721">
        <f>1/(COUNT(SimData500!$B$9:$B$508)-1)+$J$720</f>
        <v>0.42484969939879796</v>
      </c>
      <c r="K721">
        <f>SMALL(SimData500!$C$9:$C$508,213)</f>
        <v>0.41264640565532318</v>
      </c>
      <c r="L721">
        <f>1/(COUNT(SimData500!$C$9:$C$508)-1)+$L$720</f>
        <v>0.42484969939879796</v>
      </c>
    </row>
    <row r="722" spans="9:12">
      <c r="I722">
        <f>SMALL(SimData500!$B$9:$B$508,214)</f>
        <v>0.42632306705841866</v>
      </c>
      <c r="J722">
        <f>1/(COUNT(SimData500!$B$9:$B$508)-1)+$J$721</f>
        <v>0.42685370741483003</v>
      </c>
      <c r="K722">
        <f>SMALL(SimData500!$C$9:$C$508,214)</f>
        <v>0.41402765361090133</v>
      </c>
      <c r="L722">
        <f>1/(COUNT(SimData500!$C$9:$C$508)-1)+$L$721</f>
        <v>0.42685370741483003</v>
      </c>
    </row>
    <row r="723" spans="9:12">
      <c r="I723">
        <f>SMALL(SimData500!$B$9:$B$508,215)</f>
        <v>0.42809902563041519</v>
      </c>
      <c r="J723">
        <f>1/(COUNT(SimData500!$B$9:$B$508)-1)+$J$722</f>
        <v>0.4288577154308621</v>
      </c>
      <c r="K723">
        <f>SMALL(SimData500!$C$9:$C$508,215)</f>
        <v>0.42077186297228764</v>
      </c>
      <c r="L723">
        <f>1/(COUNT(SimData500!$C$9:$C$508)-1)+$L$722</f>
        <v>0.4288577154308621</v>
      </c>
    </row>
    <row r="724" spans="9:12">
      <c r="I724">
        <f>SMALL(SimData500!$B$9:$B$508,216)</f>
        <v>0.43114011241568723</v>
      </c>
      <c r="J724">
        <f>1/(COUNT(SimData500!$B$9:$B$508)-1)+$J$723</f>
        <v>0.43086172344689416</v>
      </c>
      <c r="K724">
        <f>SMALL(SimData500!$C$9:$C$508,216)</f>
        <v>0.42080579956929753</v>
      </c>
      <c r="L724">
        <f>1/(COUNT(SimData500!$C$9:$C$508)-1)+$L$723</f>
        <v>0.43086172344689416</v>
      </c>
    </row>
    <row r="725" spans="9:12">
      <c r="I725">
        <f>SMALL(SimData500!$B$9:$B$508,217)</f>
        <v>0.43397783237322646</v>
      </c>
      <c r="J725">
        <f>1/(COUNT(SimData500!$B$9:$B$508)-1)+$J$724</f>
        <v>0.43286573146292623</v>
      </c>
      <c r="K725">
        <f>SMALL(SimData500!$C$9:$C$508,217)</f>
        <v>0.42533671817818686</v>
      </c>
      <c r="L725">
        <f>1/(COUNT(SimData500!$C$9:$C$508)-1)+$L$724</f>
        <v>0.43286573146292623</v>
      </c>
    </row>
    <row r="726" spans="9:12">
      <c r="I726">
        <f>SMALL(SimData500!$B$9:$B$508,218)</f>
        <v>0.43553799204564142</v>
      </c>
      <c r="J726">
        <f>1/(COUNT(SimData500!$B$9:$B$508)-1)+$J$725</f>
        <v>0.43486973947895829</v>
      </c>
      <c r="K726">
        <f>SMALL(SimData500!$C$9:$C$508,218)</f>
        <v>0.42609611192801822</v>
      </c>
      <c r="L726">
        <f>1/(COUNT(SimData500!$C$9:$C$508)-1)+$L$725</f>
        <v>0.43486973947895829</v>
      </c>
    </row>
    <row r="727" spans="9:12">
      <c r="I727">
        <f>SMALL(SimData500!$B$9:$B$508,219)</f>
        <v>0.43604758805736143</v>
      </c>
      <c r="J727">
        <f>1/(COUNT(SimData500!$B$9:$B$508)-1)+$J$726</f>
        <v>0.43687374749499036</v>
      </c>
      <c r="K727">
        <f>SMALL(SimData500!$C$9:$C$508,219)</f>
        <v>0.42852321021564421</v>
      </c>
      <c r="L727">
        <f>1/(COUNT(SimData500!$C$9:$C$508)-1)+$L$726</f>
        <v>0.43687374749499036</v>
      </c>
    </row>
    <row r="728" spans="9:12">
      <c r="I728">
        <f>SMALL(SimData500!$B$9:$B$508,220)</f>
        <v>0.4392292784860426</v>
      </c>
      <c r="J728">
        <f>1/(COUNT(SimData500!$B$9:$B$508)-1)+$J$727</f>
        <v>0.43887775551102243</v>
      </c>
      <c r="K728">
        <f>SMALL(SimData500!$C$9:$C$508,220)</f>
        <v>0.42898602732202562</v>
      </c>
      <c r="L728">
        <f>1/(COUNT(SimData500!$C$9:$C$508)-1)+$L$727</f>
        <v>0.43887775551102243</v>
      </c>
    </row>
    <row r="729" spans="9:12">
      <c r="I729">
        <f>SMALL(SimData500!$B$9:$B$508,221)</f>
        <v>0.44052813111397626</v>
      </c>
      <c r="J729">
        <f>1/(COUNT(SimData500!$B$9:$B$508)-1)+$J$728</f>
        <v>0.44088176352705449</v>
      </c>
      <c r="K729">
        <f>SMALL(SimData500!$C$9:$C$508,221)</f>
        <v>0.42936228001781274</v>
      </c>
      <c r="L729">
        <f>1/(COUNT(SimData500!$C$9:$C$508)-1)+$L$728</f>
        <v>0.44088176352705449</v>
      </c>
    </row>
    <row r="730" spans="9:12">
      <c r="I730">
        <f>SMALL(SimData500!$B$9:$B$508,222)</f>
        <v>0.44303197606164774</v>
      </c>
      <c r="J730">
        <f>1/(COUNT(SimData500!$B$9:$B$508)-1)+$J$729</f>
        <v>0.44288577154308656</v>
      </c>
      <c r="K730">
        <f>SMALL(SimData500!$C$9:$C$508,222)</f>
        <v>0.42938907264760928</v>
      </c>
      <c r="L730">
        <f>1/(COUNT(SimData500!$C$9:$C$508)-1)+$L$729</f>
        <v>0.44288577154308656</v>
      </c>
    </row>
    <row r="731" spans="9:12">
      <c r="I731">
        <f>SMALL(SimData500!$B$9:$B$508,223)</f>
        <v>0.44500465964456198</v>
      </c>
      <c r="J731">
        <f>1/(COUNT(SimData500!$B$9:$B$508)-1)+$J$730</f>
        <v>0.44488977955911863</v>
      </c>
      <c r="K731">
        <f>SMALL(SimData500!$C$9:$C$508,223)</f>
        <v>0.42956508996849152</v>
      </c>
      <c r="L731">
        <f>1/(COUNT(SimData500!$C$9:$C$508)-1)+$L$730</f>
        <v>0.44488977955911863</v>
      </c>
    </row>
    <row r="732" spans="9:12">
      <c r="I732">
        <f>SMALL(SimData500!$B$9:$B$508,224)</f>
        <v>0.44793229624254915</v>
      </c>
      <c r="J732">
        <f>1/(COUNT(SimData500!$B$9:$B$508)-1)+$J$731</f>
        <v>0.44689378757515069</v>
      </c>
      <c r="K732">
        <f>SMALL(SimData500!$C$9:$C$508,224)</f>
        <v>0.42970338856321177</v>
      </c>
      <c r="L732">
        <f>1/(COUNT(SimData500!$C$9:$C$508)-1)+$L$731</f>
        <v>0.44689378757515069</v>
      </c>
    </row>
    <row r="733" spans="9:12">
      <c r="I733">
        <f>SMALL(SimData500!$B$9:$B$508,225)</f>
        <v>0.44947791691624511</v>
      </c>
      <c r="J733">
        <f>1/(COUNT(SimData500!$B$9:$B$508)-1)+$J$732</f>
        <v>0.44889779559118276</v>
      </c>
      <c r="K733">
        <f>SMALL(SimData500!$C$9:$C$508,225)</f>
        <v>0.42993120171558985</v>
      </c>
      <c r="L733">
        <f>1/(COUNT(SimData500!$C$9:$C$508)-1)+$L$732</f>
        <v>0.44889779559118276</v>
      </c>
    </row>
    <row r="734" spans="9:12">
      <c r="I734">
        <f>SMALL(SimData500!$B$9:$B$508,226)</f>
        <v>0.45009722407164454</v>
      </c>
      <c r="J734">
        <f>1/(COUNT(SimData500!$B$9:$B$508)-1)+$J$733</f>
        <v>0.45090180360721482</v>
      </c>
      <c r="K734">
        <f>SMALL(SimData500!$C$9:$C$508,226)</f>
        <v>0.43436671268318605</v>
      </c>
      <c r="L734">
        <f>1/(COUNT(SimData500!$C$9:$C$508)-1)+$L$733</f>
        <v>0.45090180360721482</v>
      </c>
    </row>
    <row r="735" spans="9:12">
      <c r="I735">
        <f>SMALL(SimData500!$B$9:$B$508,227)</f>
        <v>0.45398823610460115</v>
      </c>
      <c r="J735">
        <f>1/(COUNT(SimData500!$B$9:$B$508)-1)+$J$734</f>
        <v>0.45290581162324689</v>
      </c>
      <c r="K735">
        <f>SMALL(SimData500!$C$9:$C$508,227)</f>
        <v>0.43630020506316214</v>
      </c>
      <c r="L735">
        <f>1/(COUNT(SimData500!$C$9:$C$508)-1)+$L$734</f>
        <v>0.45290581162324689</v>
      </c>
    </row>
    <row r="736" spans="9:12">
      <c r="I736">
        <f>SMALL(SimData500!$B$9:$B$508,228)</f>
        <v>0.45433558645852273</v>
      </c>
      <c r="J736">
        <f>1/(COUNT(SimData500!$B$9:$B$508)-1)+$J$735</f>
        <v>0.45490981963927896</v>
      </c>
      <c r="K736">
        <f>SMALL(SimData500!$C$9:$C$508,228)</f>
        <v>0.43635737276417785</v>
      </c>
      <c r="L736">
        <f>1/(COUNT(SimData500!$C$9:$C$508)-1)+$L$735</f>
        <v>0.45490981963927896</v>
      </c>
    </row>
    <row r="737" spans="9:12">
      <c r="I737">
        <f>SMALL(SimData500!$B$9:$B$508,229)</f>
        <v>0.45628181372216942</v>
      </c>
      <c r="J737">
        <f>1/(COUNT(SimData500!$B$9:$B$508)-1)+$J$736</f>
        <v>0.45691382765531102</v>
      </c>
      <c r="K737">
        <f>SMALL(SimData500!$C$9:$C$508,229)</f>
        <v>0.43804692959292879</v>
      </c>
      <c r="L737">
        <f>1/(COUNT(SimData500!$C$9:$C$508)-1)+$L$736</f>
        <v>0.45691382765531102</v>
      </c>
    </row>
    <row r="738" spans="9:12">
      <c r="I738">
        <f>SMALL(SimData500!$B$9:$B$508,230)</f>
        <v>0.45859956067022856</v>
      </c>
      <c r="J738">
        <f>1/(COUNT(SimData500!$B$9:$B$508)-1)+$J$737</f>
        <v>0.45891783567134309</v>
      </c>
      <c r="K738">
        <f>SMALL(SimData500!$C$9:$C$508,230)</f>
        <v>0.43846531960298307</v>
      </c>
      <c r="L738">
        <f>1/(COUNT(SimData500!$C$9:$C$508)-1)+$L$737</f>
        <v>0.45891783567134309</v>
      </c>
    </row>
    <row r="739" spans="9:12">
      <c r="I739">
        <f>SMALL(SimData500!$B$9:$B$508,231)</f>
        <v>0.46147488153993033</v>
      </c>
      <c r="J739">
        <f>1/(COUNT(SimData500!$B$9:$B$508)-1)+$J$738</f>
        <v>0.46092184368737515</v>
      </c>
      <c r="K739">
        <f>SMALL(SimData500!$C$9:$C$508,231)</f>
        <v>0.43924150709062815</v>
      </c>
      <c r="L739">
        <f>1/(COUNT(SimData500!$C$9:$C$508)-1)+$L$738</f>
        <v>0.46092184368737515</v>
      </c>
    </row>
    <row r="740" spans="9:12">
      <c r="I740">
        <f>SMALL(SimData500!$B$9:$B$508,232)</f>
        <v>0.46280817364733856</v>
      </c>
      <c r="J740">
        <f>1/(COUNT(SimData500!$B$9:$B$508)-1)+$J$739</f>
        <v>0.46292585170340722</v>
      </c>
      <c r="K740">
        <f>SMALL(SimData500!$C$9:$C$508,232)</f>
        <v>0.4393644751771717</v>
      </c>
      <c r="L740">
        <f>1/(COUNT(SimData500!$C$9:$C$508)-1)+$L$739</f>
        <v>0.46292585170340722</v>
      </c>
    </row>
    <row r="741" spans="9:12">
      <c r="I741">
        <f>SMALL(SimData500!$B$9:$B$508,233)</f>
        <v>0.46425499926932501</v>
      </c>
      <c r="J741">
        <f>1/(COUNT(SimData500!$B$9:$B$508)-1)+$J$740</f>
        <v>0.46492985971943929</v>
      </c>
      <c r="K741">
        <f>SMALL(SimData500!$C$9:$C$508,233)</f>
        <v>0.44866711402755755</v>
      </c>
      <c r="L741">
        <f>1/(COUNT(SimData500!$C$9:$C$508)-1)+$L$740</f>
        <v>0.46492985971943929</v>
      </c>
    </row>
    <row r="742" spans="9:12">
      <c r="I742">
        <f>SMALL(SimData500!$B$9:$B$508,234)</f>
        <v>0.46666240907569007</v>
      </c>
      <c r="J742">
        <f>1/(COUNT(SimData500!$B$9:$B$508)-1)+$J$741</f>
        <v>0.46693386773547135</v>
      </c>
      <c r="K742">
        <f>SMALL(SimData500!$C$9:$C$508,234)</f>
        <v>0.45207366900740453</v>
      </c>
      <c r="L742">
        <f>1/(COUNT(SimData500!$C$9:$C$508)-1)+$L$741</f>
        <v>0.46693386773547135</v>
      </c>
    </row>
    <row r="743" spans="9:12">
      <c r="I743">
        <f>SMALL(SimData500!$B$9:$B$508,235)</f>
        <v>0.46909369012180102</v>
      </c>
      <c r="J743">
        <f>1/(COUNT(SimData500!$B$9:$B$508)-1)+$J$742</f>
        <v>0.46893787575150342</v>
      </c>
      <c r="K743">
        <f>SMALL(SimData500!$C$9:$C$508,235)</f>
        <v>0.45464683110094484</v>
      </c>
      <c r="L743">
        <f>1/(COUNT(SimData500!$C$9:$C$508)-1)+$L$742</f>
        <v>0.46893787575150342</v>
      </c>
    </row>
    <row r="744" spans="9:12">
      <c r="I744">
        <f>SMALL(SimData500!$B$9:$B$508,236)</f>
        <v>0.47028811631265283</v>
      </c>
      <c r="J744">
        <f>1/(COUNT(SimData500!$B$9:$B$508)-1)+$J$743</f>
        <v>0.47094188376753549</v>
      </c>
      <c r="K744">
        <f>SMALL(SimData500!$C$9:$C$508,236)</f>
        <v>0.45931914358516224</v>
      </c>
      <c r="L744">
        <f>1/(COUNT(SimData500!$C$9:$C$508)-1)+$L$743</f>
        <v>0.47094188376753549</v>
      </c>
    </row>
    <row r="745" spans="9:12">
      <c r="I745">
        <f>SMALL(SimData500!$B$9:$B$508,237)</f>
        <v>0.47368177018214064</v>
      </c>
      <c r="J745">
        <f>1/(COUNT(SimData500!$B$9:$B$508)-1)+$J$744</f>
        <v>0.47294589178356755</v>
      </c>
      <c r="K745">
        <f>SMALL(SimData500!$C$9:$C$508,237)</f>
        <v>0.46023399105069984</v>
      </c>
      <c r="L745">
        <f>1/(COUNT(SimData500!$C$9:$C$508)-1)+$L$744</f>
        <v>0.47294589178356755</v>
      </c>
    </row>
    <row r="746" spans="9:12">
      <c r="I746">
        <f>SMALL(SimData500!$B$9:$B$508,238)</f>
        <v>0.47565334596989056</v>
      </c>
      <c r="J746">
        <f>1/(COUNT(SimData500!$B$9:$B$508)-1)+$J$745</f>
        <v>0.47494989979959962</v>
      </c>
      <c r="K746">
        <f>SMALL(SimData500!$C$9:$C$508,238)</f>
        <v>0.46083157860539359</v>
      </c>
      <c r="L746">
        <f>1/(COUNT(SimData500!$C$9:$C$508)-1)+$L$745</f>
        <v>0.47494989979959962</v>
      </c>
    </row>
    <row r="747" spans="9:12">
      <c r="I747">
        <f>SMALL(SimData500!$B$9:$B$508,239)</f>
        <v>0.47627452400007153</v>
      </c>
      <c r="J747">
        <f>1/(COUNT(SimData500!$B$9:$B$508)-1)+$J$746</f>
        <v>0.47695390781563168</v>
      </c>
      <c r="K747">
        <f>SMALL(SimData500!$C$9:$C$508,239)</f>
        <v>0.46720614455534815</v>
      </c>
      <c r="L747">
        <f>1/(COUNT(SimData500!$C$9:$C$508)-1)+$L$746</f>
        <v>0.47695390781563168</v>
      </c>
    </row>
    <row r="748" spans="9:12">
      <c r="I748">
        <f>SMALL(SimData500!$B$9:$B$508,240)</f>
        <v>0.47860872747576999</v>
      </c>
      <c r="J748">
        <f>1/(COUNT(SimData500!$B$9:$B$508)-1)+$J$747</f>
        <v>0.47895791583166375</v>
      </c>
      <c r="K748">
        <f>SMALL(SimData500!$C$9:$C$508,240)</f>
        <v>0.46872456096571113</v>
      </c>
      <c r="L748">
        <f>1/(COUNT(SimData500!$C$9:$C$508)-1)+$L$747</f>
        <v>0.47895791583166375</v>
      </c>
    </row>
    <row r="749" spans="9:12">
      <c r="I749">
        <f>SMALL(SimData500!$B$9:$B$508,241)</f>
        <v>0.48148239360365142</v>
      </c>
      <c r="J749">
        <f>1/(COUNT(SimData500!$B$9:$B$508)-1)+$J$748</f>
        <v>0.48096192384769582</v>
      </c>
      <c r="K749">
        <f>SMALL(SimData500!$C$9:$C$508,241)</f>
        <v>0.46965005440506502</v>
      </c>
      <c r="L749">
        <f>1/(COUNT(SimData500!$C$9:$C$508)-1)+$L$748</f>
        <v>0.48096192384769582</v>
      </c>
    </row>
    <row r="750" spans="9:12">
      <c r="I750">
        <f>SMALL(SimData500!$B$9:$B$508,242)</f>
        <v>0.48262042877511596</v>
      </c>
      <c r="J750">
        <f>1/(COUNT(SimData500!$B$9:$B$508)-1)+$J$749</f>
        <v>0.48296593186372788</v>
      </c>
      <c r="K750">
        <f>SMALL(SimData500!$C$9:$C$508,242)</f>
        <v>0.4724274911759494</v>
      </c>
      <c r="L750">
        <f>1/(COUNT(SimData500!$C$9:$C$508)-1)+$L$749</f>
        <v>0.48296593186372788</v>
      </c>
    </row>
    <row r="751" spans="9:12">
      <c r="I751">
        <f>SMALL(SimData500!$B$9:$B$508,243)</f>
        <v>0.485639598788144</v>
      </c>
      <c r="J751">
        <f>1/(COUNT(SimData500!$B$9:$B$508)-1)+$J$750</f>
        <v>0.48496993987975995</v>
      </c>
      <c r="K751">
        <f>SMALL(SimData500!$C$9:$C$508,243)</f>
        <v>0.47292755780563311</v>
      </c>
      <c r="L751">
        <f>1/(COUNT(SimData500!$C$9:$C$508)-1)+$L$750</f>
        <v>0.48496993987975995</v>
      </c>
    </row>
    <row r="752" spans="9:12">
      <c r="I752">
        <f>SMALL(SimData500!$B$9:$B$508,244)</f>
        <v>0.48657483702166354</v>
      </c>
      <c r="J752">
        <f>1/(COUNT(SimData500!$B$9:$B$508)-1)+$J$751</f>
        <v>0.48697394789579201</v>
      </c>
      <c r="K752">
        <f>SMALL(SimData500!$C$9:$C$508,244)</f>
        <v>0.4846475954136622</v>
      </c>
      <c r="L752">
        <f>1/(COUNT(SimData500!$C$9:$C$508)-1)+$L$751</f>
        <v>0.48697394789579201</v>
      </c>
    </row>
    <row r="753" spans="9:12">
      <c r="I753">
        <f>SMALL(SimData500!$B$9:$B$508,245)</f>
        <v>0.48827532973146892</v>
      </c>
      <c r="J753">
        <f>1/(COUNT(SimData500!$B$9:$B$508)-1)+$J$752</f>
        <v>0.48897795591182408</v>
      </c>
      <c r="K753">
        <f>SMALL(SimData500!$C$9:$C$508,245)</f>
        <v>0.48586338704990339</v>
      </c>
      <c r="L753">
        <f>1/(COUNT(SimData500!$C$9:$C$508)-1)+$L$752</f>
        <v>0.48897795591182408</v>
      </c>
    </row>
    <row r="754" spans="9:12">
      <c r="I754">
        <f>SMALL(SimData500!$B$9:$B$508,246)</f>
        <v>0.49044032595689419</v>
      </c>
      <c r="J754">
        <f>1/(COUNT(SimData500!$B$9:$B$508)-1)+$J$753</f>
        <v>0.49098196392785615</v>
      </c>
      <c r="K754">
        <f>SMALL(SimData500!$C$9:$C$508,246)</f>
        <v>0.49113752726407256</v>
      </c>
      <c r="L754">
        <f>1/(COUNT(SimData500!$C$9:$C$508)-1)+$L$753</f>
        <v>0.49098196392785615</v>
      </c>
    </row>
    <row r="755" spans="9:12">
      <c r="I755">
        <f>SMALL(SimData500!$B$9:$B$508,247)</f>
        <v>0.49243533895500824</v>
      </c>
      <c r="J755">
        <f>1/(COUNT(SimData500!$B$9:$B$508)-1)+$J$754</f>
        <v>0.49298597194388821</v>
      </c>
      <c r="K755">
        <f>SMALL(SimData500!$C$9:$C$508,247)</f>
        <v>0.49178794765975908</v>
      </c>
      <c r="L755">
        <f>1/(COUNT(SimData500!$C$9:$C$508)-1)+$L$754</f>
        <v>0.49298597194388821</v>
      </c>
    </row>
    <row r="756" spans="9:12">
      <c r="I756">
        <f>SMALL(SimData500!$B$9:$B$508,248)</f>
        <v>0.49507529987326709</v>
      </c>
      <c r="J756">
        <f>1/(COUNT(SimData500!$B$9:$B$508)-1)+$J$755</f>
        <v>0.49498997995992028</v>
      </c>
      <c r="K756">
        <f>SMALL(SimData500!$C$9:$C$508,248)</f>
        <v>0.49327492327392974</v>
      </c>
      <c r="L756">
        <f>1/(COUNT(SimData500!$C$9:$C$508)-1)+$L$755</f>
        <v>0.49498997995992028</v>
      </c>
    </row>
    <row r="757" spans="9:12">
      <c r="I757">
        <f>SMALL(SimData500!$B$9:$B$508,249)</f>
        <v>0.49640816204212795</v>
      </c>
      <c r="J757">
        <f>1/(COUNT(SimData500!$B$9:$B$508)-1)+$J$756</f>
        <v>0.49699398797595234</v>
      </c>
      <c r="K757">
        <f>SMALL(SimData500!$C$9:$C$508,249)</f>
        <v>0.49503002889468917</v>
      </c>
      <c r="L757">
        <f>1/(COUNT(SimData500!$C$9:$C$508)-1)+$L$756</f>
        <v>0.49699398797595234</v>
      </c>
    </row>
    <row r="758" spans="9:12">
      <c r="I758">
        <f>SMALL(SimData500!$B$9:$B$508,250)</f>
        <v>0.49880314943399356</v>
      </c>
      <c r="J758">
        <f>1/(COUNT(SimData500!$B$9:$B$508)-1)+$J$757</f>
        <v>0.49899799599198441</v>
      </c>
      <c r="K758">
        <f>SMALL(SimData500!$C$9:$C$508,250)</f>
        <v>0.49554709877340031</v>
      </c>
      <c r="L758">
        <f>1/(COUNT(SimData500!$C$9:$C$508)-1)+$L$757</f>
        <v>0.49899799599198441</v>
      </c>
    </row>
    <row r="759" spans="9:12">
      <c r="I759">
        <f>SMALL(SimData500!$B$9:$B$508,251)</f>
        <v>0.50060510236132072</v>
      </c>
      <c r="J759">
        <f>1/(COUNT(SimData500!$B$9:$B$508)-1)+$J$758</f>
        <v>0.50100200400801642</v>
      </c>
      <c r="K759">
        <f>SMALL(SimData500!$C$9:$C$508,251)</f>
        <v>0.50309051965086837</v>
      </c>
      <c r="L759">
        <f>1/(COUNT(SimData500!$C$9:$C$508)-1)+$L$758</f>
        <v>0.50100200400801642</v>
      </c>
    </row>
    <row r="760" spans="9:12">
      <c r="I760">
        <f>SMALL(SimData500!$B$9:$B$508,252)</f>
        <v>0.5020640156772137</v>
      </c>
      <c r="J760">
        <f>1/(COUNT(SimData500!$B$9:$B$508)-1)+$J$759</f>
        <v>0.50300601202404849</v>
      </c>
      <c r="K760">
        <f>SMALL(SimData500!$C$9:$C$508,252)</f>
        <v>0.51055425291542633</v>
      </c>
      <c r="L760">
        <f>1/(COUNT(SimData500!$C$9:$C$508)-1)+$L$759</f>
        <v>0.50300601202404849</v>
      </c>
    </row>
    <row r="761" spans="9:12">
      <c r="I761">
        <f>SMALL(SimData500!$B$9:$B$508,253)</f>
        <v>0.50561745964726834</v>
      </c>
      <c r="J761">
        <f>1/(COUNT(SimData500!$B$9:$B$508)-1)+$J$760</f>
        <v>0.50501002004008055</v>
      </c>
      <c r="K761">
        <f>SMALL(SimData500!$C$9:$C$508,253)</f>
        <v>0.51738243655290717</v>
      </c>
      <c r="L761">
        <f>1/(COUNT(SimData500!$C$9:$C$508)-1)+$L$760</f>
        <v>0.50501002004008055</v>
      </c>
    </row>
    <row r="762" spans="9:12">
      <c r="I762">
        <f>SMALL(SimData500!$B$9:$B$508,254)</f>
        <v>0.50740535800331399</v>
      </c>
      <c r="J762">
        <f>1/(COUNT(SimData500!$B$9:$B$508)-1)+$J$761</f>
        <v>0.50701402805611262</v>
      </c>
      <c r="K762">
        <f>SMALL(SimData500!$C$9:$C$508,254)</f>
        <v>0.51900659768489277</v>
      </c>
      <c r="L762">
        <f>1/(COUNT(SimData500!$C$9:$C$508)-1)+$L$761</f>
        <v>0.50701402805611262</v>
      </c>
    </row>
    <row r="763" spans="9:12">
      <c r="I763">
        <f>SMALL(SimData500!$B$9:$B$508,255)</f>
        <v>0.50945658586627263</v>
      </c>
      <c r="J763">
        <f>1/(COUNT(SimData500!$B$9:$B$508)-1)+$J$762</f>
        <v>0.50901803607214469</v>
      </c>
      <c r="K763">
        <f>SMALL(SimData500!$C$9:$C$508,255)</f>
        <v>0.51914517127806903</v>
      </c>
      <c r="L763">
        <f>1/(COUNT(SimData500!$C$9:$C$508)-1)+$L$762</f>
        <v>0.50901803607214469</v>
      </c>
    </row>
    <row r="764" spans="9:12">
      <c r="I764">
        <f>SMALL(SimData500!$B$9:$B$508,256)</f>
        <v>0.51163813442262773</v>
      </c>
      <c r="J764">
        <f>1/(COUNT(SimData500!$B$9:$B$508)-1)+$J$763</f>
        <v>0.51102204408817675</v>
      </c>
      <c r="K764">
        <f>SMALL(SimData500!$C$9:$C$508,256)</f>
        <v>0.52065192366944757</v>
      </c>
      <c r="L764">
        <f>1/(COUNT(SimData500!$C$9:$C$508)-1)+$L$763</f>
        <v>0.51102204408817675</v>
      </c>
    </row>
    <row r="765" spans="9:12">
      <c r="I765">
        <f>SMALL(SimData500!$B$9:$B$508,257)</f>
        <v>0.51279258502432901</v>
      </c>
      <c r="J765">
        <f>1/(COUNT(SimData500!$B$9:$B$508)-1)+$J$764</f>
        <v>0.51302605210420882</v>
      </c>
      <c r="K765">
        <f>SMALL(SimData500!$C$9:$C$508,257)</f>
        <v>0.52548888852652453</v>
      </c>
      <c r="L765">
        <f>1/(COUNT(SimData500!$C$9:$C$508)-1)+$L$764</f>
        <v>0.51302605210420882</v>
      </c>
    </row>
    <row r="766" spans="9:12">
      <c r="I766">
        <f>SMALL(SimData500!$B$9:$B$508,258)</f>
        <v>0.51406091831672496</v>
      </c>
      <c r="J766">
        <f>1/(COUNT(SimData500!$B$9:$B$508)-1)+$J$765</f>
        <v>0.51503006012024088</v>
      </c>
      <c r="K766">
        <f>SMALL(SimData500!$C$9:$C$508,258)</f>
        <v>0.52748989907559007</v>
      </c>
      <c r="L766">
        <f>1/(COUNT(SimData500!$C$9:$C$508)-1)+$L$765</f>
        <v>0.51503006012024088</v>
      </c>
    </row>
    <row r="767" spans="9:12">
      <c r="I767">
        <f>SMALL(SimData500!$B$9:$B$508,259)</f>
        <v>0.51785230097217783</v>
      </c>
      <c r="J767">
        <f>1/(COUNT(SimData500!$B$9:$B$508)-1)+$J$766</f>
        <v>0.51703406813627295</v>
      </c>
      <c r="K767">
        <f>SMALL(SimData500!$C$9:$C$508,259)</f>
        <v>0.5301909423124016</v>
      </c>
      <c r="L767">
        <f>1/(COUNT(SimData500!$C$9:$C$508)-1)+$L$766</f>
        <v>0.51703406813627295</v>
      </c>
    </row>
    <row r="768" spans="9:12">
      <c r="I768">
        <f>SMALL(SimData500!$B$9:$B$508,260)</f>
        <v>0.51880851232651826</v>
      </c>
      <c r="J768">
        <f>1/(COUNT(SimData500!$B$9:$B$508)-1)+$J$767</f>
        <v>0.51903807615230502</v>
      </c>
      <c r="K768">
        <f>SMALL(SimData500!$C$9:$C$508,260)</f>
        <v>0.53170238843904372</v>
      </c>
      <c r="L768">
        <f>1/(COUNT(SimData500!$C$9:$C$508)-1)+$L$767</f>
        <v>0.51903807615230502</v>
      </c>
    </row>
    <row r="769" spans="9:12">
      <c r="I769">
        <f>SMALL(SimData500!$B$9:$B$508,261)</f>
        <v>0.52051933691755858</v>
      </c>
      <c r="J769">
        <f>1/(COUNT(SimData500!$B$9:$B$508)-1)+$J$768</f>
        <v>0.52104208416833708</v>
      </c>
      <c r="K769">
        <f>SMALL(SimData500!$C$9:$C$508,261)</f>
        <v>0.53353263467397483</v>
      </c>
      <c r="L769">
        <f>1/(COUNT(SimData500!$C$9:$C$508)-1)+$L$768</f>
        <v>0.52104208416833708</v>
      </c>
    </row>
    <row r="770" spans="9:12">
      <c r="I770">
        <f>SMALL(SimData500!$B$9:$B$508,262)</f>
        <v>0.52215087083358103</v>
      </c>
      <c r="J770">
        <f>1/(COUNT(SimData500!$B$9:$B$508)-1)+$J$769</f>
        <v>0.52304609218436915</v>
      </c>
      <c r="K770">
        <f>SMALL(SimData500!$C$9:$C$508,262)</f>
        <v>0.53666580865956348</v>
      </c>
      <c r="L770">
        <f>1/(COUNT(SimData500!$C$9:$C$508)-1)+$L$769</f>
        <v>0.52304609218436915</v>
      </c>
    </row>
    <row r="771" spans="9:12">
      <c r="I771">
        <f>SMALL(SimData500!$B$9:$B$508,263)</f>
        <v>0.52567380194311819</v>
      </c>
      <c r="J771">
        <f>1/(COUNT(SimData500!$B$9:$B$508)-1)+$J$770</f>
        <v>0.52505010020040122</v>
      </c>
      <c r="K771">
        <f>SMALL(SimData500!$C$9:$C$508,263)</f>
        <v>0.53796497673192789</v>
      </c>
      <c r="L771">
        <f>1/(COUNT(SimData500!$C$9:$C$508)-1)+$L$770</f>
        <v>0.52505010020040122</v>
      </c>
    </row>
    <row r="772" spans="9:12">
      <c r="I772">
        <f>SMALL(SimData500!$B$9:$B$508,264)</f>
        <v>0.52789833025492228</v>
      </c>
      <c r="J772">
        <f>1/(COUNT(SimData500!$B$9:$B$508)-1)+$J$771</f>
        <v>0.52705410821643328</v>
      </c>
      <c r="K772">
        <f>SMALL(SimData500!$C$9:$C$508,264)</f>
        <v>0.53970808603935438</v>
      </c>
      <c r="L772">
        <f>1/(COUNT(SimData500!$C$9:$C$508)-1)+$L$771</f>
        <v>0.52705410821643328</v>
      </c>
    </row>
    <row r="773" spans="9:12">
      <c r="I773">
        <f>SMALL(SimData500!$B$9:$B$508,265)</f>
        <v>0.52904407351348637</v>
      </c>
      <c r="J773">
        <f>1/(COUNT(SimData500!$B$9:$B$508)-1)+$J$772</f>
        <v>0.52905811623246535</v>
      </c>
      <c r="K773">
        <f>SMALL(SimData500!$C$9:$C$508,265)</f>
        <v>0.54108636644832586</v>
      </c>
      <c r="L773">
        <f>1/(COUNT(SimData500!$C$9:$C$508)-1)+$L$772</f>
        <v>0.52905811623246535</v>
      </c>
    </row>
    <row r="774" spans="9:12">
      <c r="I774">
        <f>SMALL(SimData500!$B$9:$B$508,266)</f>
        <v>0.53103248839570039</v>
      </c>
      <c r="J774">
        <f>1/(COUNT(SimData500!$B$9:$B$508)-1)+$J$773</f>
        <v>0.53106212424849741</v>
      </c>
      <c r="K774">
        <f>SMALL(SimData500!$C$9:$C$508,266)</f>
        <v>0.54377568777093188</v>
      </c>
      <c r="L774">
        <f>1/(COUNT(SimData500!$C$9:$C$508)-1)+$L$773</f>
        <v>0.53106212424849741</v>
      </c>
    </row>
    <row r="775" spans="9:12">
      <c r="I775">
        <f>SMALL(SimData500!$B$9:$B$508,267)</f>
        <v>0.5333418535425658</v>
      </c>
      <c r="J775">
        <f>1/(COUNT(SimData500!$B$9:$B$508)-1)+$J$774</f>
        <v>0.53306613226452948</v>
      </c>
      <c r="K775">
        <f>SMALL(SimData500!$C$9:$C$508,267)</f>
        <v>0.54561679074777203</v>
      </c>
      <c r="L775">
        <f>1/(COUNT(SimData500!$C$9:$C$508)-1)+$L$774</f>
        <v>0.53306613226452948</v>
      </c>
    </row>
    <row r="776" spans="9:12">
      <c r="I776">
        <f>SMALL(SimData500!$B$9:$B$508,268)</f>
        <v>0.53508600628401293</v>
      </c>
      <c r="J776">
        <f>1/(COUNT(SimData500!$B$9:$B$508)-1)+$J$775</f>
        <v>0.53507014028056155</v>
      </c>
      <c r="K776">
        <f>SMALL(SimData500!$C$9:$C$508,268)</f>
        <v>0.54658888342510181</v>
      </c>
      <c r="L776">
        <f>1/(COUNT(SimData500!$C$9:$C$508)-1)+$L$775</f>
        <v>0.53507014028056155</v>
      </c>
    </row>
    <row r="777" spans="9:12">
      <c r="I777">
        <f>SMALL(SimData500!$B$9:$B$508,269)</f>
        <v>0.53634656670744218</v>
      </c>
      <c r="J777">
        <f>1/(COUNT(SimData500!$B$9:$B$508)-1)+$J$776</f>
        <v>0.53707414829659361</v>
      </c>
      <c r="K777">
        <f>SMALL(SimData500!$C$9:$C$508,269)</f>
        <v>0.5509707511491797</v>
      </c>
      <c r="L777">
        <f>1/(COUNT(SimData500!$C$9:$C$508)-1)+$L$776</f>
        <v>0.53707414829659361</v>
      </c>
    </row>
    <row r="778" spans="9:12">
      <c r="I778">
        <f>SMALL(SimData500!$B$9:$B$508,270)</f>
        <v>0.53888621788911661</v>
      </c>
      <c r="J778">
        <f>1/(COUNT(SimData500!$B$9:$B$508)-1)+$J$777</f>
        <v>0.53907815631262568</v>
      </c>
      <c r="K778">
        <f>SMALL(SimData500!$C$9:$C$508,270)</f>
        <v>0.55235243542028911</v>
      </c>
      <c r="L778">
        <f>1/(COUNT(SimData500!$C$9:$C$508)-1)+$L$777</f>
        <v>0.53907815631262568</v>
      </c>
    </row>
    <row r="779" spans="9:12">
      <c r="I779">
        <f>SMALL(SimData500!$B$9:$B$508,271)</f>
        <v>0.54076397631521433</v>
      </c>
      <c r="J779">
        <f>1/(COUNT(SimData500!$B$9:$B$508)-1)+$J$778</f>
        <v>0.54108216432865774</v>
      </c>
      <c r="K779">
        <f>SMALL(SimData500!$C$9:$C$508,271)</f>
        <v>0.55267881303916511</v>
      </c>
      <c r="L779">
        <f>1/(COUNT(SimData500!$C$9:$C$508)-1)+$L$778</f>
        <v>0.54108216432865774</v>
      </c>
    </row>
    <row r="780" spans="9:12">
      <c r="I780">
        <f>SMALL(SimData500!$B$9:$B$508,272)</f>
        <v>0.54264630538193659</v>
      </c>
      <c r="J780">
        <f>1/(COUNT(SimData500!$B$9:$B$508)-1)+$J$779</f>
        <v>0.54308617234468981</v>
      </c>
      <c r="K780">
        <f>SMALL(SimData500!$C$9:$C$508,272)</f>
        <v>0.55619428683894512</v>
      </c>
      <c r="L780">
        <f>1/(COUNT(SimData500!$C$9:$C$508)-1)+$L$779</f>
        <v>0.54308617234468981</v>
      </c>
    </row>
    <row r="781" spans="9:12">
      <c r="I781">
        <f>SMALL(SimData500!$B$9:$B$508,273)</f>
        <v>0.54403785306123043</v>
      </c>
      <c r="J781">
        <f>1/(COUNT(SimData500!$B$9:$B$508)-1)+$J$780</f>
        <v>0.54509018036072188</v>
      </c>
      <c r="K781">
        <f>SMALL(SimData500!$C$9:$C$508,273)</f>
        <v>0.55754680151221692</v>
      </c>
      <c r="L781">
        <f>1/(COUNT(SimData500!$C$9:$C$508)-1)+$L$780</f>
        <v>0.54509018036072188</v>
      </c>
    </row>
    <row r="782" spans="9:12">
      <c r="I782">
        <f>SMALL(SimData500!$B$9:$B$508,274)</f>
        <v>0.54760321524450628</v>
      </c>
      <c r="J782">
        <f>1/(COUNT(SimData500!$B$9:$B$508)-1)+$J$781</f>
        <v>0.54709418837675394</v>
      </c>
      <c r="K782">
        <f>SMALL(SimData500!$C$9:$C$508,274)</f>
        <v>0.56025827292251051</v>
      </c>
      <c r="L782">
        <f>1/(COUNT(SimData500!$C$9:$C$508)-1)+$L$781</f>
        <v>0.54709418837675394</v>
      </c>
    </row>
    <row r="783" spans="9:12">
      <c r="I783">
        <f>SMALL(SimData500!$B$9:$B$508,275)</f>
        <v>0.54972640379651605</v>
      </c>
      <c r="J783">
        <f>1/(COUNT(SimData500!$B$9:$B$508)-1)+$J$782</f>
        <v>0.54909819639278601</v>
      </c>
      <c r="K783">
        <f>SMALL(SimData500!$C$9:$C$508,275)</f>
        <v>0.56149659958100528</v>
      </c>
      <c r="L783">
        <f>1/(COUNT(SimData500!$C$9:$C$508)-1)+$L$782</f>
        <v>0.54909819639278601</v>
      </c>
    </row>
    <row r="784" spans="9:12">
      <c r="I784">
        <f>SMALL(SimData500!$B$9:$B$508,276)</f>
        <v>0.55085192728528098</v>
      </c>
      <c r="J784">
        <f>1/(COUNT(SimData500!$B$9:$B$508)-1)+$J$783</f>
        <v>0.55110220440881807</v>
      </c>
      <c r="K784">
        <f>SMALL(SimData500!$C$9:$C$508,276)</f>
        <v>0.56476275652221375</v>
      </c>
      <c r="L784">
        <f>1/(COUNT(SimData500!$C$9:$C$508)-1)+$L$783</f>
        <v>0.55110220440881807</v>
      </c>
    </row>
    <row r="785" spans="9:12">
      <c r="I785">
        <f>SMALL(SimData500!$B$9:$B$508,277)</f>
        <v>0.55259476396781271</v>
      </c>
      <c r="J785">
        <f>1/(COUNT(SimData500!$B$9:$B$508)-1)+$J$784</f>
        <v>0.55310621242485014</v>
      </c>
      <c r="K785">
        <f>SMALL(SimData500!$C$9:$C$508,277)</f>
        <v>0.56517686240658804</v>
      </c>
      <c r="L785">
        <f>1/(COUNT(SimData500!$C$9:$C$508)-1)+$L$784</f>
        <v>0.55310621242485014</v>
      </c>
    </row>
    <row r="786" spans="9:12">
      <c r="I786">
        <f>SMALL(SimData500!$B$9:$B$508,278)</f>
        <v>0.55575163267873029</v>
      </c>
      <c r="J786">
        <f>1/(COUNT(SimData500!$B$9:$B$508)-1)+$J$785</f>
        <v>0.55511022044088221</v>
      </c>
      <c r="K786">
        <f>SMALL(SimData500!$C$9:$C$508,278)</f>
        <v>0.57007180701384641</v>
      </c>
      <c r="L786">
        <f>1/(COUNT(SimData500!$C$9:$C$508)-1)+$L$785</f>
        <v>0.55511022044088221</v>
      </c>
    </row>
    <row r="787" spans="9:12">
      <c r="I787">
        <f>SMALL(SimData500!$B$9:$B$508,279)</f>
        <v>0.55756664885384177</v>
      </c>
      <c r="J787">
        <f>1/(COUNT(SimData500!$B$9:$B$508)-1)+$J$786</f>
        <v>0.55711422845691427</v>
      </c>
      <c r="K787">
        <f>SMALL(SimData500!$C$9:$C$508,279)</f>
        <v>0.57159811002111383</v>
      </c>
      <c r="L787">
        <f>1/(COUNT(SimData500!$C$9:$C$508)-1)+$L$786</f>
        <v>0.55711422845691427</v>
      </c>
    </row>
    <row r="788" spans="9:12">
      <c r="I788">
        <f>SMALL(SimData500!$B$9:$B$508,280)</f>
        <v>0.55997676876233349</v>
      </c>
      <c r="J788">
        <f>1/(COUNT(SimData500!$B$9:$B$508)-1)+$J$787</f>
        <v>0.55911823647294634</v>
      </c>
      <c r="K788">
        <f>SMALL(SimData500!$C$9:$C$508,280)</f>
        <v>0.57465745311674254</v>
      </c>
      <c r="L788">
        <f>1/(COUNT(SimData500!$C$9:$C$508)-1)+$L$787</f>
        <v>0.55911823647294634</v>
      </c>
    </row>
    <row r="789" spans="9:12">
      <c r="I789">
        <f>SMALL(SimData500!$B$9:$B$508,281)</f>
        <v>0.56037584680094754</v>
      </c>
      <c r="J789">
        <f>1/(COUNT(SimData500!$B$9:$B$508)-1)+$J$788</f>
        <v>0.56112224448897841</v>
      </c>
      <c r="K789">
        <f>SMALL(SimData500!$C$9:$C$508,281)</f>
        <v>0.57526705063810368</v>
      </c>
      <c r="L789">
        <f>1/(COUNT(SimData500!$C$9:$C$508)-1)+$L$788</f>
        <v>0.56112224448897841</v>
      </c>
    </row>
    <row r="790" spans="9:12">
      <c r="I790">
        <f>SMALL(SimData500!$B$9:$B$508,282)</f>
        <v>0.562596480067027</v>
      </c>
      <c r="J790">
        <f>1/(COUNT(SimData500!$B$9:$B$508)-1)+$J$789</f>
        <v>0.56312625250501047</v>
      </c>
      <c r="K790">
        <f>SMALL(SimData500!$C$9:$C$508,282)</f>
        <v>0.57633731449550396</v>
      </c>
      <c r="L790">
        <f>1/(COUNT(SimData500!$C$9:$C$508)-1)+$L$789</f>
        <v>0.56312625250501047</v>
      </c>
    </row>
    <row r="791" spans="9:12">
      <c r="I791">
        <f>SMALL(SimData500!$B$9:$B$508,283)</f>
        <v>0.56591497294789062</v>
      </c>
      <c r="J791">
        <f>1/(COUNT(SimData500!$B$9:$B$508)-1)+$J$790</f>
        <v>0.56513026052104254</v>
      </c>
      <c r="K791">
        <f>SMALL(SimData500!$C$9:$C$508,283)</f>
        <v>0.57777785605958343</v>
      </c>
      <c r="L791">
        <f>1/(COUNT(SimData500!$C$9:$C$508)-1)+$L$790</f>
        <v>0.56513026052104254</v>
      </c>
    </row>
    <row r="792" spans="9:12">
      <c r="I792">
        <f>SMALL(SimData500!$B$9:$B$508,284)</f>
        <v>0.56682567509981474</v>
      </c>
      <c r="J792">
        <f>1/(COUNT(SimData500!$B$9:$B$508)-1)+$J$791</f>
        <v>0.5671342685370746</v>
      </c>
      <c r="K792">
        <f>SMALL(SimData500!$C$9:$C$508,284)</f>
        <v>0.58025005016588693</v>
      </c>
      <c r="L792">
        <f>1/(COUNT(SimData500!$C$9:$C$508)-1)+$L$791</f>
        <v>0.5671342685370746</v>
      </c>
    </row>
    <row r="793" spans="9:12">
      <c r="I793">
        <f>SMALL(SimData500!$B$9:$B$508,285)</f>
        <v>0.56958746600933075</v>
      </c>
      <c r="J793">
        <f>1/(COUNT(SimData500!$B$9:$B$508)-1)+$J$792</f>
        <v>0.56913827655310667</v>
      </c>
      <c r="K793">
        <f>SMALL(SimData500!$C$9:$C$508,285)</f>
        <v>0.5844778162008879</v>
      </c>
      <c r="L793">
        <f>1/(COUNT(SimData500!$C$9:$C$508)-1)+$L$792</f>
        <v>0.56913827655310667</v>
      </c>
    </row>
    <row r="794" spans="9:12">
      <c r="I794">
        <f>SMALL(SimData500!$B$9:$B$508,286)</f>
        <v>0.57089937150126779</v>
      </c>
      <c r="J794">
        <f>1/(COUNT(SimData500!$B$9:$B$508)-1)+$J$793</f>
        <v>0.57114228456913874</v>
      </c>
      <c r="K794">
        <f>SMALL(SimData500!$C$9:$C$508,286)</f>
        <v>0.58546718635261641</v>
      </c>
      <c r="L794">
        <f>1/(COUNT(SimData500!$C$9:$C$508)-1)+$L$793</f>
        <v>0.57114228456913874</v>
      </c>
    </row>
    <row r="795" spans="9:12">
      <c r="I795">
        <f>SMALL(SimData500!$B$9:$B$508,287)</f>
        <v>0.57397522747842011</v>
      </c>
      <c r="J795">
        <f>1/(COUNT(SimData500!$B$9:$B$508)-1)+$J$794</f>
        <v>0.5731462925851708</v>
      </c>
      <c r="K795">
        <f>SMALL(SimData500!$C$9:$C$508,287)</f>
        <v>0.58788427728541137</v>
      </c>
      <c r="L795">
        <f>1/(COUNT(SimData500!$C$9:$C$508)-1)+$L$794</f>
        <v>0.5731462925851708</v>
      </c>
    </row>
    <row r="796" spans="9:12">
      <c r="I796">
        <f>SMALL(SimData500!$B$9:$B$508,288)</f>
        <v>0.57544755110830248</v>
      </c>
      <c r="J796">
        <f>1/(COUNT(SimData500!$B$9:$B$508)-1)+$J$795</f>
        <v>0.57515030060120287</v>
      </c>
      <c r="K796">
        <f>SMALL(SimData500!$C$9:$C$508,288)</f>
        <v>0.58909570901050756</v>
      </c>
      <c r="L796">
        <f>1/(COUNT(SimData500!$C$9:$C$508)-1)+$L$795</f>
        <v>0.57515030060120287</v>
      </c>
    </row>
    <row r="797" spans="9:12">
      <c r="I797">
        <f>SMALL(SimData500!$B$9:$B$508,289)</f>
        <v>0.57777257354924749</v>
      </c>
      <c r="J797">
        <f>1/(COUNT(SimData500!$B$9:$B$508)-1)+$J$796</f>
        <v>0.57715430861723493</v>
      </c>
      <c r="K797">
        <f>SMALL(SimData500!$C$9:$C$508,289)</f>
        <v>0.58940048125077737</v>
      </c>
      <c r="L797">
        <f>1/(COUNT(SimData500!$C$9:$C$508)-1)+$L$796</f>
        <v>0.57715430861723493</v>
      </c>
    </row>
    <row r="798" spans="9:12">
      <c r="I798">
        <f>SMALL(SimData500!$B$9:$B$508,290)</f>
        <v>0.57917134363324652</v>
      </c>
      <c r="J798">
        <f>1/(COUNT(SimData500!$B$9:$B$508)-1)+$J$797</f>
        <v>0.579158316633267</v>
      </c>
      <c r="K798">
        <f>SMALL(SimData500!$C$9:$C$508,290)</f>
        <v>0.58987909861389198</v>
      </c>
      <c r="L798">
        <f>1/(COUNT(SimData500!$C$9:$C$508)-1)+$L$797</f>
        <v>0.579158316633267</v>
      </c>
    </row>
    <row r="799" spans="9:12">
      <c r="I799">
        <f>SMALL(SimData500!$B$9:$B$508,291)</f>
        <v>0.58127656182117671</v>
      </c>
      <c r="J799">
        <f>1/(COUNT(SimData500!$B$9:$B$508)-1)+$J$798</f>
        <v>0.58116232464929907</v>
      </c>
      <c r="K799">
        <f>SMALL(SimData500!$C$9:$C$508,291)</f>
        <v>0.59493203848705889</v>
      </c>
      <c r="L799">
        <f>1/(COUNT(SimData500!$C$9:$C$508)-1)+$L$798</f>
        <v>0.58116232464929907</v>
      </c>
    </row>
    <row r="800" spans="9:12">
      <c r="I800">
        <f>SMALL(SimData500!$B$9:$B$508,292)</f>
        <v>0.58327171698847591</v>
      </c>
      <c r="J800">
        <f>1/(COUNT(SimData500!$B$9:$B$508)-1)+$J$799</f>
        <v>0.58316633266533113</v>
      </c>
      <c r="K800">
        <f>SMALL(SimData500!$C$9:$C$508,292)</f>
        <v>0.59557725440936338</v>
      </c>
      <c r="L800">
        <f>1/(COUNT(SimData500!$C$9:$C$508)-1)+$L$799</f>
        <v>0.58316633266533113</v>
      </c>
    </row>
    <row r="801" spans="9:12">
      <c r="I801">
        <f>SMALL(SimData500!$B$9:$B$508,293)</f>
        <v>0.58549076285480772</v>
      </c>
      <c r="J801">
        <f>1/(COUNT(SimData500!$B$9:$B$508)-1)+$J$800</f>
        <v>0.5851703406813632</v>
      </c>
      <c r="K801">
        <f>SMALL(SimData500!$C$9:$C$508,293)</f>
        <v>0.59620435870510846</v>
      </c>
      <c r="L801">
        <f>1/(COUNT(SimData500!$C$9:$C$508)-1)+$L$800</f>
        <v>0.5851703406813632</v>
      </c>
    </row>
    <row r="802" spans="9:12">
      <c r="I802">
        <f>SMALL(SimData500!$B$9:$B$508,294)</f>
        <v>0.5863477089457092</v>
      </c>
      <c r="J802">
        <f>1/(COUNT(SimData500!$B$9:$B$508)-1)+$J$801</f>
        <v>0.58717434869739527</v>
      </c>
      <c r="K802">
        <f>SMALL(SimData500!$C$9:$C$508,294)</f>
        <v>0.59660571075164626</v>
      </c>
      <c r="L802">
        <f>1/(COUNT(SimData500!$C$9:$C$508)-1)+$L$801</f>
        <v>0.58717434869739527</v>
      </c>
    </row>
    <row r="803" spans="9:12">
      <c r="I803">
        <f>SMALL(SimData500!$B$9:$B$508,295)</f>
        <v>0.58999010215326919</v>
      </c>
      <c r="J803">
        <f>1/(COUNT(SimData500!$B$9:$B$508)-1)+$J$802</f>
        <v>0.58917835671342733</v>
      </c>
      <c r="K803">
        <f>SMALL(SimData500!$C$9:$C$508,295)</f>
        <v>0.60293943728265731</v>
      </c>
      <c r="L803">
        <f>1/(COUNT(SimData500!$C$9:$C$508)-1)+$L$802</f>
        <v>0.58917835671342733</v>
      </c>
    </row>
    <row r="804" spans="9:12">
      <c r="I804">
        <f>SMALL(SimData500!$B$9:$B$508,296)</f>
        <v>0.59141028647111038</v>
      </c>
      <c r="J804">
        <f>1/(COUNT(SimData500!$B$9:$B$508)-1)+$J$803</f>
        <v>0.5911823647294594</v>
      </c>
      <c r="K804">
        <f>SMALL(SimData500!$C$9:$C$508,296)</f>
        <v>0.60589490400161594</v>
      </c>
      <c r="L804">
        <f>1/(COUNT(SimData500!$C$9:$C$508)-1)+$L$803</f>
        <v>0.5911823647294594</v>
      </c>
    </row>
    <row r="805" spans="9:12">
      <c r="I805">
        <f>SMALL(SimData500!$B$9:$B$508,297)</f>
        <v>0.59287797052433666</v>
      </c>
      <c r="J805">
        <f>1/(COUNT(SimData500!$B$9:$B$508)-1)+$J$804</f>
        <v>0.59318637274549146</v>
      </c>
      <c r="K805">
        <f>SMALL(SimData500!$C$9:$C$508,297)</f>
        <v>0.60749223897983029</v>
      </c>
      <c r="L805">
        <f>1/(COUNT(SimData500!$C$9:$C$508)-1)+$L$804</f>
        <v>0.59318637274549146</v>
      </c>
    </row>
    <row r="806" spans="9:12">
      <c r="I806">
        <f>SMALL(SimData500!$B$9:$B$508,298)</f>
        <v>0.59524800837115577</v>
      </c>
      <c r="J806">
        <f>1/(COUNT(SimData500!$B$9:$B$508)-1)+$J$805</f>
        <v>0.59519038076152353</v>
      </c>
      <c r="K806">
        <f>SMALL(SimData500!$C$9:$C$508,298)</f>
        <v>0.60772626993002632</v>
      </c>
      <c r="L806">
        <f>1/(COUNT(SimData500!$C$9:$C$508)-1)+$L$805</f>
        <v>0.59519038076152353</v>
      </c>
    </row>
    <row r="807" spans="9:12">
      <c r="I807">
        <f>SMALL(SimData500!$B$9:$B$508,299)</f>
        <v>0.59666469221437923</v>
      </c>
      <c r="J807">
        <f>1/(COUNT(SimData500!$B$9:$B$508)-1)+$J$806</f>
        <v>0.5971943887775556</v>
      </c>
      <c r="K807">
        <f>SMALL(SimData500!$C$9:$C$508,299)</f>
        <v>0.60910031504499784</v>
      </c>
      <c r="L807">
        <f>1/(COUNT(SimData500!$C$9:$C$508)-1)+$L$806</f>
        <v>0.5971943887775556</v>
      </c>
    </row>
    <row r="808" spans="9:12">
      <c r="I808">
        <f>SMALL(SimData500!$B$9:$B$508,300)</f>
        <v>0.59980247973692657</v>
      </c>
      <c r="J808">
        <f>1/(COUNT(SimData500!$B$9:$B$508)-1)+$J$807</f>
        <v>0.59919839679358766</v>
      </c>
      <c r="K808">
        <f>SMALL(SimData500!$C$9:$C$508,300)</f>
        <v>0.60940340494562406</v>
      </c>
      <c r="L808">
        <f>1/(COUNT(SimData500!$C$9:$C$508)-1)+$L$807</f>
        <v>0.59919839679358766</v>
      </c>
    </row>
    <row r="809" spans="9:12">
      <c r="I809">
        <f>SMALL(SimData500!$B$9:$B$508,301)</f>
        <v>0.60071004538301143</v>
      </c>
      <c r="J809">
        <f>1/(COUNT(SimData500!$B$9:$B$508)-1)+$J$808</f>
        <v>0.60120240480961973</v>
      </c>
      <c r="K809">
        <f>SMALL(SimData500!$C$9:$C$508,301)</f>
        <v>0.61501598069662577</v>
      </c>
      <c r="L809">
        <f>1/(COUNT(SimData500!$C$9:$C$508)-1)+$L$808</f>
        <v>0.60120240480961973</v>
      </c>
    </row>
    <row r="810" spans="9:12">
      <c r="I810">
        <f>SMALL(SimData500!$B$9:$B$508,302)</f>
        <v>0.60263691949393527</v>
      </c>
      <c r="J810">
        <f>1/(COUNT(SimData500!$B$9:$B$508)-1)+$J$809</f>
        <v>0.60320641282565179</v>
      </c>
      <c r="K810">
        <f>SMALL(SimData500!$C$9:$C$508,302)</f>
        <v>0.61683220133636496</v>
      </c>
      <c r="L810">
        <f>1/(COUNT(SimData500!$C$9:$C$508)-1)+$L$809</f>
        <v>0.60320641282565179</v>
      </c>
    </row>
    <row r="811" spans="9:12">
      <c r="I811">
        <f>SMALL(SimData500!$B$9:$B$508,303)</f>
        <v>0.60422473608754212</v>
      </c>
      <c r="J811">
        <f>1/(COUNT(SimData500!$B$9:$B$508)-1)+$J$810</f>
        <v>0.60521042084168386</v>
      </c>
      <c r="K811">
        <f>SMALL(SimData500!$C$9:$C$508,303)</f>
        <v>0.61977976339949237</v>
      </c>
      <c r="L811">
        <f>1/(COUNT(SimData500!$C$9:$C$508)-1)+$L$810</f>
        <v>0.60521042084168386</v>
      </c>
    </row>
    <row r="812" spans="9:12">
      <c r="I812">
        <f>SMALL(SimData500!$B$9:$B$508,304)</f>
        <v>0.60718699616267979</v>
      </c>
      <c r="J812">
        <f>1/(COUNT(SimData500!$B$9:$B$508)-1)+$J$811</f>
        <v>0.60721442885771593</v>
      </c>
      <c r="K812">
        <f>SMALL(SimData500!$C$9:$C$508,304)</f>
        <v>0.62029358819017943</v>
      </c>
      <c r="L812">
        <f>1/(COUNT(SimData500!$C$9:$C$508)-1)+$L$811</f>
        <v>0.60721442885771593</v>
      </c>
    </row>
    <row r="813" spans="9:12">
      <c r="I813">
        <f>SMALL(SimData500!$B$9:$B$508,305)</f>
        <v>0.60901593244378827</v>
      </c>
      <c r="J813">
        <f>1/(COUNT(SimData500!$B$9:$B$508)-1)+$J$812</f>
        <v>0.60921843687374799</v>
      </c>
      <c r="K813">
        <f>SMALL(SimData500!$C$9:$C$508,305)</f>
        <v>0.62598614841408562</v>
      </c>
      <c r="L813">
        <f>1/(COUNT(SimData500!$C$9:$C$508)-1)+$L$812</f>
        <v>0.60921843687374799</v>
      </c>
    </row>
    <row r="814" spans="9:12">
      <c r="I814">
        <f>SMALL(SimData500!$B$9:$B$508,306)</f>
        <v>0.6106965235636328</v>
      </c>
      <c r="J814">
        <f>1/(COUNT(SimData500!$B$9:$B$508)-1)+$J$813</f>
        <v>0.61122244488978006</v>
      </c>
      <c r="K814">
        <f>SMALL(SimData500!$C$9:$C$508,306)</f>
        <v>0.62676713308792387</v>
      </c>
      <c r="L814">
        <f>1/(COUNT(SimData500!$C$9:$C$508)-1)+$L$813</f>
        <v>0.61122244488978006</v>
      </c>
    </row>
    <row r="815" spans="9:12">
      <c r="I815">
        <f>SMALL(SimData500!$B$9:$B$508,307)</f>
        <v>0.6138340931646139</v>
      </c>
      <c r="J815">
        <f>1/(COUNT(SimData500!$B$9:$B$508)-1)+$J$814</f>
        <v>0.61322645290581212</v>
      </c>
      <c r="K815">
        <f>SMALL(SimData500!$C$9:$C$508,307)</f>
        <v>0.62886718276786269</v>
      </c>
      <c r="L815">
        <f>1/(COUNT(SimData500!$C$9:$C$508)-1)+$L$814</f>
        <v>0.61322645290581212</v>
      </c>
    </row>
    <row r="816" spans="9:12">
      <c r="I816">
        <f>SMALL(SimData500!$B$9:$B$508,308)</f>
        <v>0.61554585562496122</v>
      </c>
      <c r="J816">
        <f>1/(COUNT(SimData500!$B$9:$B$508)-1)+$J$815</f>
        <v>0.61523046092184419</v>
      </c>
      <c r="K816">
        <f>SMALL(SimData500!$C$9:$C$508,308)</f>
        <v>0.62973930789576116</v>
      </c>
      <c r="L816">
        <f>1/(COUNT(SimData500!$C$9:$C$508)-1)+$L$815</f>
        <v>0.61523046092184419</v>
      </c>
    </row>
    <row r="817" spans="9:12">
      <c r="I817">
        <f>SMALL(SimData500!$B$9:$B$508,309)</f>
        <v>0.61793410987126041</v>
      </c>
      <c r="J817">
        <f>1/(COUNT(SimData500!$B$9:$B$508)-1)+$J$816</f>
        <v>0.61723446893787626</v>
      </c>
      <c r="K817">
        <f>SMALL(SimData500!$C$9:$C$508,309)</f>
        <v>0.63060928771119507</v>
      </c>
      <c r="L817">
        <f>1/(COUNT(SimData500!$C$9:$C$508)-1)+$L$816</f>
        <v>0.61723446893787626</v>
      </c>
    </row>
    <row r="818" spans="9:12">
      <c r="I818">
        <f>SMALL(SimData500!$B$9:$B$508,310)</f>
        <v>0.61858095000977187</v>
      </c>
      <c r="J818">
        <f>1/(COUNT(SimData500!$B$9:$B$508)-1)+$J$817</f>
        <v>0.61923847695390832</v>
      </c>
      <c r="K818">
        <f>SMALL(SimData500!$C$9:$C$508,310)</f>
        <v>0.63072181792267656</v>
      </c>
      <c r="L818">
        <f>1/(COUNT(SimData500!$C$9:$C$508)-1)+$L$817</f>
        <v>0.61923847695390832</v>
      </c>
    </row>
    <row r="819" spans="9:12">
      <c r="I819">
        <f>SMALL(SimData500!$B$9:$B$508,311)</f>
        <v>0.62017235217945943</v>
      </c>
      <c r="J819">
        <f>1/(COUNT(SimData500!$B$9:$B$508)-1)+$J$818</f>
        <v>0.62124248496994039</v>
      </c>
      <c r="K819">
        <f>SMALL(SimData500!$C$9:$C$508,311)</f>
        <v>0.63134575392177794</v>
      </c>
      <c r="L819">
        <f>1/(COUNT(SimData500!$C$9:$C$508)-1)+$L$818</f>
        <v>0.62124248496994039</v>
      </c>
    </row>
    <row r="820" spans="9:12">
      <c r="I820">
        <f>SMALL(SimData500!$B$9:$B$508,312)</f>
        <v>0.62301727080834501</v>
      </c>
      <c r="J820">
        <f>1/(COUNT(SimData500!$B$9:$B$508)-1)+$J$819</f>
        <v>0.62324649298597246</v>
      </c>
      <c r="K820">
        <f>SMALL(SimData500!$C$9:$C$508,312)</f>
        <v>0.63407393680881796</v>
      </c>
      <c r="L820">
        <f>1/(COUNT(SimData500!$C$9:$C$508)-1)+$L$819</f>
        <v>0.62324649298597246</v>
      </c>
    </row>
    <row r="821" spans="9:12">
      <c r="I821">
        <f>SMALL(SimData500!$B$9:$B$508,313)</f>
        <v>0.62403020221181915</v>
      </c>
      <c r="J821">
        <f>1/(COUNT(SimData500!$B$9:$B$508)-1)+$J$820</f>
        <v>0.62525050100200452</v>
      </c>
      <c r="K821">
        <f>SMALL(SimData500!$C$9:$C$508,313)</f>
        <v>0.63417970135105861</v>
      </c>
      <c r="L821">
        <f>1/(COUNT(SimData500!$C$9:$C$508)-1)+$L$820</f>
        <v>0.62525050100200452</v>
      </c>
    </row>
    <row r="822" spans="9:12">
      <c r="I822">
        <f>SMALL(SimData500!$B$9:$B$508,314)</f>
        <v>0.62665239202851719</v>
      </c>
      <c r="J822">
        <f>1/(COUNT(SimData500!$B$9:$B$508)-1)+$J$821</f>
        <v>0.62725450901803659</v>
      </c>
      <c r="K822">
        <f>SMALL(SimData500!$C$9:$C$508,314)</f>
        <v>0.63601432464292884</v>
      </c>
      <c r="L822">
        <f>1/(COUNT(SimData500!$C$9:$C$508)-1)+$L$821</f>
        <v>0.62725450901803659</v>
      </c>
    </row>
    <row r="823" spans="9:12">
      <c r="I823">
        <f>SMALL(SimData500!$B$9:$B$508,315)</f>
        <v>0.62825961174123446</v>
      </c>
      <c r="J823">
        <f>1/(COUNT(SimData500!$B$9:$B$508)-1)+$J$822</f>
        <v>0.62925851703406865</v>
      </c>
      <c r="K823">
        <f>SMALL(SimData500!$C$9:$C$508,315)</f>
        <v>0.63815498330950504</v>
      </c>
      <c r="L823">
        <f>1/(COUNT(SimData500!$C$9:$C$508)-1)+$L$822</f>
        <v>0.62925851703406865</v>
      </c>
    </row>
    <row r="824" spans="9:12">
      <c r="I824">
        <f>SMALL(SimData500!$B$9:$B$508,316)</f>
        <v>0.63197369879064469</v>
      </c>
      <c r="J824">
        <f>1/(COUNT(SimData500!$B$9:$B$508)-1)+$J$823</f>
        <v>0.63126252505010072</v>
      </c>
      <c r="K824">
        <f>SMALL(SimData500!$C$9:$C$508,316)</f>
        <v>0.64212360824421921</v>
      </c>
      <c r="L824">
        <f>1/(COUNT(SimData500!$C$9:$C$508)-1)+$L$823</f>
        <v>0.63126252505010072</v>
      </c>
    </row>
    <row r="825" spans="9:12">
      <c r="I825">
        <f>SMALL(SimData500!$B$9:$B$508,317)</f>
        <v>0.63237348653431369</v>
      </c>
      <c r="J825">
        <f>1/(COUNT(SimData500!$B$9:$B$508)-1)+$J$824</f>
        <v>0.63326653306613279</v>
      </c>
      <c r="K825">
        <f>SMALL(SimData500!$C$9:$C$508,317)</f>
        <v>0.64598808865230239</v>
      </c>
      <c r="L825">
        <f>1/(COUNT(SimData500!$C$9:$C$508)-1)+$L$824</f>
        <v>0.63326653306613279</v>
      </c>
    </row>
    <row r="826" spans="9:12">
      <c r="I826">
        <f>SMALL(SimData500!$B$9:$B$508,318)</f>
        <v>0.63466196219033144</v>
      </c>
      <c r="J826">
        <f>1/(COUNT(SimData500!$B$9:$B$508)-1)+$J$825</f>
        <v>0.63527054108216485</v>
      </c>
      <c r="K826">
        <f>SMALL(SimData500!$C$9:$C$508,318)</f>
        <v>0.64641685779224645</v>
      </c>
      <c r="L826">
        <f>1/(COUNT(SimData500!$C$9:$C$508)-1)+$L$825</f>
        <v>0.63527054108216485</v>
      </c>
    </row>
    <row r="827" spans="9:12">
      <c r="I827">
        <f>SMALL(SimData500!$B$9:$B$508,319)</f>
        <v>0.63682522861632174</v>
      </c>
      <c r="J827">
        <f>1/(COUNT(SimData500!$B$9:$B$508)-1)+$J$826</f>
        <v>0.63727454909819692</v>
      </c>
      <c r="K827">
        <f>SMALL(SimData500!$C$9:$C$508,319)</f>
        <v>0.64649258799363452</v>
      </c>
      <c r="L827">
        <f>1/(COUNT(SimData500!$C$9:$C$508)-1)+$L$826</f>
        <v>0.63727454909819692</v>
      </c>
    </row>
    <row r="828" spans="9:12">
      <c r="I828">
        <f>SMALL(SimData500!$B$9:$B$508,320)</f>
        <v>0.63980064957630833</v>
      </c>
      <c r="J828">
        <f>1/(COUNT(SimData500!$B$9:$B$508)-1)+$J$827</f>
        <v>0.63927855711422898</v>
      </c>
      <c r="K828">
        <f>SMALL(SimData500!$C$9:$C$508,320)</f>
        <v>0.64673367877912824</v>
      </c>
      <c r="L828">
        <f>1/(COUNT(SimData500!$C$9:$C$508)-1)+$L$827</f>
        <v>0.63927855711422898</v>
      </c>
    </row>
    <row r="829" spans="9:12">
      <c r="I829">
        <f>SMALL(SimData500!$B$9:$B$508,321)</f>
        <v>0.64042563921874984</v>
      </c>
      <c r="J829">
        <f>1/(COUNT(SimData500!$B$9:$B$508)-1)+$J$828</f>
        <v>0.64128256513026105</v>
      </c>
      <c r="K829">
        <f>SMALL(SimData500!$C$9:$C$508,321)</f>
        <v>0.64793854597247957</v>
      </c>
      <c r="L829">
        <f>1/(COUNT(SimData500!$C$9:$C$508)-1)+$L$828</f>
        <v>0.64128256513026105</v>
      </c>
    </row>
    <row r="830" spans="9:12">
      <c r="I830">
        <f>SMALL(SimData500!$B$9:$B$508,322)</f>
        <v>0.64290105875602477</v>
      </c>
      <c r="J830">
        <f>1/(COUNT(SimData500!$B$9:$B$508)-1)+$J$829</f>
        <v>0.64328657314629312</v>
      </c>
      <c r="K830">
        <f>SMALL(SimData500!$C$9:$C$508,322)</f>
        <v>0.64809339072689909</v>
      </c>
      <c r="L830">
        <f>1/(COUNT(SimData500!$C$9:$C$508)-1)+$L$829</f>
        <v>0.64328657314629312</v>
      </c>
    </row>
    <row r="831" spans="9:12">
      <c r="I831">
        <f>SMALL(SimData500!$B$9:$B$508,323)</f>
        <v>0.64559621832137837</v>
      </c>
      <c r="J831">
        <f>1/(COUNT(SimData500!$B$9:$B$508)-1)+$J$830</f>
        <v>0.64529058116232518</v>
      </c>
      <c r="K831">
        <f>SMALL(SimData500!$C$9:$C$508,323)</f>
        <v>0.65034886102148448</v>
      </c>
      <c r="L831">
        <f>1/(COUNT(SimData500!$C$9:$C$508)-1)+$L$830</f>
        <v>0.64529058116232518</v>
      </c>
    </row>
    <row r="832" spans="9:12">
      <c r="I832">
        <f>SMALL(SimData500!$B$9:$B$508,324)</f>
        <v>0.64763890303569815</v>
      </c>
      <c r="J832">
        <f>1/(COUNT(SimData500!$B$9:$B$508)-1)+$J$831</f>
        <v>0.64729458917835725</v>
      </c>
      <c r="K832">
        <f>SMALL(SimData500!$C$9:$C$508,324)</f>
        <v>0.65144735541980481</v>
      </c>
      <c r="L832">
        <f>1/(COUNT(SimData500!$C$9:$C$508)-1)+$L$831</f>
        <v>0.64729458917835725</v>
      </c>
    </row>
    <row r="833" spans="9:12">
      <c r="I833">
        <f>SMALL(SimData500!$B$9:$B$508,325)</f>
        <v>0.64841472619455642</v>
      </c>
      <c r="J833">
        <f>1/(COUNT(SimData500!$B$9:$B$508)-1)+$J$832</f>
        <v>0.64929859719438932</v>
      </c>
      <c r="K833">
        <f>SMALL(SimData500!$C$9:$C$508,325)</f>
        <v>0.65254836620169954</v>
      </c>
      <c r="L833">
        <f>1/(COUNT(SimData500!$C$9:$C$508)-1)+$L$832</f>
        <v>0.64929859719438932</v>
      </c>
    </row>
    <row r="834" spans="9:12">
      <c r="I834">
        <f>SMALL(SimData500!$B$9:$B$508,326)</f>
        <v>0.6501680946685765</v>
      </c>
      <c r="J834">
        <f>1/(COUNT(SimData500!$B$9:$B$508)-1)+$J$833</f>
        <v>0.65130260521042138</v>
      </c>
      <c r="K834">
        <f>SMALL(SimData500!$C$9:$C$508,326)</f>
        <v>0.65291373004492925</v>
      </c>
      <c r="L834">
        <f>1/(COUNT(SimData500!$C$9:$C$508)-1)+$L$833</f>
        <v>0.65130260521042138</v>
      </c>
    </row>
    <row r="835" spans="9:12">
      <c r="I835">
        <f>SMALL(SimData500!$B$9:$B$508,327)</f>
        <v>0.65282736807242669</v>
      </c>
      <c r="J835">
        <f>1/(COUNT(SimData500!$B$9:$B$508)-1)+$J$834</f>
        <v>0.65330661322645345</v>
      </c>
      <c r="K835">
        <f>SMALL(SimData500!$C$9:$C$508,327)</f>
        <v>0.65526746990963147</v>
      </c>
      <c r="L835">
        <f>1/(COUNT(SimData500!$C$9:$C$508)-1)+$L$834</f>
        <v>0.65330661322645345</v>
      </c>
    </row>
    <row r="836" spans="9:12">
      <c r="I836">
        <f>SMALL(SimData500!$B$9:$B$508,328)</f>
        <v>0.65581731601288018</v>
      </c>
      <c r="J836">
        <f>1/(COUNT(SimData500!$B$9:$B$508)-1)+$J$835</f>
        <v>0.65531062124248551</v>
      </c>
      <c r="K836">
        <f>SMALL(SimData500!$C$9:$C$508,328)</f>
        <v>0.65772908848157385</v>
      </c>
      <c r="L836">
        <f>1/(COUNT(SimData500!$C$9:$C$508)-1)+$L$835</f>
        <v>0.65531062124248551</v>
      </c>
    </row>
    <row r="837" spans="9:12">
      <c r="I837">
        <f>SMALL(SimData500!$B$9:$B$508,329)</f>
        <v>0.65751474345836669</v>
      </c>
      <c r="J837">
        <f>1/(COUNT(SimData500!$B$9:$B$508)-1)+$J$836</f>
        <v>0.65731462925851758</v>
      </c>
      <c r="K837">
        <f>SMALL(SimData500!$C$9:$C$508,329)</f>
        <v>0.66332484803206171</v>
      </c>
      <c r="L837">
        <f>1/(COUNT(SimData500!$C$9:$C$508)-1)+$L$836</f>
        <v>0.65731462925851758</v>
      </c>
    </row>
    <row r="838" spans="9:12">
      <c r="I838">
        <f>SMALL(SimData500!$B$9:$B$508,330)</f>
        <v>0.6597127061201522</v>
      </c>
      <c r="J838">
        <f>1/(COUNT(SimData500!$B$9:$B$508)-1)+$J$837</f>
        <v>0.65931863727454965</v>
      </c>
      <c r="K838">
        <f>SMALL(SimData500!$C$9:$C$508,330)</f>
        <v>0.66567397987000732</v>
      </c>
      <c r="L838">
        <f>1/(COUNT(SimData500!$C$9:$C$508)-1)+$L$837</f>
        <v>0.65931863727454965</v>
      </c>
    </row>
    <row r="839" spans="9:12">
      <c r="I839">
        <f>SMALL(SimData500!$B$9:$B$508,331)</f>
        <v>0.66119875140422923</v>
      </c>
      <c r="J839">
        <f>1/(COUNT(SimData500!$B$9:$B$508)-1)+$J$838</f>
        <v>0.66132264529058171</v>
      </c>
      <c r="K839">
        <f>SMALL(SimData500!$C$9:$C$508,331)</f>
        <v>0.66583264180917467</v>
      </c>
      <c r="L839">
        <f>1/(COUNT(SimData500!$C$9:$C$508)-1)+$L$838</f>
        <v>0.66132264529058171</v>
      </c>
    </row>
    <row r="840" spans="9:12">
      <c r="I840">
        <f>SMALL(SimData500!$B$9:$B$508,332)</f>
        <v>0.66255058607611594</v>
      </c>
      <c r="J840">
        <f>1/(COUNT(SimData500!$B$9:$B$508)-1)+$J$839</f>
        <v>0.66332665330661378</v>
      </c>
      <c r="K840">
        <f>SMALL(SimData500!$C$9:$C$508,332)</f>
        <v>0.66588510364454123</v>
      </c>
      <c r="L840">
        <f>1/(COUNT(SimData500!$C$9:$C$508)-1)+$L$839</f>
        <v>0.66332665330661378</v>
      </c>
    </row>
    <row r="841" spans="9:12">
      <c r="I841">
        <f>SMALL(SimData500!$B$9:$B$508,333)</f>
        <v>0.66406528149965816</v>
      </c>
      <c r="J841">
        <f>1/(COUNT(SimData500!$B$9:$B$508)-1)+$J$840</f>
        <v>0.66533066132264584</v>
      </c>
      <c r="K841">
        <f>SMALL(SimData500!$C$9:$C$508,333)</f>
        <v>0.66606044288073463</v>
      </c>
      <c r="L841">
        <f>1/(COUNT(SimData500!$C$9:$C$508)-1)+$L$840</f>
        <v>0.66533066132264584</v>
      </c>
    </row>
    <row r="842" spans="9:12">
      <c r="I842">
        <f>SMALL(SimData500!$B$9:$B$508,334)</f>
        <v>0.66772029383334341</v>
      </c>
      <c r="J842">
        <f>1/(COUNT(SimData500!$B$9:$B$508)-1)+$J$841</f>
        <v>0.66733466933867791</v>
      </c>
      <c r="K842">
        <f>SMALL(SimData500!$C$9:$C$508,334)</f>
        <v>0.6686673724143759</v>
      </c>
      <c r="L842">
        <f>1/(COUNT(SimData500!$C$9:$C$508)-1)+$L$841</f>
        <v>0.66733466933867791</v>
      </c>
    </row>
    <row r="843" spans="9:12">
      <c r="I843">
        <f>SMALL(SimData500!$B$9:$B$508,335)</f>
        <v>0.6691350965674816</v>
      </c>
      <c r="J843">
        <f>1/(COUNT(SimData500!$B$9:$B$508)-1)+$J$842</f>
        <v>0.66933867735470998</v>
      </c>
      <c r="K843">
        <f>SMALL(SimData500!$C$9:$C$508,335)</f>
        <v>0.67204326819955895</v>
      </c>
      <c r="L843">
        <f>1/(COUNT(SimData500!$C$9:$C$508)-1)+$L$842</f>
        <v>0.66933867735470998</v>
      </c>
    </row>
    <row r="844" spans="9:12">
      <c r="I844">
        <f>SMALL(SimData500!$B$9:$B$508,336)</f>
        <v>0.6705461886270313</v>
      </c>
      <c r="J844">
        <f>1/(COUNT(SimData500!$B$9:$B$508)-1)+$J$843</f>
        <v>0.67134268537074204</v>
      </c>
      <c r="K844">
        <f>SMALL(SimData500!$C$9:$C$508,336)</f>
        <v>0.67357380797329824</v>
      </c>
      <c r="L844">
        <f>1/(COUNT(SimData500!$C$9:$C$508)-1)+$L$843</f>
        <v>0.67134268537074204</v>
      </c>
    </row>
    <row r="845" spans="9:12">
      <c r="I845">
        <f>SMALL(SimData500!$B$9:$B$508,337)</f>
        <v>0.67214856430798497</v>
      </c>
      <c r="J845">
        <f>1/(COUNT(SimData500!$B$9:$B$508)-1)+$J$844</f>
        <v>0.67334669338677411</v>
      </c>
      <c r="K845">
        <f>SMALL(SimData500!$C$9:$C$508,337)</f>
        <v>0.67495035428601113</v>
      </c>
      <c r="L845">
        <f>1/(COUNT(SimData500!$C$9:$C$508)-1)+$L$844</f>
        <v>0.67334669338677411</v>
      </c>
    </row>
    <row r="846" spans="9:12">
      <c r="I846">
        <f>SMALL(SimData500!$B$9:$B$508,338)</f>
        <v>0.67599610569002011</v>
      </c>
      <c r="J846">
        <f>1/(COUNT(SimData500!$B$9:$B$508)-1)+$J$845</f>
        <v>0.67535070140280618</v>
      </c>
      <c r="K846">
        <f>SMALL(SimData500!$C$9:$C$508,338)</f>
        <v>0.67675203390535899</v>
      </c>
      <c r="L846">
        <f>1/(COUNT(SimData500!$C$9:$C$508)-1)+$L$845</f>
        <v>0.67535070140280618</v>
      </c>
    </row>
    <row r="847" spans="9:12">
      <c r="I847">
        <f>SMALL(SimData500!$B$9:$B$508,339)</f>
        <v>0.67732398542420102</v>
      </c>
      <c r="J847">
        <f>1/(COUNT(SimData500!$B$9:$B$508)-1)+$J$846</f>
        <v>0.67735470941883824</v>
      </c>
      <c r="K847">
        <f>SMALL(SimData500!$C$9:$C$508,339)</f>
        <v>0.67800853247899795</v>
      </c>
      <c r="L847">
        <f>1/(COUNT(SimData500!$C$9:$C$508)-1)+$L$846</f>
        <v>0.67735470941883824</v>
      </c>
    </row>
    <row r="848" spans="9:12">
      <c r="I848">
        <f>SMALL(SimData500!$B$9:$B$508,340)</f>
        <v>0.67822774257097107</v>
      </c>
      <c r="J848">
        <f>1/(COUNT(SimData500!$B$9:$B$508)-1)+$J$847</f>
        <v>0.67935871743487031</v>
      </c>
      <c r="K848">
        <f>SMALL(SimData500!$C$9:$C$508,340)</f>
        <v>0.67981436952595686</v>
      </c>
      <c r="L848">
        <f>1/(COUNT(SimData500!$C$9:$C$508)-1)+$L$847</f>
        <v>0.67935871743487031</v>
      </c>
    </row>
    <row r="849" spans="9:12">
      <c r="I849">
        <f>SMALL(SimData500!$B$9:$B$508,341)</f>
        <v>0.68119011714430289</v>
      </c>
      <c r="J849">
        <f>1/(COUNT(SimData500!$B$9:$B$508)-1)+$J$848</f>
        <v>0.68136272545090237</v>
      </c>
      <c r="K849">
        <f>SMALL(SimData500!$C$9:$C$508,341)</f>
        <v>0.68439494119047595</v>
      </c>
      <c r="L849">
        <f>1/(COUNT(SimData500!$C$9:$C$508)-1)+$L$848</f>
        <v>0.68136272545090237</v>
      </c>
    </row>
    <row r="850" spans="9:12">
      <c r="I850">
        <f>SMALL(SimData500!$B$9:$B$508,342)</f>
        <v>0.6820023969113832</v>
      </c>
      <c r="J850">
        <f>1/(COUNT(SimData500!$B$9:$B$508)-1)+$J$849</f>
        <v>0.68336673346693444</v>
      </c>
      <c r="K850">
        <f>SMALL(SimData500!$C$9:$C$508,342)</f>
        <v>0.68511066041537561</v>
      </c>
      <c r="L850">
        <f>1/(COUNT(SimData500!$C$9:$C$508)-1)+$L$849</f>
        <v>0.68336673346693444</v>
      </c>
    </row>
    <row r="851" spans="9:12">
      <c r="I851">
        <f>SMALL(SimData500!$B$9:$B$508,343)</f>
        <v>0.6855958858550516</v>
      </c>
      <c r="J851">
        <f>1/(COUNT(SimData500!$B$9:$B$508)-1)+$J$850</f>
        <v>0.68537074148296651</v>
      </c>
      <c r="K851">
        <f>SMALL(SimData500!$C$9:$C$508,343)</f>
        <v>0.68549031282418582</v>
      </c>
      <c r="L851">
        <f>1/(COUNT(SimData500!$C$9:$C$508)-1)+$L$850</f>
        <v>0.68537074148296651</v>
      </c>
    </row>
    <row r="852" spans="9:12">
      <c r="I852">
        <f>SMALL(SimData500!$B$9:$B$508,344)</f>
        <v>0.68662210094989795</v>
      </c>
      <c r="J852">
        <f>1/(COUNT(SimData500!$B$9:$B$508)-1)+$J$851</f>
        <v>0.68737474949899857</v>
      </c>
      <c r="K852">
        <f>SMALL(SimData500!$C$9:$C$508,344)</f>
        <v>0.68629208777838357</v>
      </c>
      <c r="L852">
        <f>1/(COUNT(SimData500!$C$9:$C$508)-1)+$L$851</f>
        <v>0.68737474949899857</v>
      </c>
    </row>
    <row r="853" spans="9:12">
      <c r="I853">
        <f>SMALL(SimData500!$B$9:$B$508,345)</f>
        <v>0.68828357636003845</v>
      </c>
      <c r="J853">
        <f>1/(COUNT(SimData500!$B$9:$B$508)-1)+$J$852</f>
        <v>0.68937875751503064</v>
      </c>
      <c r="K853">
        <f>SMALL(SimData500!$C$9:$C$508,345)</f>
        <v>0.69147896294909117</v>
      </c>
      <c r="L853">
        <f>1/(COUNT(SimData500!$C$9:$C$508)-1)+$L$852</f>
        <v>0.68937875751503064</v>
      </c>
    </row>
    <row r="854" spans="9:12">
      <c r="I854">
        <f>SMALL(SimData500!$B$9:$B$508,346)</f>
        <v>0.69189782630277286</v>
      </c>
      <c r="J854">
        <f>1/(COUNT(SimData500!$B$9:$B$508)-1)+$J$853</f>
        <v>0.6913827655310627</v>
      </c>
      <c r="K854">
        <f>SMALL(SimData500!$C$9:$C$508,346)</f>
        <v>0.69182126694158796</v>
      </c>
      <c r="L854">
        <f>1/(COUNT(SimData500!$C$9:$C$508)-1)+$L$853</f>
        <v>0.6913827655310627</v>
      </c>
    </row>
    <row r="855" spans="9:12">
      <c r="I855">
        <f>SMALL(SimData500!$B$9:$B$508,347)</f>
        <v>0.69330337889755689</v>
      </c>
      <c r="J855">
        <f>1/(COUNT(SimData500!$B$9:$B$508)-1)+$J$854</f>
        <v>0.69338677354709477</v>
      </c>
      <c r="K855">
        <f>SMALL(SimData500!$C$9:$C$508,347)</f>
        <v>0.69216414475977217</v>
      </c>
      <c r="L855">
        <f>1/(COUNT(SimData500!$C$9:$C$508)-1)+$L$854</f>
        <v>0.69338677354709477</v>
      </c>
    </row>
    <row r="856" spans="9:12">
      <c r="I856">
        <f>SMALL(SimData500!$B$9:$B$508,348)</f>
        <v>0.69420888678780968</v>
      </c>
      <c r="J856">
        <f>1/(COUNT(SimData500!$B$9:$B$508)-1)+$J$855</f>
        <v>0.69539078156312684</v>
      </c>
      <c r="K856">
        <f>SMALL(SimData500!$C$9:$C$508,348)</f>
        <v>0.69267419006700948</v>
      </c>
      <c r="L856">
        <f>1/(COUNT(SimData500!$C$9:$C$508)-1)+$L$855</f>
        <v>0.69539078156312684</v>
      </c>
    </row>
    <row r="857" spans="9:12">
      <c r="I857">
        <f>SMALL(SimData500!$B$9:$B$508,349)</f>
        <v>0.69680977580528924</v>
      </c>
      <c r="J857">
        <f>1/(COUNT(SimData500!$B$9:$B$508)-1)+$J$856</f>
        <v>0.6973947895791589</v>
      </c>
      <c r="K857">
        <f>SMALL(SimData500!$C$9:$C$508,349)</f>
        <v>0.69372137625759933</v>
      </c>
      <c r="L857">
        <f>1/(COUNT(SimData500!$C$9:$C$508)-1)+$L$856</f>
        <v>0.6973947895791589</v>
      </c>
    </row>
    <row r="858" spans="9:12">
      <c r="I858">
        <f>SMALL(SimData500!$B$9:$B$508,350)</f>
        <v>0.69805789769255977</v>
      </c>
      <c r="J858">
        <f>1/(COUNT(SimData500!$B$9:$B$508)-1)+$J$857</f>
        <v>0.69939879759519097</v>
      </c>
      <c r="K858">
        <f>SMALL(SimData500!$C$9:$C$508,350)</f>
        <v>0.69437824152100802</v>
      </c>
      <c r="L858">
        <f>1/(COUNT(SimData500!$C$9:$C$508)-1)+$L$857</f>
        <v>0.69939879759519097</v>
      </c>
    </row>
    <row r="859" spans="9:12">
      <c r="I859">
        <f>SMALL(SimData500!$B$9:$B$508,351)</f>
        <v>0.70038926263255741</v>
      </c>
      <c r="J859">
        <f>1/(COUNT(SimData500!$B$9:$B$508)-1)+$J$858</f>
        <v>0.70140280561122303</v>
      </c>
      <c r="K859">
        <f>SMALL(SimData500!$C$9:$C$508,351)</f>
        <v>0.69926077186937619</v>
      </c>
      <c r="L859">
        <f>1/(COUNT(SimData500!$C$9:$C$508)-1)+$L$858</f>
        <v>0.70140280561122303</v>
      </c>
    </row>
    <row r="860" spans="9:12">
      <c r="I860">
        <f>SMALL(SimData500!$B$9:$B$508,352)</f>
        <v>0.70213752580763256</v>
      </c>
      <c r="J860">
        <f>1/(COUNT(SimData500!$B$9:$B$508)-1)+$J$859</f>
        <v>0.7034068136272551</v>
      </c>
      <c r="K860">
        <f>SMALL(SimData500!$C$9:$C$508,352)</f>
        <v>0.70354737551588187</v>
      </c>
      <c r="L860">
        <f>1/(COUNT(SimData500!$C$9:$C$508)-1)+$L$859</f>
        <v>0.7034068136272551</v>
      </c>
    </row>
    <row r="861" spans="9:12">
      <c r="I861">
        <f>SMALL(SimData500!$B$9:$B$508,353)</f>
        <v>0.70464444961739814</v>
      </c>
      <c r="J861">
        <f>1/(COUNT(SimData500!$B$9:$B$508)-1)+$J$860</f>
        <v>0.70541082164328717</v>
      </c>
      <c r="K861">
        <f>SMALL(SimData500!$C$9:$C$508,353)</f>
        <v>0.70528040159118177</v>
      </c>
      <c r="L861">
        <f>1/(COUNT(SimData500!$C$9:$C$508)-1)+$L$860</f>
        <v>0.70541082164328717</v>
      </c>
    </row>
    <row r="862" spans="9:12">
      <c r="I862">
        <f>SMALL(SimData500!$B$9:$B$508,354)</f>
        <v>0.70777360852150561</v>
      </c>
      <c r="J862">
        <f>1/(COUNT(SimData500!$B$9:$B$508)-1)+$J$861</f>
        <v>0.70741482965931923</v>
      </c>
      <c r="K862">
        <f>SMALL(SimData500!$C$9:$C$508,354)</f>
        <v>0.7059380229738963</v>
      </c>
      <c r="L862">
        <f>1/(COUNT(SimData500!$C$9:$C$508)-1)+$L$861</f>
        <v>0.70741482965931923</v>
      </c>
    </row>
    <row r="863" spans="9:12">
      <c r="I863">
        <f>SMALL(SimData500!$B$9:$B$508,355)</f>
        <v>0.70832641251439377</v>
      </c>
      <c r="J863">
        <f>1/(COUNT(SimData500!$B$9:$B$508)-1)+$J$862</f>
        <v>0.7094188376753513</v>
      </c>
      <c r="K863">
        <f>SMALL(SimData500!$C$9:$C$508,355)</f>
        <v>0.70681949531171995</v>
      </c>
      <c r="L863">
        <f>1/(COUNT(SimData500!$C$9:$C$508)-1)+$L$862</f>
        <v>0.7094188376753513</v>
      </c>
    </row>
    <row r="864" spans="9:12">
      <c r="I864">
        <f>SMALL(SimData500!$B$9:$B$508,356)</f>
        <v>0.71183173344932305</v>
      </c>
      <c r="J864">
        <f>1/(COUNT(SimData500!$B$9:$B$508)-1)+$J$863</f>
        <v>0.71142284569138337</v>
      </c>
      <c r="K864">
        <f>SMALL(SimData500!$C$9:$C$508,356)</f>
        <v>0.70686901643694</v>
      </c>
      <c r="L864">
        <f>1/(COUNT(SimData500!$C$9:$C$508)-1)+$L$863</f>
        <v>0.71142284569138337</v>
      </c>
    </row>
    <row r="865" spans="9:12">
      <c r="I865">
        <f>SMALL(SimData500!$B$9:$B$508,357)</f>
        <v>0.7120017165280883</v>
      </c>
      <c r="J865">
        <f>1/(COUNT(SimData500!$B$9:$B$508)-1)+$J$864</f>
        <v>0.71342685370741543</v>
      </c>
      <c r="K865">
        <f>SMALL(SimData500!$C$9:$C$508,357)</f>
        <v>0.70752788925437926</v>
      </c>
      <c r="L865">
        <f>1/(COUNT(SimData500!$C$9:$C$508)-1)+$L$864</f>
        <v>0.71342685370741543</v>
      </c>
    </row>
    <row r="866" spans="9:12">
      <c r="I866">
        <f>SMALL(SimData500!$B$9:$B$508,358)</f>
        <v>0.71573960619413757</v>
      </c>
      <c r="J866">
        <f>1/(COUNT(SimData500!$B$9:$B$508)-1)+$J$865</f>
        <v>0.7154308617234475</v>
      </c>
      <c r="K866">
        <f>SMALL(SimData500!$C$9:$C$508,358)</f>
        <v>0.71103124944056617</v>
      </c>
      <c r="L866">
        <f>1/(COUNT(SimData500!$C$9:$C$508)-1)+$L$865</f>
        <v>0.7154308617234475</v>
      </c>
    </row>
    <row r="867" spans="9:12">
      <c r="I867">
        <f>SMALL(SimData500!$B$9:$B$508,359)</f>
        <v>0.71641753528183738</v>
      </c>
      <c r="J867">
        <f>1/(COUNT(SimData500!$B$9:$B$508)-1)+$J$866</f>
        <v>0.71743486973947956</v>
      </c>
      <c r="K867">
        <f>SMALL(SimData500!$C$9:$C$508,359)</f>
        <v>0.71275453754424234</v>
      </c>
      <c r="L867">
        <f>1/(COUNT(SimData500!$C$9:$C$508)-1)+$L$866</f>
        <v>0.71743486973947956</v>
      </c>
    </row>
    <row r="868" spans="9:12">
      <c r="I868">
        <f>SMALL(SimData500!$B$9:$B$508,360)</f>
        <v>0.71832041309967642</v>
      </c>
      <c r="J868">
        <f>1/(COUNT(SimData500!$B$9:$B$508)-1)+$J$867</f>
        <v>0.71943887775551163</v>
      </c>
      <c r="K868">
        <f>SMALL(SimData500!$C$9:$C$508,360)</f>
        <v>0.71374318924063118</v>
      </c>
      <c r="L868">
        <f>1/(COUNT(SimData500!$C$9:$C$508)-1)+$L$867</f>
        <v>0.71943887775551163</v>
      </c>
    </row>
    <row r="869" spans="9:12">
      <c r="I869">
        <f>SMALL(SimData500!$B$9:$B$508,361)</f>
        <v>0.72100780361308903</v>
      </c>
      <c r="J869">
        <f>1/(COUNT(SimData500!$B$9:$B$508)-1)+$J$868</f>
        <v>0.7214428857715437</v>
      </c>
      <c r="K869">
        <f>SMALL(SimData500!$C$9:$C$508,361)</f>
        <v>0.7159573402013848</v>
      </c>
      <c r="L869">
        <f>1/(COUNT(SimData500!$C$9:$C$508)-1)+$L$868</f>
        <v>0.7214428857715437</v>
      </c>
    </row>
    <row r="870" spans="9:12">
      <c r="I870">
        <f>SMALL(SimData500!$B$9:$B$508,362)</f>
        <v>0.72365667858106475</v>
      </c>
      <c r="J870">
        <f>1/(COUNT(SimData500!$B$9:$B$508)-1)+$J$869</f>
        <v>0.72344689378757576</v>
      </c>
      <c r="K870">
        <f>SMALL(SimData500!$C$9:$C$508,362)</f>
        <v>0.71668191162598305</v>
      </c>
      <c r="L870">
        <f>1/(COUNT(SimData500!$C$9:$C$508)-1)+$L$869</f>
        <v>0.72344689378757576</v>
      </c>
    </row>
    <row r="871" spans="9:12">
      <c r="I871">
        <f>SMALL(SimData500!$B$9:$B$508,363)</f>
        <v>0.72575438292458527</v>
      </c>
      <c r="J871">
        <f>1/(COUNT(SimData500!$B$9:$B$508)-1)+$J$870</f>
        <v>0.72545090180360783</v>
      </c>
      <c r="K871">
        <f>SMALL(SimData500!$C$9:$C$508,363)</f>
        <v>0.71706614348840958</v>
      </c>
      <c r="L871">
        <f>1/(COUNT(SimData500!$C$9:$C$508)-1)+$L$870</f>
        <v>0.72545090180360783</v>
      </c>
    </row>
    <row r="872" spans="9:12">
      <c r="I872">
        <f>SMALL(SimData500!$B$9:$B$508,364)</f>
        <v>0.72746232771488428</v>
      </c>
      <c r="J872">
        <f>1/(COUNT(SimData500!$B$9:$B$508)-1)+$J$871</f>
        <v>0.72745490981963989</v>
      </c>
      <c r="K872">
        <f>SMALL(SimData500!$C$9:$C$508,364)</f>
        <v>0.72094403421806419</v>
      </c>
      <c r="L872">
        <f>1/(COUNT(SimData500!$C$9:$C$508)-1)+$L$871</f>
        <v>0.72745490981963989</v>
      </c>
    </row>
    <row r="873" spans="9:12">
      <c r="I873">
        <f>SMALL(SimData500!$B$9:$B$508,365)</f>
        <v>0.72932734233032148</v>
      </c>
      <c r="J873">
        <f>1/(COUNT(SimData500!$B$9:$B$508)-1)+$J$872</f>
        <v>0.72945891783567196</v>
      </c>
      <c r="K873">
        <f>SMALL(SimData500!$C$9:$C$508,365)</f>
        <v>0.72145481541792833</v>
      </c>
      <c r="L873">
        <f>1/(COUNT(SimData500!$C$9:$C$508)-1)+$L$872</f>
        <v>0.72945891783567196</v>
      </c>
    </row>
    <row r="874" spans="9:12">
      <c r="I874">
        <f>SMALL(SimData500!$B$9:$B$508,366)</f>
        <v>0.73042038163645673</v>
      </c>
      <c r="J874">
        <f>1/(COUNT(SimData500!$B$9:$B$508)-1)+$J$873</f>
        <v>0.73146292585170403</v>
      </c>
      <c r="K874">
        <f>SMALL(SimData500!$C$9:$C$508,366)</f>
        <v>0.72170266939792782</v>
      </c>
      <c r="L874">
        <f>1/(COUNT(SimData500!$C$9:$C$508)-1)+$L$873</f>
        <v>0.73146292585170403</v>
      </c>
    </row>
    <row r="875" spans="9:12">
      <c r="I875">
        <f>SMALL(SimData500!$B$9:$B$508,367)</f>
        <v>0.73288848651454053</v>
      </c>
      <c r="J875">
        <f>1/(COUNT(SimData500!$B$9:$B$508)-1)+$J$874</f>
        <v>0.73346693386773609</v>
      </c>
      <c r="K875">
        <f>SMALL(SimData500!$C$9:$C$508,367)</f>
        <v>0.72279816015270626</v>
      </c>
      <c r="L875">
        <f>1/(COUNT(SimData500!$C$9:$C$508)-1)+$L$874</f>
        <v>0.73346693386773609</v>
      </c>
    </row>
    <row r="876" spans="9:12">
      <c r="I876">
        <f>SMALL(SimData500!$B$9:$B$508,368)</f>
        <v>0.73597149695408803</v>
      </c>
      <c r="J876">
        <f>1/(COUNT(SimData500!$B$9:$B$508)-1)+$J$875</f>
        <v>0.73547094188376816</v>
      </c>
      <c r="K876">
        <f>SMALL(SimData500!$C$9:$C$508,368)</f>
        <v>0.73147576434806183</v>
      </c>
      <c r="L876">
        <f>1/(COUNT(SimData500!$C$9:$C$508)-1)+$L$875</f>
        <v>0.73547094188376816</v>
      </c>
    </row>
    <row r="877" spans="9:12">
      <c r="I877">
        <f>SMALL(SimData500!$B$9:$B$508,369)</f>
        <v>0.73645267596246033</v>
      </c>
      <c r="J877">
        <f>1/(COUNT(SimData500!$B$9:$B$508)-1)+$J$876</f>
        <v>0.73747494989980023</v>
      </c>
      <c r="K877">
        <f>SMALL(SimData500!$C$9:$C$508,369)</f>
        <v>0.73265672502748203</v>
      </c>
      <c r="L877">
        <f>1/(COUNT(SimData500!$C$9:$C$508)-1)+$L$876</f>
        <v>0.73747494989980023</v>
      </c>
    </row>
    <row r="878" spans="9:12">
      <c r="I878">
        <f>SMALL(SimData500!$B$9:$B$508,370)</f>
        <v>0.73914753574439029</v>
      </c>
      <c r="J878">
        <f>1/(COUNT(SimData500!$B$9:$B$508)-1)+$J$877</f>
        <v>0.73947895791583229</v>
      </c>
      <c r="K878">
        <f>SMALL(SimData500!$C$9:$C$508,370)</f>
        <v>0.73695040733764472</v>
      </c>
      <c r="L878">
        <f>1/(COUNT(SimData500!$C$9:$C$508)-1)+$L$877</f>
        <v>0.73947895791583229</v>
      </c>
    </row>
    <row r="879" spans="9:12">
      <c r="I879">
        <f>SMALL(SimData500!$B$9:$B$508,371)</f>
        <v>0.74114961786129263</v>
      </c>
      <c r="J879">
        <f>1/(COUNT(SimData500!$B$9:$B$508)-1)+$J$878</f>
        <v>0.74148296593186436</v>
      </c>
      <c r="K879">
        <f>SMALL(SimData500!$C$9:$C$508,371)</f>
        <v>0.73801835613903677</v>
      </c>
      <c r="L879">
        <f>1/(COUNT(SimData500!$C$9:$C$508)-1)+$L$878</f>
        <v>0.74148296593186436</v>
      </c>
    </row>
    <row r="880" spans="9:12">
      <c r="I880">
        <f>SMALL(SimData500!$B$9:$B$508,372)</f>
        <v>0.74390084265309875</v>
      </c>
      <c r="J880">
        <f>1/(COUNT(SimData500!$B$9:$B$508)-1)+$J$879</f>
        <v>0.74348697394789642</v>
      </c>
      <c r="K880">
        <f>SMALL(SimData500!$C$9:$C$508,372)</f>
        <v>0.74136148814886837</v>
      </c>
      <c r="L880">
        <f>1/(COUNT(SimData500!$C$9:$C$508)-1)+$L$879</f>
        <v>0.74348697394789642</v>
      </c>
    </row>
    <row r="881" spans="9:12">
      <c r="I881">
        <f>SMALL(SimData500!$B$9:$B$508,373)</f>
        <v>0.74513267144214657</v>
      </c>
      <c r="J881">
        <f>1/(COUNT(SimData500!$B$9:$B$508)-1)+$J$880</f>
        <v>0.74549098196392849</v>
      </c>
      <c r="K881">
        <f>SMALL(SimData500!$C$9:$C$508,373)</f>
        <v>0.7480460040324175</v>
      </c>
      <c r="L881">
        <f>1/(COUNT(SimData500!$C$9:$C$508)-1)+$L$880</f>
        <v>0.74549098196392849</v>
      </c>
    </row>
    <row r="882" spans="9:12">
      <c r="I882">
        <f>SMALL(SimData500!$B$9:$B$508,374)</f>
        <v>0.74629027466389586</v>
      </c>
      <c r="J882">
        <f>1/(COUNT(SimData500!$B$9:$B$508)-1)+$J$881</f>
        <v>0.74749498997996056</v>
      </c>
      <c r="K882">
        <f>SMALL(SimData500!$C$9:$C$508,374)</f>
        <v>0.75195512607933779</v>
      </c>
      <c r="L882">
        <f>1/(COUNT(SimData500!$C$9:$C$508)-1)+$L$881</f>
        <v>0.74749498997996056</v>
      </c>
    </row>
    <row r="883" spans="9:12">
      <c r="I883">
        <f>SMALL(SimData500!$B$9:$B$508,375)</f>
        <v>0.74889778106633986</v>
      </c>
      <c r="J883">
        <f>1/(COUNT(SimData500!$B$9:$B$508)-1)+$J$882</f>
        <v>0.74949899799599262</v>
      </c>
      <c r="K883">
        <f>SMALL(SimData500!$C$9:$C$508,375)</f>
        <v>0.75242480424276437</v>
      </c>
      <c r="L883">
        <f>1/(COUNT(SimData500!$C$9:$C$508)-1)+$L$882</f>
        <v>0.74949899799599262</v>
      </c>
    </row>
    <row r="884" spans="9:12">
      <c r="I884">
        <f>SMALL(SimData500!$B$9:$B$508,376)</f>
        <v>0.75179503516242718</v>
      </c>
      <c r="J884">
        <f>1/(COUNT(SimData500!$B$9:$B$508)-1)+$J$883</f>
        <v>0.75150300601202469</v>
      </c>
      <c r="K884">
        <f>SMALL(SimData500!$C$9:$C$508,376)</f>
        <v>0.75260266247551044</v>
      </c>
      <c r="L884">
        <f>1/(COUNT(SimData500!$C$9:$C$508)-1)+$L$883</f>
        <v>0.75150300601202469</v>
      </c>
    </row>
    <row r="885" spans="9:12">
      <c r="I885">
        <f>SMALL(SimData500!$B$9:$B$508,377)</f>
        <v>0.75233860406287445</v>
      </c>
      <c r="J885">
        <f>1/(COUNT(SimData500!$B$9:$B$508)-1)+$J$884</f>
        <v>0.75350701402805675</v>
      </c>
      <c r="K885">
        <f>SMALL(SimData500!$C$9:$C$508,377)</f>
        <v>0.75344681281876547</v>
      </c>
      <c r="L885">
        <f>1/(COUNT(SimData500!$C$9:$C$508)-1)+$L$884</f>
        <v>0.75350701402805675</v>
      </c>
    </row>
    <row r="886" spans="9:12">
      <c r="I886">
        <f>SMALL(SimData500!$B$9:$B$508,378)</f>
        <v>0.75569227952223561</v>
      </c>
      <c r="J886">
        <f>1/(COUNT(SimData500!$B$9:$B$508)-1)+$J$885</f>
        <v>0.75551102204408882</v>
      </c>
      <c r="K886">
        <f>SMALL(SimData500!$C$9:$C$508,378)</f>
        <v>0.7548519556703468</v>
      </c>
      <c r="L886">
        <f>1/(COUNT(SimData500!$C$9:$C$508)-1)+$L$885</f>
        <v>0.75551102204408882</v>
      </c>
    </row>
    <row r="887" spans="9:12">
      <c r="I887">
        <f>SMALL(SimData500!$B$9:$B$508,379)</f>
        <v>0.75686964860345929</v>
      </c>
      <c r="J887">
        <f>1/(COUNT(SimData500!$B$9:$B$508)-1)+$J$886</f>
        <v>0.75751503006012089</v>
      </c>
      <c r="K887">
        <f>SMALL(SimData500!$C$9:$C$508,379)</f>
        <v>0.75581359980606067</v>
      </c>
      <c r="L887">
        <f>1/(COUNT(SimData500!$C$9:$C$508)-1)+$L$886</f>
        <v>0.75751503006012089</v>
      </c>
    </row>
    <row r="888" spans="9:12">
      <c r="I888">
        <f>SMALL(SimData500!$B$9:$B$508,380)</f>
        <v>0.75887140113508134</v>
      </c>
      <c r="J888">
        <f>1/(COUNT(SimData500!$B$9:$B$508)-1)+$J$887</f>
        <v>0.75951903807615295</v>
      </c>
      <c r="K888">
        <f>SMALL(SimData500!$C$9:$C$508,380)</f>
        <v>0.75769246715208283</v>
      </c>
      <c r="L888">
        <f>1/(COUNT(SimData500!$C$9:$C$508)-1)+$L$887</f>
        <v>0.75951903807615295</v>
      </c>
    </row>
    <row r="889" spans="9:12">
      <c r="I889">
        <f>SMALL(SimData500!$B$9:$B$508,381)</f>
        <v>0.76013333995503685</v>
      </c>
      <c r="J889">
        <f>1/(COUNT(SimData500!$B$9:$B$508)-1)+$J$888</f>
        <v>0.76152304609218502</v>
      </c>
      <c r="K889">
        <f>SMALL(SimData500!$C$9:$C$508,381)</f>
        <v>0.75931150536416681</v>
      </c>
      <c r="L889">
        <f>1/(COUNT(SimData500!$C$9:$C$508)-1)+$L$888</f>
        <v>0.76152304609218502</v>
      </c>
    </row>
    <row r="890" spans="9:12">
      <c r="I890">
        <f>SMALL(SimData500!$B$9:$B$508,382)</f>
        <v>0.76234134116916485</v>
      </c>
      <c r="J890">
        <f>1/(COUNT(SimData500!$B$9:$B$508)-1)+$J$889</f>
        <v>0.76352705410821708</v>
      </c>
      <c r="K890">
        <f>SMALL(SimData500!$C$9:$C$508,382)</f>
        <v>0.76529787495474011</v>
      </c>
      <c r="L890">
        <f>1/(COUNT(SimData500!$C$9:$C$508)-1)+$L$889</f>
        <v>0.76352705410821708</v>
      </c>
    </row>
    <row r="891" spans="9:12">
      <c r="I891">
        <f>SMALL(SimData500!$B$9:$B$508,383)</f>
        <v>0.76488023125028248</v>
      </c>
      <c r="J891">
        <f>1/(COUNT(SimData500!$B$9:$B$508)-1)+$J$890</f>
        <v>0.76553106212424915</v>
      </c>
      <c r="K891">
        <f>SMALL(SimData500!$C$9:$C$508,383)</f>
        <v>0.76601672291238287</v>
      </c>
      <c r="L891">
        <f>1/(COUNT(SimData500!$C$9:$C$508)-1)+$L$890</f>
        <v>0.76553106212424915</v>
      </c>
    </row>
    <row r="892" spans="9:12">
      <c r="I892">
        <f>SMALL(SimData500!$B$9:$B$508,384)</f>
        <v>0.76734073077732246</v>
      </c>
      <c r="J892">
        <f>1/(COUNT(SimData500!$B$9:$B$508)-1)+$J$891</f>
        <v>0.76753507014028122</v>
      </c>
      <c r="K892">
        <f>SMALL(SimData500!$C$9:$C$508,384)</f>
        <v>0.76863512076943152</v>
      </c>
      <c r="L892">
        <f>1/(COUNT(SimData500!$C$9:$C$508)-1)+$L$891</f>
        <v>0.76753507014028122</v>
      </c>
    </row>
    <row r="893" spans="9:12">
      <c r="I893">
        <f>SMALL(SimData500!$B$9:$B$508,385)</f>
        <v>0.76944216386728048</v>
      </c>
      <c r="J893">
        <f>1/(COUNT(SimData500!$B$9:$B$508)-1)+$J$892</f>
        <v>0.76953907815631328</v>
      </c>
      <c r="K893">
        <f>SMALL(SimData500!$C$9:$C$508,385)</f>
        <v>0.77121281681502296</v>
      </c>
      <c r="L893">
        <f>1/(COUNT(SimData500!$C$9:$C$508)-1)+$L$892</f>
        <v>0.76953907815631328</v>
      </c>
    </row>
    <row r="894" spans="9:12">
      <c r="I894">
        <f>SMALL(SimData500!$B$9:$B$508,386)</f>
        <v>0.77089331119947446</v>
      </c>
      <c r="J894">
        <f>1/(COUNT(SimData500!$B$9:$B$508)-1)+$J$893</f>
        <v>0.77154308617234535</v>
      </c>
      <c r="K894">
        <f>SMALL(SimData500!$C$9:$C$508,386)</f>
        <v>0.77696000534797349</v>
      </c>
      <c r="L894">
        <f>1/(COUNT(SimData500!$C$9:$C$508)-1)+$L$893</f>
        <v>0.77154308617234535</v>
      </c>
    </row>
    <row r="895" spans="9:12">
      <c r="I895">
        <f>SMALL(SimData500!$B$9:$B$508,387)</f>
        <v>0.77370691508280742</v>
      </c>
      <c r="J895">
        <f>1/(COUNT(SimData500!$B$9:$B$508)-1)+$J$894</f>
        <v>0.77354709418837742</v>
      </c>
      <c r="K895">
        <f>SMALL(SimData500!$C$9:$C$508,387)</f>
        <v>0.77755126168085553</v>
      </c>
      <c r="L895">
        <f>1/(COUNT(SimData500!$C$9:$C$508)-1)+$L$894</f>
        <v>0.77354709418837742</v>
      </c>
    </row>
    <row r="896" spans="9:12">
      <c r="I896">
        <f>SMALL(SimData500!$B$9:$B$508,388)</f>
        <v>0.77442513285400938</v>
      </c>
      <c r="J896">
        <f>1/(COUNT(SimData500!$B$9:$B$508)-1)+$J$895</f>
        <v>0.77555110220440948</v>
      </c>
      <c r="K896">
        <f>SMALL(SimData500!$C$9:$C$508,388)</f>
        <v>0.77791042327862669</v>
      </c>
      <c r="L896">
        <f>1/(COUNT(SimData500!$C$9:$C$508)-1)+$L$895</f>
        <v>0.77555110220440948</v>
      </c>
    </row>
    <row r="897" spans="9:12">
      <c r="I897">
        <f>SMALL(SimData500!$B$9:$B$508,389)</f>
        <v>0.77621992032328146</v>
      </c>
      <c r="J897">
        <f>1/(COUNT(SimData500!$B$9:$B$508)-1)+$J$896</f>
        <v>0.77755511022044155</v>
      </c>
      <c r="K897">
        <f>SMALL(SimData500!$C$9:$C$508,389)</f>
        <v>0.78022253359449678</v>
      </c>
      <c r="L897">
        <f>1/(COUNT(SimData500!$C$9:$C$508)-1)+$L$896</f>
        <v>0.77755511022044155</v>
      </c>
    </row>
    <row r="898" spans="9:12">
      <c r="I898">
        <f>SMALL(SimData500!$B$9:$B$508,390)</f>
        <v>0.77892806733933473</v>
      </c>
      <c r="J898">
        <f>1/(COUNT(SimData500!$B$9:$B$508)-1)+$J$897</f>
        <v>0.77955911823647361</v>
      </c>
      <c r="K898">
        <f>SMALL(SimData500!$C$9:$C$508,390)</f>
        <v>0.78078299319622602</v>
      </c>
      <c r="L898">
        <f>1/(COUNT(SimData500!$C$9:$C$508)-1)+$L$897</f>
        <v>0.77955911823647361</v>
      </c>
    </row>
    <row r="899" spans="9:12">
      <c r="I899">
        <f>SMALL(SimData500!$B$9:$B$508,391)</f>
        <v>0.78019682860332462</v>
      </c>
      <c r="J899">
        <f>1/(COUNT(SimData500!$B$9:$B$508)-1)+$J$898</f>
        <v>0.78156312625250568</v>
      </c>
      <c r="K899">
        <f>SMALL(SimData500!$C$9:$C$508,391)</f>
        <v>0.78437553759431466</v>
      </c>
      <c r="L899">
        <f>1/(COUNT(SimData500!$C$9:$C$508)-1)+$L$898</f>
        <v>0.78156312625250568</v>
      </c>
    </row>
    <row r="900" spans="9:12">
      <c r="I900">
        <f>SMALL(SimData500!$B$9:$B$508,392)</f>
        <v>0.78232963743766992</v>
      </c>
      <c r="J900">
        <f>1/(COUNT(SimData500!$B$9:$B$508)-1)+$J$899</f>
        <v>0.78356713426853775</v>
      </c>
      <c r="K900">
        <f>SMALL(SimData500!$C$9:$C$508,392)</f>
        <v>0.78496439663013007</v>
      </c>
      <c r="L900">
        <f>1/(COUNT(SimData500!$C$9:$C$508)-1)+$L$899</f>
        <v>0.78356713426853775</v>
      </c>
    </row>
    <row r="901" spans="9:12">
      <c r="I901">
        <f>SMALL(SimData500!$B$9:$B$508,393)</f>
        <v>0.78403480397119063</v>
      </c>
      <c r="J901">
        <f>1/(COUNT(SimData500!$B$9:$B$508)-1)+$J$900</f>
        <v>0.78557114228456981</v>
      </c>
      <c r="K901">
        <f>SMALL(SimData500!$C$9:$C$508,393)</f>
        <v>0.78640774266750668</v>
      </c>
      <c r="L901">
        <f>1/(COUNT(SimData500!$C$9:$C$508)-1)+$L$900</f>
        <v>0.78557114228456981</v>
      </c>
    </row>
    <row r="902" spans="9:12">
      <c r="I902">
        <f>SMALL(SimData500!$B$9:$B$508,394)</f>
        <v>0.78749454220279458</v>
      </c>
      <c r="J902">
        <f>1/(COUNT(SimData500!$B$9:$B$508)-1)+$J$901</f>
        <v>0.78757515030060188</v>
      </c>
      <c r="K902">
        <f>SMALL(SimData500!$C$9:$C$508,394)</f>
        <v>0.7870398330169337</v>
      </c>
      <c r="L902">
        <f>1/(COUNT(SimData500!$C$9:$C$508)-1)+$L$901</f>
        <v>0.78757515030060188</v>
      </c>
    </row>
    <row r="903" spans="9:12">
      <c r="I903">
        <f>SMALL(SimData500!$B$9:$B$508,395)</f>
        <v>0.78916627540839057</v>
      </c>
      <c r="J903">
        <f>1/(COUNT(SimData500!$B$9:$B$508)-1)+$J$902</f>
        <v>0.78957915831663394</v>
      </c>
      <c r="K903">
        <f>SMALL(SimData500!$C$9:$C$508,395)</f>
        <v>0.7935652949163341</v>
      </c>
      <c r="L903">
        <f>1/(COUNT(SimData500!$C$9:$C$508)-1)+$L$902</f>
        <v>0.78957915831663394</v>
      </c>
    </row>
    <row r="904" spans="9:12">
      <c r="I904">
        <f>SMALL(SimData500!$B$9:$B$508,396)</f>
        <v>0.79007793260414105</v>
      </c>
      <c r="J904">
        <f>1/(COUNT(SimData500!$B$9:$B$508)-1)+$J$903</f>
        <v>0.79158316633266601</v>
      </c>
      <c r="K904">
        <f>SMALL(SimData500!$C$9:$C$508,396)</f>
        <v>0.79822809666256944</v>
      </c>
      <c r="L904">
        <f>1/(COUNT(SimData500!$C$9:$C$508)-1)+$L$903</f>
        <v>0.79158316633266601</v>
      </c>
    </row>
    <row r="905" spans="9:12">
      <c r="I905">
        <f>SMALL(SimData500!$B$9:$B$508,397)</f>
        <v>0.79344333973513992</v>
      </c>
      <c r="J905">
        <f>1/(COUNT(SimData500!$B$9:$B$508)-1)+$J$904</f>
        <v>0.79358717434869808</v>
      </c>
      <c r="K905">
        <f>SMALL(SimData500!$C$9:$C$508,397)</f>
        <v>0.80044958852340642</v>
      </c>
      <c r="L905">
        <f>1/(COUNT(SimData500!$C$9:$C$508)-1)+$L$904</f>
        <v>0.79358717434869808</v>
      </c>
    </row>
    <row r="906" spans="9:12">
      <c r="I906">
        <f>SMALL(SimData500!$B$9:$B$508,398)</f>
        <v>0.79496765836397365</v>
      </c>
      <c r="J906">
        <f>1/(COUNT(SimData500!$B$9:$B$508)-1)+$J$905</f>
        <v>0.79559118236473014</v>
      </c>
      <c r="K906">
        <f>SMALL(SimData500!$C$9:$C$508,398)</f>
        <v>0.80382686384564295</v>
      </c>
      <c r="L906">
        <f>1/(COUNT(SimData500!$C$9:$C$508)-1)+$L$905</f>
        <v>0.79559118236473014</v>
      </c>
    </row>
    <row r="907" spans="9:12">
      <c r="I907">
        <f>SMALL(SimData500!$B$9:$B$508,399)</f>
        <v>0.79795805208756543</v>
      </c>
      <c r="J907">
        <f>1/(COUNT(SimData500!$B$9:$B$508)-1)+$J$906</f>
        <v>0.79759519038076221</v>
      </c>
      <c r="K907">
        <f>SMALL(SimData500!$C$9:$C$508,399)</f>
        <v>0.80459309601337736</v>
      </c>
      <c r="L907">
        <f>1/(COUNT(SimData500!$C$9:$C$508)-1)+$L$906</f>
        <v>0.79759519038076221</v>
      </c>
    </row>
    <row r="908" spans="9:12">
      <c r="I908">
        <f>SMALL(SimData500!$B$9:$B$508,400)</f>
        <v>0.79952953147225303</v>
      </c>
      <c r="J908">
        <f>1/(COUNT(SimData500!$B$9:$B$508)-1)+$J$907</f>
        <v>0.79959919839679428</v>
      </c>
      <c r="K908">
        <f>SMALL(SimData500!$C$9:$C$508,400)</f>
        <v>0.80650893665369949</v>
      </c>
      <c r="L908">
        <f>1/(COUNT(SimData500!$C$9:$C$508)-1)+$L$907</f>
        <v>0.79959919839679428</v>
      </c>
    </row>
    <row r="909" spans="9:12">
      <c r="I909">
        <f>SMALL(SimData500!$B$9:$B$508,401)</f>
        <v>0.80038359955893457</v>
      </c>
      <c r="J909">
        <f>1/(COUNT(SimData500!$B$9:$B$508)-1)+$J$908</f>
        <v>0.80160320641282634</v>
      </c>
      <c r="K909">
        <f>SMALL(SimData500!$C$9:$C$508,401)</f>
        <v>0.80815723637533665</v>
      </c>
      <c r="L909">
        <f>1/(COUNT(SimData500!$C$9:$C$508)-1)+$L$908</f>
        <v>0.80160320641282634</v>
      </c>
    </row>
    <row r="910" spans="9:12">
      <c r="I910">
        <f>SMALL(SimData500!$B$9:$B$508,402)</f>
        <v>0.80247201590996053</v>
      </c>
      <c r="J910">
        <f>1/(COUNT(SimData500!$B$9:$B$508)-1)+$J$909</f>
        <v>0.80360721442885841</v>
      </c>
      <c r="K910">
        <f>SMALL(SimData500!$C$9:$C$508,402)</f>
        <v>0.81110348201036686</v>
      </c>
      <c r="L910">
        <f>1/(COUNT(SimData500!$C$9:$C$508)-1)+$L$909</f>
        <v>0.80360721442885841</v>
      </c>
    </row>
    <row r="911" spans="9:12">
      <c r="I911">
        <f>SMALL(SimData500!$B$9:$B$508,403)</f>
        <v>0.80428002186079506</v>
      </c>
      <c r="J911">
        <f>1/(COUNT(SimData500!$B$9:$B$508)-1)+$J$910</f>
        <v>0.80561122244489047</v>
      </c>
      <c r="K911">
        <f>SMALL(SimData500!$C$9:$C$508,403)</f>
        <v>0.82482995039663365</v>
      </c>
      <c r="L911">
        <f>1/(COUNT(SimData500!$C$9:$C$508)-1)+$L$910</f>
        <v>0.80561122244489047</v>
      </c>
    </row>
    <row r="912" spans="9:12">
      <c r="I912">
        <f>SMALL(SimData500!$B$9:$B$508,404)</f>
        <v>0.80764983022204828</v>
      </c>
      <c r="J912">
        <f>1/(COUNT(SimData500!$B$9:$B$508)-1)+$J$911</f>
        <v>0.80761523046092254</v>
      </c>
      <c r="K912">
        <f>SMALL(SimData500!$C$9:$C$508,404)</f>
        <v>0.82762015028947644</v>
      </c>
      <c r="L912">
        <f>1/(COUNT(SimData500!$C$9:$C$508)-1)+$L$911</f>
        <v>0.80761523046092254</v>
      </c>
    </row>
    <row r="913" spans="9:12">
      <c r="I913">
        <f>SMALL(SimData500!$B$9:$B$508,405)</f>
        <v>0.80870773745717195</v>
      </c>
      <c r="J913">
        <f>1/(COUNT(SimData500!$B$9:$B$508)-1)+$J$912</f>
        <v>0.80961923847695461</v>
      </c>
      <c r="K913">
        <f>SMALL(SimData500!$C$9:$C$508,405)</f>
        <v>0.83198654737316247</v>
      </c>
      <c r="L913">
        <f>1/(COUNT(SimData500!$C$9:$C$508)-1)+$L$912</f>
        <v>0.80961923847695461</v>
      </c>
    </row>
    <row r="914" spans="9:12">
      <c r="I914">
        <f>SMALL(SimData500!$B$9:$B$508,406)</f>
        <v>0.81151663492003379</v>
      </c>
      <c r="J914">
        <f>1/(COUNT(SimData500!$B$9:$B$508)-1)+$J$913</f>
        <v>0.81162324649298667</v>
      </c>
      <c r="K914">
        <f>SMALL(SimData500!$C$9:$C$508,406)</f>
        <v>0.83366594225117296</v>
      </c>
      <c r="L914">
        <f>1/(COUNT(SimData500!$C$9:$C$508)-1)+$L$913</f>
        <v>0.81162324649298667</v>
      </c>
    </row>
    <row r="915" spans="9:12">
      <c r="I915">
        <f>SMALL(SimData500!$B$9:$B$508,407)</f>
        <v>0.81285425129040478</v>
      </c>
      <c r="J915">
        <f>1/(COUNT(SimData500!$B$9:$B$508)-1)+$J$914</f>
        <v>0.81362725450901874</v>
      </c>
      <c r="K915">
        <f>SMALL(SimData500!$C$9:$C$508,407)</f>
        <v>0.83401461244193342</v>
      </c>
      <c r="L915">
        <f>1/(COUNT(SimData500!$C$9:$C$508)-1)+$L$914</f>
        <v>0.81362725450901874</v>
      </c>
    </row>
    <row r="916" spans="9:12">
      <c r="I916">
        <f>SMALL(SimData500!$B$9:$B$508,408)</f>
        <v>0.81488155513696403</v>
      </c>
      <c r="J916">
        <f>1/(COUNT(SimData500!$B$9:$B$508)-1)+$J$915</f>
        <v>0.8156312625250508</v>
      </c>
      <c r="K916">
        <f>SMALL(SimData500!$C$9:$C$508,408)</f>
        <v>0.83634752367288456</v>
      </c>
      <c r="L916">
        <f>1/(COUNT(SimData500!$C$9:$C$508)-1)+$L$915</f>
        <v>0.8156312625250508</v>
      </c>
    </row>
    <row r="917" spans="9:12">
      <c r="I917">
        <f>SMALL(SimData500!$B$9:$B$508,409)</f>
        <v>0.81765955920416389</v>
      </c>
      <c r="J917">
        <f>1/(COUNT(SimData500!$B$9:$B$508)-1)+$J$916</f>
        <v>0.81763527054108287</v>
      </c>
      <c r="K917">
        <f>SMALL(SimData500!$C$9:$C$508,409)</f>
        <v>0.83761974164281128</v>
      </c>
      <c r="L917">
        <f>1/(COUNT(SimData500!$C$9:$C$508)-1)+$L$916</f>
        <v>0.81763527054108287</v>
      </c>
    </row>
    <row r="918" spans="9:12">
      <c r="I918">
        <f>SMALL(SimData500!$B$9:$B$508,410)</f>
        <v>0.8187193166838771</v>
      </c>
      <c r="J918">
        <f>1/(COUNT(SimData500!$B$9:$B$508)-1)+$J$917</f>
        <v>0.81963927855711494</v>
      </c>
      <c r="K918">
        <f>SMALL(SimData500!$C$9:$C$508,410)</f>
        <v>0.84041283947590273</v>
      </c>
      <c r="L918">
        <f>1/(COUNT(SimData500!$C$9:$C$508)-1)+$L$917</f>
        <v>0.81963927855711494</v>
      </c>
    </row>
    <row r="919" spans="9:12">
      <c r="I919">
        <f>SMALL(SimData500!$B$9:$B$508,411)</f>
        <v>0.82174358895787591</v>
      </c>
      <c r="J919">
        <f>1/(COUNT(SimData500!$B$9:$B$508)-1)+$J$918</f>
        <v>0.821643286573147</v>
      </c>
      <c r="K919">
        <f>SMALL(SimData500!$C$9:$C$508,411)</f>
        <v>0.84395589078030753</v>
      </c>
      <c r="L919">
        <f>1/(COUNT(SimData500!$C$9:$C$508)-1)+$L$918</f>
        <v>0.821643286573147</v>
      </c>
    </row>
    <row r="920" spans="9:12">
      <c r="I920">
        <f>SMALL(SimData500!$B$9:$B$508,412)</f>
        <v>0.82394420991650419</v>
      </c>
      <c r="J920">
        <f>1/(COUNT(SimData500!$B$9:$B$508)-1)+$J$919</f>
        <v>0.82364729458917907</v>
      </c>
      <c r="K920">
        <f>SMALL(SimData500!$C$9:$C$508,412)</f>
        <v>0.84468511806700519</v>
      </c>
      <c r="L920">
        <f>1/(COUNT(SimData500!$C$9:$C$508)-1)+$L$919</f>
        <v>0.82364729458917907</v>
      </c>
    </row>
    <row r="921" spans="9:12">
      <c r="I921">
        <f>SMALL(SimData500!$B$9:$B$508,413)</f>
        <v>0.82499592280504208</v>
      </c>
      <c r="J921">
        <f>1/(COUNT(SimData500!$B$9:$B$508)-1)+$J$920</f>
        <v>0.82565130260521113</v>
      </c>
      <c r="K921">
        <f>SMALL(SimData500!$C$9:$C$508,413)</f>
        <v>0.84585382762088557</v>
      </c>
      <c r="L921">
        <f>1/(COUNT(SimData500!$C$9:$C$508)-1)+$L$920</f>
        <v>0.82565130260521113</v>
      </c>
    </row>
    <row r="922" spans="9:12">
      <c r="I922">
        <f>SMALL(SimData500!$B$9:$B$508,414)</f>
        <v>0.8263200552087091</v>
      </c>
      <c r="J922">
        <f>1/(COUNT(SimData500!$B$9:$B$508)-1)+$J$921</f>
        <v>0.8276553106212432</v>
      </c>
      <c r="K922">
        <f>SMALL(SimData500!$C$9:$C$508,414)</f>
        <v>0.84722927328130027</v>
      </c>
      <c r="L922">
        <f>1/(COUNT(SimData500!$C$9:$C$508)-1)+$L$921</f>
        <v>0.8276553106212432</v>
      </c>
    </row>
    <row r="923" spans="9:12">
      <c r="I923">
        <f>SMALL(SimData500!$B$9:$B$508,415)</f>
        <v>0.82992566763235387</v>
      </c>
      <c r="J923">
        <f>1/(COUNT(SimData500!$B$9:$B$508)-1)+$J$922</f>
        <v>0.82965931863727527</v>
      </c>
      <c r="K923">
        <f>SMALL(SimData500!$C$9:$C$508,415)</f>
        <v>0.84897043041291909</v>
      </c>
      <c r="L923">
        <f>1/(COUNT(SimData500!$C$9:$C$508)-1)+$L$922</f>
        <v>0.82965931863727527</v>
      </c>
    </row>
    <row r="924" spans="9:12">
      <c r="I924">
        <f>SMALL(SimData500!$B$9:$B$508,416)</f>
        <v>0.8304694889202876</v>
      </c>
      <c r="J924">
        <f>1/(COUNT(SimData500!$B$9:$B$508)-1)+$J$923</f>
        <v>0.83166332665330733</v>
      </c>
      <c r="K924">
        <f>SMALL(SimData500!$C$9:$C$508,416)</f>
        <v>0.85361703494254471</v>
      </c>
      <c r="L924">
        <f>1/(COUNT(SimData500!$C$9:$C$508)-1)+$L$923</f>
        <v>0.83166332665330733</v>
      </c>
    </row>
    <row r="925" spans="9:12">
      <c r="I925">
        <f>SMALL(SimData500!$B$9:$B$508,417)</f>
        <v>0.83216870422106448</v>
      </c>
      <c r="J925">
        <f>1/(COUNT(SimData500!$B$9:$B$508)-1)+$J$924</f>
        <v>0.8336673346693394</v>
      </c>
      <c r="K925">
        <f>SMALL(SimData500!$C$9:$C$508,417)</f>
        <v>0.85452179890216939</v>
      </c>
      <c r="L925">
        <f>1/(COUNT(SimData500!$C$9:$C$508)-1)+$L$924</f>
        <v>0.8336673346693394</v>
      </c>
    </row>
    <row r="926" spans="9:12">
      <c r="I926">
        <f>SMALL(SimData500!$B$9:$B$508,418)</f>
        <v>0.83507832861623688</v>
      </c>
      <c r="J926">
        <f>1/(COUNT(SimData500!$B$9:$B$508)-1)+$J$925</f>
        <v>0.83567134268537147</v>
      </c>
      <c r="K926">
        <f>SMALL(SimData500!$C$9:$C$508,418)</f>
        <v>0.86134160174879071</v>
      </c>
      <c r="L926">
        <f>1/(COUNT(SimData500!$C$9:$C$508)-1)+$L$925</f>
        <v>0.83567134268537147</v>
      </c>
    </row>
    <row r="927" spans="9:12">
      <c r="I927">
        <f>SMALL(SimData500!$B$9:$B$508,419)</f>
        <v>0.83632056377090536</v>
      </c>
      <c r="J927">
        <f>1/(COUNT(SimData500!$B$9:$B$508)-1)+$J$926</f>
        <v>0.83767535070140353</v>
      </c>
      <c r="K927">
        <f>SMALL(SimData500!$C$9:$C$508,419)</f>
        <v>0.86468839429289801</v>
      </c>
      <c r="L927">
        <f>1/(COUNT(SimData500!$C$9:$C$508)-1)+$L$926</f>
        <v>0.83767535070140353</v>
      </c>
    </row>
    <row r="928" spans="9:12">
      <c r="I928">
        <f>SMALL(SimData500!$B$9:$B$508,420)</f>
        <v>0.83908787199973311</v>
      </c>
      <c r="J928">
        <f>1/(COUNT(SimData500!$B$9:$B$508)-1)+$J$927</f>
        <v>0.8396793587174356</v>
      </c>
      <c r="K928">
        <f>SMALL(SimData500!$C$9:$C$508,420)</f>
        <v>0.86625712451677828</v>
      </c>
      <c r="L928">
        <f>1/(COUNT(SimData500!$C$9:$C$508)-1)+$L$927</f>
        <v>0.8396793587174356</v>
      </c>
    </row>
    <row r="929" spans="9:12">
      <c r="I929">
        <f>SMALL(SimData500!$B$9:$B$508,421)</f>
        <v>0.84110157479092051</v>
      </c>
      <c r="J929">
        <f>1/(COUNT(SimData500!$B$9:$B$508)-1)+$J$928</f>
        <v>0.84168336673346766</v>
      </c>
      <c r="K929">
        <f>SMALL(SimData500!$C$9:$C$508,421)</f>
        <v>0.86742729551770026</v>
      </c>
      <c r="L929">
        <f>1/(COUNT(SimData500!$C$9:$C$508)-1)+$L$928</f>
        <v>0.84168336673346766</v>
      </c>
    </row>
    <row r="930" spans="9:12">
      <c r="I930">
        <f>SMALL(SimData500!$B$9:$B$508,422)</f>
        <v>0.84200028374744595</v>
      </c>
      <c r="J930">
        <f>1/(COUNT(SimData500!$B$9:$B$508)-1)+$J$929</f>
        <v>0.84368737474949973</v>
      </c>
      <c r="K930">
        <f>SMALL(SimData500!$C$9:$C$508,422)</f>
        <v>0.87032551483662246</v>
      </c>
      <c r="L930">
        <f>1/(COUNT(SimData500!$C$9:$C$508)-1)+$L$929</f>
        <v>0.84368737474949973</v>
      </c>
    </row>
    <row r="931" spans="9:12">
      <c r="I931">
        <f>SMALL(SimData500!$B$9:$B$508,423)</f>
        <v>0.84573491602151996</v>
      </c>
      <c r="J931">
        <f>1/(COUNT(SimData500!$B$9:$B$508)-1)+$J$930</f>
        <v>0.8456913827655318</v>
      </c>
      <c r="K931">
        <f>SMALL(SimData500!$C$9:$C$508,423)</f>
        <v>0.87065649230953568</v>
      </c>
      <c r="L931">
        <f>1/(COUNT(SimData500!$C$9:$C$508)-1)+$L$930</f>
        <v>0.8456913827655318</v>
      </c>
    </row>
    <row r="932" spans="9:12">
      <c r="I932">
        <f>SMALL(SimData500!$B$9:$B$508,424)</f>
        <v>0.84617593506541466</v>
      </c>
      <c r="J932">
        <f>1/(COUNT(SimData500!$B$9:$B$508)-1)+$J$931</f>
        <v>0.84769539078156386</v>
      </c>
      <c r="K932">
        <f>SMALL(SimData500!$C$9:$C$508,424)</f>
        <v>0.87298892724174948</v>
      </c>
      <c r="L932">
        <f>1/(COUNT(SimData500!$C$9:$C$508)-1)+$L$931</f>
        <v>0.84769539078156386</v>
      </c>
    </row>
    <row r="933" spans="9:12">
      <c r="I933">
        <f>SMALL(SimData500!$B$9:$B$508,425)</f>
        <v>0.84850159765745081</v>
      </c>
      <c r="J933">
        <f>1/(COUNT(SimData500!$B$9:$B$508)-1)+$J$932</f>
        <v>0.84969939879759593</v>
      </c>
      <c r="K933">
        <f>SMALL(SimData500!$C$9:$C$508,425)</f>
        <v>0.87459957225382823</v>
      </c>
      <c r="L933">
        <f>1/(COUNT(SimData500!$C$9:$C$508)-1)+$L$932</f>
        <v>0.84969939879759593</v>
      </c>
    </row>
    <row r="934" spans="9:12">
      <c r="I934">
        <f>SMALL(SimData500!$B$9:$B$508,426)</f>
        <v>0.85027280337090438</v>
      </c>
      <c r="J934">
        <f>1/(COUNT(SimData500!$B$9:$B$508)-1)+$J$933</f>
        <v>0.85170340681362799</v>
      </c>
      <c r="K934">
        <f>SMALL(SimData500!$C$9:$C$508,426)</f>
        <v>0.88042021661976833</v>
      </c>
      <c r="L934">
        <f>1/(COUNT(SimData500!$C$9:$C$508)-1)+$L$933</f>
        <v>0.85170340681362799</v>
      </c>
    </row>
    <row r="935" spans="9:12">
      <c r="I935">
        <f>SMALL(SimData500!$B$9:$B$508,427)</f>
        <v>0.85358859623307093</v>
      </c>
      <c r="J935">
        <f>1/(COUNT(SimData500!$B$9:$B$508)-1)+$J$934</f>
        <v>0.85370741482966006</v>
      </c>
      <c r="K935">
        <f>SMALL(SimData500!$C$9:$C$508,427)</f>
        <v>0.88098750597691833</v>
      </c>
      <c r="L935">
        <f>1/(COUNT(SimData500!$C$9:$C$508)-1)+$L$934</f>
        <v>0.85370741482966006</v>
      </c>
    </row>
    <row r="936" spans="9:12">
      <c r="I936">
        <f>SMALL(SimData500!$B$9:$B$508,428)</f>
        <v>0.85425413554866192</v>
      </c>
      <c r="J936">
        <f>1/(COUNT(SimData500!$B$9:$B$508)-1)+$J$935</f>
        <v>0.85571142284569213</v>
      </c>
      <c r="K936">
        <f>SMALL(SimData500!$C$9:$C$508,428)</f>
        <v>0.88435952672807616</v>
      </c>
      <c r="L936">
        <f>1/(COUNT(SimData500!$C$9:$C$508)-1)+$L$935</f>
        <v>0.85571142284569213</v>
      </c>
    </row>
    <row r="937" spans="9:12">
      <c r="I937">
        <f>SMALL(SimData500!$B$9:$B$508,429)</f>
        <v>0.85603546488751558</v>
      </c>
      <c r="J937">
        <f>1/(COUNT(SimData500!$B$9:$B$508)-1)+$J$936</f>
        <v>0.85771543086172419</v>
      </c>
      <c r="K937">
        <f>SMALL(SimData500!$C$9:$C$508,429)</f>
        <v>0.8868602431139152</v>
      </c>
      <c r="L937">
        <f>1/(COUNT(SimData500!$C$9:$C$508)-1)+$L$936</f>
        <v>0.85771543086172419</v>
      </c>
    </row>
    <row r="938" spans="9:12">
      <c r="I938">
        <f>SMALL(SimData500!$B$9:$B$508,430)</f>
        <v>0.85881328032836635</v>
      </c>
      <c r="J938">
        <f>1/(COUNT(SimData500!$B$9:$B$508)-1)+$J$937</f>
        <v>0.85971943887775626</v>
      </c>
      <c r="K938">
        <f>SMALL(SimData500!$C$9:$C$508,430)</f>
        <v>0.8873569154748111</v>
      </c>
      <c r="L938">
        <f>1/(COUNT(SimData500!$C$9:$C$508)-1)+$L$937</f>
        <v>0.85971943887775626</v>
      </c>
    </row>
    <row r="939" spans="9:12">
      <c r="I939">
        <f>SMALL(SimData500!$B$9:$B$508,431)</f>
        <v>0.86173359034250807</v>
      </c>
      <c r="J939">
        <f>1/(COUNT(SimData500!$B$9:$B$508)-1)+$J$938</f>
        <v>0.86172344689378833</v>
      </c>
      <c r="K939">
        <f>SMALL(SimData500!$C$9:$C$508,431)</f>
        <v>0.89002282478941197</v>
      </c>
      <c r="L939">
        <f>1/(COUNT(SimData500!$C$9:$C$508)-1)+$L$938</f>
        <v>0.86172344689378833</v>
      </c>
    </row>
    <row r="940" spans="9:12">
      <c r="I940">
        <f>SMALL(SimData500!$B$9:$B$508,432)</f>
        <v>0.86399466866720342</v>
      </c>
      <c r="J940">
        <f>1/(COUNT(SimData500!$B$9:$B$508)-1)+$J$939</f>
        <v>0.86372745490982039</v>
      </c>
      <c r="K940">
        <f>SMALL(SimData500!$C$9:$C$508,432)</f>
        <v>0.8901757739859022</v>
      </c>
      <c r="L940">
        <f>1/(COUNT(SimData500!$C$9:$C$508)-1)+$L$939</f>
        <v>0.86372745490982039</v>
      </c>
    </row>
    <row r="941" spans="9:12">
      <c r="I941">
        <f>SMALL(SimData500!$B$9:$B$508,433)</f>
        <v>0.86578082111100219</v>
      </c>
      <c r="J941">
        <f>1/(COUNT(SimData500!$B$9:$B$508)-1)+$J$940</f>
        <v>0.86573146292585246</v>
      </c>
      <c r="K941">
        <f>SMALL(SimData500!$C$9:$C$508,433)</f>
        <v>0.8919448024016674</v>
      </c>
      <c r="L941">
        <f>1/(COUNT(SimData500!$C$9:$C$508)-1)+$L$940</f>
        <v>0.86573146292585246</v>
      </c>
    </row>
    <row r="942" spans="9:12">
      <c r="I942">
        <f>SMALL(SimData500!$B$9:$B$508,434)</f>
        <v>0.86791326581079353</v>
      </c>
      <c r="J942">
        <f>1/(COUNT(SimData500!$B$9:$B$508)-1)+$J$941</f>
        <v>0.86773547094188452</v>
      </c>
      <c r="K942">
        <f>SMALL(SimData500!$C$9:$C$508,434)</f>
        <v>0.89341690140008723</v>
      </c>
      <c r="L942">
        <f>1/(COUNT(SimData500!$C$9:$C$508)-1)+$L$941</f>
        <v>0.86773547094188452</v>
      </c>
    </row>
    <row r="943" spans="9:12">
      <c r="I943">
        <f>SMALL(SimData500!$B$9:$B$508,435)</f>
        <v>0.86966636255561991</v>
      </c>
      <c r="J943">
        <f>1/(COUNT(SimData500!$B$9:$B$508)-1)+$J$942</f>
        <v>0.86973947895791659</v>
      </c>
      <c r="K943">
        <f>SMALL(SimData500!$C$9:$C$508,435)</f>
        <v>0.8935579231056181</v>
      </c>
      <c r="L943">
        <f>1/(COUNT(SimData500!$C$9:$C$508)-1)+$L$942</f>
        <v>0.86973947895791659</v>
      </c>
    </row>
    <row r="944" spans="9:12">
      <c r="I944">
        <f>SMALL(SimData500!$B$9:$B$508,436)</f>
        <v>0.87106666486455753</v>
      </c>
      <c r="J944">
        <f>1/(COUNT(SimData500!$B$9:$B$508)-1)+$J$943</f>
        <v>0.87174348697394866</v>
      </c>
      <c r="K944">
        <f>SMALL(SimData500!$C$9:$C$508,436)</f>
        <v>0.89550893949399324</v>
      </c>
      <c r="L944">
        <f>1/(COUNT(SimData500!$C$9:$C$508)-1)+$L$943</f>
        <v>0.87174348697394866</v>
      </c>
    </row>
    <row r="945" spans="9:12">
      <c r="I945">
        <f>SMALL(SimData500!$B$9:$B$508,437)</f>
        <v>0.87301456324314108</v>
      </c>
      <c r="J945">
        <f>1/(COUNT(SimData500!$B$9:$B$508)-1)+$J$944</f>
        <v>0.87374749498998072</v>
      </c>
      <c r="K945">
        <f>SMALL(SimData500!$C$9:$C$508,437)</f>
        <v>0.89601868969839416</v>
      </c>
      <c r="L945">
        <f>1/(COUNT(SimData500!$C$9:$C$508)-1)+$L$944</f>
        <v>0.87374749498998072</v>
      </c>
    </row>
    <row r="946" spans="9:12">
      <c r="I946">
        <f>SMALL(SimData500!$B$9:$B$508,438)</f>
        <v>0.87599053449649145</v>
      </c>
      <c r="J946">
        <f>1/(COUNT(SimData500!$B$9:$B$508)-1)+$J$945</f>
        <v>0.87575150300601279</v>
      </c>
      <c r="K946">
        <f>SMALL(SimData500!$C$9:$C$508,438)</f>
        <v>0.89634973423744668</v>
      </c>
      <c r="L946">
        <f>1/(COUNT(SimData500!$C$9:$C$508)-1)+$L$945</f>
        <v>0.87575150300601279</v>
      </c>
    </row>
    <row r="947" spans="9:12">
      <c r="I947">
        <f>SMALL(SimData500!$B$9:$B$508,439)</f>
        <v>0.8773930580102357</v>
      </c>
      <c r="J947">
        <f>1/(COUNT(SimData500!$B$9:$B$508)-1)+$J$946</f>
        <v>0.87775551102204485</v>
      </c>
      <c r="K947">
        <f>SMALL(SimData500!$C$9:$C$508,439)</f>
        <v>0.89666468979339697</v>
      </c>
      <c r="L947">
        <f>1/(COUNT(SimData500!$C$9:$C$508)-1)+$L$946</f>
        <v>0.87775551102204485</v>
      </c>
    </row>
    <row r="948" spans="9:12">
      <c r="I948">
        <f>SMALL(SimData500!$B$9:$B$508,440)</f>
        <v>0.87951319335529421</v>
      </c>
      <c r="J948">
        <f>1/(COUNT(SimData500!$B$9:$B$508)-1)+$J$947</f>
        <v>0.87975951903807692</v>
      </c>
      <c r="K948">
        <f>SMALL(SimData500!$C$9:$C$508,440)</f>
        <v>0.8995896287551659</v>
      </c>
      <c r="L948">
        <f>1/(COUNT(SimData500!$C$9:$C$508)-1)+$L$947</f>
        <v>0.87975951903807692</v>
      </c>
    </row>
    <row r="949" spans="9:12">
      <c r="I949">
        <f>SMALL(SimData500!$B$9:$B$508,441)</f>
        <v>0.8813984294625461</v>
      </c>
      <c r="J949">
        <f>1/(COUNT(SimData500!$B$9:$B$508)-1)+$J$948</f>
        <v>0.88176352705410899</v>
      </c>
      <c r="K949">
        <f>SMALL(SimData500!$C$9:$C$508,441)</f>
        <v>0.90058223384221492</v>
      </c>
      <c r="L949">
        <f>1/(COUNT(SimData500!$C$9:$C$508)-1)+$L$948</f>
        <v>0.88176352705410899</v>
      </c>
    </row>
    <row r="950" spans="9:12">
      <c r="I950">
        <f>SMALL(SimData500!$B$9:$B$508,442)</f>
        <v>0.88265316056195953</v>
      </c>
      <c r="J950">
        <f>1/(COUNT(SimData500!$B$9:$B$508)-1)+$J$949</f>
        <v>0.88376753507014105</v>
      </c>
      <c r="K950">
        <f>SMALL(SimData500!$C$9:$C$508,442)</f>
        <v>0.90102549753282801</v>
      </c>
      <c r="L950">
        <f>1/(COUNT(SimData500!$C$9:$C$508)-1)+$L$949</f>
        <v>0.88376753507014105</v>
      </c>
    </row>
    <row r="951" spans="9:12">
      <c r="I951">
        <f>SMALL(SimData500!$B$9:$B$508,443)</f>
        <v>0.88417502928762115</v>
      </c>
      <c r="J951">
        <f>1/(COUNT(SimData500!$B$9:$B$508)-1)+$J$950</f>
        <v>0.88577154308617312</v>
      </c>
      <c r="K951">
        <f>SMALL(SimData500!$C$9:$C$508,443)</f>
        <v>0.90131886383460369</v>
      </c>
      <c r="L951">
        <f>1/(COUNT(SimData500!$C$9:$C$508)-1)+$L$950</f>
        <v>0.88577154308617312</v>
      </c>
    </row>
    <row r="952" spans="9:12">
      <c r="I952">
        <f>SMALL(SimData500!$B$9:$B$508,444)</f>
        <v>0.8869895724423672</v>
      </c>
      <c r="J952">
        <f>1/(COUNT(SimData500!$B$9:$B$508)-1)+$J$951</f>
        <v>0.88777555110220518</v>
      </c>
      <c r="K952">
        <f>SMALL(SimData500!$C$9:$C$508,444)</f>
        <v>0.90490792819400667</v>
      </c>
      <c r="L952">
        <f>1/(COUNT(SimData500!$C$9:$C$508)-1)+$L$951</f>
        <v>0.88777555110220518</v>
      </c>
    </row>
    <row r="953" spans="9:12">
      <c r="I953">
        <f>SMALL(SimData500!$B$9:$B$508,445)</f>
        <v>0.88804422146734885</v>
      </c>
      <c r="J953">
        <f>1/(COUNT(SimData500!$B$9:$B$508)-1)+$J$952</f>
        <v>0.88977955911823725</v>
      </c>
      <c r="K953">
        <f>SMALL(SimData500!$C$9:$C$508,445)</f>
        <v>0.90754529515652393</v>
      </c>
      <c r="L953">
        <f>1/(COUNT(SimData500!$C$9:$C$508)-1)+$L$952</f>
        <v>0.88977955911823725</v>
      </c>
    </row>
    <row r="954" spans="9:12">
      <c r="I954">
        <f>SMALL(SimData500!$B$9:$B$508,446)</f>
        <v>0.89045307798228535</v>
      </c>
      <c r="J954">
        <f>1/(COUNT(SimData500!$B$9:$B$508)-1)+$J$953</f>
        <v>0.89178356713426932</v>
      </c>
      <c r="K954">
        <f>SMALL(SimData500!$C$9:$C$508,446)</f>
        <v>0.90974795393412933</v>
      </c>
      <c r="L954">
        <f>1/(COUNT(SimData500!$C$9:$C$508)-1)+$L$953</f>
        <v>0.89178356713426932</v>
      </c>
    </row>
    <row r="955" spans="9:12">
      <c r="I955">
        <f>SMALL(SimData500!$B$9:$B$508,447)</f>
        <v>0.89232781748108747</v>
      </c>
      <c r="J955">
        <f>1/(COUNT(SimData500!$B$9:$B$508)-1)+$J$954</f>
        <v>0.89378757515030138</v>
      </c>
      <c r="K955">
        <f>SMALL(SimData500!$C$9:$C$508,447)</f>
        <v>0.91268550104268797</v>
      </c>
      <c r="L955">
        <f>1/(COUNT(SimData500!$C$9:$C$508)-1)+$L$954</f>
        <v>0.89378757515030138</v>
      </c>
    </row>
    <row r="956" spans="9:12">
      <c r="I956">
        <f>SMALL(SimData500!$B$9:$B$508,448)</f>
        <v>0.89465580928946276</v>
      </c>
      <c r="J956">
        <f>1/(COUNT(SimData500!$B$9:$B$508)-1)+$J$955</f>
        <v>0.89579158316633345</v>
      </c>
      <c r="K956">
        <f>SMALL(SimData500!$C$9:$C$508,448)</f>
        <v>0.91281503053778579</v>
      </c>
      <c r="L956">
        <f>1/(COUNT(SimData500!$C$9:$C$508)-1)+$L$955</f>
        <v>0.89579158316633345</v>
      </c>
    </row>
    <row r="957" spans="9:12">
      <c r="I957">
        <f>SMALL(SimData500!$B$9:$B$508,449)</f>
        <v>0.89633012215195462</v>
      </c>
      <c r="J957">
        <f>1/(COUNT(SimData500!$B$9:$B$508)-1)+$J$956</f>
        <v>0.89779559118236552</v>
      </c>
      <c r="K957">
        <f>SMALL(SimData500!$C$9:$C$508,449)</f>
        <v>0.91329585384391976</v>
      </c>
      <c r="L957">
        <f>1/(COUNT(SimData500!$C$9:$C$508)-1)+$L$956</f>
        <v>0.89779559118236552</v>
      </c>
    </row>
    <row r="958" spans="9:12">
      <c r="I958">
        <f>SMALL(SimData500!$B$9:$B$508,450)</f>
        <v>0.89936063327485716</v>
      </c>
      <c r="J958">
        <f>1/(COUNT(SimData500!$B$9:$B$508)-1)+$J$957</f>
        <v>0.89979959919839758</v>
      </c>
      <c r="K958">
        <f>SMALL(SimData500!$C$9:$C$508,450)</f>
        <v>0.91544163538583234</v>
      </c>
      <c r="L958">
        <f>1/(COUNT(SimData500!$C$9:$C$508)-1)+$L$957</f>
        <v>0.89979959919839758</v>
      </c>
    </row>
    <row r="959" spans="9:12">
      <c r="I959">
        <f>SMALL(SimData500!$B$9:$B$508,451)</f>
        <v>0.90030623707089252</v>
      </c>
      <c r="J959">
        <f>1/(COUNT(SimData500!$B$9:$B$508)-1)+$J$958</f>
        <v>0.90180360721442965</v>
      </c>
      <c r="K959">
        <f>SMALL(SimData500!$C$9:$C$508,451)</f>
        <v>0.91561999336227018</v>
      </c>
      <c r="L959">
        <f>1/(COUNT(SimData500!$C$9:$C$508)-1)+$L$958</f>
        <v>0.90180360721442965</v>
      </c>
    </row>
    <row r="960" spans="9:12">
      <c r="I960">
        <f>SMALL(SimData500!$B$9:$B$508,452)</f>
        <v>0.90271421821478626</v>
      </c>
      <c r="J960">
        <f>1/(COUNT(SimData500!$B$9:$B$508)-1)+$J$959</f>
        <v>0.90380761523046171</v>
      </c>
      <c r="K960">
        <f>SMALL(SimData500!$C$9:$C$508,452)</f>
        <v>0.91670670996791159</v>
      </c>
      <c r="L960">
        <f>1/(COUNT(SimData500!$C$9:$C$508)-1)+$L$959</f>
        <v>0.90380761523046171</v>
      </c>
    </row>
    <row r="961" spans="9:12">
      <c r="I961">
        <f>SMALL(SimData500!$B$9:$B$508,453)</f>
        <v>0.90543602584103033</v>
      </c>
      <c r="J961">
        <f>1/(COUNT(SimData500!$B$9:$B$508)-1)+$J$960</f>
        <v>0.90581162324649378</v>
      </c>
      <c r="K961">
        <f>SMALL(SimData500!$C$9:$C$508,453)</f>
        <v>0.9200622643902534</v>
      </c>
      <c r="L961">
        <f>1/(COUNT(SimData500!$C$9:$C$508)-1)+$L$960</f>
        <v>0.90581162324649378</v>
      </c>
    </row>
    <row r="962" spans="9:12">
      <c r="I962">
        <f>SMALL(SimData500!$B$9:$B$508,454)</f>
        <v>0.90769654762458452</v>
      </c>
      <c r="J962">
        <f>1/(COUNT(SimData500!$B$9:$B$508)-1)+$J$961</f>
        <v>0.90781563126252585</v>
      </c>
      <c r="K962">
        <f>SMALL(SimData500!$C$9:$C$508,454)</f>
        <v>0.92087160300525284</v>
      </c>
      <c r="L962">
        <f>1/(COUNT(SimData500!$C$9:$C$508)-1)+$L$961</f>
        <v>0.90781563126252585</v>
      </c>
    </row>
    <row r="963" spans="9:12">
      <c r="I963">
        <f>SMALL(SimData500!$B$9:$B$508,455)</f>
        <v>0.90873851069871758</v>
      </c>
      <c r="J963">
        <f>1/(COUNT(SimData500!$B$9:$B$508)-1)+$J$962</f>
        <v>0.90981963927855791</v>
      </c>
      <c r="K963">
        <f>SMALL(SimData500!$C$9:$C$508,455)</f>
        <v>0.9209993718422993</v>
      </c>
      <c r="L963">
        <f>1/(COUNT(SimData500!$C$9:$C$508)-1)+$L$962</f>
        <v>0.90981963927855791</v>
      </c>
    </row>
    <row r="964" spans="9:12">
      <c r="I964">
        <f>SMALL(SimData500!$B$9:$B$508,456)</f>
        <v>0.91131058854919633</v>
      </c>
      <c r="J964">
        <f>1/(COUNT(SimData500!$B$9:$B$508)-1)+$J$963</f>
        <v>0.91182364729458998</v>
      </c>
      <c r="K964">
        <f>SMALL(SimData500!$C$9:$C$508,456)</f>
        <v>0.92211402009070298</v>
      </c>
      <c r="L964">
        <f>1/(COUNT(SimData500!$C$9:$C$508)-1)+$L$963</f>
        <v>0.91182364729458998</v>
      </c>
    </row>
    <row r="965" spans="9:12">
      <c r="I965">
        <f>SMALL(SimData500!$B$9:$B$508,457)</f>
        <v>0.91362527331002652</v>
      </c>
      <c r="J965">
        <f>1/(COUNT(SimData500!$B$9:$B$508)-1)+$J$964</f>
        <v>0.91382765531062204</v>
      </c>
      <c r="K965">
        <f>SMALL(SimData500!$C$9:$C$508,457)</f>
        <v>0.92263894972256821</v>
      </c>
      <c r="L965">
        <f>1/(COUNT(SimData500!$C$9:$C$508)-1)+$L$964</f>
        <v>0.91382765531062204</v>
      </c>
    </row>
    <row r="966" spans="9:12">
      <c r="I966">
        <f>SMALL(SimData500!$B$9:$B$508,458)</f>
        <v>0.9152837725121723</v>
      </c>
      <c r="J966">
        <f>1/(COUNT(SimData500!$B$9:$B$508)-1)+$J$965</f>
        <v>0.91583166332665411</v>
      </c>
      <c r="K966">
        <f>SMALL(SimData500!$C$9:$C$508,458)</f>
        <v>0.92359510737060191</v>
      </c>
      <c r="L966">
        <f>1/(COUNT(SimData500!$C$9:$C$508)-1)+$L$965</f>
        <v>0.91583166332665411</v>
      </c>
    </row>
    <row r="967" spans="9:12">
      <c r="I967">
        <f>SMALL(SimData500!$B$9:$B$508,459)</f>
        <v>0.91640040480308249</v>
      </c>
      <c r="J967">
        <f>1/(COUNT(SimData500!$B$9:$B$508)-1)+$J$966</f>
        <v>0.91783567134268618</v>
      </c>
      <c r="K967">
        <f>SMALL(SimData500!$C$9:$C$508,459)</f>
        <v>0.92409517010310083</v>
      </c>
      <c r="L967">
        <f>1/(COUNT(SimData500!$C$9:$C$508)-1)+$L$966</f>
        <v>0.91783567134268618</v>
      </c>
    </row>
    <row r="968" spans="9:12">
      <c r="I968">
        <f>SMALL(SimData500!$B$9:$B$508,460)</f>
        <v>0.91956688811014564</v>
      </c>
      <c r="J968">
        <f>1/(COUNT(SimData500!$B$9:$B$508)-1)+$J$967</f>
        <v>0.91983967935871824</v>
      </c>
      <c r="K968">
        <f>SMALL(SimData500!$C$9:$C$508,460)</f>
        <v>0.92444460185015487</v>
      </c>
      <c r="L968">
        <f>1/(COUNT(SimData500!$C$9:$C$508)-1)+$L$967</f>
        <v>0.91983967935871824</v>
      </c>
    </row>
    <row r="969" spans="9:12">
      <c r="I969">
        <f>SMALL(SimData500!$B$9:$B$508,461)</f>
        <v>0.92128212929407183</v>
      </c>
      <c r="J969">
        <f>1/(COUNT(SimData500!$B$9:$B$508)-1)+$J$968</f>
        <v>0.92184368737475031</v>
      </c>
      <c r="K969">
        <f>SMALL(SimData500!$C$9:$C$508,461)</f>
        <v>0.92536089148597966</v>
      </c>
      <c r="L969">
        <f>1/(COUNT(SimData500!$C$9:$C$508)-1)+$L$968</f>
        <v>0.92184368737475031</v>
      </c>
    </row>
    <row r="970" spans="9:12">
      <c r="I970">
        <f>SMALL(SimData500!$B$9:$B$508,462)</f>
        <v>0.9238618127926862</v>
      </c>
      <c r="J970">
        <f>1/(COUNT(SimData500!$B$9:$B$508)-1)+$J$969</f>
        <v>0.92384769539078238</v>
      </c>
      <c r="K970">
        <f>SMALL(SimData500!$C$9:$C$508,462)</f>
        <v>0.92695994077257637</v>
      </c>
      <c r="L970">
        <f>1/(COUNT(SimData500!$C$9:$C$508)-1)+$L$969</f>
        <v>0.92384769539078238</v>
      </c>
    </row>
    <row r="971" spans="9:12">
      <c r="I971">
        <f>SMALL(SimData500!$B$9:$B$508,463)</f>
        <v>0.92499243740062054</v>
      </c>
      <c r="J971">
        <f>1/(COUNT(SimData500!$B$9:$B$508)-1)+$J$970</f>
        <v>0.92585170340681444</v>
      </c>
      <c r="K971">
        <f>SMALL(SimData500!$C$9:$C$508,463)</f>
        <v>0.93043230940475041</v>
      </c>
      <c r="L971">
        <f>1/(COUNT(SimData500!$C$9:$C$508)-1)+$L$970</f>
        <v>0.92585170340681444</v>
      </c>
    </row>
    <row r="972" spans="9:12">
      <c r="I972">
        <f>SMALL(SimData500!$B$9:$B$508,464)</f>
        <v>0.92795621877767986</v>
      </c>
      <c r="J972">
        <f>1/(COUNT(SimData500!$B$9:$B$508)-1)+$J$971</f>
        <v>0.92785571142284651</v>
      </c>
      <c r="K972">
        <f>SMALL(SimData500!$C$9:$C$508,464)</f>
        <v>0.93085653382513556</v>
      </c>
      <c r="L972">
        <f>1/(COUNT(SimData500!$C$9:$C$508)-1)+$L$971</f>
        <v>0.92785571142284651</v>
      </c>
    </row>
    <row r="973" spans="9:12">
      <c r="I973">
        <f>SMALL(SimData500!$B$9:$B$508,465)</f>
        <v>0.92975297630386267</v>
      </c>
      <c r="J973">
        <f>1/(COUNT(SimData500!$B$9:$B$508)-1)+$J$972</f>
        <v>0.92985971943887857</v>
      </c>
      <c r="K973">
        <f>SMALL(SimData500!$C$9:$C$508,465)</f>
        <v>0.93556926871406176</v>
      </c>
      <c r="L973">
        <f>1/(COUNT(SimData500!$C$9:$C$508)-1)+$L$972</f>
        <v>0.92985971943887857</v>
      </c>
    </row>
    <row r="974" spans="9:12">
      <c r="I974">
        <f>SMALL(SimData500!$B$9:$B$508,466)</f>
        <v>0.93051256607997057</v>
      </c>
      <c r="J974">
        <f>1/(COUNT(SimData500!$B$9:$B$508)-1)+$J$973</f>
        <v>0.93186372745491064</v>
      </c>
      <c r="K974">
        <f>SMALL(SimData500!$C$9:$C$508,466)</f>
        <v>0.93763316749391379</v>
      </c>
      <c r="L974">
        <f>1/(COUNT(SimData500!$C$9:$C$508)-1)+$L$973</f>
        <v>0.93186372745491064</v>
      </c>
    </row>
    <row r="975" spans="9:12">
      <c r="I975">
        <f>SMALL(SimData500!$B$9:$B$508,467)</f>
        <v>0.93289768087884817</v>
      </c>
      <c r="J975">
        <f>1/(COUNT(SimData500!$B$9:$B$508)-1)+$J$974</f>
        <v>0.93386773547094271</v>
      </c>
      <c r="K975">
        <f>SMALL(SimData500!$C$9:$C$508,467)</f>
        <v>0.9385534857347011</v>
      </c>
      <c r="L975">
        <f>1/(COUNT(SimData500!$C$9:$C$508)-1)+$L$974</f>
        <v>0.93386773547094271</v>
      </c>
    </row>
    <row r="976" spans="9:12">
      <c r="I976">
        <f>SMALL(SimData500!$B$9:$B$508,468)</f>
        <v>0.93472805340605047</v>
      </c>
      <c r="J976">
        <f>1/(COUNT(SimData500!$B$9:$B$508)-1)+$J$975</f>
        <v>0.93587174348697477</v>
      </c>
      <c r="K976">
        <f>SMALL(SimData500!$C$9:$C$508,468)</f>
        <v>0.9414254607327166</v>
      </c>
      <c r="L976">
        <f>1/(COUNT(SimData500!$C$9:$C$508)-1)+$L$975</f>
        <v>0.93587174348697477</v>
      </c>
    </row>
    <row r="977" spans="9:12">
      <c r="I977">
        <f>SMALL(SimData500!$B$9:$B$508,469)</f>
        <v>0.93791487942913432</v>
      </c>
      <c r="J977">
        <f>1/(COUNT(SimData500!$B$9:$B$508)-1)+$J$976</f>
        <v>0.93787575150300684</v>
      </c>
      <c r="K977">
        <f>SMALL(SimData500!$C$9:$C$508,469)</f>
        <v>0.94195853160908882</v>
      </c>
      <c r="L977">
        <f>1/(COUNT(SimData500!$C$9:$C$508)-1)+$L$976</f>
        <v>0.93787575150300684</v>
      </c>
    </row>
    <row r="978" spans="9:12">
      <c r="I978">
        <f>SMALL(SimData500!$B$9:$B$508,470)</f>
        <v>0.9398404208905623</v>
      </c>
      <c r="J978">
        <f>1/(COUNT(SimData500!$B$9:$B$508)-1)+$J$977</f>
        <v>0.9398797595190389</v>
      </c>
      <c r="K978">
        <f>SMALL(SimData500!$C$9:$C$508,470)</f>
        <v>0.94316407018595783</v>
      </c>
      <c r="L978">
        <f>1/(COUNT(SimData500!$C$9:$C$508)-1)+$L$977</f>
        <v>0.9398797595190389</v>
      </c>
    </row>
    <row r="979" spans="9:12">
      <c r="I979">
        <f>SMALL(SimData500!$B$9:$B$508,471)</f>
        <v>0.94011978586020872</v>
      </c>
      <c r="J979">
        <f>1/(COUNT(SimData500!$B$9:$B$508)-1)+$J$978</f>
        <v>0.94188376753507097</v>
      </c>
      <c r="K979">
        <f>SMALL(SimData500!$C$9:$C$508,471)</f>
        <v>0.94551773700641206</v>
      </c>
      <c r="L979">
        <f>1/(COUNT(SimData500!$C$9:$C$508)-1)+$L$978</f>
        <v>0.94188376753507097</v>
      </c>
    </row>
    <row r="980" spans="9:12">
      <c r="I980">
        <f>SMALL(SimData500!$B$9:$B$508,472)</f>
        <v>0.94208974494600894</v>
      </c>
      <c r="J980">
        <f>1/(COUNT(SimData500!$B$9:$B$508)-1)+$J$979</f>
        <v>0.94388777555110304</v>
      </c>
      <c r="K980">
        <f>SMALL(SimData500!$C$9:$C$508,472)</f>
        <v>0.94613883784677455</v>
      </c>
      <c r="L980">
        <f>1/(COUNT(SimData500!$C$9:$C$508)-1)+$L$979</f>
        <v>0.94388777555110304</v>
      </c>
    </row>
    <row r="981" spans="9:12">
      <c r="I981">
        <f>SMALL(SimData500!$B$9:$B$508,473)</f>
        <v>0.94533542023118011</v>
      </c>
      <c r="J981">
        <f>1/(COUNT(SimData500!$B$9:$B$508)-1)+$J$980</f>
        <v>0.9458917835671351</v>
      </c>
      <c r="K981">
        <f>SMALL(SimData500!$C$9:$C$508,473)</f>
        <v>0.94897137031057355</v>
      </c>
      <c r="L981">
        <f>1/(COUNT(SimData500!$C$9:$C$508)-1)+$L$980</f>
        <v>0.9458917835671351</v>
      </c>
    </row>
    <row r="982" spans="9:12">
      <c r="I982">
        <f>SMALL(SimData500!$B$9:$B$508,474)</f>
        <v>0.94615084527296733</v>
      </c>
      <c r="J982">
        <f>1/(COUNT(SimData500!$B$9:$B$508)-1)+$J$981</f>
        <v>0.94789579158316717</v>
      </c>
      <c r="K982">
        <f>SMALL(SimData500!$C$9:$C$508,474)</f>
        <v>0.9498829942640441</v>
      </c>
      <c r="L982">
        <f>1/(COUNT(SimData500!$C$9:$C$508)-1)+$L$981</f>
        <v>0.94789579158316717</v>
      </c>
    </row>
    <row r="983" spans="9:12">
      <c r="I983">
        <f>SMALL(SimData500!$B$9:$B$508,475)</f>
        <v>0.94829972279171926</v>
      </c>
      <c r="J983">
        <f>1/(COUNT(SimData500!$B$9:$B$508)-1)+$J$982</f>
        <v>0.94989979959919923</v>
      </c>
      <c r="K983">
        <f>SMALL(SimData500!$C$9:$C$508,475)</f>
        <v>0.95071758965787012</v>
      </c>
      <c r="L983">
        <f>1/(COUNT(SimData500!$C$9:$C$508)-1)+$L$982</f>
        <v>0.94989979959919923</v>
      </c>
    </row>
    <row r="984" spans="9:12">
      <c r="I984">
        <f>SMALL(SimData500!$B$9:$B$508,476)</f>
        <v>0.95123203227651121</v>
      </c>
      <c r="J984">
        <f>1/(COUNT(SimData500!$B$9:$B$508)-1)+$J$983</f>
        <v>0.9519038076152313</v>
      </c>
      <c r="K984">
        <f>SMALL(SimData500!$C$9:$C$508,476)</f>
        <v>0.95252432465986203</v>
      </c>
      <c r="L984">
        <f>1/(COUNT(SimData500!$C$9:$C$508)-1)+$L$983</f>
        <v>0.9519038076152313</v>
      </c>
    </row>
    <row r="985" spans="9:12">
      <c r="I985">
        <f>SMALL(SimData500!$B$9:$B$508,477)</f>
        <v>0.95365437849928958</v>
      </c>
      <c r="J985">
        <f>1/(COUNT(SimData500!$B$9:$B$508)-1)+$J$984</f>
        <v>0.95390781563126337</v>
      </c>
      <c r="K985">
        <f>SMALL(SimData500!$C$9:$C$508,477)</f>
        <v>0.95385306291338168</v>
      </c>
      <c r="L985">
        <f>1/(COUNT(SimData500!$C$9:$C$508)-1)+$L$984</f>
        <v>0.95390781563126337</v>
      </c>
    </row>
    <row r="986" spans="9:12">
      <c r="I986">
        <f>SMALL(SimData500!$B$9:$B$508,478)</f>
        <v>0.95556767467911541</v>
      </c>
      <c r="J986">
        <f>1/(COUNT(SimData500!$B$9:$B$508)-1)+$J$985</f>
        <v>0.95591182364729543</v>
      </c>
      <c r="K986">
        <f>SMALL(SimData500!$C$9:$C$508,478)</f>
        <v>0.95554431703658338</v>
      </c>
      <c r="L986">
        <f>1/(COUNT(SimData500!$C$9:$C$508)-1)+$L$985</f>
        <v>0.95591182364729543</v>
      </c>
    </row>
    <row r="987" spans="9:12">
      <c r="I987">
        <f>SMALL(SimData500!$B$9:$B$508,479)</f>
        <v>0.95650450170424406</v>
      </c>
      <c r="J987">
        <f>1/(COUNT(SimData500!$B$9:$B$508)-1)+$J$986</f>
        <v>0.9579158316633275</v>
      </c>
      <c r="K987">
        <f>SMALL(SimData500!$C$9:$C$508,479)</f>
        <v>0.95592223324911174</v>
      </c>
      <c r="L987">
        <f>1/(COUNT(SimData500!$C$9:$C$508)-1)+$L$986</f>
        <v>0.9579158316633275</v>
      </c>
    </row>
    <row r="988" spans="9:12">
      <c r="I988">
        <f>SMALL(SimData500!$B$9:$B$508,480)</f>
        <v>0.95893937706689802</v>
      </c>
      <c r="J988">
        <f>1/(COUNT(SimData500!$B$9:$B$508)-1)+$J$987</f>
        <v>0.95991983967935957</v>
      </c>
      <c r="K988">
        <f>SMALL(SimData500!$C$9:$C$508,480)</f>
        <v>0.95687112533869367</v>
      </c>
      <c r="L988">
        <f>1/(COUNT(SimData500!$C$9:$C$508)-1)+$L$987</f>
        <v>0.95991983967935957</v>
      </c>
    </row>
    <row r="989" spans="9:12">
      <c r="I989">
        <f>SMALL(SimData500!$B$9:$B$508,481)</f>
        <v>0.96077714228601596</v>
      </c>
      <c r="J989">
        <f>1/(COUNT(SimData500!$B$9:$B$508)-1)+$J$988</f>
        <v>0.96192384769539163</v>
      </c>
      <c r="K989">
        <f>SMALL(SimData500!$C$9:$C$508,481)</f>
        <v>0.96147437518266088</v>
      </c>
      <c r="L989">
        <f>1/(COUNT(SimData500!$C$9:$C$508)-1)+$L$988</f>
        <v>0.96192384769539163</v>
      </c>
    </row>
    <row r="990" spans="9:12">
      <c r="I990">
        <f>SMALL(SimData500!$B$9:$B$508,482)</f>
        <v>0.96267495671954817</v>
      </c>
      <c r="J990">
        <f>1/(COUNT(SimData500!$B$9:$B$508)-1)+$J$989</f>
        <v>0.9639278557114237</v>
      </c>
      <c r="K990">
        <f>SMALL(SimData500!$C$9:$C$508,482)</f>
        <v>0.96180042923151632</v>
      </c>
      <c r="L990">
        <f>1/(COUNT(SimData500!$C$9:$C$508)-1)+$L$989</f>
        <v>0.9639278557114237</v>
      </c>
    </row>
    <row r="991" spans="9:12">
      <c r="I991">
        <f>SMALL(SimData500!$B$9:$B$508,483)</f>
        <v>0.96483647485841917</v>
      </c>
      <c r="J991">
        <f>1/(COUNT(SimData500!$B$9:$B$508)-1)+$J$990</f>
        <v>0.96593186372745576</v>
      </c>
      <c r="K991">
        <f>SMALL(SimData500!$C$9:$C$508,483)</f>
        <v>0.96250913779476832</v>
      </c>
      <c r="L991">
        <f>1/(COUNT(SimData500!$C$9:$C$508)-1)+$L$990</f>
        <v>0.96593186372745576</v>
      </c>
    </row>
    <row r="992" spans="9:12">
      <c r="I992">
        <f>SMALL(SimData500!$B$9:$B$508,484)</f>
        <v>0.96618388402140332</v>
      </c>
      <c r="J992">
        <f>1/(COUNT(SimData500!$B$9:$B$508)-1)+$J$991</f>
        <v>0.96793587174348783</v>
      </c>
      <c r="K992">
        <f>SMALL(SimData500!$C$9:$C$508,484)</f>
        <v>0.96666496239231492</v>
      </c>
      <c r="L992">
        <f>1/(COUNT(SimData500!$C$9:$C$508)-1)+$L$991</f>
        <v>0.96793587174348783</v>
      </c>
    </row>
    <row r="993" spans="9:12">
      <c r="I993">
        <f>SMALL(SimData500!$B$9:$B$508,485)</f>
        <v>0.9683612515680402</v>
      </c>
      <c r="J993">
        <f>1/(COUNT(SimData500!$B$9:$B$508)-1)+$J$992</f>
        <v>0.9699398797595199</v>
      </c>
      <c r="K993">
        <f>SMALL(SimData500!$C$9:$C$508,485)</f>
        <v>0.96668633332592435</v>
      </c>
      <c r="L993">
        <f>1/(COUNT(SimData500!$C$9:$C$508)-1)+$L$992</f>
        <v>0.9699398797595199</v>
      </c>
    </row>
    <row r="994" spans="9:12">
      <c r="I994">
        <f>SMALL(SimData500!$B$9:$B$508,486)</f>
        <v>0.97167939101617762</v>
      </c>
      <c r="J994">
        <f>1/(COUNT(SimData500!$B$9:$B$508)-1)+$J$993</f>
        <v>0.97194388777555196</v>
      </c>
      <c r="K994">
        <f>SMALL(SimData500!$C$9:$C$508,486)</f>
        <v>0.96695115484635608</v>
      </c>
      <c r="L994">
        <f>1/(COUNT(SimData500!$C$9:$C$508)-1)+$L$993</f>
        <v>0.97194388777555196</v>
      </c>
    </row>
    <row r="995" spans="9:12">
      <c r="I995">
        <f>SMALL(SimData500!$B$9:$B$508,487)</f>
        <v>0.97319938044464194</v>
      </c>
      <c r="J995">
        <f>1/(COUNT(SimData500!$B$9:$B$508)-1)+$J$994</f>
        <v>0.97394789579158403</v>
      </c>
      <c r="K995">
        <f>SMALL(SimData500!$C$9:$C$508,487)</f>
        <v>0.96824661999471573</v>
      </c>
      <c r="L995">
        <f>1/(COUNT(SimData500!$C$9:$C$508)-1)+$L$994</f>
        <v>0.97394789579158403</v>
      </c>
    </row>
    <row r="996" spans="9:12">
      <c r="I996">
        <f>SMALL(SimData500!$B$9:$B$508,488)</f>
        <v>0.97521237143576434</v>
      </c>
      <c r="J996">
        <f>1/(COUNT(SimData500!$B$9:$B$508)-1)+$J$995</f>
        <v>0.97595190380761609</v>
      </c>
      <c r="K996">
        <f>SMALL(SimData500!$C$9:$C$508,488)</f>
        <v>0.96843540146073792</v>
      </c>
      <c r="L996">
        <f>1/(COUNT(SimData500!$C$9:$C$508)-1)+$L$995</f>
        <v>0.97595190380761609</v>
      </c>
    </row>
    <row r="997" spans="9:12">
      <c r="I997">
        <f>SMALL(SimData500!$B$9:$B$508,489)</f>
        <v>0.97759074761150189</v>
      </c>
      <c r="J997">
        <f>1/(COUNT(SimData500!$B$9:$B$508)-1)+$J$996</f>
        <v>0.97795591182364816</v>
      </c>
      <c r="K997">
        <f>SMALL(SimData500!$C$9:$C$508,489)</f>
        <v>0.96845017567011382</v>
      </c>
      <c r="L997">
        <f>1/(COUNT(SimData500!$C$9:$C$508)-1)+$L$996</f>
        <v>0.97795591182364816</v>
      </c>
    </row>
    <row r="998" spans="9:12">
      <c r="I998">
        <f>SMALL(SimData500!$B$9:$B$508,490)</f>
        <v>0.97917544802072809</v>
      </c>
      <c r="J998">
        <f>1/(COUNT(SimData500!$B$9:$B$508)-1)+$J$997</f>
        <v>0.97995991983968023</v>
      </c>
      <c r="K998">
        <f>SMALL(SimData500!$C$9:$C$508,490)</f>
        <v>0.9703768736890197</v>
      </c>
      <c r="L998">
        <f>1/(COUNT(SimData500!$C$9:$C$508)-1)+$L$997</f>
        <v>0.97995991983968023</v>
      </c>
    </row>
    <row r="999" spans="9:12">
      <c r="I999">
        <f>SMALL(SimData500!$B$9:$B$508,491)</f>
        <v>0.98183625752288761</v>
      </c>
      <c r="J999">
        <f>1/(COUNT(SimData500!$B$9:$B$508)-1)+$J$998</f>
        <v>0.98196392785571229</v>
      </c>
      <c r="K999">
        <f>SMALL(SimData500!$C$9:$C$508,491)</f>
        <v>0.97481762907500524</v>
      </c>
      <c r="L999">
        <f>1/(COUNT(SimData500!$C$9:$C$508)-1)+$L$998</f>
        <v>0.98196392785571229</v>
      </c>
    </row>
    <row r="1000" spans="9:12">
      <c r="I1000">
        <f>SMALL(SimData500!$B$9:$B$508,492)</f>
        <v>0.98264614846293019</v>
      </c>
      <c r="J1000">
        <f>1/(COUNT(SimData500!$B$9:$B$508)-1)+$J$999</f>
        <v>0.98396793587174436</v>
      </c>
      <c r="K1000">
        <f>SMALL(SimData500!$C$9:$C$508,492)</f>
        <v>0.97670548315272754</v>
      </c>
      <c r="L1000">
        <f>1/(COUNT(SimData500!$C$9:$C$508)-1)+$L$999</f>
        <v>0.98396793587174436</v>
      </c>
    </row>
    <row r="1001" spans="9:12">
      <c r="I1001">
        <f>SMALL(SimData500!$B$9:$B$508,493)</f>
        <v>0.98508577072878512</v>
      </c>
      <c r="J1001">
        <f>1/(COUNT(SimData500!$B$9:$B$508)-1)+$J$1000</f>
        <v>0.98597194388777643</v>
      </c>
      <c r="K1001">
        <f>SMALL(SimData500!$C$9:$C$508,493)</f>
        <v>0.98199003516765515</v>
      </c>
      <c r="L1001">
        <f>1/(COUNT(SimData500!$C$9:$C$508)-1)+$L$1000</f>
        <v>0.98597194388777643</v>
      </c>
    </row>
    <row r="1002" spans="9:12">
      <c r="I1002">
        <f>SMALL(SimData500!$B$9:$B$508,494)</f>
        <v>0.98773356687411051</v>
      </c>
      <c r="J1002">
        <f>1/(COUNT(SimData500!$B$9:$B$508)-1)+$J$1001</f>
        <v>0.98797595190380849</v>
      </c>
      <c r="K1002">
        <f>SMALL(SimData500!$C$9:$C$508,494)</f>
        <v>0.98709850867908244</v>
      </c>
      <c r="L1002">
        <f>1/(COUNT(SimData500!$C$9:$C$508)-1)+$L$1001</f>
        <v>0.98797595190380849</v>
      </c>
    </row>
    <row r="1003" spans="9:12">
      <c r="I1003">
        <f>SMALL(SimData500!$B$9:$B$508,495)</f>
        <v>0.98967198447037297</v>
      </c>
      <c r="J1003">
        <f>1/(COUNT(SimData500!$B$9:$B$508)-1)+$J$1002</f>
        <v>0.98997995991984056</v>
      </c>
      <c r="K1003">
        <f>SMALL(SimData500!$C$9:$C$508,495)</f>
        <v>0.98850967429189041</v>
      </c>
      <c r="L1003">
        <f>1/(COUNT(SimData500!$C$9:$C$508)-1)+$L$1002</f>
        <v>0.98997995991984056</v>
      </c>
    </row>
    <row r="1004" spans="9:12">
      <c r="I1004">
        <f>SMALL(SimData500!$B$9:$B$508,496)</f>
        <v>0.99093620644438452</v>
      </c>
      <c r="J1004">
        <f>1/(COUNT(SimData500!$B$9:$B$508)-1)+$J$1003</f>
        <v>0.99198396793587262</v>
      </c>
      <c r="K1004">
        <f>SMALL(SimData500!$C$9:$C$508,496)</f>
        <v>0.99360788871763361</v>
      </c>
      <c r="L1004">
        <f>1/(COUNT(SimData500!$C$9:$C$508)-1)+$L$1003</f>
        <v>0.99198396793587262</v>
      </c>
    </row>
    <row r="1005" spans="9:12">
      <c r="I1005">
        <f>SMALL(SimData500!$B$9:$B$508,497)</f>
        <v>0.99296373040530916</v>
      </c>
      <c r="J1005">
        <f>1/(COUNT(SimData500!$B$9:$B$508)-1)+$J$1004</f>
        <v>0.99398797595190469</v>
      </c>
      <c r="K1005">
        <f>SMALL(SimData500!$C$9:$C$508,497)</f>
        <v>0.99538104976727482</v>
      </c>
      <c r="L1005">
        <f>1/(COUNT(SimData500!$C$9:$C$508)-1)+$L$1004</f>
        <v>0.99398797595190469</v>
      </c>
    </row>
    <row r="1006" spans="9:12">
      <c r="I1006">
        <f>SMALL(SimData500!$B$9:$B$508,498)</f>
        <v>0.99528668366821638</v>
      </c>
      <c r="J1006">
        <f>1/(COUNT(SimData500!$B$9:$B$508)-1)+$J$1005</f>
        <v>0.99599198396793676</v>
      </c>
      <c r="K1006">
        <f>SMALL(SimData500!$C$9:$C$508,498)</f>
        <v>0.99694466763685341</v>
      </c>
      <c r="L1006">
        <f>1/(COUNT(SimData500!$C$9:$C$508)-1)+$L$1005</f>
        <v>0.99599198396793676</v>
      </c>
    </row>
    <row r="1007" spans="9:12">
      <c r="I1007">
        <f>SMALL(SimData500!$B$9:$B$508,499)</f>
        <v>0.99702269526315446</v>
      </c>
      <c r="J1007">
        <f>1/(COUNT(SimData500!$B$9:$B$508)-1)+$J$1006</f>
        <v>0.99799599198396882</v>
      </c>
      <c r="K1007">
        <f>SMALL(SimData500!$C$9:$C$508,499)</f>
        <v>0.99966575342386932</v>
      </c>
      <c r="L1007">
        <f>1/(COUNT(SimData500!$C$9:$C$508)-1)+$L$1006</f>
        <v>0.99799599198396882</v>
      </c>
    </row>
    <row r="1008" spans="9:12">
      <c r="I1008">
        <f>SMALL(SimData500!$B$9:$B$508,500)</f>
        <v>0.99916531637058725</v>
      </c>
      <c r="J1008">
        <f>1/(COUNT(SimData500!$B$9:$B$508)-1)+$J$1007</f>
        <v>1.0000000000000009</v>
      </c>
      <c r="K1008">
        <f>SMALL(SimData500!$C$9:$C$508,500)</f>
        <v>0.99982033155993122</v>
      </c>
      <c r="L1008">
        <f>1/(COUNT(SimData500!$C$9:$C$508)-1)+$L$1007</f>
        <v>1.0000000000000009</v>
      </c>
    </row>
  </sheetData>
  <sheetCalcPr fullCalcOnLoad="1"/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009"/>
  <sheetViews>
    <sheetView workbookViewId="0"/>
  </sheetViews>
  <sheetFormatPr defaultRowHeight="12.75"/>
  <sheetData>
    <row r="1" spans="1:3">
      <c r="A1" t="s">
        <v>30</v>
      </c>
    </row>
    <row r="2" spans="1:3">
      <c r="A2" t="s">
        <v>0</v>
      </c>
      <c r="B2" t="str">
        <f ca="1">ADDRESS(ROW(Sheet1!$D$10),COLUMN(Sheet1!$D$10),4,,_xll.WSNAME(Sheet1!$D$10))</f>
        <v>Sheet1!D10</v>
      </c>
      <c r="C2" t="str">
        <f ca="1">ADDRESS(ROW(Sheet1!$B$10),COLUMN(Sheet1!$B$10),4,,_xll.WSNAME(Sheet1!$B$10))</f>
        <v>Sheet1!B10</v>
      </c>
    </row>
    <row r="3" spans="1:3">
      <c r="A3" t="s">
        <v>1</v>
      </c>
      <c r="B3">
        <f>AVERAGE(B9:B1008)</f>
        <v>0.5000116409907247</v>
      </c>
      <c r="C3">
        <f>AVERAGE(C9:C1008)</f>
        <v>0.50217906357968278</v>
      </c>
    </row>
    <row r="4" spans="1:3">
      <c r="A4" t="s">
        <v>2</v>
      </c>
      <c r="B4">
        <f>STDEV(B9:B1008)</f>
        <v>0.28882608460181958</v>
      </c>
      <c r="C4">
        <f>STDEV(C9:C1008)</f>
        <v>0.29403531685726786</v>
      </c>
    </row>
    <row r="5" spans="1:3">
      <c r="A5" t="s">
        <v>3</v>
      </c>
      <c r="B5">
        <f>100*B4/B3</f>
        <v>57.763872062966094</v>
      </c>
      <c r="C5">
        <f>100*C4/C3</f>
        <v>58.55188680334382</v>
      </c>
    </row>
    <row r="6" spans="1:3">
      <c r="A6" t="s">
        <v>4</v>
      </c>
      <c r="B6">
        <f>MIN(B9:B1008)</f>
        <v>2.1218582829744226E-4</v>
      </c>
      <c r="C6">
        <f>MIN(C9:C1008)</f>
        <v>1.3541062799049541E-3</v>
      </c>
    </row>
    <row r="7" spans="1:3">
      <c r="A7" t="s">
        <v>5</v>
      </c>
      <c r="B7">
        <f>MAX(B9:B1008)</f>
        <v>0.99922706257184668</v>
      </c>
      <c r="C7">
        <f>MAX(C9:C1008)</f>
        <v>0.99997557083042921</v>
      </c>
    </row>
    <row r="8" spans="1:3">
      <c r="A8" t="s">
        <v>6</v>
      </c>
      <c r="B8" t="str">
        <f>Sheet1!$C$10</f>
        <v>Latin</v>
      </c>
      <c r="C8" t="str">
        <f>Sheet1!$A$10</f>
        <v>Monte</v>
      </c>
    </row>
    <row r="9" spans="1:3">
      <c r="A9">
        <v>1</v>
      </c>
      <c r="B9">
        <v>0.51359460433539816</v>
      </c>
      <c r="C9">
        <v>0.55597912781831837</v>
      </c>
    </row>
    <row r="10" spans="1:3">
      <c r="A10">
        <v>2</v>
      </c>
      <c r="B10">
        <v>0.30624999906361333</v>
      </c>
      <c r="C10">
        <v>0.77880237924910034</v>
      </c>
    </row>
    <row r="11" spans="1:3">
      <c r="A11">
        <v>3</v>
      </c>
      <c r="B11">
        <v>0.58019229061812916</v>
      </c>
      <c r="C11">
        <v>0.99211602739433147</v>
      </c>
    </row>
    <row r="12" spans="1:3">
      <c r="A12">
        <v>4</v>
      </c>
      <c r="B12">
        <v>0.78504767644266782</v>
      </c>
      <c r="C12">
        <v>0.24906562103387841</v>
      </c>
    </row>
    <row r="13" spans="1:3">
      <c r="A13">
        <v>5</v>
      </c>
      <c r="B13">
        <v>0.9429041619242412</v>
      </c>
      <c r="C13">
        <v>0.77720025398684811</v>
      </c>
    </row>
    <row r="14" spans="1:3">
      <c r="A14">
        <v>6</v>
      </c>
      <c r="B14">
        <v>0.73420667840219256</v>
      </c>
      <c r="C14">
        <v>1.3541062799049541E-3</v>
      </c>
    </row>
    <row r="15" spans="1:3">
      <c r="A15">
        <v>7</v>
      </c>
      <c r="B15">
        <v>4.2633868829261949E-2</v>
      </c>
      <c r="C15">
        <v>0.1828568440860181</v>
      </c>
    </row>
    <row r="16" spans="1:3">
      <c r="A16">
        <v>8</v>
      </c>
      <c r="B16">
        <v>0.23135725424912695</v>
      </c>
      <c r="C16">
        <v>0.44436099736230972</v>
      </c>
    </row>
    <row r="17" spans="1:3">
      <c r="A17">
        <v>9</v>
      </c>
      <c r="B17">
        <v>0.9549071504219685</v>
      </c>
      <c r="C17">
        <v>0.32301644320796186</v>
      </c>
    </row>
    <row r="18" spans="1:3">
      <c r="A18">
        <v>10</v>
      </c>
      <c r="B18">
        <v>0.63134029011855375</v>
      </c>
      <c r="C18">
        <v>0.72572060326729115</v>
      </c>
    </row>
    <row r="19" spans="1:3">
      <c r="A19">
        <v>11</v>
      </c>
      <c r="B19">
        <v>0.63734473766278121</v>
      </c>
      <c r="C19">
        <v>0.5582450150832301</v>
      </c>
    </row>
    <row r="20" spans="1:3">
      <c r="A20">
        <v>12</v>
      </c>
      <c r="B20">
        <v>0.15966488336740642</v>
      </c>
      <c r="C20">
        <v>2.4623832653560385E-2</v>
      </c>
    </row>
    <row r="21" spans="1:3">
      <c r="A21">
        <v>13</v>
      </c>
      <c r="B21">
        <v>0.91410997036847053</v>
      </c>
      <c r="C21">
        <v>7.9111905313766329E-2</v>
      </c>
    </row>
    <row r="22" spans="1:3">
      <c r="A22">
        <v>14</v>
      </c>
      <c r="B22">
        <v>3.1064319378944192E-2</v>
      </c>
      <c r="C22">
        <v>0.8580041649101986</v>
      </c>
    </row>
    <row r="23" spans="1:3">
      <c r="A23">
        <v>15</v>
      </c>
      <c r="B23">
        <v>0.19394884442490265</v>
      </c>
      <c r="C23">
        <v>0.50310082804026024</v>
      </c>
    </row>
    <row r="24" spans="1:3">
      <c r="A24">
        <v>16</v>
      </c>
      <c r="B24">
        <v>0.39068297540808161</v>
      </c>
      <c r="C24">
        <v>0.37680810479105276</v>
      </c>
    </row>
    <row r="25" spans="1:3">
      <c r="A25">
        <v>17</v>
      </c>
      <c r="B25">
        <v>0.78423998511099247</v>
      </c>
      <c r="C25">
        <v>0.5848307823007417</v>
      </c>
    </row>
    <row r="26" spans="1:3">
      <c r="A26">
        <v>18</v>
      </c>
      <c r="B26">
        <v>0.47006384281512908</v>
      </c>
      <c r="C26">
        <v>0.83330718954312033</v>
      </c>
    </row>
    <row r="27" spans="1:3">
      <c r="A27">
        <v>19</v>
      </c>
      <c r="B27">
        <v>0.72662804654255231</v>
      </c>
      <c r="C27">
        <v>4.6573462764172291E-2</v>
      </c>
    </row>
    <row r="28" spans="1:3">
      <c r="A28">
        <v>20</v>
      </c>
      <c r="B28">
        <v>0.54453692620097127</v>
      </c>
      <c r="C28">
        <v>0.46047418450143596</v>
      </c>
    </row>
    <row r="29" spans="1:3">
      <c r="A29">
        <v>21</v>
      </c>
      <c r="B29">
        <v>0.16405769272452633</v>
      </c>
      <c r="C29">
        <v>0.57192242628752865</v>
      </c>
    </row>
    <row r="30" spans="1:3">
      <c r="A30">
        <v>22</v>
      </c>
      <c r="B30">
        <v>0.72039349873792236</v>
      </c>
      <c r="C30">
        <v>4.7405520890606567E-2</v>
      </c>
    </row>
    <row r="31" spans="1:3">
      <c r="A31">
        <v>23</v>
      </c>
      <c r="B31">
        <v>0.54360677434983828</v>
      </c>
      <c r="C31">
        <v>0.26475417244637356</v>
      </c>
    </row>
    <row r="32" spans="1:3">
      <c r="A32">
        <v>24</v>
      </c>
      <c r="B32">
        <v>0.10680307755242174</v>
      </c>
      <c r="C32">
        <v>7.8167716152165667E-2</v>
      </c>
    </row>
    <row r="33" spans="1:3">
      <c r="A33">
        <v>25</v>
      </c>
      <c r="B33">
        <v>0.8383281019777824</v>
      </c>
      <c r="C33">
        <v>0.99245110388892499</v>
      </c>
    </row>
    <row r="34" spans="1:3">
      <c r="A34">
        <v>26</v>
      </c>
      <c r="B34">
        <v>0.22255749425817223</v>
      </c>
      <c r="C34">
        <v>0.3517841401953774</v>
      </c>
    </row>
    <row r="35" spans="1:3">
      <c r="A35">
        <v>27</v>
      </c>
      <c r="B35">
        <v>0.34550740105251487</v>
      </c>
      <c r="C35">
        <v>0.50864953247128142</v>
      </c>
    </row>
    <row r="36" spans="1:3">
      <c r="A36">
        <v>28</v>
      </c>
      <c r="B36">
        <v>0.33619332027719201</v>
      </c>
      <c r="C36">
        <v>3.0662406963529065E-2</v>
      </c>
    </row>
    <row r="37" spans="1:3">
      <c r="A37">
        <v>29</v>
      </c>
      <c r="B37">
        <v>0.77723940084903487</v>
      </c>
      <c r="C37">
        <v>0.52159520527038694</v>
      </c>
    </row>
    <row r="38" spans="1:3">
      <c r="A38">
        <v>30</v>
      </c>
      <c r="B38">
        <v>0.41452645837900376</v>
      </c>
      <c r="C38">
        <v>9.2433231820905348E-2</v>
      </c>
    </row>
    <row r="39" spans="1:3">
      <c r="A39">
        <v>31</v>
      </c>
      <c r="B39">
        <v>0.29121141333277606</v>
      </c>
      <c r="C39">
        <v>0.91459075479269814</v>
      </c>
    </row>
    <row r="40" spans="1:3">
      <c r="A40">
        <v>32</v>
      </c>
      <c r="B40">
        <v>0.24758337868693828</v>
      </c>
      <c r="C40">
        <v>8.9510644369511283E-2</v>
      </c>
    </row>
    <row r="41" spans="1:3">
      <c r="A41">
        <v>33</v>
      </c>
      <c r="B41">
        <v>0.21899596908478905</v>
      </c>
      <c r="C41">
        <v>0.36720495400459185</v>
      </c>
    </row>
    <row r="42" spans="1:3">
      <c r="A42">
        <v>34</v>
      </c>
      <c r="B42">
        <v>8.6910029742147312E-3</v>
      </c>
      <c r="C42">
        <v>0.28108064131811261</v>
      </c>
    </row>
    <row r="43" spans="1:3">
      <c r="A43">
        <v>35</v>
      </c>
      <c r="B43">
        <v>0.72105866109557881</v>
      </c>
      <c r="C43">
        <v>0.8117268876549133</v>
      </c>
    </row>
    <row r="44" spans="1:3">
      <c r="A44">
        <v>36</v>
      </c>
      <c r="B44">
        <v>0.33885707589165709</v>
      </c>
      <c r="C44">
        <v>0.82673560678995273</v>
      </c>
    </row>
    <row r="45" spans="1:3">
      <c r="A45">
        <v>37</v>
      </c>
      <c r="B45">
        <v>0.87626313802699163</v>
      </c>
      <c r="C45">
        <v>0.9635206690772975</v>
      </c>
    </row>
    <row r="46" spans="1:3">
      <c r="A46">
        <v>38</v>
      </c>
      <c r="B46">
        <v>0.7661004351158861</v>
      </c>
      <c r="C46">
        <v>0.34723145969110192</v>
      </c>
    </row>
    <row r="47" spans="1:3">
      <c r="A47">
        <v>39</v>
      </c>
      <c r="B47">
        <v>0.33036599805051597</v>
      </c>
      <c r="C47">
        <v>0.23911188559486618</v>
      </c>
    </row>
    <row r="48" spans="1:3">
      <c r="A48">
        <v>40</v>
      </c>
      <c r="B48">
        <v>0.10446055257237995</v>
      </c>
      <c r="C48">
        <v>0.27190750237605243</v>
      </c>
    </row>
    <row r="49" spans="1:3">
      <c r="A49">
        <v>41</v>
      </c>
      <c r="B49">
        <v>0.99922706257184668</v>
      </c>
      <c r="C49">
        <v>0.7438303721801276</v>
      </c>
    </row>
    <row r="50" spans="1:3">
      <c r="A50">
        <v>42</v>
      </c>
      <c r="B50">
        <v>0.49295477739790333</v>
      </c>
      <c r="C50">
        <v>1.1858088029839564E-2</v>
      </c>
    </row>
    <row r="51" spans="1:3">
      <c r="A51">
        <v>43</v>
      </c>
      <c r="B51">
        <v>0.53465395703833873</v>
      </c>
      <c r="C51">
        <v>0.57145845329432632</v>
      </c>
    </row>
    <row r="52" spans="1:3">
      <c r="A52">
        <v>44</v>
      </c>
      <c r="B52">
        <v>0.10040165039417373</v>
      </c>
      <c r="C52">
        <v>0.55431157408656873</v>
      </c>
    </row>
    <row r="53" spans="1:3">
      <c r="A53">
        <v>45</v>
      </c>
      <c r="B53">
        <v>0.3533384662590312</v>
      </c>
      <c r="C53">
        <v>0.56646349930815632</v>
      </c>
    </row>
    <row r="54" spans="1:3">
      <c r="A54">
        <v>46</v>
      </c>
      <c r="B54">
        <v>0.10902486409899426</v>
      </c>
      <c r="C54">
        <v>0.22736782884294371</v>
      </c>
    </row>
    <row r="55" spans="1:3">
      <c r="A55">
        <v>47</v>
      </c>
      <c r="B55">
        <v>0.8396117284026956</v>
      </c>
      <c r="C55">
        <v>8.9283092125697294E-2</v>
      </c>
    </row>
    <row r="56" spans="1:3">
      <c r="A56">
        <v>48</v>
      </c>
      <c r="B56">
        <v>5.7127426980791481E-3</v>
      </c>
      <c r="C56">
        <v>0.15576672203951603</v>
      </c>
    </row>
    <row r="57" spans="1:3">
      <c r="A57">
        <v>49</v>
      </c>
      <c r="B57">
        <v>0.39807334415639595</v>
      </c>
      <c r="C57">
        <v>0.25473558471821889</v>
      </c>
    </row>
    <row r="58" spans="1:3">
      <c r="A58">
        <v>50</v>
      </c>
      <c r="B58">
        <v>0.31954291359743636</v>
      </c>
      <c r="C58">
        <v>0.86513249309155071</v>
      </c>
    </row>
    <row r="59" spans="1:3">
      <c r="A59">
        <v>51</v>
      </c>
      <c r="B59">
        <v>0.77386082158118041</v>
      </c>
      <c r="C59">
        <v>0.81922624388971599</v>
      </c>
    </row>
    <row r="60" spans="1:3">
      <c r="A60">
        <v>52</v>
      </c>
      <c r="B60">
        <v>0.41383274016059768</v>
      </c>
      <c r="C60">
        <v>0.27605206057614851</v>
      </c>
    </row>
    <row r="61" spans="1:3">
      <c r="A61">
        <v>53</v>
      </c>
      <c r="B61">
        <v>0.40933282825684469</v>
      </c>
      <c r="C61">
        <v>0.41137501769301821</v>
      </c>
    </row>
    <row r="62" spans="1:3">
      <c r="A62">
        <v>54</v>
      </c>
      <c r="B62">
        <v>0.19650536049052733</v>
      </c>
      <c r="C62">
        <v>0.46681812162569258</v>
      </c>
    </row>
    <row r="63" spans="1:3">
      <c r="A63">
        <v>55</v>
      </c>
      <c r="B63">
        <v>0.19963620706243354</v>
      </c>
      <c r="C63">
        <v>0.74648158603213233</v>
      </c>
    </row>
    <row r="64" spans="1:3">
      <c r="A64">
        <v>56</v>
      </c>
      <c r="B64">
        <v>0.83684335791292674</v>
      </c>
      <c r="C64">
        <v>0.83228986097130075</v>
      </c>
    </row>
    <row r="65" spans="1:3">
      <c r="A65">
        <v>57</v>
      </c>
      <c r="B65">
        <v>0.85435474302767656</v>
      </c>
      <c r="C65">
        <v>0.71163366854125343</v>
      </c>
    </row>
    <row r="66" spans="1:3">
      <c r="A66">
        <v>58</v>
      </c>
      <c r="B66">
        <v>0.67855154233461989</v>
      </c>
      <c r="C66">
        <v>6.7399017652860493E-3</v>
      </c>
    </row>
    <row r="67" spans="1:3">
      <c r="A67">
        <v>59</v>
      </c>
      <c r="B67">
        <v>0.8140072457133809</v>
      </c>
      <c r="C67">
        <v>0.79558003371494124</v>
      </c>
    </row>
    <row r="68" spans="1:3">
      <c r="A68">
        <v>60</v>
      </c>
      <c r="B68">
        <v>0.37701814207109113</v>
      </c>
      <c r="C68">
        <v>0.83680124634338426</v>
      </c>
    </row>
    <row r="69" spans="1:3">
      <c r="A69">
        <v>61</v>
      </c>
      <c r="B69">
        <v>0.58849552452366227</v>
      </c>
      <c r="C69">
        <v>0.52123970360844396</v>
      </c>
    </row>
    <row r="70" spans="1:3">
      <c r="A70">
        <v>62</v>
      </c>
      <c r="B70">
        <v>0.45658407982429117</v>
      </c>
      <c r="C70">
        <v>0.1796294254336317</v>
      </c>
    </row>
    <row r="71" spans="1:3">
      <c r="A71">
        <v>63</v>
      </c>
      <c r="B71">
        <v>0.33589216835398511</v>
      </c>
      <c r="C71">
        <v>0.20375365903055354</v>
      </c>
    </row>
    <row r="72" spans="1:3">
      <c r="A72">
        <v>64</v>
      </c>
      <c r="B72">
        <v>0.90273447945544827</v>
      </c>
      <c r="C72">
        <v>0.23927700463354995</v>
      </c>
    </row>
    <row r="73" spans="1:3">
      <c r="A73">
        <v>65</v>
      </c>
      <c r="B73">
        <v>0.97742334689093369</v>
      </c>
      <c r="C73">
        <v>0.39460370625693031</v>
      </c>
    </row>
    <row r="74" spans="1:3">
      <c r="A74">
        <v>66</v>
      </c>
      <c r="B74">
        <v>5.8784020167725166E-2</v>
      </c>
      <c r="C74">
        <v>0.27175056943087839</v>
      </c>
    </row>
    <row r="75" spans="1:3">
      <c r="A75">
        <v>67</v>
      </c>
      <c r="B75">
        <v>5.0043066369146821E-2</v>
      </c>
      <c r="C75">
        <v>0.69720927547587053</v>
      </c>
    </row>
    <row r="76" spans="1:3">
      <c r="A76">
        <v>68</v>
      </c>
      <c r="B76">
        <v>0.65178886104533196</v>
      </c>
      <c r="C76">
        <v>0.49865074897570594</v>
      </c>
    </row>
    <row r="77" spans="1:3">
      <c r="A77">
        <v>69</v>
      </c>
      <c r="B77">
        <v>0.86741586837647855</v>
      </c>
      <c r="C77">
        <v>0.55453297369695065</v>
      </c>
    </row>
    <row r="78" spans="1:3">
      <c r="A78">
        <v>70</v>
      </c>
      <c r="B78">
        <v>0.63619499046709271</v>
      </c>
      <c r="C78">
        <v>0.23642485586242401</v>
      </c>
    </row>
    <row r="79" spans="1:3">
      <c r="A79">
        <v>71</v>
      </c>
      <c r="B79">
        <v>0.26600343616935507</v>
      </c>
      <c r="C79">
        <v>0.17331556407498283</v>
      </c>
    </row>
    <row r="80" spans="1:3">
      <c r="A80">
        <v>72</v>
      </c>
      <c r="B80">
        <v>0.4160842512115101</v>
      </c>
      <c r="C80">
        <v>0.12812633943212859</v>
      </c>
    </row>
    <row r="81" spans="1:3">
      <c r="A81">
        <v>73</v>
      </c>
      <c r="B81">
        <v>0.34172508664492635</v>
      </c>
      <c r="C81">
        <v>0.71863126572316105</v>
      </c>
    </row>
    <row r="82" spans="1:3">
      <c r="A82">
        <v>74</v>
      </c>
      <c r="B82">
        <v>0.57950076314189958</v>
      </c>
      <c r="C82">
        <v>0.46257940633677208</v>
      </c>
    </row>
    <row r="83" spans="1:3">
      <c r="A83">
        <v>75</v>
      </c>
      <c r="B83">
        <v>0.66447436564496598</v>
      </c>
      <c r="C83">
        <v>0.84304602224801783</v>
      </c>
    </row>
    <row r="84" spans="1:3">
      <c r="A84">
        <v>76</v>
      </c>
      <c r="B84">
        <v>0.80884301831266914</v>
      </c>
      <c r="C84">
        <v>0.18927491119302431</v>
      </c>
    </row>
    <row r="85" spans="1:3">
      <c r="A85">
        <v>77</v>
      </c>
      <c r="B85">
        <v>0.16697978323255194</v>
      </c>
      <c r="C85">
        <v>0.22164918175258208</v>
      </c>
    </row>
    <row r="86" spans="1:3">
      <c r="A86">
        <v>78</v>
      </c>
      <c r="B86">
        <v>0.34342439154009902</v>
      </c>
      <c r="C86">
        <v>0.12235107513242838</v>
      </c>
    </row>
    <row r="87" spans="1:3">
      <c r="A87">
        <v>79</v>
      </c>
      <c r="B87">
        <v>7.8734843806534741E-2</v>
      </c>
      <c r="C87">
        <v>0.91664060296352545</v>
      </c>
    </row>
    <row r="88" spans="1:3">
      <c r="A88">
        <v>80</v>
      </c>
      <c r="B88">
        <v>0.37548064841713774</v>
      </c>
      <c r="C88">
        <v>0.77027808194270619</v>
      </c>
    </row>
    <row r="89" spans="1:3">
      <c r="A89">
        <v>81</v>
      </c>
      <c r="B89">
        <v>0.4279021401081472</v>
      </c>
      <c r="C89">
        <v>7.7126953827246325E-2</v>
      </c>
    </row>
    <row r="90" spans="1:3">
      <c r="A90">
        <v>82</v>
      </c>
      <c r="B90">
        <v>0.84543911404405692</v>
      </c>
      <c r="C90">
        <v>0.45542064315577591</v>
      </c>
    </row>
    <row r="91" spans="1:3">
      <c r="A91">
        <v>83</v>
      </c>
      <c r="B91">
        <v>0.17463868577560379</v>
      </c>
      <c r="C91">
        <v>0.20853419544982899</v>
      </c>
    </row>
    <row r="92" spans="1:3">
      <c r="A92">
        <v>84</v>
      </c>
      <c r="B92">
        <v>0.35410425707444182</v>
      </c>
      <c r="C92">
        <v>0.21490836291286541</v>
      </c>
    </row>
    <row r="93" spans="1:3">
      <c r="A93">
        <v>85</v>
      </c>
      <c r="B93">
        <v>0.82306367658056867</v>
      </c>
      <c r="C93">
        <v>1.3598933372122701E-2</v>
      </c>
    </row>
    <row r="94" spans="1:3">
      <c r="A94">
        <v>86</v>
      </c>
      <c r="B94">
        <v>2.49193994526098E-3</v>
      </c>
      <c r="C94">
        <v>0.43640654359023756</v>
      </c>
    </row>
    <row r="95" spans="1:3">
      <c r="A95">
        <v>87</v>
      </c>
      <c r="B95">
        <v>7.0613509754793136E-2</v>
      </c>
      <c r="C95">
        <v>0.4617304579460324</v>
      </c>
    </row>
    <row r="96" spans="1:3">
      <c r="A96">
        <v>88</v>
      </c>
      <c r="B96">
        <v>5.4422300050366273E-2</v>
      </c>
      <c r="C96">
        <v>0.994636948959851</v>
      </c>
    </row>
    <row r="97" spans="1:3">
      <c r="A97">
        <v>89</v>
      </c>
      <c r="B97">
        <v>0.14113313972603836</v>
      </c>
      <c r="C97">
        <v>8.8533418977021938E-2</v>
      </c>
    </row>
    <row r="98" spans="1:3">
      <c r="A98">
        <v>90</v>
      </c>
      <c r="B98">
        <v>0.96955565630680784</v>
      </c>
      <c r="C98">
        <v>0.2086689572161049</v>
      </c>
    </row>
    <row r="99" spans="1:3">
      <c r="A99">
        <v>91</v>
      </c>
      <c r="B99">
        <v>0.83773341216303721</v>
      </c>
      <c r="C99">
        <v>0.243104803512324</v>
      </c>
    </row>
    <row r="100" spans="1:3">
      <c r="A100">
        <v>92</v>
      </c>
      <c r="B100">
        <v>0.13242980617946709</v>
      </c>
      <c r="C100">
        <v>0.51915665349315532</v>
      </c>
    </row>
    <row r="101" spans="1:3">
      <c r="A101">
        <v>93</v>
      </c>
      <c r="B101">
        <v>0.59117009312849722</v>
      </c>
      <c r="C101">
        <v>0.77043876223615371</v>
      </c>
    </row>
    <row r="102" spans="1:3">
      <c r="A102">
        <v>94</v>
      </c>
      <c r="B102">
        <v>4.6941907570916666E-2</v>
      </c>
      <c r="C102">
        <v>1.7457077196013415E-2</v>
      </c>
    </row>
    <row r="103" spans="1:3">
      <c r="A103">
        <v>95</v>
      </c>
      <c r="B103">
        <v>0.65964371594522231</v>
      </c>
      <c r="C103">
        <v>0.48169186532962271</v>
      </c>
    </row>
    <row r="104" spans="1:3">
      <c r="A104">
        <v>96</v>
      </c>
      <c r="B104">
        <v>0.25891586676470835</v>
      </c>
      <c r="C104">
        <v>0.98739930162344081</v>
      </c>
    </row>
    <row r="105" spans="1:3">
      <c r="A105">
        <v>97</v>
      </c>
      <c r="B105">
        <v>6.5396103420387056E-2</v>
      </c>
      <c r="C105">
        <v>0.17214207994811659</v>
      </c>
    </row>
    <row r="106" spans="1:3">
      <c r="A106">
        <v>98</v>
      </c>
      <c r="B106">
        <v>0.33138183825774625</v>
      </c>
      <c r="C106">
        <v>0.69669109199230661</v>
      </c>
    </row>
    <row r="107" spans="1:3">
      <c r="A107">
        <v>99</v>
      </c>
      <c r="B107">
        <v>5.2243524471354559E-2</v>
      </c>
      <c r="C107">
        <v>0.1142468187636041</v>
      </c>
    </row>
    <row r="108" spans="1:3">
      <c r="A108">
        <v>100</v>
      </c>
      <c r="B108">
        <v>0.21354763696751269</v>
      </c>
      <c r="C108">
        <v>0.67801829313430062</v>
      </c>
    </row>
    <row r="109" spans="1:3">
      <c r="A109">
        <v>101</v>
      </c>
      <c r="B109">
        <v>0.86398001508041755</v>
      </c>
      <c r="C109">
        <v>0.58635464338840393</v>
      </c>
    </row>
    <row r="110" spans="1:3">
      <c r="A110">
        <v>102</v>
      </c>
      <c r="B110">
        <v>0.64825094982149334</v>
      </c>
      <c r="C110">
        <v>0.13477070219325071</v>
      </c>
    </row>
    <row r="111" spans="1:3">
      <c r="A111">
        <v>103</v>
      </c>
      <c r="B111">
        <v>0.60245549849664226</v>
      </c>
      <c r="C111">
        <v>0.46147826164906292</v>
      </c>
    </row>
    <row r="112" spans="1:3">
      <c r="A112">
        <v>104</v>
      </c>
      <c r="B112">
        <v>0.1540393585497605</v>
      </c>
      <c r="C112">
        <v>0.21804524127946934</v>
      </c>
    </row>
    <row r="113" spans="1:3">
      <c r="A113">
        <v>105</v>
      </c>
      <c r="B113">
        <v>0.60584932441074613</v>
      </c>
      <c r="C113">
        <v>0.79139856009987852</v>
      </c>
    </row>
    <row r="114" spans="1:3">
      <c r="A114">
        <v>106</v>
      </c>
      <c r="B114">
        <v>0.32867072601073205</v>
      </c>
      <c r="C114">
        <v>6.313671932912257E-2</v>
      </c>
    </row>
    <row r="115" spans="1:3">
      <c r="A115">
        <v>107</v>
      </c>
      <c r="B115">
        <v>0.91008454123886406</v>
      </c>
      <c r="C115">
        <v>0.31488633305434632</v>
      </c>
    </row>
    <row r="116" spans="1:3">
      <c r="A116">
        <v>108</v>
      </c>
      <c r="B116">
        <v>0.4941591752779575</v>
      </c>
      <c r="C116">
        <v>7.4625878911319887E-2</v>
      </c>
    </row>
    <row r="117" spans="1:3">
      <c r="A117">
        <v>109</v>
      </c>
      <c r="B117">
        <v>0.25529771061178708</v>
      </c>
      <c r="C117">
        <v>7.5927759563455766E-2</v>
      </c>
    </row>
    <row r="118" spans="1:3">
      <c r="A118">
        <v>110</v>
      </c>
      <c r="B118">
        <v>0.86276208270149357</v>
      </c>
      <c r="C118">
        <v>0.98895069976242667</v>
      </c>
    </row>
    <row r="119" spans="1:3">
      <c r="A119">
        <v>111</v>
      </c>
      <c r="B119">
        <v>0.50546919010474101</v>
      </c>
      <c r="C119">
        <v>0.52540664642674528</v>
      </c>
    </row>
    <row r="120" spans="1:3">
      <c r="A120">
        <v>112</v>
      </c>
      <c r="B120">
        <v>0.79940450556608944</v>
      </c>
      <c r="C120">
        <v>0.82747371812001802</v>
      </c>
    </row>
    <row r="121" spans="1:3">
      <c r="A121">
        <v>113</v>
      </c>
      <c r="B121">
        <v>0.49304188624770429</v>
      </c>
      <c r="C121">
        <v>0.8098844990336147</v>
      </c>
    </row>
    <row r="122" spans="1:3">
      <c r="A122">
        <v>114</v>
      </c>
      <c r="B122">
        <v>0.92760484331883608</v>
      </c>
      <c r="C122">
        <v>0.24030060931727348</v>
      </c>
    </row>
    <row r="123" spans="1:3">
      <c r="A123">
        <v>115</v>
      </c>
      <c r="B123">
        <v>0.47370801357615461</v>
      </c>
      <c r="C123">
        <v>0.95334774205275608</v>
      </c>
    </row>
    <row r="124" spans="1:3">
      <c r="A124">
        <v>116</v>
      </c>
      <c r="B124">
        <v>0.88078132093692696</v>
      </c>
      <c r="C124">
        <v>0.61384718891713419</v>
      </c>
    </row>
    <row r="125" spans="1:3">
      <c r="A125">
        <v>117</v>
      </c>
      <c r="B125">
        <v>0.73753466783034027</v>
      </c>
      <c r="C125">
        <v>5.7870081588589528E-2</v>
      </c>
    </row>
    <row r="126" spans="1:3">
      <c r="A126">
        <v>118</v>
      </c>
      <c r="B126">
        <v>0.67046618997945129</v>
      </c>
      <c r="C126">
        <v>0.98022982498514466</v>
      </c>
    </row>
    <row r="127" spans="1:3">
      <c r="A127">
        <v>119</v>
      </c>
      <c r="B127">
        <v>0.28427239124040876</v>
      </c>
      <c r="C127">
        <v>0.60761428138630436</v>
      </c>
    </row>
    <row r="128" spans="1:3">
      <c r="A128">
        <v>120</v>
      </c>
      <c r="B128">
        <v>0.20976980991004263</v>
      </c>
      <c r="C128">
        <v>0.49858657817276253</v>
      </c>
    </row>
    <row r="129" spans="1:3">
      <c r="A129">
        <v>121</v>
      </c>
      <c r="B129">
        <v>0.21503928212030773</v>
      </c>
      <c r="C129">
        <v>0.40994146398317355</v>
      </c>
    </row>
    <row r="130" spans="1:3">
      <c r="A130">
        <v>122</v>
      </c>
      <c r="B130">
        <v>2.8105863570493148E-2</v>
      </c>
      <c r="C130">
        <v>0.6649478843878569</v>
      </c>
    </row>
    <row r="131" spans="1:3">
      <c r="A131">
        <v>123</v>
      </c>
      <c r="B131">
        <v>0.44193050359281022</v>
      </c>
      <c r="C131">
        <v>0.19712435427572927</v>
      </c>
    </row>
    <row r="132" spans="1:3">
      <c r="A132">
        <v>124</v>
      </c>
      <c r="B132">
        <v>0.30515674364151357</v>
      </c>
      <c r="C132">
        <v>0.7187320198127054</v>
      </c>
    </row>
    <row r="133" spans="1:3">
      <c r="A133">
        <v>125</v>
      </c>
      <c r="B133">
        <v>0.88748065270378262</v>
      </c>
      <c r="C133">
        <v>0.57602915501593088</v>
      </c>
    </row>
    <row r="134" spans="1:3">
      <c r="A134">
        <v>126</v>
      </c>
      <c r="B134">
        <v>0.85744419244198233</v>
      </c>
      <c r="C134">
        <v>0.35022742743694835</v>
      </c>
    </row>
    <row r="135" spans="1:3">
      <c r="A135">
        <v>127</v>
      </c>
      <c r="B135">
        <v>0.62463829697497142</v>
      </c>
      <c r="C135">
        <v>9.2446410824777558E-2</v>
      </c>
    </row>
    <row r="136" spans="1:3">
      <c r="A136">
        <v>128</v>
      </c>
      <c r="B136">
        <v>0.84901569791161824</v>
      </c>
      <c r="C136">
        <v>0.41116457814041496</v>
      </c>
    </row>
    <row r="137" spans="1:3">
      <c r="A137">
        <v>129</v>
      </c>
      <c r="B137">
        <v>0.55261738871634403</v>
      </c>
      <c r="C137">
        <v>0.62413702898811607</v>
      </c>
    </row>
    <row r="138" spans="1:3">
      <c r="A138">
        <v>130</v>
      </c>
      <c r="B138">
        <v>3.5355216207065436E-2</v>
      </c>
      <c r="C138">
        <v>0.92312180910630559</v>
      </c>
    </row>
    <row r="139" spans="1:3">
      <c r="A139">
        <v>131</v>
      </c>
      <c r="B139">
        <v>0.5706523795960593</v>
      </c>
      <c r="C139">
        <v>0.77238745451995783</v>
      </c>
    </row>
    <row r="140" spans="1:3">
      <c r="A140">
        <v>132</v>
      </c>
      <c r="B140">
        <v>0.3692683923473275</v>
      </c>
      <c r="C140">
        <v>0.85488681614515372</v>
      </c>
    </row>
    <row r="141" spans="1:3">
      <c r="A141">
        <v>133</v>
      </c>
      <c r="B141">
        <v>0.48255424356357057</v>
      </c>
      <c r="C141">
        <v>0.82277865856576682</v>
      </c>
    </row>
    <row r="142" spans="1:3">
      <c r="A142">
        <v>134</v>
      </c>
      <c r="B142">
        <v>0.58532209036064387</v>
      </c>
      <c r="C142">
        <v>0.84679934702035098</v>
      </c>
    </row>
    <row r="143" spans="1:3">
      <c r="A143">
        <v>135</v>
      </c>
      <c r="B143">
        <v>9.6992186852728993E-2</v>
      </c>
      <c r="C143">
        <v>0.59791619012412411</v>
      </c>
    </row>
    <row r="144" spans="1:3">
      <c r="A144">
        <v>136</v>
      </c>
      <c r="B144">
        <v>0.35898873132187614</v>
      </c>
      <c r="C144">
        <v>0.62941049054279574</v>
      </c>
    </row>
    <row r="145" spans="1:3">
      <c r="A145">
        <v>137</v>
      </c>
      <c r="B145">
        <v>0.43866109310990692</v>
      </c>
      <c r="C145">
        <v>0.77060163331680087</v>
      </c>
    </row>
    <row r="146" spans="1:3">
      <c r="A146">
        <v>138</v>
      </c>
      <c r="B146">
        <v>0.40874313694907893</v>
      </c>
      <c r="C146">
        <v>0.2112260154390242</v>
      </c>
    </row>
    <row r="147" spans="1:3">
      <c r="A147">
        <v>139</v>
      </c>
      <c r="B147">
        <v>0.3716889441089446</v>
      </c>
      <c r="C147">
        <v>8.5056970044206537E-2</v>
      </c>
    </row>
    <row r="148" spans="1:3">
      <c r="A148">
        <v>140</v>
      </c>
      <c r="B148">
        <v>0.83071599971542964</v>
      </c>
      <c r="C148">
        <v>0.51164029142273648</v>
      </c>
    </row>
    <row r="149" spans="1:3">
      <c r="A149">
        <v>141</v>
      </c>
      <c r="B149">
        <v>0.41895110021181198</v>
      </c>
      <c r="C149">
        <v>0.65295221809810755</v>
      </c>
    </row>
    <row r="150" spans="1:3">
      <c r="A150">
        <v>142</v>
      </c>
      <c r="B150">
        <v>0.92294888782919127</v>
      </c>
      <c r="C150">
        <v>7.5072056588396663E-2</v>
      </c>
    </row>
    <row r="151" spans="1:3">
      <c r="A151">
        <v>143</v>
      </c>
      <c r="B151">
        <v>8.2126551448396992E-2</v>
      </c>
      <c r="C151">
        <v>0.72346077570455236</v>
      </c>
    </row>
    <row r="152" spans="1:3">
      <c r="A152">
        <v>144</v>
      </c>
      <c r="B152">
        <v>0.72968081272386032</v>
      </c>
      <c r="C152">
        <v>0.8722354996989452</v>
      </c>
    </row>
    <row r="153" spans="1:3">
      <c r="A153">
        <v>145</v>
      </c>
      <c r="B153">
        <v>0.94855385381648172</v>
      </c>
      <c r="C153">
        <v>0.11857215411964717</v>
      </c>
    </row>
    <row r="154" spans="1:3">
      <c r="A154">
        <v>146</v>
      </c>
      <c r="B154">
        <v>0.75671571345480992</v>
      </c>
      <c r="C154">
        <v>0.52255323241843143</v>
      </c>
    </row>
    <row r="155" spans="1:3">
      <c r="A155">
        <v>147</v>
      </c>
      <c r="B155">
        <v>0.54635824032485447</v>
      </c>
      <c r="C155">
        <v>0.10339972395286168</v>
      </c>
    </row>
    <row r="156" spans="1:3">
      <c r="A156">
        <v>148</v>
      </c>
      <c r="B156">
        <v>0.23810898079259996</v>
      </c>
      <c r="C156">
        <v>0.99997557083042921</v>
      </c>
    </row>
    <row r="157" spans="1:3">
      <c r="A157">
        <v>149</v>
      </c>
      <c r="B157">
        <v>1.7060150638003868E-2</v>
      </c>
      <c r="C157">
        <v>0.22247557032733312</v>
      </c>
    </row>
    <row r="158" spans="1:3">
      <c r="A158">
        <v>150</v>
      </c>
      <c r="B158">
        <v>0.4204824483297957</v>
      </c>
      <c r="C158">
        <v>0.95796621223962575</v>
      </c>
    </row>
    <row r="159" spans="1:3">
      <c r="A159">
        <v>151</v>
      </c>
      <c r="B159">
        <v>0.69540792558188724</v>
      </c>
      <c r="C159">
        <v>0.67636473949278297</v>
      </c>
    </row>
    <row r="160" spans="1:3">
      <c r="A160">
        <v>152</v>
      </c>
      <c r="B160">
        <v>0.60052584623371386</v>
      </c>
      <c r="C160">
        <v>0.77057075981156231</v>
      </c>
    </row>
    <row r="161" spans="1:3">
      <c r="A161">
        <v>153</v>
      </c>
      <c r="B161">
        <v>0.61426329413947256</v>
      </c>
      <c r="C161">
        <v>0.16792007715048385</v>
      </c>
    </row>
    <row r="162" spans="1:3">
      <c r="A162">
        <v>154</v>
      </c>
      <c r="B162">
        <v>0.90375120426592204</v>
      </c>
      <c r="C162">
        <v>0.14875065864816861</v>
      </c>
    </row>
    <row r="163" spans="1:3">
      <c r="A163">
        <v>155</v>
      </c>
      <c r="B163">
        <v>0.30307455056325405</v>
      </c>
      <c r="C163">
        <v>0.82919368332477461</v>
      </c>
    </row>
    <row r="164" spans="1:3">
      <c r="A164">
        <v>156</v>
      </c>
      <c r="B164">
        <v>0.95548976278665698</v>
      </c>
      <c r="C164">
        <v>0.12246310320279008</v>
      </c>
    </row>
    <row r="165" spans="1:3">
      <c r="A165">
        <v>157</v>
      </c>
      <c r="B165">
        <v>0.21044467489129043</v>
      </c>
      <c r="C165">
        <v>0.67082098672835855</v>
      </c>
    </row>
    <row r="166" spans="1:3">
      <c r="A166">
        <v>158</v>
      </c>
      <c r="B166">
        <v>0.76437676454926307</v>
      </c>
      <c r="C166">
        <v>0.63868898534110485</v>
      </c>
    </row>
    <row r="167" spans="1:3">
      <c r="A167">
        <v>159</v>
      </c>
      <c r="B167">
        <v>0.3406980355204311</v>
      </c>
      <c r="C167">
        <v>0.37821797579999838</v>
      </c>
    </row>
    <row r="168" spans="1:3">
      <c r="A168">
        <v>160</v>
      </c>
      <c r="B168">
        <v>0.69338796205827691</v>
      </c>
      <c r="C168">
        <v>0.1539916617448398</v>
      </c>
    </row>
    <row r="169" spans="1:3">
      <c r="A169">
        <v>161</v>
      </c>
      <c r="B169">
        <v>4.9665537978677433E-2</v>
      </c>
      <c r="C169">
        <v>0.4550469560745114</v>
      </c>
    </row>
    <row r="170" spans="1:3">
      <c r="A170">
        <v>162</v>
      </c>
      <c r="B170">
        <v>2.3318226056946029E-2</v>
      </c>
      <c r="C170">
        <v>0.73370020669153746</v>
      </c>
    </row>
    <row r="171" spans="1:3">
      <c r="A171">
        <v>163</v>
      </c>
      <c r="B171">
        <v>0.79570019084115051</v>
      </c>
      <c r="C171">
        <v>0.91130472509212268</v>
      </c>
    </row>
    <row r="172" spans="1:3">
      <c r="A172">
        <v>164</v>
      </c>
      <c r="B172">
        <v>0.27884213336483621</v>
      </c>
      <c r="C172">
        <v>0.98920447871296346</v>
      </c>
    </row>
    <row r="173" spans="1:3">
      <c r="A173">
        <v>165</v>
      </c>
      <c r="B173">
        <v>0.18308545714036689</v>
      </c>
      <c r="C173">
        <v>0.77992987184552476</v>
      </c>
    </row>
    <row r="174" spans="1:3">
      <c r="A174">
        <v>166</v>
      </c>
      <c r="B174">
        <v>0.76752234955772813</v>
      </c>
      <c r="C174">
        <v>0.34806509211466619</v>
      </c>
    </row>
    <row r="175" spans="1:3">
      <c r="A175">
        <v>167</v>
      </c>
      <c r="B175">
        <v>0.60146020346518136</v>
      </c>
      <c r="C175">
        <v>0.24046622457717604</v>
      </c>
    </row>
    <row r="176" spans="1:3">
      <c r="A176">
        <v>168</v>
      </c>
      <c r="B176">
        <v>0.68712936498902955</v>
      </c>
      <c r="C176">
        <v>0.45916846963973512</v>
      </c>
    </row>
    <row r="177" spans="1:3">
      <c r="A177">
        <v>169</v>
      </c>
      <c r="B177">
        <v>9.0040128835486274E-2</v>
      </c>
      <c r="C177">
        <v>0.25398549304009066</v>
      </c>
    </row>
    <row r="178" spans="1:3">
      <c r="A178">
        <v>170</v>
      </c>
      <c r="B178">
        <v>9.9442490562201127E-2</v>
      </c>
      <c r="C178">
        <v>0.40402419782822108</v>
      </c>
    </row>
    <row r="179" spans="1:3">
      <c r="A179">
        <v>171</v>
      </c>
      <c r="B179">
        <v>0.12026472034777158</v>
      </c>
      <c r="C179">
        <v>0.14932944509200752</v>
      </c>
    </row>
    <row r="180" spans="1:3">
      <c r="A180">
        <v>172</v>
      </c>
      <c r="B180">
        <v>6.01762935368289E-2</v>
      </c>
      <c r="C180">
        <v>2.5346385492412082E-2</v>
      </c>
    </row>
    <row r="181" spans="1:3">
      <c r="A181">
        <v>173</v>
      </c>
      <c r="B181">
        <v>0.65515526483141706</v>
      </c>
      <c r="C181">
        <v>0.20110635706259927</v>
      </c>
    </row>
    <row r="182" spans="1:3">
      <c r="A182">
        <v>174</v>
      </c>
      <c r="B182">
        <v>7.2946094884524609E-2</v>
      </c>
      <c r="C182">
        <v>0.44880466156337206</v>
      </c>
    </row>
    <row r="183" spans="1:3">
      <c r="A183">
        <v>175</v>
      </c>
      <c r="B183">
        <v>0.13654434921791411</v>
      </c>
      <c r="C183">
        <v>0.30677981593544246</v>
      </c>
    </row>
    <row r="184" spans="1:3">
      <c r="A184">
        <v>176</v>
      </c>
      <c r="B184">
        <v>0.20761878448599455</v>
      </c>
      <c r="C184">
        <v>0.11204560420446796</v>
      </c>
    </row>
    <row r="185" spans="1:3">
      <c r="A185">
        <v>177</v>
      </c>
      <c r="B185">
        <v>0.70342193400124597</v>
      </c>
      <c r="C185">
        <v>1.1211351866222685E-2</v>
      </c>
    </row>
    <row r="186" spans="1:3">
      <c r="A186">
        <v>178</v>
      </c>
      <c r="B186">
        <v>0.9918528222897679</v>
      </c>
      <c r="C186">
        <v>0.96480680523382034</v>
      </c>
    </row>
    <row r="187" spans="1:3">
      <c r="A187">
        <v>179</v>
      </c>
      <c r="B187">
        <v>0.30816222829491879</v>
      </c>
      <c r="C187">
        <v>0.45755011645360355</v>
      </c>
    </row>
    <row r="188" spans="1:3">
      <c r="A188">
        <v>180</v>
      </c>
      <c r="B188">
        <v>0.32011565416844462</v>
      </c>
      <c r="C188">
        <v>0.56370157947276311</v>
      </c>
    </row>
    <row r="189" spans="1:3">
      <c r="A189">
        <v>181</v>
      </c>
      <c r="B189">
        <v>0.29412411366149877</v>
      </c>
      <c r="C189">
        <v>7.9114407742054027E-2</v>
      </c>
    </row>
    <row r="190" spans="1:3">
      <c r="A190">
        <v>182</v>
      </c>
      <c r="B190">
        <v>0.98373729844874169</v>
      </c>
      <c r="C190">
        <v>0.72669901884000865</v>
      </c>
    </row>
    <row r="191" spans="1:3">
      <c r="A191">
        <v>183</v>
      </c>
      <c r="B191">
        <v>0.45767704452403751</v>
      </c>
      <c r="C191">
        <v>0.59991843751686247</v>
      </c>
    </row>
    <row r="192" spans="1:3">
      <c r="A192">
        <v>184</v>
      </c>
      <c r="B192">
        <v>0.8930469482322333</v>
      </c>
      <c r="C192">
        <v>0.46905111758496787</v>
      </c>
    </row>
    <row r="193" spans="1:3">
      <c r="A193">
        <v>185</v>
      </c>
      <c r="B193">
        <v>0.70502290916629673</v>
      </c>
      <c r="C193">
        <v>0.34663910429753741</v>
      </c>
    </row>
    <row r="194" spans="1:3">
      <c r="A194">
        <v>186</v>
      </c>
      <c r="B194">
        <v>0.36386516773697575</v>
      </c>
      <c r="C194">
        <v>0.56182312865712447</v>
      </c>
    </row>
    <row r="195" spans="1:3">
      <c r="A195">
        <v>187</v>
      </c>
      <c r="B195">
        <v>0.56681743277302421</v>
      </c>
      <c r="C195">
        <v>0.40573578970634117</v>
      </c>
    </row>
    <row r="196" spans="1:3">
      <c r="A196">
        <v>188</v>
      </c>
      <c r="B196">
        <v>0.4231128485591879</v>
      </c>
      <c r="C196">
        <v>0.18980447274407197</v>
      </c>
    </row>
    <row r="197" spans="1:3">
      <c r="A197">
        <v>189</v>
      </c>
      <c r="B197">
        <v>0.56743302251408645</v>
      </c>
      <c r="C197">
        <v>0.26688230859599571</v>
      </c>
    </row>
    <row r="198" spans="1:3">
      <c r="A198">
        <v>190</v>
      </c>
      <c r="B198">
        <v>0.433345875867723</v>
      </c>
      <c r="C198">
        <v>0.59135970350689604</v>
      </c>
    </row>
    <row r="199" spans="1:3">
      <c r="A199">
        <v>191</v>
      </c>
      <c r="B199">
        <v>9.5920157652329696E-2</v>
      </c>
      <c r="C199">
        <v>0.83640567773454677</v>
      </c>
    </row>
    <row r="200" spans="1:3">
      <c r="A200">
        <v>192</v>
      </c>
      <c r="B200">
        <v>0.69008797973768965</v>
      </c>
      <c r="C200">
        <v>0.52450521691207541</v>
      </c>
    </row>
    <row r="201" spans="1:3">
      <c r="A201">
        <v>193</v>
      </c>
      <c r="B201">
        <v>0.88412489680855655</v>
      </c>
      <c r="C201">
        <v>0.18268209954388226</v>
      </c>
    </row>
    <row r="202" spans="1:3">
      <c r="A202">
        <v>194</v>
      </c>
      <c r="B202">
        <v>0.18121357157226037</v>
      </c>
      <c r="C202">
        <v>0.12774671748491073</v>
      </c>
    </row>
    <row r="203" spans="1:3">
      <c r="A203">
        <v>195</v>
      </c>
      <c r="B203">
        <v>0.75761788709289801</v>
      </c>
      <c r="C203">
        <v>0.53998343915043279</v>
      </c>
    </row>
    <row r="204" spans="1:3">
      <c r="A204">
        <v>196</v>
      </c>
      <c r="B204">
        <v>0.67580757903582589</v>
      </c>
      <c r="C204">
        <v>8.9712644357859972E-2</v>
      </c>
    </row>
    <row r="205" spans="1:3">
      <c r="A205">
        <v>197</v>
      </c>
      <c r="B205">
        <v>8.792924507426314E-2</v>
      </c>
      <c r="C205">
        <v>0.78090730154599441</v>
      </c>
    </row>
    <row r="206" spans="1:3">
      <c r="A206">
        <v>198</v>
      </c>
      <c r="B206">
        <v>0.74956816157735151</v>
      </c>
      <c r="C206">
        <v>5.7200194591132458E-2</v>
      </c>
    </row>
    <row r="207" spans="1:3">
      <c r="A207">
        <v>199</v>
      </c>
      <c r="B207">
        <v>0.64560039632478738</v>
      </c>
      <c r="C207">
        <v>0.52716208330366499</v>
      </c>
    </row>
    <row r="208" spans="1:3">
      <c r="A208">
        <v>200</v>
      </c>
      <c r="B208">
        <v>8.8022139985585154E-2</v>
      </c>
      <c r="C208">
        <v>0.12796282010276627</v>
      </c>
    </row>
    <row r="209" spans="1:3">
      <c r="A209">
        <v>201</v>
      </c>
      <c r="B209">
        <v>0.92169251145345443</v>
      </c>
      <c r="C209">
        <v>0.28923570066126558</v>
      </c>
    </row>
    <row r="210" spans="1:3">
      <c r="A210">
        <v>202</v>
      </c>
      <c r="B210">
        <v>0.16285428558100346</v>
      </c>
      <c r="C210">
        <v>0.17234301243661321</v>
      </c>
    </row>
    <row r="211" spans="1:3">
      <c r="A211">
        <v>203</v>
      </c>
      <c r="B211">
        <v>0.70192657699527372</v>
      </c>
      <c r="C211">
        <v>0.18194433067310456</v>
      </c>
    </row>
    <row r="212" spans="1:3">
      <c r="A212">
        <v>204</v>
      </c>
      <c r="B212">
        <v>0.18278677702527185</v>
      </c>
      <c r="C212">
        <v>0.57012569429025461</v>
      </c>
    </row>
    <row r="213" spans="1:3">
      <c r="A213">
        <v>205</v>
      </c>
      <c r="B213">
        <v>0.81768407012794264</v>
      </c>
      <c r="C213">
        <v>0.27853090019289084</v>
      </c>
    </row>
    <row r="214" spans="1:3">
      <c r="A214">
        <v>206</v>
      </c>
      <c r="B214">
        <v>0.20595691634131524</v>
      </c>
      <c r="C214">
        <v>0.91994314602925442</v>
      </c>
    </row>
    <row r="215" spans="1:3">
      <c r="A215">
        <v>207</v>
      </c>
      <c r="B215">
        <v>6.4929717621749664E-2</v>
      </c>
      <c r="C215">
        <v>0.11545731188653008</v>
      </c>
    </row>
    <row r="216" spans="1:3">
      <c r="A216">
        <v>208</v>
      </c>
      <c r="B216">
        <v>0.58464061326921002</v>
      </c>
      <c r="C216">
        <v>0.78244427614299639</v>
      </c>
    </row>
    <row r="217" spans="1:3">
      <c r="A217">
        <v>209</v>
      </c>
      <c r="B217">
        <v>0.92879720554542666</v>
      </c>
      <c r="C217">
        <v>8.6698461459519649E-2</v>
      </c>
    </row>
    <row r="218" spans="1:3">
      <c r="A218">
        <v>210</v>
      </c>
      <c r="B218">
        <v>8.3243669542307885E-2</v>
      </c>
      <c r="C218">
        <v>9.6180386862215528E-2</v>
      </c>
    </row>
    <row r="219" spans="1:3">
      <c r="A219">
        <v>211</v>
      </c>
      <c r="B219">
        <v>0.30132685687028032</v>
      </c>
      <c r="C219">
        <v>0.45641041712769947</v>
      </c>
    </row>
    <row r="220" spans="1:3">
      <c r="A220">
        <v>212</v>
      </c>
      <c r="B220">
        <v>1.8583755860706733E-3</v>
      </c>
      <c r="C220">
        <v>0.24234927344696189</v>
      </c>
    </row>
    <row r="221" spans="1:3">
      <c r="A221">
        <v>213</v>
      </c>
      <c r="B221">
        <v>6.7910902575103307E-2</v>
      </c>
      <c r="C221">
        <v>0.29401660024177545</v>
      </c>
    </row>
    <row r="222" spans="1:3">
      <c r="A222">
        <v>214</v>
      </c>
      <c r="B222">
        <v>0.462271943597652</v>
      </c>
      <c r="C222">
        <v>0.93113263744817232</v>
      </c>
    </row>
    <row r="223" spans="1:3">
      <c r="A223">
        <v>215</v>
      </c>
      <c r="B223">
        <v>0.51073541939787925</v>
      </c>
      <c r="C223">
        <v>0.27772327210550429</v>
      </c>
    </row>
    <row r="224" spans="1:3">
      <c r="A224">
        <v>216</v>
      </c>
      <c r="B224">
        <v>0.80599260605918077</v>
      </c>
      <c r="C224">
        <v>0.36786580543684977</v>
      </c>
    </row>
    <row r="225" spans="1:3">
      <c r="A225">
        <v>217</v>
      </c>
      <c r="B225">
        <v>0.44354798195756695</v>
      </c>
      <c r="C225">
        <v>0.3858449612489494</v>
      </c>
    </row>
    <row r="226" spans="1:3">
      <c r="A226">
        <v>218</v>
      </c>
      <c r="B226">
        <v>0.69413582251177541</v>
      </c>
      <c r="C226">
        <v>7.0603153805677721E-2</v>
      </c>
    </row>
    <row r="227" spans="1:3">
      <c r="A227">
        <v>219</v>
      </c>
      <c r="B227">
        <v>0.12273327774594847</v>
      </c>
      <c r="C227">
        <v>0.95613194783618383</v>
      </c>
    </row>
    <row r="228" spans="1:3">
      <c r="A228">
        <v>220</v>
      </c>
      <c r="B228">
        <v>0.61938021709662405</v>
      </c>
      <c r="C228">
        <v>0.66457336329949612</v>
      </c>
    </row>
    <row r="229" spans="1:3">
      <c r="A229">
        <v>221</v>
      </c>
      <c r="B229">
        <v>0.47726900955528695</v>
      </c>
      <c r="C229">
        <v>0.89744408755086624</v>
      </c>
    </row>
    <row r="230" spans="1:3">
      <c r="A230">
        <v>222</v>
      </c>
      <c r="B230">
        <v>0.72467237871714685</v>
      </c>
      <c r="C230">
        <v>0.98224865262818639</v>
      </c>
    </row>
    <row r="231" spans="1:3">
      <c r="A231">
        <v>223</v>
      </c>
      <c r="B231">
        <v>0.3937155947651983</v>
      </c>
      <c r="C231">
        <v>0.99950051948599139</v>
      </c>
    </row>
    <row r="232" spans="1:3">
      <c r="A232">
        <v>224</v>
      </c>
      <c r="B232">
        <v>0.23325794097763905</v>
      </c>
      <c r="C232">
        <v>0.57480201749240223</v>
      </c>
    </row>
    <row r="233" spans="1:3">
      <c r="A233">
        <v>225</v>
      </c>
      <c r="B233">
        <v>0.12331552147569963</v>
      </c>
      <c r="C233">
        <v>0.83105477192475519</v>
      </c>
    </row>
    <row r="234" spans="1:3">
      <c r="A234">
        <v>226</v>
      </c>
      <c r="B234">
        <v>0.92980692615541793</v>
      </c>
      <c r="C234">
        <v>0.5865219197485203</v>
      </c>
    </row>
    <row r="235" spans="1:3">
      <c r="A235">
        <v>227</v>
      </c>
      <c r="B235">
        <v>0.99086479185937548</v>
      </c>
      <c r="C235">
        <v>0.71499903698349954</v>
      </c>
    </row>
    <row r="236" spans="1:3">
      <c r="A236">
        <v>228</v>
      </c>
      <c r="B236">
        <v>0.63050967909780098</v>
      </c>
      <c r="C236">
        <v>0.65684751647404482</v>
      </c>
    </row>
    <row r="237" spans="1:3">
      <c r="A237">
        <v>229</v>
      </c>
      <c r="B237">
        <v>0.7194509712540198</v>
      </c>
      <c r="C237">
        <v>9.3854593867945368E-2</v>
      </c>
    </row>
    <row r="238" spans="1:3">
      <c r="A238">
        <v>230</v>
      </c>
      <c r="B238">
        <v>0.66387820673242171</v>
      </c>
      <c r="C238">
        <v>0.72410950141147623</v>
      </c>
    </row>
    <row r="239" spans="1:3">
      <c r="A239">
        <v>231</v>
      </c>
      <c r="B239">
        <v>0.6867196421159244</v>
      </c>
      <c r="C239">
        <v>3.2954708040051628E-2</v>
      </c>
    </row>
    <row r="240" spans="1:3">
      <c r="A240">
        <v>232</v>
      </c>
      <c r="B240">
        <v>0.62092664181020263</v>
      </c>
      <c r="C240">
        <v>0.94566757253323885</v>
      </c>
    </row>
    <row r="241" spans="1:3">
      <c r="A241">
        <v>233</v>
      </c>
      <c r="B241">
        <v>0.91398555681132365</v>
      </c>
      <c r="C241">
        <v>0.91487911742660799</v>
      </c>
    </row>
    <row r="242" spans="1:3">
      <c r="A242">
        <v>234</v>
      </c>
      <c r="B242">
        <v>0.66147497925708887</v>
      </c>
      <c r="C242">
        <v>0.92984913565214811</v>
      </c>
    </row>
    <row r="243" spans="1:3">
      <c r="A243">
        <v>235</v>
      </c>
      <c r="B243">
        <v>9.8686756204275125E-2</v>
      </c>
      <c r="C243">
        <v>0.50808111994228966</v>
      </c>
    </row>
    <row r="244" spans="1:3">
      <c r="A244">
        <v>236</v>
      </c>
      <c r="B244">
        <v>4.3236398436184133E-2</v>
      </c>
      <c r="C244">
        <v>0.7322390755662127</v>
      </c>
    </row>
    <row r="245" spans="1:3">
      <c r="A245">
        <v>237</v>
      </c>
      <c r="B245">
        <v>0.52548775741329601</v>
      </c>
      <c r="C245">
        <v>0.88720635695064232</v>
      </c>
    </row>
    <row r="246" spans="1:3">
      <c r="A246">
        <v>238</v>
      </c>
      <c r="B246">
        <v>0.41283174134880113</v>
      </c>
      <c r="C246">
        <v>0.83170917319330329</v>
      </c>
    </row>
    <row r="247" spans="1:3">
      <c r="A247">
        <v>239</v>
      </c>
      <c r="B247">
        <v>0.24617497991611598</v>
      </c>
      <c r="C247">
        <v>0.40108244006205496</v>
      </c>
    </row>
    <row r="248" spans="1:3">
      <c r="A248">
        <v>240</v>
      </c>
      <c r="B248">
        <v>0.8322705911223941</v>
      </c>
      <c r="C248">
        <v>6.1290174009627663E-2</v>
      </c>
    </row>
    <row r="249" spans="1:3">
      <c r="A249">
        <v>241</v>
      </c>
      <c r="B249">
        <v>0.67681139472308838</v>
      </c>
      <c r="C249">
        <v>0.90084247243339632</v>
      </c>
    </row>
    <row r="250" spans="1:3">
      <c r="A250">
        <v>242</v>
      </c>
      <c r="B250">
        <v>4.8836777261885997E-2</v>
      </c>
      <c r="C250">
        <v>0.72359124665126728</v>
      </c>
    </row>
    <row r="251" spans="1:3">
      <c r="A251">
        <v>243</v>
      </c>
      <c r="B251">
        <v>0.84271620963483962</v>
      </c>
      <c r="C251">
        <v>0.3683147834135525</v>
      </c>
    </row>
    <row r="252" spans="1:3">
      <c r="A252">
        <v>244</v>
      </c>
      <c r="B252">
        <v>3.3975360922975317E-2</v>
      </c>
      <c r="C252">
        <v>0.924019530753867</v>
      </c>
    </row>
    <row r="253" spans="1:3">
      <c r="A253">
        <v>245</v>
      </c>
      <c r="B253">
        <v>0.12673797497286879</v>
      </c>
      <c r="C253">
        <v>0.82021759657709481</v>
      </c>
    </row>
    <row r="254" spans="1:3">
      <c r="A254">
        <v>246</v>
      </c>
      <c r="B254">
        <v>0.79878780607897504</v>
      </c>
      <c r="C254">
        <v>0.34301351003341551</v>
      </c>
    </row>
    <row r="255" spans="1:3">
      <c r="A255">
        <v>247</v>
      </c>
      <c r="B255">
        <v>0.94014333103670356</v>
      </c>
      <c r="C255">
        <v>0.56012341007044597</v>
      </c>
    </row>
    <row r="256" spans="1:3">
      <c r="A256">
        <v>248</v>
      </c>
      <c r="B256">
        <v>0.19599422029428981</v>
      </c>
      <c r="C256">
        <v>7.3585749507401488E-2</v>
      </c>
    </row>
    <row r="257" spans="1:3">
      <c r="A257">
        <v>249</v>
      </c>
      <c r="B257">
        <v>0.29562322644042394</v>
      </c>
      <c r="C257">
        <v>0.39627854788068362</v>
      </c>
    </row>
    <row r="258" spans="1:3">
      <c r="A258">
        <v>250</v>
      </c>
      <c r="B258">
        <v>0.74490896739529189</v>
      </c>
      <c r="C258">
        <v>0.39383874609484337</v>
      </c>
    </row>
    <row r="259" spans="1:3">
      <c r="A259">
        <v>251</v>
      </c>
      <c r="B259">
        <v>0.87729443292699161</v>
      </c>
      <c r="C259">
        <v>3.1465156617741741E-2</v>
      </c>
    </row>
    <row r="260" spans="1:3">
      <c r="A260">
        <v>252</v>
      </c>
      <c r="B260">
        <v>0.67247402031171932</v>
      </c>
      <c r="C260">
        <v>0.28119547501592024</v>
      </c>
    </row>
    <row r="261" spans="1:3">
      <c r="A261">
        <v>253</v>
      </c>
      <c r="B261">
        <v>0.99462880717442115</v>
      </c>
      <c r="C261">
        <v>0.72599417171022651</v>
      </c>
    </row>
    <row r="262" spans="1:3">
      <c r="A262">
        <v>254</v>
      </c>
      <c r="B262">
        <v>0.24947687670366767</v>
      </c>
      <c r="C262">
        <v>4.9619463712588185E-2</v>
      </c>
    </row>
    <row r="263" spans="1:3">
      <c r="A263">
        <v>255</v>
      </c>
      <c r="B263">
        <v>0.22307875538991734</v>
      </c>
      <c r="C263">
        <v>0.84865515832552774</v>
      </c>
    </row>
    <row r="264" spans="1:3">
      <c r="A264">
        <v>256</v>
      </c>
      <c r="B264">
        <v>0.45574386684590573</v>
      </c>
      <c r="C264">
        <v>0.51322914557931654</v>
      </c>
    </row>
    <row r="265" spans="1:3">
      <c r="A265">
        <v>257</v>
      </c>
      <c r="B265">
        <v>0.96532180933824785</v>
      </c>
      <c r="C265">
        <v>6.4133336339182279E-2</v>
      </c>
    </row>
    <row r="266" spans="1:3">
      <c r="A266">
        <v>258</v>
      </c>
      <c r="B266">
        <v>0.3769473806761548</v>
      </c>
      <c r="C266">
        <v>0.2385945088826702</v>
      </c>
    </row>
    <row r="267" spans="1:3">
      <c r="A267">
        <v>259</v>
      </c>
      <c r="B267">
        <v>0.46165074783159665</v>
      </c>
      <c r="C267">
        <v>0.76618895395495201</v>
      </c>
    </row>
    <row r="268" spans="1:3">
      <c r="A268">
        <v>260</v>
      </c>
      <c r="B268">
        <v>0.98089230723141041</v>
      </c>
      <c r="C268">
        <v>0.31689544848813966</v>
      </c>
    </row>
    <row r="269" spans="1:3">
      <c r="A269">
        <v>261</v>
      </c>
      <c r="B269">
        <v>0.51230176855421206</v>
      </c>
      <c r="C269">
        <v>0.89231223170372687</v>
      </c>
    </row>
    <row r="270" spans="1:3">
      <c r="A270">
        <v>262</v>
      </c>
      <c r="B270">
        <v>0.89542476597275233</v>
      </c>
      <c r="C270">
        <v>0.5838281658179767</v>
      </c>
    </row>
    <row r="271" spans="1:3">
      <c r="A271">
        <v>263</v>
      </c>
      <c r="B271">
        <v>0.98588334127442989</v>
      </c>
      <c r="C271">
        <v>0.43073627498142741</v>
      </c>
    </row>
    <row r="272" spans="1:3">
      <c r="A272">
        <v>264</v>
      </c>
      <c r="B272">
        <v>0.23540355074810879</v>
      </c>
      <c r="C272">
        <v>0.72740181364315504</v>
      </c>
    </row>
    <row r="273" spans="1:3">
      <c r="A273">
        <v>265</v>
      </c>
      <c r="B273">
        <v>0.75236384698384529</v>
      </c>
      <c r="C273">
        <v>0.33204514208864566</v>
      </c>
    </row>
    <row r="274" spans="1:3">
      <c r="A274">
        <v>266</v>
      </c>
      <c r="B274">
        <v>0.71365105712987731</v>
      </c>
      <c r="C274">
        <v>0.72974117471312638</v>
      </c>
    </row>
    <row r="275" spans="1:3">
      <c r="A275">
        <v>267</v>
      </c>
      <c r="B275">
        <v>0.43138609281936335</v>
      </c>
      <c r="C275">
        <v>0.56436818185102311</v>
      </c>
    </row>
    <row r="276" spans="1:3">
      <c r="A276">
        <v>268</v>
      </c>
      <c r="B276">
        <v>0.23437430019475852</v>
      </c>
      <c r="C276">
        <v>0.97732044789154315</v>
      </c>
    </row>
    <row r="277" spans="1:3">
      <c r="A277">
        <v>269</v>
      </c>
      <c r="B277">
        <v>0.70640304386299169</v>
      </c>
      <c r="C277">
        <v>0.89938482189157298</v>
      </c>
    </row>
    <row r="278" spans="1:3">
      <c r="A278">
        <v>270</v>
      </c>
      <c r="B278">
        <v>0.67780637529813825</v>
      </c>
      <c r="C278">
        <v>0.54409159986698796</v>
      </c>
    </row>
    <row r="279" spans="1:3">
      <c r="A279">
        <v>271</v>
      </c>
      <c r="B279">
        <v>0.28320607919623286</v>
      </c>
      <c r="C279">
        <v>0.68590618699454353</v>
      </c>
    </row>
    <row r="280" spans="1:3">
      <c r="A280">
        <v>272</v>
      </c>
      <c r="B280">
        <v>0.97528916554718492</v>
      </c>
      <c r="C280">
        <v>0.83458201761095552</v>
      </c>
    </row>
    <row r="281" spans="1:3">
      <c r="A281">
        <v>273</v>
      </c>
      <c r="B281">
        <v>0.95365965325098012</v>
      </c>
      <c r="C281">
        <v>0.8258204758994907</v>
      </c>
    </row>
    <row r="282" spans="1:3">
      <c r="A282">
        <v>274</v>
      </c>
      <c r="B282">
        <v>0.36692098371682708</v>
      </c>
      <c r="C282">
        <v>0.84949567095100065</v>
      </c>
    </row>
    <row r="283" spans="1:3">
      <c r="A283">
        <v>275</v>
      </c>
      <c r="B283">
        <v>0.9238945159786135</v>
      </c>
      <c r="C283">
        <v>0.24348613125675911</v>
      </c>
    </row>
    <row r="284" spans="1:3">
      <c r="A284">
        <v>276</v>
      </c>
      <c r="B284">
        <v>0.55786791684172765</v>
      </c>
      <c r="C284">
        <v>0.28726741998798389</v>
      </c>
    </row>
    <row r="285" spans="1:3">
      <c r="A285">
        <v>277</v>
      </c>
      <c r="B285">
        <v>0.89012003136289308</v>
      </c>
      <c r="C285">
        <v>0.56063955483205064</v>
      </c>
    </row>
    <row r="286" spans="1:3">
      <c r="A286">
        <v>278</v>
      </c>
      <c r="B286">
        <v>0.37861770299068132</v>
      </c>
      <c r="C286">
        <v>0.1220198289011023</v>
      </c>
    </row>
    <row r="287" spans="1:3">
      <c r="A287">
        <v>279</v>
      </c>
      <c r="B287">
        <v>0.23916917685888922</v>
      </c>
      <c r="C287">
        <v>0.71353758498571551</v>
      </c>
    </row>
    <row r="288" spans="1:3">
      <c r="A288">
        <v>280</v>
      </c>
      <c r="B288">
        <v>0.98686061418262794</v>
      </c>
      <c r="C288">
        <v>0.58632247265086335</v>
      </c>
    </row>
    <row r="289" spans="1:3">
      <c r="A289">
        <v>281</v>
      </c>
      <c r="B289">
        <v>0.82744814914382259</v>
      </c>
      <c r="C289">
        <v>0.93679421620345238</v>
      </c>
    </row>
    <row r="290" spans="1:3">
      <c r="A290">
        <v>282</v>
      </c>
      <c r="B290">
        <v>0.54545389929354515</v>
      </c>
      <c r="C290">
        <v>0.31914641256662435</v>
      </c>
    </row>
    <row r="291" spans="1:3">
      <c r="A291">
        <v>283</v>
      </c>
      <c r="B291">
        <v>0.21982381841908766</v>
      </c>
      <c r="C291">
        <v>0.58098772387802455</v>
      </c>
    </row>
    <row r="292" spans="1:3">
      <c r="A292">
        <v>284</v>
      </c>
      <c r="B292">
        <v>0.45946440989232257</v>
      </c>
      <c r="C292">
        <v>0.97028151925042039</v>
      </c>
    </row>
    <row r="293" spans="1:3">
      <c r="A293">
        <v>285</v>
      </c>
      <c r="B293">
        <v>0.79398011130652857</v>
      </c>
      <c r="C293">
        <v>0.91963829460564739</v>
      </c>
    </row>
    <row r="294" spans="1:3">
      <c r="A294">
        <v>286</v>
      </c>
      <c r="B294">
        <v>0.99563464679863178</v>
      </c>
      <c r="C294">
        <v>0.93519278509666037</v>
      </c>
    </row>
    <row r="295" spans="1:3">
      <c r="A295">
        <v>287</v>
      </c>
      <c r="B295">
        <v>7.1137832935233097E-2</v>
      </c>
      <c r="C295">
        <v>0.12864359425748262</v>
      </c>
    </row>
    <row r="296" spans="1:3">
      <c r="A296">
        <v>288</v>
      </c>
      <c r="B296">
        <v>0.72731274312043392</v>
      </c>
      <c r="C296">
        <v>0.60021050975410617</v>
      </c>
    </row>
    <row r="297" spans="1:3">
      <c r="A297">
        <v>289</v>
      </c>
      <c r="B297">
        <v>0.72599796122731597</v>
      </c>
      <c r="C297">
        <v>0.17959841013271216</v>
      </c>
    </row>
    <row r="298" spans="1:3">
      <c r="A298">
        <v>290</v>
      </c>
      <c r="B298">
        <v>0.75990293873425174</v>
      </c>
      <c r="C298">
        <v>0.64149573272698035</v>
      </c>
    </row>
    <row r="299" spans="1:3">
      <c r="A299">
        <v>291</v>
      </c>
      <c r="B299">
        <v>0.47963010302829329</v>
      </c>
      <c r="C299">
        <v>0.19121212681147881</v>
      </c>
    </row>
    <row r="300" spans="1:3">
      <c r="A300">
        <v>292</v>
      </c>
      <c r="B300">
        <v>0.62685085876911206</v>
      </c>
      <c r="C300">
        <v>0.99458213950856589</v>
      </c>
    </row>
    <row r="301" spans="1:3">
      <c r="A301">
        <v>293</v>
      </c>
      <c r="B301">
        <v>0.10192527664683883</v>
      </c>
      <c r="C301">
        <v>0.99193402930086449</v>
      </c>
    </row>
    <row r="302" spans="1:3">
      <c r="A302">
        <v>294</v>
      </c>
      <c r="B302">
        <v>0.38141303763757767</v>
      </c>
      <c r="C302">
        <v>0.14240312412766798</v>
      </c>
    </row>
    <row r="303" spans="1:3">
      <c r="A303">
        <v>295</v>
      </c>
      <c r="B303">
        <v>0.8651199074238819</v>
      </c>
      <c r="C303">
        <v>0.98861723686150071</v>
      </c>
    </row>
    <row r="304" spans="1:3">
      <c r="A304">
        <v>296</v>
      </c>
      <c r="B304">
        <v>0.29208638583195545</v>
      </c>
      <c r="C304">
        <v>0.9748420887372049</v>
      </c>
    </row>
    <row r="305" spans="1:3">
      <c r="A305">
        <v>297</v>
      </c>
      <c r="B305">
        <v>0.37951823681907687</v>
      </c>
      <c r="C305">
        <v>6.3751215485353896E-2</v>
      </c>
    </row>
    <row r="306" spans="1:3">
      <c r="A306">
        <v>298</v>
      </c>
      <c r="B306">
        <v>0.85171690261287536</v>
      </c>
      <c r="C306">
        <v>6.4766973167934339E-2</v>
      </c>
    </row>
    <row r="307" spans="1:3">
      <c r="A307">
        <v>299</v>
      </c>
      <c r="B307">
        <v>0.81142427718486276</v>
      </c>
      <c r="C307">
        <v>0.81613439558077516</v>
      </c>
    </row>
    <row r="308" spans="1:3">
      <c r="A308">
        <v>300</v>
      </c>
      <c r="B308">
        <v>0.29312896517667197</v>
      </c>
      <c r="C308">
        <v>0.61624676004430512</v>
      </c>
    </row>
    <row r="309" spans="1:3">
      <c r="A309">
        <v>301</v>
      </c>
      <c r="B309">
        <v>0.87889156766396281</v>
      </c>
      <c r="C309">
        <v>8.2086765857638966E-2</v>
      </c>
    </row>
    <row r="310" spans="1:3">
      <c r="A310">
        <v>302</v>
      </c>
      <c r="B310">
        <v>3.7704157652497329E-2</v>
      </c>
      <c r="C310">
        <v>0.12154684669985727</v>
      </c>
    </row>
    <row r="311" spans="1:3">
      <c r="A311">
        <v>303</v>
      </c>
      <c r="B311">
        <v>0.16012259759430833</v>
      </c>
      <c r="C311">
        <v>0.77846895064885757</v>
      </c>
    </row>
    <row r="312" spans="1:3">
      <c r="A312">
        <v>304</v>
      </c>
      <c r="B312">
        <v>0.49599217648687588</v>
      </c>
      <c r="C312">
        <v>0.44625646310669254</v>
      </c>
    </row>
    <row r="313" spans="1:3">
      <c r="A313">
        <v>305</v>
      </c>
      <c r="B313">
        <v>8.9572290378755956E-2</v>
      </c>
      <c r="C313">
        <v>0.41023555636547826</v>
      </c>
    </row>
    <row r="314" spans="1:3">
      <c r="A314">
        <v>306</v>
      </c>
      <c r="B314">
        <v>0.41762914338862273</v>
      </c>
      <c r="C314">
        <v>0.37078838344859832</v>
      </c>
    </row>
    <row r="315" spans="1:3">
      <c r="A315">
        <v>307</v>
      </c>
      <c r="B315">
        <v>0.3555878177049076</v>
      </c>
      <c r="C315">
        <v>0.2703766948707198</v>
      </c>
    </row>
    <row r="316" spans="1:3">
      <c r="A316">
        <v>308</v>
      </c>
      <c r="B316">
        <v>0.34669430396349504</v>
      </c>
      <c r="C316">
        <v>0.5728932345055</v>
      </c>
    </row>
    <row r="317" spans="1:3">
      <c r="A317">
        <v>309</v>
      </c>
      <c r="B317">
        <v>0.36107530116571002</v>
      </c>
      <c r="C317">
        <v>0.91251152165568783</v>
      </c>
    </row>
    <row r="318" spans="1:3">
      <c r="A318">
        <v>310</v>
      </c>
      <c r="B318">
        <v>0.29685497549731632</v>
      </c>
      <c r="C318">
        <v>0.95024298435509991</v>
      </c>
    </row>
    <row r="319" spans="1:3">
      <c r="A319">
        <v>311</v>
      </c>
      <c r="B319">
        <v>0.29060552539853507</v>
      </c>
      <c r="C319">
        <v>0.80054947831922618</v>
      </c>
    </row>
    <row r="320" spans="1:3">
      <c r="A320">
        <v>312</v>
      </c>
      <c r="B320">
        <v>0.68347802547981917</v>
      </c>
      <c r="C320">
        <v>0.63058535879918054</v>
      </c>
    </row>
    <row r="321" spans="1:3">
      <c r="A321">
        <v>313</v>
      </c>
      <c r="B321">
        <v>0.11839767318484319</v>
      </c>
      <c r="C321">
        <v>6.8769444711506367E-2</v>
      </c>
    </row>
    <row r="322" spans="1:3">
      <c r="A322">
        <v>314</v>
      </c>
      <c r="B322">
        <v>0.48303055816400575</v>
      </c>
      <c r="C322">
        <v>0.19665817864279234</v>
      </c>
    </row>
    <row r="323" spans="1:3">
      <c r="A323">
        <v>315</v>
      </c>
      <c r="B323">
        <v>0.2719500721536926</v>
      </c>
      <c r="C323">
        <v>0.24500987576357147</v>
      </c>
    </row>
    <row r="324" spans="1:3">
      <c r="A324">
        <v>316</v>
      </c>
      <c r="B324">
        <v>0.187964032968265</v>
      </c>
      <c r="C324">
        <v>0.83100903702688811</v>
      </c>
    </row>
    <row r="325" spans="1:3">
      <c r="A325">
        <v>317</v>
      </c>
      <c r="B325">
        <v>0.18519427331262134</v>
      </c>
      <c r="C325">
        <v>0.76072300502073631</v>
      </c>
    </row>
    <row r="326" spans="1:3">
      <c r="A326">
        <v>318</v>
      </c>
      <c r="B326">
        <v>0.24546700246503275</v>
      </c>
      <c r="C326">
        <v>0.47775459673721343</v>
      </c>
    </row>
    <row r="327" spans="1:3">
      <c r="A327">
        <v>319</v>
      </c>
      <c r="B327">
        <v>0.98798087871376916</v>
      </c>
      <c r="C327">
        <v>0.35169504402711027</v>
      </c>
    </row>
    <row r="328" spans="1:3">
      <c r="A328">
        <v>320</v>
      </c>
      <c r="B328">
        <v>0.38514087947368175</v>
      </c>
      <c r="C328">
        <v>0.92521802245209983</v>
      </c>
    </row>
    <row r="329" spans="1:3">
      <c r="A329">
        <v>321</v>
      </c>
      <c r="B329">
        <v>0.80671661451382493</v>
      </c>
      <c r="C329">
        <v>0.39281995855435525</v>
      </c>
    </row>
    <row r="330" spans="1:3">
      <c r="A330">
        <v>322</v>
      </c>
      <c r="B330">
        <v>0.49732772812511017</v>
      </c>
      <c r="C330">
        <v>0.81255155289909453</v>
      </c>
    </row>
    <row r="331" spans="1:3">
      <c r="A331">
        <v>323</v>
      </c>
      <c r="B331">
        <v>0.30409670906469616</v>
      </c>
      <c r="C331">
        <v>0.38483097153130075</v>
      </c>
    </row>
    <row r="332" spans="1:3">
      <c r="A332">
        <v>324</v>
      </c>
      <c r="B332">
        <v>0.59349537690484333</v>
      </c>
      <c r="C332">
        <v>0.73270541633246467</v>
      </c>
    </row>
    <row r="333" spans="1:3">
      <c r="A333">
        <v>325</v>
      </c>
      <c r="B333">
        <v>7.7387285899693903E-2</v>
      </c>
      <c r="C333">
        <v>0.78684633772627421</v>
      </c>
    </row>
    <row r="334" spans="1:3">
      <c r="A334">
        <v>326</v>
      </c>
      <c r="B334">
        <v>0.14217783437137907</v>
      </c>
      <c r="C334">
        <v>0.13176310583003215</v>
      </c>
    </row>
    <row r="335" spans="1:3">
      <c r="A335">
        <v>327</v>
      </c>
      <c r="B335">
        <v>6.9094570057255805E-2</v>
      </c>
      <c r="C335">
        <v>0.91329601434608776</v>
      </c>
    </row>
    <row r="336" spans="1:3">
      <c r="A336">
        <v>328</v>
      </c>
      <c r="B336">
        <v>0.52243743160726441</v>
      </c>
      <c r="C336">
        <v>0.97148636771271413</v>
      </c>
    </row>
    <row r="337" spans="1:3">
      <c r="A337">
        <v>329</v>
      </c>
      <c r="B337">
        <v>0.27081071681594726</v>
      </c>
      <c r="C337">
        <v>0.57727785606493853</v>
      </c>
    </row>
    <row r="338" spans="1:3">
      <c r="A338">
        <v>330</v>
      </c>
      <c r="B338">
        <v>0.31766816869510062</v>
      </c>
      <c r="C338">
        <v>0.95083732684724964</v>
      </c>
    </row>
    <row r="339" spans="1:3">
      <c r="A339">
        <v>331</v>
      </c>
      <c r="B339">
        <v>0.2746051373546024</v>
      </c>
      <c r="C339">
        <v>0.69961061000049085</v>
      </c>
    </row>
    <row r="340" spans="1:3">
      <c r="A340">
        <v>332</v>
      </c>
      <c r="B340">
        <v>0.44876813794201426</v>
      </c>
      <c r="C340">
        <v>0.67852694802786573</v>
      </c>
    </row>
    <row r="341" spans="1:3">
      <c r="A341">
        <v>333</v>
      </c>
      <c r="B341">
        <v>0.51873070405021549</v>
      </c>
      <c r="C341">
        <v>0.81468572247740667</v>
      </c>
    </row>
    <row r="342" spans="1:3">
      <c r="A342">
        <v>334</v>
      </c>
      <c r="B342">
        <v>0.86410529550702908</v>
      </c>
      <c r="C342">
        <v>0.38752027733971772</v>
      </c>
    </row>
    <row r="343" spans="1:3">
      <c r="A343">
        <v>335</v>
      </c>
      <c r="B343">
        <v>0.94788390039417048</v>
      </c>
      <c r="C343">
        <v>0.24965677803356812</v>
      </c>
    </row>
    <row r="344" spans="1:3">
      <c r="A344">
        <v>336</v>
      </c>
      <c r="B344">
        <v>0.44058853854834767</v>
      </c>
      <c r="C344">
        <v>0.27916761522646993</v>
      </c>
    </row>
    <row r="345" spans="1:3">
      <c r="A345">
        <v>337</v>
      </c>
      <c r="B345">
        <v>0.49852036256401805</v>
      </c>
      <c r="C345">
        <v>0.69557953748426371</v>
      </c>
    </row>
    <row r="346" spans="1:3">
      <c r="A346">
        <v>338</v>
      </c>
      <c r="B346">
        <v>0.49999613799340931</v>
      </c>
      <c r="C346">
        <v>0.30493725582527986</v>
      </c>
    </row>
    <row r="347" spans="1:3">
      <c r="A347">
        <v>339</v>
      </c>
      <c r="B347">
        <v>0.9647641644069842</v>
      </c>
      <c r="C347">
        <v>0.33269595359615778</v>
      </c>
    </row>
    <row r="348" spans="1:3">
      <c r="A348">
        <v>340</v>
      </c>
      <c r="B348">
        <v>0.27254729060003241</v>
      </c>
      <c r="C348">
        <v>1.4872851552354405E-2</v>
      </c>
    </row>
    <row r="349" spans="1:3">
      <c r="A349">
        <v>341</v>
      </c>
      <c r="B349">
        <v>0.80976839755586549</v>
      </c>
      <c r="C349">
        <v>4.2773981163009012E-2</v>
      </c>
    </row>
    <row r="350" spans="1:3">
      <c r="A350">
        <v>342</v>
      </c>
      <c r="B350">
        <v>1.9357135893627333E-2</v>
      </c>
      <c r="C350">
        <v>8.4886834432836622E-2</v>
      </c>
    </row>
    <row r="351" spans="1:3">
      <c r="A351">
        <v>343</v>
      </c>
      <c r="B351">
        <v>5.6768623753629767E-2</v>
      </c>
      <c r="C351">
        <v>0.81685195036970981</v>
      </c>
    </row>
    <row r="352" spans="1:3">
      <c r="A352">
        <v>344</v>
      </c>
      <c r="B352">
        <v>0.5292533032622313</v>
      </c>
      <c r="C352">
        <v>0.7146033065746451</v>
      </c>
    </row>
    <row r="353" spans="1:3">
      <c r="A353">
        <v>345</v>
      </c>
      <c r="B353">
        <v>0.79156896766684226</v>
      </c>
      <c r="C353">
        <v>0.46454386447021534</v>
      </c>
    </row>
    <row r="354" spans="1:3">
      <c r="A354">
        <v>346</v>
      </c>
      <c r="B354">
        <v>0.9001432361519297</v>
      </c>
      <c r="C354">
        <v>0.7765289766866772</v>
      </c>
    </row>
    <row r="355" spans="1:3">
      <c r="A355">
        <v>347</v>
      </c>
      <c r="B355">
        <v>0.48523697217722356</v>
      </c>
      <c r="C355">
        <v>4.1417087769332284E-2</v>
      </c>
    </row>
    <row r="356" spans="1:3">
      <c r="A356">
        <v>348</v>
      </c>
      <c r="B356">
        <v>0.16312355638368137</v>
      </c>
      <c r="C356">
        <v>0.64643109775897756</v>
      </c>
    </row>
    <row r="357" spans="1:3">
      <c r="A357">
        <v>349</v>
      </c>
      <c r="B357">
        <v>0.20211731670496921</v>
      </c>
      <c r="C357">
        <v>0.6722677920561182</v>
      </c>
    </row>
    <row r="358" spans="1:3">
      <c r="A358">
        <v>350</v>
      </c>
      <c r="B358">
        <v>0.39554183538666499</v>
      </c>
      <c r="C358">
        <v>0.28983927239460172</v>
      </c>
    </row>
    <row r="359" spans="1:3">
      <c r="A359">
        <v>351</v>
      </c>
      <c r="B359">
        <v>0.45173479936801242</v>
      </c>
      <c r="C359">
        <v>0.9572123998468669</v>
      </c>
    </row>
    <row r="360" spans="1:3">
      <c r="A360">
        <v>352</v>
      </c>
      <c r="B360">
        <v>8.6592005300240582E-2</v>
      </c>
      <c r="C360">
        <v>0.92769186428995454</v>
      </c>
    </row>
    <row r="361" spans="1:3">
      <c r="A361">
        <v>353</v>
      </c>
      <c r="B361">
        <v>0.84499831784726087</v>
      </c>
      <c r="C361">
        <v>0.88765662386867916</v>
      </c>
    </row>
    <row r="362" spans="1:3">
      <c r="A362">
        <v>354</v>
      </c>
      <c r="B362">
        <v>0.15615695194763993</v>
      </c>
      <c r="C362">
        <v>0.99736542394020944</v>
      </c>
    </row>
    <row r="363" spans="1:3">
      <c r="A363">
        <v>355</v>
      </c>
      <c r="B363">
        <v>0.64479045985517802</v>
      </c>
      <c r="C363">
        <v>0.91405702342945006</v>
      </c>
    </row>
    <row r="364" spans="1:3">
      <c r="A364">
        <v>356</v>
      </c>
      <c r="B364">
        <v>0.56953546161170476</v>
      </c>
      <c r="C364">
        <v>0.18264573962915165</v>
      </c>
    </row>
    <row r="365" spans="1:3">
      <c r="A365">
        <v>357</v>
      </c>
      <c r="B365">
        <v>0.40684687883612863</v>
      </c>
      <c r="C365">
        <v>0.68987581660712749</v>
      </c>
    </row>
    <row r="366" spans="1:3">
      <c r="A366">
        <v>358</v>
      </c>
      <c r="B366">
        <v>0.77479486285517807</v>
      </c>
      <c r="C366">
        <v>5.6125780625734478E-2</v>
      </c>
    </row>
    <row r="367" spans="1:3">
      <c r="A367">
        <v>359</v>
      </c>
      <c r="B367">
        <v>0.8128006701706445</v>
      </c>
      <c r="C367">
        <v>0.47133709723402717</v>
      </c>
    </row>
    <row r="368" spans="1:3">
      <c r="A368">
        <v>360</v>
      </c>
      <c r="B368">
        <v>0.91571511542185102</v>
      </c>
      <c r="C368">
        <v>0.96198868049577868</v>
      </c>
    </row>
    <row r="369" spans="1:3">
      <c r="A369">
        <v>361</v>
      </c>
      <c r="B369">
        <v>0.26926313974295352</v>
      </c>
      <c r="C369">
        <v>0.35703364805249294</v>
      </c>
    </row>
    <row r="370" spans="1:3">
      <c r="A370">
        <v>362</v>
      </c>
      <c r="B370">
        <v>0.88685385216163792</v>
      </c>
      <c r="C370">
        <v>0.65387954883408383</v>
      </c>
    </row>
    <row r="371" spans="1:3">
      <c r="A371">
        <v>363</v>
      </c>
      <c r="B371">
        <v>9.3996374547480693E-2</v>
      </c>
      <c r="C371">
        <v>0.9673346397385103</v>
      </c>
    </row>
    <row r="372" spans="1:3">
      <c r="A372">
        <v>364</v>
      </c>
      <c r="B372">
        <v>0.28810808607216648</v>
      </c>
      <c r="C372">
        <v>0.690007689057893</v>
      </c>
    </row>
    <row r="373" spans="1:3">
      <c r="A373">
        <v>365</v>
      </c>
      <c r="B373">
        <v>6.1490843851000732E-2</v>
      </c>
      <c r="C373">
        <v>0.67089675309489394</v>
      </c>
    </row>
    <row r="374" spans="1:3">
      <c r="A374">
        <v>366</v>
      </c>
      <c r="B374">
        <v>0.25292012646955442</v>
      </c>
      <c r="C374">
        <v>0.13993456459866138</v>
      </c>
    </row>
    <row r="375" spans="1:3">
      <c r="A375">
        <v>367</v>
      </c>
      <c r="B375">
        <v>0.70745807428668672</v>
      </c>
      <c r="C375">
        <v>0.47178048574552633</v>
      </c>
    </row>
    <row r="376" spans="1:3">
      <c r="A376">
        <v>368</v>
      </c>
      <c r="B376">
        <v>0.41508847512050728</v>
      </c>
      <c r="C376">
        <v>3.5850358423886064E-2</v>
      </c>
    </row>
    <row r="377" spans="1:3">
      <c r="A377">
        <v>369</v>
      </c>
      <c r="B377">
        <v>0.69783508557170515</v>
      </c>
      <c r="C377">
        <v>0.82268778862271574</v>
      </c>
    </row>
    <row r="378" spans="1:3">
      <c r="A378">
        <v>370</v>
      </c>
      <c r="B378">
        <v>0.66260503802788562</v>
      </c>
      <c r="C378">
        <v>0.5722961044875774</v>
      </c>
    </row>
    <row r="379" spans="1:3">
      <c r="A379">
        <v>371</v>
      </c>
      <c r="B379">
        <v>0.68194801292357687</v>
      </c>
      <c r="C379">
        <v>0.99313408629677724</v>
      </c>
    </row>
    <row r="380" spans="1:3">
      <c r="A380">
        <v>372</v>
      </c>
      <c r="B380">
        <v>0.95215811259326488</v>
      </c>
      <c r="C380">
        <v>2.1180632570576563E-2</v>
      </c>
    </row>
    <row r="381" spans="1:3">
      <c r="A381">
        <v>373</v>
      </c>
      <c r="B381">
        <v>0.47542603540779699</v>
      </c>
      <c r="C381">
        <v>6.1953352505952353E-3</v>
      </c>
    </row>
    <row r="382" spans="1:3">
      <c r="A382">
        <v>374</v>
      </c>
      <c r="B382">
        <v>0.52763794334014835</v>
      </c>
      <c r="C382">
        <v>0.53305991800607444</v>
      </c>
    </row>
    <row r="383" spans="1:3">
      <c r="A383">
        <v>375</v>
      </c>
      <c r="B383">
        <v>4.0383625568911348E-2</v>
      </c>
      <c r="C383">
        <v>0.98604902944134665</v>
      </c>
    </row>
    <row r="384" spans="1:3">
      <c r="A384">
        <v>376</v>
      </c>
      <c r="B384">
        <v>0.43002533706860274</v>
      </c>
      <c r="C384">
        <v>0.85826560392797546</v>
      </c>
    </row>
    <row r="385" spans="1:3">
      <c r="A385">
        <v>377</v>
      </c>
      <c r="B385">
        <v>0.8223835633661094</v>
      </c>
      <c r="C385">
        <v>3.9676028753092396E-2</v>
      </c>
    </row>
    <row r="386" spans="1:3">
      <c r="A386">
        <v>378</v>
      </c>
      <c r="B386">
        <v>0.91741080067898395</v>
      </c>
      <c r="C386">
        <v>0.6337790408224464</v>
      </c>
    </row>
    <row r="387" spans="1:3">
      <c r="A387">
        <v>379</v>
      </c>
      <c r="B387">
        <v>0.14035478293205489</v>
      </c>
      <c r="C387">
        <v>0.31596744374110131</v>
      </c>
    </row>
    <row r="388" spans="1:3">
      <c r="A388">
        <v>380</v>
      </c>
      <c r="B388">
        <v>0.40170585466588515</v>
      </c>
      <c r="C388">
        <v>0.96165950185513793</v>
      </c>
    </row>
    <row r="389" spans="1:3">
      <c r="A389">
        <v>381</v>
      </c>
      <c r="B389">
        <v>0.26533904418869392</v>
      </c>
      <c r="C389">
        <v>0.11858161232157727</v>
      </c>
    </row>
    <row r="390" spans="1:3">
      <c r="A390">
        <v>382</v>
      </c>
      <c r="B390">
        <v>0.47285718047755237</v>
      </c>
      <c r="C390">
        <v>0.2760937085331534</v>
      </c>
    </row>
    <row r="391" spans="1:3">
      <c r="A391">
        <v>383</v>
      </c>
      <c r="B391">
        <v>0.50321025376376005</v>
      </c>
      <c r="C391">
        <v>6.9844415974330332E-2</v>
      </c>
    </row>
    <row r="392" spans="1:3">
      <c r="A392">
        <v>384</v>
      </c>
      <c r="B392">
        <v>0.59504314551806148</v>
      </c>
      <c r="C392">
        <v>0.72499969336968206</v>
      </c>
    </row>
    <row r="393" spans="1:3">
      <c r="A393">
        <v>385</v>
      </c>
      <c r="B393">
        <v>0.89620578632182568</v>
      </c>
      <c r="C393">
        <v>0.13468638914946496</v>
      </c>
    </row>
    <row r="394" spans="1:3">
      <c r="A394">
        <v>386</v>
      </c>
      <c r="B394">
        <v>0.32449671837699062</v>
      </c>
      <c r="C394">
        <v>0.2738405067466374</v>
      </c>
    </row>
    <row r="395" spans="1:3">
      <c r="A395">
        <v>387</v>
      </c>
      <c r="B395">
        <v>0.6743753094599525</v>
      </c>
      <c r="C395">
        <v>0.28068192672708392</v>
      </c>
    </row>
    <row r="396" spans="1:3">
      <c r="A396">
        <v>388</v>
      </c>
      <c r="B396">
        <v>0.12121760008954853</v>
      </c>
      <c r="C396">
        <v>0.76106156962305249</v>
      </c>
    </row>
    <row r="397" spans="1:3">
      <c r="A397">
        <v>389</v>
      </c>
      <c r="B397">
        <v>5.7069298443167778E-2</v>
      </c>
      <c r="C397">
        <v>0.90346178428626445</v>
      </c>
    </row>
    <row r="398" spans="1:3">
      <c r="A398">
        <v>390</v>
      </c>
      <c r="B398">
        <v>0.4526356255862945</v>
      </c>
      <c r="C398">
        <v>8.7011098921720986E-3</v>
      </c>
    </row>
    <row r="399" spans="1:3">
      <c r="A399">
        <v>391</v>
      </c>
      <c r="B399">
        <v>0.86659760055262536</v>
      </c>
      <c r="C399">
        <v>0.74005953161031357</v>
      </c>
    </row>
    <row r="400" spans="1:3">
      <c r="A400">
        <v>392</v>
      </c>
      <c r="B400">
        <v>0.12510809156440852</v>
      </c>
      <c r="C400">
        <v>0.72596872136637103</v>
      </c>
    </row>
    <row r="401" spans="1:3">
      <c r="A401">
        <v>393</v>
      </c>
      <c r="B401">
        <v>0.34266413276518326</v>
      </c>
      <c r="C401">
        <v>0.31634418833982636</v>
      </c>
    </row>
    <row r="402" spans="1:3">
      <c r="A402">
        <v>394</v>
      </c>
      <c r="B402">
        <v>3.8501895903260887E-3</v>
      </c>
      <c r="C402">
        <v>6.2322208959812997E-2</v>
      </c>
    </row>
    <row r="403" spans="1:3">
      <c r="A403">
        <v>395</v>
      </c>
      <c r="B403">
        <v>0.24805720535993048</v>
      </c>
      <c r="C403">
        <v>0.9183827348460909</v>
      </c>
    </row>
    <row r="404" spans="1:3">
      <c r="A404">
        <v>396</v>
      </c>
      <c r="B404">
        <v>0.29725637218152551</v>
      </c>
      <c r="C404">
        <v>0.56195408446637884</v>
      </c>
    </row>
    <row r="405" spans="1:3">
      <c r="A405">
        <v>397</v>
      </c>
      <c r="B405">
        <v>0.17210188994023529</v>
      </c>
      <c r="C405">
        <v>0.94105559517083748</v>
      </c>
    </row>
    <row r="406" spans="1:3">
      <c r="A406">
        <v>398</v>
      </c>
      <c r="B406">
        <v>0.79294443937203485</v>
      </c>
      <c r="C406">
        <v>2.1343523594623548E-3</v>
      </c>
    </row>
    <row r="407" spans="1:3">
      <c r="A407">
        <v>399</v>
      </c>
      <c r="B407">
        <v>0.11727707453357919</v>
      </c>
      <c r="C407">
        <v>0.7196576632304641</v>
      </c>
    </row>
    <row r="408" spans="1:3">
      <c r="A408">
        <v>400</v>
      </c>
      <c r="B408">
        <v>0.72838230362729695</v>
      </c>
      <c r="C408">
        <v>0.85373983755562222</v>
      </c>
    </row>
    <row r="409" spans="1:3">
      <c r="A409">
        <v>401</v>
      </c>
      <c r="B409">
        <v>0.90791524923497691</v>
      </c>
      <c r="C409">
        <v>0.26798303005762136</v>
      </c>
    </row>
    <row r="410" spans="1:3">
      <c r="A410">
        <v>402</v>
      </c>
      <c r="B410">
        <v>0.34816028963708329</v>
      </c>
      <c r="C410">
        <v>0.76497988029041153</v>
      </c>
    </row>
    <row r="411" spans="1:3">
      <c r="A411">
        <v>403</v>
      </c>
      <c r="B411">
        <v>0.86906798845461286</v>
      </c>
      <c r="C411">
        <v>0.3653949239933354</v>
      </c>
    </row>
    <row r="412" spans="1:3">
      <c r="A412">
        <v>404</v>
      </c>
      <c r="B412">
        <v>0.31315126659631526</v>
      </c>
      <c r="C412">
        <v>0.32794278641449637</v>
      </c>
    </row>
    <row r="413" spans="1:3">
      <c r="A413">
        <v>405</v>
      </c>
      <c r="B413">
        <v>0.46673748238332047</v>
      </c>
      <c r="C413">
        <v>0.59741750183366094</v>
      </c>
    </row>
    <row r="414" spans="1:3">
      <c r="A414">
        <v>406</v>
      </c>
      <c r="B414">
        <v>0.14473210295516348</v>
      </c>
      <c r="C414">
        <v>0.79650574645165761</v>
      </c>
    </row>
    <row r="415" spans="1:3">
      <c r="A415">
        <v>407</v>
      </c>
      <c r="B415">
        <v>0.85560285874586628</v>
      </c>
      <c r="C415">
        <v>0.73276416439512104</v>
      </c>
    </row>
    <row r="416" spans="1:3">
      <c r="A416">
        <v>408</v>
      </c>
      <c r="B416">
        <v>0.77932173075138633</v>
      </c>
      <c r="C416">
        <v>0.29317600681406475</v>
      </c>
    </row>
    <row r="417" spans="1:3">
      <c r="A417">
        <v>409</v>
      </c>
      <c r="B417">
        <v>0.60861392837218331</v>
      </c>
      <c r="C417">
        <v>0.77345089123627986</v>
      </c>
    </row>
    <row r="418" spans="1:3">
      <c r="A418">
        <v>410</v>
      </c>
      <c r="B418">
        <v>0.19241820339262911</v>
      </c>
      <c r="C418">
        <v>0.27791284618342615</v>
      </c>
    </row>
    <row r="419" spans="1:3">
      <c r="A419">
        <v>411</v>
      </c>
      <c r="B419">
        <v>0.37261101160794757</v>
      </c>
      <c r="C419">
        <v>0.23360959228557476</v>
      </c>
    </row>
    <row r="420" spans="1:3">
      <c r="A420">
        <v>412</v>
      </c>
      <c r="B420">
        <v>0.56402485654643386</v>
      </c>
      <c r="C420">
        <v>0.9768120458620615</v>
      </c>
    </row>
    <row r="421" spans="1:3">
      <c r="A421">
        <v>413</v>
      </c>
      <c r="B421">
        <v>0.77213725740931394</v>
      </c>
      <c r="C421">
        <v>0.14806320895149838</v>
      </c>
    </row>
    <row r="422" spans="1:3">
      <c r="A422">
        <v>414</v>
      </c>
      <c r="B422">
        <v>0.13747312247647744</v>
      </c>
      <c r="C422">
        <v>0.64002171792074591</v>
      </c>
    </row>
    <row r="423" spans="1:3">
      <c r="A423">
        <v>415</v>
      </c>
      <c r="B423">
        <v>0.62548283561144091</v>
      </c>
      <c r="C423">
        <v>0.21116439590423397</v>
      </c>
    </row>
    <row r="424" spans="1:3">
      <c r="A424">
        <v>416</v>
      </c>
      <c r="B424">
        <v>0.92005104769627821</v>
      </c>
      <c r="C424">
        <v>0.60716215781212668</v>
      </c>
    </row>
    <row r="425" spans="1:3">
      <c r="A425">
        <v>417</v>
      </c>
      <c r="B425">
        <v>0.39145475439970728</v>
      </c>
      <c r="C425">
        <v>0.67905947210965678</v>
      </c>
    </row>
    <row r="426" spans="1:3">
      <c r="A426">
        <v>418</v>
      </c>
      <c r="B426">
        <v>0.36478171202768145</v>
      </c>
      <c r="C426">
        <v>0.13979048666442395</v>
      </c>
    </row>
    <row r="427" spans="1:3">
      <c r="A427">
        <v>419</v>
      </c>
      <c r="B427">
        <v>0.37301069670636455</v>
      </c>
      <c r="C427">
        <v>0.6685809960390543</v>
      </c>
    </row>
    <row r="428" spans="1:3">
      <c r="A428">
        <v>420</v>
      </c>
      <c r="B428">
        <v>0.98138794926749262</v>
      </c>
      <c r="C428">
        <v>0.47140877932361036</v>
      </c>
    </row>
    <row r="429" spans="1:3">
      <c r="A429">
        <v>421</v>
      </c>
      <c r="B429">
        <v>2.5466303915126786E-2</v>
      </c>
      <c r="C429">
        <v>0.76715316024728963</v>
      </c>
    </row>
    <row r="430" spans="1:3">
      <c r="A430">
        <v>422</v>
      </c>
      <c r="B430">
        <v>0.92545862617284491</v>
      </c>
      <c r="C430">
        <v>0.33691931359498994</v>
      </c>
    </row>
    <row r="431" spans="1:3">
      <c r="A431">
        <v>423</v>
      </c>
      <c r="B431">
        <v>0.81329051150085652</v>
      </c>
      <c r="C431">
        <v>0.3559429617407659</v>
      </c>
    </row>
    <row r="432" spans="1:3">
      <c r="A432">
        <v>424</v>
      </c>
      <c r="B432">
        <v>0.51665905335560891</v>
      </c>
      <c r="C432">
        <v>0.1718246622785955</v>
      </c>
    </row>
    <row r="433" spans="1:3">
      <c r="A433">
        <v>425</v>
      </c>
      <c r="B433">
        <v>0.13158739759949675</v>
      </c>
      <c r="C433">
        <v>0.85026120443671971</v>
      </c>
    </row>
    <row r="434" spans="1:3">
      <c r="A434">
        <v>426</v>
      </c>
      <c r="B434">
        <v>0.43787854419948502</v>
      </c>
      <c r="C434">
        <v>0.59728584724871325</v>
      </c>
    </row>
    <row r="435" spans="1:3">
      <c r="A435">
        <v>427</v>
      </c>
      <c r="B435">
        <v>0.89897588936425188</v>
      </c>
      <c r="C435">
        <v>0.92776442164904438</v>
      </c>
    </row>
    <row r="436" spans="1:3">
      <c r="A436">
        <v>428</v>
      </c>
      <c r="B436">
        <v>0.31406306781760951</v>
      </c>
      <c r="C436">
        <v>0.27444819771608309</v>
      </c>
    </row>
    <row r="437" spans="1:3">
      <c r="A437">
        <v>429</v>
      </c>
      <c r="B437">
        <v>0.46724133874458296</v>
      </c>
      <c r="C437">
        <v>1.0215160431471304E-2</v>
      </c>
    </row>
    <row r="438" spans="1:3">
      <c r="A438">
        <v>430</v>
      </c>
      <c r="B438">
        <v>0.39481971524279097</v>
      </c>
      <c r="C438">
        <v>0.82695138258441148</v>
      </c>
    </row>
    <row r="439" spans="1:3">
      <c r="A439">
        <v>431</v>
      </c>
      <c r="B439">
        <v>0.27604988744460274</v>
      </c>
      <c r="C439">
        <v>0.28145624904209399</v>
      </c>
    </row>
    <row r="440" spans="1:3">
      <c r="A440">
        <v>432</v>
      </c>
      <c r="B440">
        <v>0.67158575133201337</v>
      </c>
      <c r="C440">
        <v>0.27073589260453446</v>
      </c>
    </row>
    <row r="441" spans="1:3">
      <c r="A441">
        <v>433</v>
      </c>
      <c r="B441">
        <v>0.91261043311460188</v>
      </c>
      <c r="C441">
        <v>0.85418413361003331</v>
      </c>
    </row>
    <row r="442" spans="1:3">
      <c r="A442">
        <v>434</v>
      </c>
      <c r="B442">
        <v>0.18930494857470154</v>
      </c>
      <c r="C442">
        <v>0.42851340890865686</v>
      </c>
    </row>
    <row r="443" spans="1:3">
      <c r="A443">
        <v>435</v>
      </c>
      <c r="B443">
        <v>0.26777595691959744</v>
      </c>
      <c r="C443">
        <v>0.24968690789683023</v>
      </c>
    </row>
    <row r="444" spans="1:3">
      <c r="A444">
        <v>436</v>
      </c>
      <c r="B444">
        <v>0.57451352681278101</v>
      </c>
      <c r="C444">
        <v>0.13317093108616973</v>
      </c>
    </row>
    <row r="445" spans="1:3">
      <c r="A445">
        <v>437</v>
      </c>
      <c r="B445">
        <v>0.12969857974296869</v>
      </c>
      <c r="C445">
        <v>0.35340819403245405</v>
      </c>
    </row>
    <row r="446" spans="1:3">
      <c r="A446">
        <v>438</v>
      </c>
      <c r="B446">
        <v>0.96869993598868598</v>
      </c>
      <c r="C446">
        <v>0.9675415677465935</v>
      </c>
    </row>
    <row r="447" spans="1:3">
      <c r="A447">
        <v>439</v>
      </c>
      <c r="B447">
        <v>0.52450907206523911</v>
      </c>
      <c r="C447">
        <v>0.67880071351191873</v>
      </c>
    </row>
    <row r="448" spans="1:3">
      <c r="A448">
        <v>440</v>
      </c>
      <c r="B448">
        <v>0.77690709643808831</v>
      </c>
      <c r="C448">
        <v>0.72896554950420978</v>
      </c>
    </row>
    <row r="449" spans="1:3">
      <c r="A449">
        <v>441</v>
      </c>
      <c r="B449">
        <v>0.61680973298703545</v>
      </c>
      <c r="C449">
        <v>0.90400538492667692</v>
      </c>
    </row>
    <row r="450" spans="1:3">
      <c r="A450">
        <v>442</v>
      </c>
      <c r="B450">
        <v>0.57621156683312991</v>
      </c>
      <c r="C450">
        <v>0.72167692540278949</v>
      </c>
    </row>
    <row r="451" spans="1:3">
      <c r="A451">
        <v>443</v>
      </c>
      <c r="B451">
        <v>7.4804644809291845E-2</v>
      </c>
      <c r="C451">
        <v>0.42947665598785534</v>
      </c>
    </row>
    <row r="452" spans="1:3">
      <c r="A452">
        <v>444</v>
      </c>
      <c r="B452">
        <v>0.5685457772110929</v>
      </c>
      <c r="C452">
        <v>0.71065048013042542</v>
      </c>
    </row>
    <row r="453" spans="1:3">
      <c r="A453">
        <v>445</v>
      </c>
      <c r="B453">
        <v>0.7339665488391105</v>
      </c>
      <c r="C453">
        <v>0.3603785683217211</v>
      </c>
    </row>
    <row r="454" spans="1:3">
      <c r="A454">
        <v>446</v>
      </c>
      <c r="B454">
        <v>0.17726661920344144</v>
      </c>
      <c r="C454">
        <v>0.8527877181822987</v>
      </c>
    </row>
    <row r="455" spans="1:3">
      <c r="A455">
        <v>447</v>
      </c>
      <c r="B455">
        <v>0.42211354230230524</v>
      </c>
      <c r="C455">
        <v>0.83651759474105347</v>
      </c>
    </row>
    <row r="456" spans="1:3">
      <c r="A456">
        <v>448</v>
      </c>
      <c r="B456">
        <v>0.39297367003093792</v>
      </c>
      <c r="C456">
        <v>0.42462787644763011</v>
      </c>
    </row>
    <row r="457" spans="1:3">
      <c r="A457">
        <v>449</v>
      </c>
      <c r="B457">
        <v>0.50156572108845354</v>
      </c>
      <c r="C457">
        <v>0.89180758055863407</v>
      </c>
    </row>
    <row r="458" spans="1:3">
      <c r="A458">
        <v>450</v>
      </c>
      <c r="B458">
        <v>0.11575128277548385</v>
      </c>
      <c r="C458">
        <v>0.78778476277693699</v>
      </c>
    </row>
    <row r="459" spans="1:3">
      <c r="A459">
        <v>451</v>
      </c>
      <c r="B459">
        <v>0.83310249808107095</v>
      </c>
      <c r="C459">
        <v>0.46433187934417219</v>
      </c>
    </row>
    <row r="460" spans="1:3">
      <c r="A460">
        <v>452</v>
      </c>
      <c r="B460">
        <v>0.97236404912438346</v>
      </c>
      <c r="C460">
        <v>0.47336113527217094</v>
      </c>
    </row>
    <row r="461" spans="1:3">
      <c r="A461">
        <v>453</v>
      </c>
      <c r="B461">
        <v>0.18806717777393459</v>
      </c>
      <c r="C461">
        <v>0.99969829073233996</v>
      </c>
    </row>
    <row r="462" spans="1:3">
      <c r="A462">
        <v>454</v>
      </c>
      <c r="B462">
        <v>1.248931624006697E-2</v>
      </c>
      <c r="C462">
        <v>0.41073821998998028</v>
      </c>
    </row>
    <row r="463" spans="1:3">
      <c r="A463">
        <v>455</v>
      </c>
      <c r="B463">
        <v>0.95951640481816525</v>
      </c>
      <c r="C463">
        <v>0.49219854564034904</v>
      </c>
    </row>
    <row r="464" spans="1:3">
      <c r="A464">
        <v>456</v>
      </c>
      <c r="B464">
        <v>0.64676797017053889</v>
      </c>
      <c r="C464">
        <v>0.56113429449489516</v>
      </c>
    </row>
    <row r="465" spans="1:3">
      <c r="A465">
        <v>457</v>
      </c>
      <c r="B465">
        <v>3.2736773244975315E-2</v>
      </c>
      <c r="C465">
        <v>0.37638336416057427</v>
      </c>
    </row>
    <row r="466" spans="1:3">
      <c r="A466">
        <v>458</v>
      </c>
      <c r="B466">
        <v>0.43659706456577341</v>
      </c>
      <c r="C466">
        <v>0.63198150013977283</v>
      </c>
    </row>
    <row r="467" spans="1:3">
      <c r="A467">
        <v>459</v>
      </c>
      <c r="B467">
        <v>0.91115928947580027</v>
      </c>
      <c r="C467">
        <v>0.10361097731038171</v>
      </c>
    </row>
    <row r="468" spans="1:3">
      <c r="A468">
        <v>460</v>
      </c>
      <c r="B468">
        <v>0.96761715978002572</v>
      </c>
      <c r="C468">
        <v>0.79496954564274347</v>
      </c>
    </row>
    <row r="469" spans="1:3">
      <c r="A469">
        <v>461</v>
      </c>
      <c r="B469">
        <v>0.11387705432294799</v>
      </c>
      <c r="C469">
        <v>0.99271000548196753</v>
      </c>
    </row>
    <row r="470" spans="1:3">
      <c r="A470">
        <v>462</v>
      </c>
      <c r="B470">
        <v>0.47690974410923886</v>
      </c>
      <c r="C470">
        <v>0.8095872410958691</v>
      </c>
    </row>
    <row r="471" spans="1:3">
      <c r="A471">
        <v>463</v>
      </c>
      <c r="B471">
        <v>0.669511791220054</v>
      </c>
      <c r="C471">
        <v>0.64403687044159597</v>
      </c>
    </row>
    <row r="472" spans="1:3">
      <c r="A472">
        <v>464</v>
      </c>
      <c r="B472">
        <v>0.83117822658763696</v>
      </c>
      <c r="C472">
        <v>0.94849866640288383</v>
      </c>
    </row>
    <row r="473" spans="1:3">
      <c r="A473">
        <v>465</v>
      </c>
      <c r="B473">
        <v>0.70459161757482025</v>
      </c>
      <c r="C473">
        <v>0.5027734619243347</v>
      </c>
    </row>
    <row r="474" spans="1:3">
      <c r="A474">
        <v>466</v>
      </c>
      <c r="B474">
        <v>0.81903209509258912</v>
      </c>
      <c r="C474">
        <v>0.80859353302548698</v>
      </c>
    </row>
    <row r="475" spans="1:3">
      <c r="A475">
        <v>467</v>
      </c>
      <c r="B475">
        <v>0.84830035459653019</v>
      </c>
      <c r="C475">
        <v>0.54674145863555168</v>
      </c>
    </row>
    <row r="476" spans="1:3">
      <c r="A476">
        <v>468</v>
      </c>
      <c r="B476">
        <v>5.1606558549126276E-2</v>
      </c>
      <c r="C476">
        <v>0.78010737011572928</v>
      </c>
    </row>
    <row r="477" spans="1:3">
      <c r="A477">
        <v>469</v>
      </c>
      <c r="B477">
        <v>0.13975095706613525</v>
      </c>
      <c r="C477">
        <v>0.75272891046824952</v>
      </c>
    </row>
    <row r="478" spans="1:3">
      <c r="A478">
        <v>470</v>
      </c>
      <c r="B478">
        <v>0.47859306969973098</v>
      </c>
      <c r="C478">
        <v>0.82225276733333885</v>
      </c>
    </row>
    <row r="479" spans="1:3">
      <c r="A479">
        <v>471</v>
      </c>
      <c r="B479">
        <v>0.93326099168887855</v>
      </c>
      <c r="C479">
        <v>0.2978686901715264</v>
      </c>
    </row>
    <row r="480" spans="1:3">
      <c r="A480">
        <v>472</v>
      </c>
      <c r="B480">
        <v>0.48479557462078415</v>
      </c>
      <c r="C480">
        <v>0.68818907093827875</v>
      </c>
    </row>
    <row r="481" spans="1:3">
      <c r="A481">
        <v>473</v>
      </c>
      <c r="B481">
        <v>0.5873507040062339</v>
      </c>
      <c r="C481">
        <v>0.95330754346286994</v>
      </c>
    </row>
    <row r="482" spans="1:3">
      <c r="A482">
        <v>474</v>
      </c>
      <c r="B482">
        <v>0.17121532529900207</v>
      </c>
      <c r="C482">
        <v>0.75257298714768694</v>
      </c>
    </row>
    <row r="483" spans="1:3">
      <c r="A483">
        <v>475</v>
      </c>
      <c r="B483">
        <v>1.565377212354303E-2</v>
      </c>
      <c r="C483">
        <v>0.56311813146749046</v>
      </c>
    </row>
    <row r="484" spans="1:3">
      <c r="A484">
        <v>476</v>
      </c>
      <c r="B484">
        <v>0.53199311246629644</v>
      </c>
      <c r="C484">
        <v>0.65646080310671096</v>
      </c>
    </row>
    <row r="485" spans="1:3">
      <c r="A485">
        <v>477</v>
      </c>
      <c r="B485">
        <v>0.69971439227408594</v>
      </c>
      <c r="C485">
        <v>0.33941879252415674</v>
      </c>
    </row>
    <row r="486" spans="1:3">
      <c r="A486">
        <v>478</v>
      </c>
      <c r="B486">
        <v>0.2241853892081849</v>
      </c>
      <c r="C486">
        <v>0.98910734637047426</v>
      </c>
    </row>
    <row r="487" spans="1:3">
      <c r="A487">
        <v>479</v>
      </c>
      <c r="B487">
        <v>0.84357447832836185</v>
      </c>
      <c r="C487">
        <v>0.64597992667768267</v>
      </c>
    </row>
    <row r="488" spans="1:3">
      <c r="A488">
        <v>480</v>
      </c>
      <c r="B488">
        <v>0.99774912523961368</v>
      </c>
      <c r="C488">
        <v>0.62517656488398643</v>
      </c>
    </row>
    <row r="489" spans="1:3">
      <c r="A489">
        <v>481</v>
      </c>
      <c r="B489">
        <v>0.26275755006511636</v>
      </c>
      <c r="C489">
        <v>0.49991818451781</v>
      </c>
    </row>
    <row r="490" spans="1:3">
      <c r="A490">
        <v>482</v>
      </c>
      <c r="B490">
        <v>0.54036415749540656</v>
      </c>
      <c r="C490">
        <v>7.0581609260443656E-2</v>
      </c>
    </row>
    <row r="491" spans="1:3">
      <c r="A491">
        <v>483</v>
      </c>
      <c r="B491">
        <v>0.65292833722264698</v>
      </c>
      <c r="C491">
        <v>0.69022376991779311</v>
      </c>
    </row>
    <row r="492" spans="1:3">
      <c r="A492">
        <v>484</v>
      </c>
      <c r="B492">
        <v>0.45049521410709598</v>
      </c>
      <c r="C492">
        <v>0.96913666897580697</v>
      </c>
    </row>
    <row r="493" spans="1:3">
      <c r="A493">
        <v>485</v>
      </c>
      <c r="B493">
        <v>0.62134051421641845</v>
      </c>
      <c r="C493">
        <v>0.23713252089692105</v>
      </c>
    </row>
    <row r="494" spans="1:3">
      <c r="A494">
        <v>486</v>
      </c>
      <c r="B494">
        <v>2.4425383692473497E-2</v>
      </c>
      <c r="C494">
        <v>0.46261683718785207</v>
      </c>
    </row>
    <row r="495" spans="1:3">
      <c r="A495">
        <v>487</v>
      </c>
      <c r="B495">
        <v>0.15862746921685231</v>
      </c>
      <c r="C495">
        <v>0.27647046505808248</v>
      </c>
    </row>
    <row r="496" spans="1:3">
      <c r="A496">
        <v>488</v>
      </c>
      <c r="B496">
        <v>0.24413431829752733</v>
      </c>
      <c r="C496">
        <v>0.98189988151716534</v>
      </c>
    </row>
    <row r="497" spans="1:3">
      <c r="A497">
        <v>489</v>
      </c>
      <c r="B497">
        <v>4.6770170677166937E-3</v>
      </c>
      <c r="C497">
        <v>0.92510919519099843</v>
      </c>
    </row>
    <row r="498" spans="1:3">
      <c r="A498">
        <v>490</v>
      </c>
      <c r="B498">
        <v>0.88332906835324343</v>
      </c>
      <c r="C498">
        <v>0.53364984019754047</v>
      </c>
    </row>
    <row r="499" spans="1:3">
      <c r="A499">
        <v>491</v>
      </c>
      <c r="B499">
        <v>0.43996346113457424</v>
      </c>
      <c r="C499">
        <v>0.3948980562900033</v>
      </c>
    </row>
    <row r="500" spans="1:3">
      <c r="A500">
        <v>492</v>
      </c>
      <c r="B500">
        <v>0.53991741731015908</v>
      </c>
      <c r="C500">
        <v>0.29957750196990673</v>
      </c>
    </row>
    <row r="501" spans="1:3">
      <c r="A501">
        <v>493</v>
      </c>
      <c r="B501">
        <v>0.76852807794523614</v>
      </c>
      <c r="C501">
        <v>0.96276238014161208</v>
      </c>
    </row>
    <row r="502" spans="1:3">
      <c r="A502">
        <v>494</v>
      </c>
      <c r="B502">
        <v>0.78712272461087507</v>
      </c>
      <c r="C502">
        <v>9.8295434565471851E-2</v>
      </c>
    </row>
    <row r="503" spans="1:3">
      <c r="A503">
        <v>495</v>
      </c>
      <c r="B503">
        <v>0.25929408074829124</v>
      </c>
      <c r="C503">
        <v>0.88169139013552922</v>
      </c>
    </row>
    <row r="504" spans="1:3">
      <c r="A504">
        <v>496</v>
      </c>
      <c r="B504">
        <v>0.65606604706567384</v>
      </c>
      <c r="C504">
        <v>0.24264374302492797</v>
      </c>
    </row>
    <row r="505" spans="1:3">
      <c r="A505">
        <v>497</v>
      </c>
      <c r="B505">
        <v>0.13419960453016674</v>
      </c>
      <c r="C505">
        <v>0.59165008011586906</v>
      </c>
    </row>
    <row r="506" spans="1:3">
      <c r="A506">
        <v>498</v>
      </c>
      <c r="B506">
        <v>0.75419720723228467</v>
      </c>
      <c r="C506">
        <v>0.56848995892596577</v>
      </c>
    </row>
    <row r="507" spans="1:3">
      <c r="A507">
        <v>499</v>
      </c>
      <c r="B507">
        <v>0.10548520234354894</v>
      </c>
      <c r="C507">
        <v>0.42186645443143789</v>
      </c>
    </row>
    <row r="508" spans="1:3">
      <c r="A508">
        <v>500</v>
      </c>
      <c r="B508">
        <v>0.36895998892210424</v>
      </c>
      <c r="C508">
        <v>0.95818970272648585</v>
      </c>
    </row>
    <row r="509" spans="1:3">
      <c r="A509">
        <v>501</v>
      </c>
      <c r="B509">
        <v>0.8294840507918233</v>
      </c>
      <c r="C509">
        <v>0.60414894976747746</v>
      </c>
    </row>
    <row r="510" spans="1:3">
      <c r="A510">
        <v>502</v>
      </c>
      <c r="B510">
        <v>0.4659519981513619</v>
      </c>
      <c r="C510">
        <v>0.12581602437876427</v>
      </c>
    </row>
    <row r="511" spans="1:3">
      <c r="A511">
        <v>503</v>
      </c>
      <c r="B511">
        <v>0.8742492995500214</v>
      </c>
      <c r="C511">
        <v>0.90959196527910535</v>
      </c>
    </row>
    <row r="512" spans="1:3">
      <c r="A512">
        <v>504</v>
      </c>
      <c r="B512">
        <v>0.23639583594058544</v>
      </c>
      <c r="C512">
        <v>0.58895861602559307</v>
      </c>
    </row>
    <row r="513" spans="1:3">
      <c r="A513">
        <v>505</v>
      </c>
      <c r="B513">
        <v>0.99221283244928649</v>
      </c>
      <c r="C513">
        <v>0.48709744000916544</v>
      </c>
    </row>
    <row r="514" spans="1:3">
      <c r="A514">
        <v>506</v>
      </c>
      <c r="B514">
        <v>0.44460377537403345</v>
      </c>
      <c r="C514">
        <v>7.5908599094873352E-2</v>
      </c>
    </row>
    <row r="515" spans="1:3">
      <c r="A515">
        <v>507</v>
      </c>
      <c r="B515">
        <v>0.8345044482856766</v>
      </c>
      <c r="C515">
        <v>0.16287136202299735</v>
      </c>
    </row>
    <row r="516" spans="1:3">
      <c r="A516">
        <v>508</v>
      </c>
      <c r="B516">
        <v>2.0928895952629135E-2</v>
      </c>
      <c r="C516">
        <v>0.19850580271577201</v>
      </c>
    </row>
    <row r="517" spans="1:3">
      <c r="A517">
        <v>509</v>
      </c>
      <c r="B517">
        <v>0.24188796471685356</v>
      </c>
      <c r="C517">
        <v>0.88328667397036043</v>
      </c>
    </row>
    <row r="518" spans="1:3">
      <c r="A518">
        <v>510</v>
      </c>
      <c r="B518">
        <v>0.61394530584894713</v>
      </c>
      <c r="C518">
        <v>0.13739435827028501</v>
      </c>
    </row>
    <row r="519" spans="1:3">
      <c r="A519">
        <v>511</v>
      </c>
      <c r="B519">
        <v>7.6992667490149075E-2</v>
      </c>
      <c r="C519">
        <v>9.4993514558154857E-2</v>
      </c>
    </row>
    <row r="520" spans="1:3">
      <c r="A520">
        <v>512</v>
      </c>
      <c r="B520">
        <v>0.82465082827504976</v>
      </c>
      <c r="C520">
        <v>0.71312437234064419</v>
      </c>
    </row>
    <row r="521" spans="1:3">
      <c r="A521">
        <v>513</v>
      </c>
      <c r="B521">
        <v>0.58143177621658693</v>
      </c>
      <c r="C521">
        <v>0.21322359210716968</v>
      </c>
    </row>
    <row r="522" spans="1:3">
      <c r="A522">
        <v>514</v>
      </c>
      <c r="B522">
        <v>4.77649109297816E-2</v>
      </c>
      <c r="C522">
        <v>0.99799577158501052</v>
      </c>
    </row>
    <row r="523" spans="1:3">
      <c r="A523">
        <v>515</v>
      </c>
      <c r="B523">
        <v>0.17839542224663202</v>
      </c>
      <c r="C523">
        <v>0.40602156301611103</v>
      </c>
    </row>
    <row r="524" spans="1:3">
      <c r="A524">
        <v>516</v>
      </c>
      <c r="B524">
        <v>3.8870849678262799E-2</v>
      </c>
      <c r="C524">
        <v>0.31546363650977582</v>
      </c>
    </row>
    <row r="525" spans="1:3">
      <c r="A525">
        <v>517</v>
      </c>
      <c r="B525">
        <v>0.22935674044125637</v>
      </c>
      <c r="C525">
        <v>0.87381883972011565</v>
      </c>
    </row>
    <row r="526" spans="1:3">
      <c r="A526">
        <v>518</v>
      </c>
      <c r="B526">
        <v>0.61895696837291048</v>
      </c>
      <c r="C526">
        <v>0.86665274431743455</v>
      </c>
    </row>
    <row r="527" spans="1:3">
      <c r="A527">
        <v>519</v>
      </c>
      <c r="B527">
        <v>0.25477122392942458</v>
      </c>
      <c r="C527">
        <v>0.73637939480613568</v>
      </c>
    </row>
    <row r="528" spans="1:3">
      <c r="A528">
        <v>520</v>
      </c>
      <c r="B528">
        <v>0.6041163222431476</v>
      </c>
      <c r="C528">
        <v>1.7608963148632029E-2</v>
      </c>
    </row>
    <row r="529" spans="1:3">
      <c r="A529">
        <v>521</v>
      </c>
      <c r="B529">
        <v>0.87060643654936143</v>
      </c>
      <c r="C529">
        <v>0.72755115150175698</v>
      </c>
    </row>
    <row r="530" spans="1:3">
      <c r="A530">
        <v>522</v>
      </c>
      <c r="B530">
        <v>0.73640068397982994</v>
      </c>
      <c r="C530">
        <v>0.14224409577673214</v>
      </c>
    </row>
    <row r="531" spans="1:3">
      <c r="A531">
        <v>523</v>
      </c>
      <c r="B531">
        <v>5.5083745440953354E-2</v>
      </c>
      <c r="C531">
        <v>0.91588478277117247</v>
      </c>
    </row>
    <row r="532" spans="1:3">
      <c r="A532">
        <v>524</v>
      </c>
      <c r="B532">
        <v>0.52348281570372235</v>
      </c>
      <c r="C532">
        <v>0.9857604806411473</v>
      </c>
    </row>
    <row r="533" spans="1:3">
      <c r="A533">
        <v>525</v>
      </c>
      <c r="B533">
        <v>0.64900028793280951</v>
      </c>
      <c r="C533">
        <v>0.17455968860485882</v>
      </c>
    </row>
    <row r="534" spans="1:3">
      <c r="A534">
        <v>526</v>
      </c>
      <c r="B534">
        <v>0.80090316801213268</v>
      </c>
      <c r="C534">
        <v>0.93836017726880527</v>
      </c>
    </row>
    <row r="535" spans="1:3">
      <c r="A535">
        <v>527</v>
      </c>
      <c r="B535">
        <v>0.28569802538810718</v>
      </c>
      <c r="C535">
        <v>0.76004762084266986</v>
      </c>
    </row>
    <row r="536" spans="1:3">
      <c r="A536">
        <v>528</v>
      </c>
      <c r="B536">
        <v>0.51979745773873232</v>
      </c>
      <c r="C536">
        <v>0.76223185879553057</v>
      </c>
    </row>
    <row r="537" spans="1:3">
      <c r="A537">
        <v>529</v>
      </c>
      <c r="B537">
        <v>0.36501914874441432</v>
      </c>
      <c r="C537">
        <v>0.81190988582056889</v>
      </c>
    </row>
    <row r="538" spans="1:3">
      <c r="A538">
        <v>530</v>
      </c>
      <c r="B538">
        <v>0.84731356619003073</v>
      </c>
      <c r="C538">
        <v>0.38776236011563014</v>
      </c>
    </row>
    <row r="539" spans="1:3">
      <c r="A539">
        <v>531</v>
      </c>
      <c r="B539">
        <v>0.42627867290314253</v>
      </c>
      <c r="C539">
        <v>0.15122806285216939</v>
      </c>
    </row>
    <row r="540" spans="1:3">
      <c r="A540">
        <v>532</v>
      </c>
      <c r="B540">
        <v>0.44503466543253389</v>
      </c>
      <c r="C540">
        <v>0.88030614219587733</v>
      </c>
    </row>
    <row r="541" spans="1:3">
      <c r="A541">
        <v>533</v>
      </c>
      <c r="B541">
        <v>0.65098696901416098</v>
      </c>
      <c r="C541">
        <v>0.60352132406296732</v>
      </c>
    </row>
    <row r="542" spans="1:3">
      <c r="A542">
        <v>534</v>
      </c>
      <c r="B542">
        <v>0.31632666027134437</v>
      </c>
      <c r="C542">
        <v>0.83691953719699086</v>
      </c>
    </row>
    <row r="543" spans="1:3">
      <c r="A543">
        <v>535</v>
      </c>
      <c r="B543">
        <v>4.4077545070573113E-2</v>
      </c>
      <c r="C543">
        <v>0.64048786663988722</v>
      </c>
    </row>
    <row r="544" spans="1:3">
      <c r="A544">
        <v>536</v>
      </c>
      <c r="B544">
        <v>0.86082291394235166</v>
      </c>
      <c r="C544">
        <v>0.38642328119749436</v>
      </c>
    </row>
    <row r="545" spans="1:3">
      <c r="A545">
        <v>537</v>
      </c>
      <c r="B545">
        <v>0.63433001038928749</v>
      </c>
      <c r="C545">
        <v>0.16665519943762774</v>
      </c>
    </row>
    <row r="546" spans="1:3">
      <c r="A546">
        <v>538</v>
      </c>
      <c r="B546">
        <v>0.31858844464076413</v>
      </c>
      <c r="C546">
        <v>0.94317393051642284</v>
      </c>
    </row>
    <row r="547" spans="1:3">
      <c r="A547">
        <v>539</v>
      </c>
      <c r="B547">
        <v>0.75130439200119681</v>
      </c>
      <c r="C547">
        <v>0.14829745900078706</v>
      </c>
    </row>
    <row r="548" spans="1:3">
      <c r="A548">
        <v>540</v>
      </c>
      <c r="B548">
        <v>0.80723243399714872</v>
      </c>
      <c r="C548">
        <v>0.99034034953729133</v>
      </c>
    </row>
    <row r="549" spans="1:3">
      <c r="A549">
        <v>541</v>
      </c>
      <c r="B549">
        <v>0.74529846140702682</v>
      </c>
      <c r="C549">
        <v>0.69414146704275481</v>
      </c>
    </row>
    <row r="550" spans="1:3">
      <c r="A550">
        <v>542</v>
      </c>
      <c r="B550">
        <v>0.48817275789104703</v>
      </c>
      <c r="C550">
        <v>0.85032806432539587</v>
      </c>
    </row>
    <row r="551" spans="1:3">
      <c r="A551">
        <v>543</v>
      </c>
      <c r="B551">
        <v>9.7313273864405525E-2</v>
      </c>
      <c r="C551">
        <v>0.85039751319345669</v>
      </c>
    </row>
    <row r="552" spans="1:3">
      <c r="A552">
        <v>544</v>
      </c>
      <c r="B552">
        <v>0.15043583182302206</v>
      </c>
      <c r="C552">
        <v>4.7318216405074054E-2</v>
      </c>
    </row>
    <row r="553" spans="1:3">
      <c r="A553">
        <v>545</v>
      </c>
      <c r="B553">
        <v>0.80162534071473068</v>
      </c>
      <c r="C553">
        <v>0.11520144727546722</v>
      </c>
    </row>
    <row r="554" spans="1:3">
      <c r="A554">
        <v>546</v>
      </c>
      <c r="B554">
        <v>0.13317417967882339</v>
      </c>
      <c r="C554">
        <v>0.54261405585839384</v>
      </c>
    </row>
    <row r="555" spans="1:3">
      <c r="A555">
        <v>547</v>
      </c>
      <c r="B555">
        <v>0.61140211010151602</v>
      </c>
      <c r="C555">
        <v>0.91047418771813682</v>
      </c>
    </row>
    <row r="556" spans="1:3">
      <c r="A556">
        <v>548</v>
      </c>
      <c r="B556">
        <v>0.21185281955074817</v>
      </c>
      <c r="C556">
        <v>0.14257018552325462</v>
      </c>
    </row>
    <row r="557" spans="1:3">
      <c r="A557">
        <v>549</v>
      </c>
      <c r="B557">
        <v>0.22772230701072194</v>
      </c>
      <c r="C557">
        <v>0.21753738029292435</v>
      </c>
    </row>
    <row r="558" spans="1:3">
      <c r="A558">
        <v>550</v>
      </c>
      <c r="B558">
        <v>0.5564184021119537</v>
      </c>
      <c r="C558">
        <v>0.56706229439350864</v>
      </c>
    </row>
    <row r="559" spans="1:3">
      <c r="A559">
        <v>551</v>
      </c>
      <c r="B559">
        <v>0.49009899825348957</v>
      </c>
      <c r="C559">
        <v>0.38892508618118882</v>
      </c>
    </row>
    <row r="560" spans="1:3">
      <c r="A560">
        <v>552</v>
      </c>
      <c r="B560">
        <v>0.16954125815595994</v>
      </c>
      <c r="C560">
        <v>0.30961602991101245</v>
      </c>
    </row>
    <row r="561" spans="1:3">
      <c r="A561">
        <v>553</v>
      </c>
      <c r="B561">
        <v>0.95828759770125327</v>
      </c>
      <c r="C561">
        <v>0.42165063945139991</v>
      </c>
    </row>
    <row r="562" spans="1:3">
      <c r="A562">
        <v>554</v>
      </c>
      <c r="B562">
        <v>0.9886693699242709</v>
      </c>
      <c r="C562">
        <v>0.26503907991991582</v>
      </c>
    </row>
    <row r="563" spans="1:3">
      <c r="A563">
        <v>555</v>
      </c>
      <c r="B563">
        <v>0.14725526042358372</v>
      </c>
      <c r="C563">
        <v>5.0085400844182004E-2</v>
      </c>
    </row>
    <row r="564" spans="1:3">
      <c r="A564">
        <v>556</v>
      </c>
      <c r="B564">
        <v>0.99876549214701305</v>
      </c>
      <c r="C564">
        <v>0.85885128346581041</v>
      </c>
    </row>
    <row r="565" spans="1:3">
      <c r="A565">
        <v>557</v>
      </c>
      <c r="B565">
        <v>0.73517991522866755</v>
      </c>
      <c r="C565">
        <v>0.50769233861865359</v>
      </c>
    </row>
    <row r="566" spans="1:3">
      <c r="A566">
        <v>558</v>
      </c>
      <c r="B566">
        <v>0.38740627820892404</v>
      </c>
      <c r="C566">
        <v>0.59643778062218189</v>
      </c>
    </row>
    <row r="567" spans="1:3">
      <c r="A567">
        <v>559</v>
      </c>
      <c r="B567">
        <v>0.44264936277029326</v>
      </c>
      <c r="C567">
        <v>0.69249590341314615</v>
      </c>
    </row>
    <row r="568" spans="1:3">
      <c r="A568">
        <v>560</v>
      </c>
      <c r="B568">
        <v>0.89999667956796392</v>
      </c>
      <c r="C568">
        <v>0.41992112870593701</v>
      </c>
    </row>
    <row r="569" spans="1:3">
      <c r="A569">
        <v>561</v>
      </c>
      <c r="B569">
        <v>0.39645987882662098</v>
      </c>
      <c r="C569">
        <v>0.62585863891581539</v>
      </c>
    </row>
    <row r="570" spans="1:3">
      <c r="A570">
        <v>562</v>
      </c>
      <c r="B570">
        <v>0.66889917363433615</v>
      </c>
      <c r="C570">
        <v>0.38253624215212767</v>
      </c>
    </row>
    <row r="571" spans="1:3">
      <c r="A571">
        <v>563</v>
      </c>
      <c r="B571">
        <v>0.72305673465902376</v>
      </c>
      <c r="C571">
        <v>0.69070904248565057</v>
      </c>
    </row>
    <row r="572" spans="1:3">
      <c r="A572">
        <v>564</v>
      </c>
      <c r="B572">
        <v>0.54248362479556433</v>
      </c>
      <c r="C572">
        <v>0.29217183981199923</v>
      </c>
    </row>
    <row r="573" spans="1:3">
      <c r="A573">
        <v>565</v>
      </c>
      <c r="B573">
        <v>0.63345253286917058</v>
      </c>
      <c r="C573">
        <v>0.39692118219045369</v>
      </c>
    </row>
    <row r="574" spans="1:3">
      <c r="A574">
        <v>566</v>
      </c>
      <c r="B574">
        <v>0.8183560606074417</v>
      </c>
      <c r="C574">
        <v>0.64499929159501335</v>
      </c>
    </row>
    <row r="575" spans="1:3">
      <c r="A575">
        <v>567</v>
      </c>
      <c r="B575">
        <v>0.85370222476909452</v>
      </c>
      <c r="C575">
        <v>0.40579505188634357</v>
      </c>
    </row>
    <row r="576" spans="1:3">
      <c r="A576">
        <v>568</v>
      </c>
      <c r="B576">
        <v>0.86833335732862671</v>
      </c>
      <c r="C576">
        <v>0.59192875300141168</v>
      </c>
    </row>
    <row r="577" spans="1:3">
      <c r="A577">
        <v>569</v>
      </c>
      <c r="B577">
        <v>0.2307997569089755</v>
      </c>
      <c r="C577">
        <v>6.7718517536377476E-2</v>
      </c>
    </row>
    <row r="578" spans="1:3">
      <c r="A578">
        <v>570</v>
      </c>
      <c r="B578">
        <v>0.71250398601021248</v>
      </c>
      <c r="C578">
        <v>0.72757546508910309</v>
      </c>
    </row>
    <row r="579" spans="1:3">
      <c r="A579">
        <v>571</v>
      </c>
      <c r="B579">
        <v>0.12433428631660862</v>
      </c>
      <c r="C579">
        <v>0.26014276296427852</v>
      </c>
    </row>
    <row r="580" spans="1:3">
      <c r="A580">
        <v>572</v>
      </c>
      <c r="B580">
        <v>0.35670789317966162</v>
      </c>
      <c r="C580">
        <v>0.41430827497242717</v>
      </c>
    </row>
    <row r="581" spans="1:3">
      <c r="A581">
        <v>573</v>
      </c>
      <c r="B581">
        <v>0.2036237952577937</v>
      </c>
      <c r="C581">
        <v>0.96490225693105458</v>
      </c>
    </row>
    <row r="582" spans="1:3">
      <c r="A582">
        <v>574</v>
      </c>
      <c r="B582">
        <v>0.97804425992957422</v>
      </c>
      <c r="C582">
        <v>0.30599089498173271</v>
      </c>
    </row>
    <row r="583" spans="1:3">
      <c r="A583">
        <v>575</v>
      </c>
      <c r="B583">
        <v>9.0824375220300707E-3</v>
      </c>
      <c r="C583">
        <v>0.74953925657337095</v>
      </c>
    </row>
    <row r="584" spans="1:3">
      <c r="A584">
        <v>576</v>
      </c>
      <c r="B584">
        <v>0.10729272359523287</v>
      </c>
      <c r="C584">
        <v>0.50965588690814911</v>
      </c>
    </row>
    <row r="585" spans="1:3">
      <c r="A585">
        <v>577</v>
      </c>
      <c r="B585">
        <v>0.56351561320701515</v>
      </c>
      <c r="C585">
        <v>0.38110401430367347</v>
      </c>
    </row>
    <row r="586" spans="1:3">
      <c r="A586">
        <v>578</v>
      </c>
      <c r="B586">
        <v>0.89218994323890422</v>
      </c>
      <c r="C586">
        <v>0.69342594569570792</v>
      </c>
    </row>
    <row r="587" spans="1:3">
      <c r="A587">
        <v>579</v>
      </c>
      <c r="B587">
        <v>0.93586352864905809</v>
      </c>
      <c r="C587">
        <v>0.65164229952006281</v>
      </c>
    </row>
    <row r="588" spans="1:3">
      <c r="A588">
        <v>580</v>
      </c>
      <c r="B588">
        <v>0.32602666744078196</v>
      </c>
      <c r="C588">
        <v>0.76149610074935481</v>
      </c>
    </row>
    <row r="589" spans="1:3">
      <c r="A589">
        <v>581</v>
      </c>
      <c r="B589">
        <v>0.75053794298333532</v>
      </c>
      <c r="C589">
        <v>0.29059891763881751</v>
      </c>
    </row>
    <row r="590" spans="1:3">
      <c r="A590">
        <v>582</v>
      </c>
      <c r="B590">
        <v>0.60340682580005534</v>
      </c>
      <c r="C590">
        <v>0.3270153138673777</v>
      </c>
    </row>
    <row r="591" spans="1:3">
      <c r="A591">
        <v>583</v>
      </c>
      <c r="B591">
        <v>0.69873486128373419</v>
      </c>
      <c r="C591">
        <v>0.1550285696193896</v>
      </c>
    </row>
    <row r="592" spans="1:3">
      <c r="A592">
        <v>584</v>
      </c>
      <c r="B592">
        <v>0.48625887555914438</v>
      </c>
      <c r="C592">
        <v>0.89289960372934729</v>
      </c>
    </row>
    <row r="593" spans="1:3">
      <c r="A593">
        <v>585</v>
      </c>
      <c r="B593">
        <v>0.46466908643992366</v>
      </c>
      <c r="C593">
        <v>0.62285364005947486</v>
      </c>
    </row>
    <row r="594" spans="1:3">
      <c r="A594">
        <v>586</v>
      </c>
      <c r="B594">
        <v>0.36206544565387661</v>
      </c>
      <c r="C594">
        <v>0.85897643282351055</v>
      </c>
    </row>
    <row r="595" spans="1:3">
      <c r="A595">
        <v>587</v>
      </c>
      <c r="B595">
        <v>0.50269244229390575</v>
      </c>
      <c r="C595">
        <v>0.20094718594555161</v>
      </c>
    </row>
    <row r="596" spans="1:3">
      <c r="A596">
        <v>588</v>
      </c>
      <c r="B596">
        <v>0.14980544433971063</v>
      </c>
      <c r="C596">
        <v>0.12095238563779276</v>
      </c>
    </row>
    <row r="597" spans="1:3">
      <c r="A597">
        <v>589</v>
      </c>
      <c r="B597">
        <v>0.83549852856004114</v>
      </c>
      <c r="C597">
        <v>0.25175295530334552</v>
      </c>
    </row>
    <row r="598" spans="1:3">
      <c r="A598">
        <v>590</v>
      </c>
      <c r="B598">
        <v>0.35991835726190324</v>
      </c>
      <c r="C598">
        <v>0.17772801541468652</v>
      </c>
    </row>
    <row r="599" spans="1:3">
      <c r="A599">
        <v>591</v>
      </c>
      <c r="B599">
        <v>0.11273290526045787</v>
      </c>
      <c r="C599">
        <v>1.6915183850869653E-3</v>
      </c>
    </row>
    <row r="600" spans="1:3">
      <c r="A600">
        <v>592</v>
      </c>
      <c r="B600">
        <v>0.66741905403379786</v>
      </c>
      <c r="C600">
        <v>0.10462125325648231</v>
      </c>
    </row>
    <row r="601" spans="1:3">
      <c r="A601">
        <v>593</v>
      </c>
      <c r="B601">
        <v>0.64354806337681314</v>
      </c>
      <c r="C601">
        <v>0.44337858577546285</v>
      </c>
    </row>
    <row r="602" spans="1:3">
      <c r="A602">
        <v>594</v>
      </c>
      <c r="B602">
        <v>0.63531568091859014</v>
      </c>
      <c r="C602">
        <v>0.12295190836994152</v>
      </c>
    </row>
    <row r="603" spans="1:3">
      <c r="A603">
        <v>595</v>
      </c>
      <c r="B603">
        <v>0.70052556866768878</v>
      </c>
      <c r="C603">
        <v>0.45061256986264198</v>
      </c>
    </row>
    <row r="604" spans="1:3">
      <c r="A604">
        <v>596</v>
      </c>
      <c r="B604">
        <v>0.44692116693801276</v>
      </c>
      <c r="C604">
        <v>0.47147042195592803</v>
      </c>
    </row>
    <row r="605" spans="1:3">
      <c r="A605">
        <v>597</v>
      </c>
      <c r="B605">
        <v>0.30739762339610555</v>
      </c>
      <c r="C605">
        <v>0.24001445007525035</v>
      </c>
    </row>
    <row r="606" spans="1:3">
      <c r="A606">
        <v>598</v>
      </c>
      <c r="B606">
        <v>0.57896439024875046</v>
      </c>
      <c r="C606">
        <v>0.27028623929709283</v>
      </c>
    </row>
    <row r="607" spans="1:3">
      <c r="A607">
        <v>599</v>
      </c>
      <c r="B607">
        <v>0.95698744586482354</v>
      </c>
      <c r="C607">
        <v>0.13086145589295484</v>
      </c>
    </row>
    <row r="608" spans="1:3">
      <c r="A608">
        <v>600</v>
      </c>
      <c r="B608">
        <v>6.351503184449743E-2</v>
      </c>
      <c r="C608">
        <v>0.90498777965785848</v>
      </c>
    </row>
    <row r="609" spans="1:3">
      <c r="A609">
        <v>601</v>
      </c>
      <c r="B609">
        <v>0.1033358567758314</v>
      </c>
      <c r="C609">
        <v>0.67413370506983483</v>
      </c>
    </row>
    <row r="610" spans="1:3">
      <c r="A610">
        <v>602</v>
      </c>
      <c r="B610">
        <v>0.46048951807815802</v>
      </c>
      <c r="C610">
        <v>0.90118241113214026</v>
      </c>
    </row>
    <row r="611" spans="1:3">
      <c r="A611">
        <v>603</v>
      </c>
      <c r="B611">
        <v>0.16888465273843256</v>
      </c>
      <c r="C611">
        <v>0.30512906826515973</v>
      </c>
    </row>
    <row r="612" spans="1:3">
      <c r="A612">
        <v>604</v>
      </c>
      <c r="B612">
        <v>7.3312953893866606E-2</v>
      </c>
      <c r="C612">
        <v>3.4229346257234283E-2</v>
      </c>
    </row>
    <row r="613" spans="1:3">
      <c r="A613">
        <v>605</v>
      </c>
      <c r="B613">
        <v>0.22027552360279382</v>
      </c>
      <c r="C613">
        <v>8.1371748452511383E-2</v>
      </c>
    </row>
    <row r="614" spans="1:3">
      <c r="A614">
        <v>606</v>
      </c>
      <c r="B614">
        <v>0.85870760458328466</v>
      </c>
      <c r="C614">
        <v>0.91240697912780888</v>
      </c>
    </row>
    <row r="615" spans="1:3">
      <c r="A615">
        <v>607</v>
      </c>
      <c r="B615">
        <v>0.5372279139238475</v>
      </c>
      <c r="C615">
        <v>0.20122626526426757</v>
      </c>
    </row>
    <row r="616" spans="1:3">
      <c r="A616">
        <v>608</v>
      </c>
      <c r="B616">
        <v>0.74768782723338534</v>
      </c>
      <c r="C616">
        <v>0.44085233415080438</v>
      </c>
    </row>
    <row r="617" spans="1:3">
      <c r="A617">
        <v>609</v>
      </c>
      <c r="B617">
        <v>0.64191702175487697</v>
      </c>
      <c r="C617">
        <v>0.63085004297681735</v>
      </c>
    </row>
    <row r="618" spans="1:3">
      <c r="A618">
        <v>610</v>
      </c>
      <c r="B618">
        <v>0.77034229803279564</v>
      </c>
      <c r="C618">
        <v>0.23593191743475472</v>
      </c>
    </row>
    <row r="619" spans="1:3">
      <c r="A619">
        <v>611</v>
      </c>
      <c r="B619">
        <v>0.53825630653911649</v>
      </c>
      <c r="C619">
        <v>0.7667252253722836</v>
      </c>
    </row>
    <row r="620" spans="1:3">
      <c r="A620">
        <v>612</v>
      </c>
      <c r="B620">
        <v>0.58971601485943326</v>
      </c>
      <c r="C620">
        <v>0.88293652376978571</v>
      </c>
    </row>
    <row r="621" spans="1:3">
      <c r="A621">
        <v>613</v>
      </c>
      <c r="B621">
        <v>1.433510894289592E-2</v>
      </c>
      <c r="C621">
        <v>0.57036920544487657</v>
      </c>
    </row>
    <row r="622" spans="1:3">
      <c r="A622">
        <v>614</v>
      </c>
      <c r="B622">
        <v>0.76080618404452838</v>
      </c>
      <c r="C622">
        <v>0.29461533405537921</v>
      </c>
    </row>
    <row r="623" spans="1:3">
      <c r="A623">
        <v>615</v>
      </c>
      <c r="B623">
        <v>0.74026366808248301</v>
      </c>
      <c r="C623">
        <v>0.38975029110042669</v>
      </c>
    </row>
    <row r="624" spans="1:3">
      <c r="A624">
        <v>616</v>
      </c>
      <c r="B624">
        <v>0.94378911070287907</v>
      </c>
      <c r="C624">
        <v>0.68764020429534867</v>
      </c>
    </row>
    <row r="625" spans="1:3">
      <c r="A625">
        <v>617</v>
      </c>
      <c r="B625">
        <v>6.2880064797559768E-2</v>
      </c>
      <c r="C625">
        <v>0.29441384320307407</v>
      </c>
    </row>
    <row r="626" spans="1:3">
      <c r="A626">
        <v>618</v>
      </c>
      <c r="B626">
        <v>0.32155271724507972</v>
      </c>
      <c r="C626">
        <v>0.18304104221078887</v>
      </c>
    </row>
    <row r="627" spans="1:3">
      <c r="A627">
        <v>619</v>
      </c>
      <c r="B627">
        <v>0.85956118509396007</v>
      </c>
      <c r="C627">
        <v>0.78839414218236925</v>
      </c>
    </row>
    <row r="628" spans="1:3">
      <c r="A628">
        <v>620</v>
      </c>
      <c r="B628">
        <v>0.15116745451748545</v>
      </c>
      <c r="C628">
        <v>0.12641923727190374</v>
      </c>
    </row>
    <row r="629" spans="1:3">
      <c r="A629">
        <v>621</v>
      </c>
      <c r="B629">
        <v>0.14886593225339101</v>
      </c>
      <c r="C629">
        <v>0.77780808137765689</v>
      </c>
    </row>
    <row r="630" spans="1:3">
      <c r="A630">
        <v>622</v>
      </c>
      <c r="B630">
        <v>0.35773519599920489</v>
      </c>
      <c r="C630">
        <v>0.12119521447357329</v>
      </c>
    </row>
    <row r="631" spans="1:3">
      <c r="A631">
        <v>623</v>
      </c>
      <c r="B631">
        <v>0.78853385454428704</v>
      </c>
      <c r="C631">
        <v>0.22214965293187561</v>
      </c>
    </row>
    <row r="632" spans="1:3">
      <c r="A632">
        <v>624</v>
      </c>
      <c r="B632">
        <v>0.19466749196445277</v>
      </c>
      <c r="C632">
        <v>0.167092307623534</v>
      </c>
    </row>
    <row r="633" spans="1:3">
      <c r="A633">
        <v>625</v>
      </c>
      <c r="B633">
        <v>0.11158859897209067</v>
      </c>
      <c r="C633">
        <v>0.29886063253434259</v>
      </c>
    </row>
    <row r="634" spans="1:3">
      <c r="A634">
        <v>626</v>
      </c>
      <c r="B634">
        <v>9.2568650954302556E-2</v>
      </c>
      <c r="C634">
        <v>0.11794379117691278</v>
      </c>
    </row>
    <row r="635" spans="1:3">
      <c r="A635">
        <v>627</v>
      </c>
      <c r="B635">
        <v>0.82547854607656568</v>
      </c>
      <c r="C635">
        <v>0.58326307818606438</v>
      </c>
    </row>
    <row r="636" spans="1:3">
      <c r="A636">
        <v>628</v>
      </c>
      <c r="B636">
        <v>0.68595605034845786</v>
      </c>
      <c r="C636">
        <v>0.53508545986642275</v>
      </c>
    </row>
    <row r="637" spans="1:3">
      <c r="A637">
        <v>629</v>
      </c>
      <c r="B637">
        <v>0.26086448230055731</v>
      </c>
      <c r="C637">
        <v>0.80948647834884468</v>
      </c>
    </row>
    <row r="638" spans="1:3">
      <c r="A638">
        <v>630</v>
      </c>
      <c r="B638">
        <v>0.65880165445893113</v>
      </c>
      <c r="C638">
        <v>0.28888959381129098</v>
      </c>
    </row>
    <row r="639" spans="1:3">
      <c r="A639">
        <v>631</v>
      </c>
      <c r="B639">
        <v>0.36019964025919321</v>
      </c>
      <c r="C639">
        <v>0.69400051659067685</v>
      </c>
    </row>
    <row r="640" spans="1:3">
      <c r="A640">
        <v>632</v>
      </c>
      <c r="B640">
        <v>0.59482191514126537</v>
      </c>
      <c r="C640">
        <v>0.13873947016418242</v>
      </c>
    </row>
    <row r="641" spans="1:3">
      <c r="A641">
        <v>633</v>
      </c>
      <c r="B641">
        <v>0.70859959479784584</v>
      </c>
      <c r="C641">
        <v>5.7340219100296963E-3</v>
      </c>
    </row>
    <row r="642" spans="1:3">
      <c r="A642">
        <v>634</v>
      </c>
      <c r="B642">
        <v>0.66057253043553155</v>
      </c>
      <c r="C642">
        <v>0.28056619398466864</v>
      </c>
    </row>
    <row r="643" spans="1:3">
      <c r="A643">
        <v>635</v>
      </c>
      <c r="B643">
        <v>0.74329195626622346</v>
      </c>
      <c r="C643">
        <v>0.66953612393808726</v>
      </c>
    </row>
    <row r="644" spans="1:3">
      <c r="A644">
        <v>636</v>
      </c>
      <c r="B644">
        <v>0.41938112821112877</v>
      </c>
      <c r="C644">
        <v>0.3121393452393022</v>
      </c>
    </row>
    <row r="645" spans="1:3">
      <c r="A645">
        <v>637</v>
      </c>
      <c r="B645">
        <v>0.64799107128591071</v>
      </c>
      <c r="C645">
        <v>0.96486202681990108</v>
      </c>
    </row>
    <row r="646" spans="1:3">
      <c r="A646">
        <v>638</v>
      </c>
      <c r="B646">
        <v>0.48131060087338801</v>
      </c>
      <c r="C646">
        <v>0.86438267019821069</v>
      </c>
    </row>
    <row r="647" spans="1:3">
      <c r="A647">
        <v>639</v>
      </c>
      <c r="B647">
        <v>0.91639138092621963</v>
      </c>
      <c r="C647">
        <v>0.55910674265942362</v>
      </c>
    </row>
    <row r="648" spans="1:3">
      <c r="A648">
        <v>640</v>
      </c>
      <c r="B648">
        <v>0.6109479853340769</v>
      </c>
      <c r="C648">
        <v>0.13477509571839619</v>
      </c>
    </row>
    <row r="649" spans="1:3">
      <c r="A649">
        <v>641</v>
      </c>
      <c r="B649">
        <v>0.77179499048152822</v>
      </c>
      <c r="C649">
        <v>0.5471812419964408</v>
      </c>
    </row>
    <row r="650" spans="1:3">
      <c r="A650">
        <v>642</v>
      </c>
      <c r="B650">
        <v>0.59806608765317726</v>
      </c>
      <c r="C650">
        <v>3.8460968570689147E-2</v>
      </c>
    </row>
    <row r="651" spans="1:3">
      <c r="A651">
        <v>643</v>
      </c>
      <c r="B651">
        <v>0.14560247403071319</v>
      </c>
      <c r="C651">
        <v>0.81316905278799823</v>
      </c>
    </row>
    <row r="652" spans="1:3">
      <c r="A652">
        <v>644</v>
      </c>
      <c r="B652">
        <v>0.60614461671913611</v>
      </c>
      <c r="C652">
        <v>0.65324215922373696</v>
      </c>
    </row>
    <row r="653" spans="1:3">
      <c r="A653">
        <v>645</v>
      </c>
      <c r="B653">
        <v>0.63864561889358928</v>
      </c>
      <c r="C653">
        <v>0.7682400824405704</v>
      </c>
    </row>
    <row r="654" spans="1:3">
      <c r="A654">
        <v>646</v>
      </c>
      <c r="B654">
        <v>0.53299414382572152</v>
      </c>
      <c r="C654">
        <v>0.29473292099100945</v>
      </c>
    </row>
    <row r="655" spans="1:3">
      <c r="A655">
        <v>647</v>
      </c>
      <c r="B655">
        <v>0.24229091936892153</v>
      </c>
      <c r="C655">
        <v>0.25018821095090971</v>
      </c>
    </row>
    <row r="656" spans="1:3">
      <c r="A656">
        <v>648</v>
      </c>
      <c r="B656">
        <v>0.26404663292971592</v>
      </c>
      <c r="C656">
        <v>0.99942941137123853</v>
      </c>
    </row>
    <row r="657" spans="1:3">
      <c r="A657">
        <v>649</v>
      </c>
      <c r="B657">
        <v>0.73961829638518817</v>
      </c>
      <c r="C657">
        <v>0.45877320046110981</v>
      </c>
    </row>
    <row r="658" spans="1:3">
      <c r="A658">
        <v>650</v>
      </c>
      <c r="B658">
        <v>0.17925153783318856</v>
      </c>
      <c r="C658">
        <v>0.25288063476364186</v>
      </c>
    </row>
    <row r="659" spans="1:3">
      <c r="A659">
        <v>651</v>
      </c>
      <c r="B659">
        <v>1.0550063027429874E-2</v>
      </c>
      <c r="C659">
        <v>0.99100932646706497</v>
      </c>
    </row>
    <row r="660" spans="1:3">
      <c r="A660">
        <v>652</v>
      </c>
      <c r="B660">
        <v>0.21214100487300683</v>
      </c>
      <c r="C660">
        <v>0.44496200746289105</v>
      </c>
    </row>
    <row r="661" spans="1:3">
      <c r="A661">
        <v>653</v>
      </c>
      <c r="B661">
        <v>0.96384080893193391</v>
      </c>
      <c r="C661">
        <v>0.64657923258346273</v>
      </c>
    </row>
    <row r="662" spans="1:3">
      <c r="A662">
        <v>654</v>
      </c>
      <c r="B662">
        <v>0.68973236722423048</v>
      </c>
      <c r="C662">
        <v>0.87525524830198265</v>
      </c>
    </row>
    <row r="663" spans="1:3">
      <c r="A663">
        <v>655</v>
      </c>
      <c r="B663">
        <v>0.60950128998013708</v>
      </c>
      <c r="C663">
        <v>0.53416618586834375</v>
      </c>
    </row>
    <row r="664" spans="1:3">
      <c r="A664">
        <v>656</v>
      </c>
      <c r="B664">
        <v>0.56221633575489194</v>
      </c>
      <c r="C664">
        <v>0.30962999830626359</v>
      </c>
    </row>
    <row r="665" spans="1:3">
      <c r="A665">
        <v>657</v>
      </c>
      <c r="B665">
        <v>0.27556550701883747</v>
      </c>
      <c r="C665">
        <v>3.9900616402519518E-3</v>
      </c>
    </row>
    <row r="666" spans="1:3">
      <c r="A666">
        <v>658</v>
      </c>
      <c r="B666">
        <v>0.28091613294042556</v>
      </c>
      <c r="C666">
        <v>0.51010528751066886</v>
      </c>
    </row>
    <row r="667" spans="1:3">
      <c r="A667">
        <v>659</v>
      </c>
      <c r="B667">
        <v>0.57202402085997717</v>
      </c>
      <c r="C667">
        <v>0.59748586817568139</v>
      </c>
    </row>
    <row r="668" spans="1:3">
      <c r="A668">
        <v>660</v>
      </c>
      <c r="B668">
        <v>0.16126061361335697</v>
      </c>
      <c r="C668">
        <v>0.12378173367505951</v>
      </c>
    </row>
    <row r="669" spans="1:3">
      <c r="A669">
        <v>661</v>
      </c>
      <c r="B669">
        <v>0.12876450670435199</v>
      </c>
      <c r="C669">
        <v>4.9244369748521422E-2</v>
      </c>
    </row>
    <row r="670" spans="1:3">
      <c r="A670">
        <v>662</v>
      </c>
      <c r="B670">
        <v>0.49181218709466334</v>
      </c>
      <c r="C670">
        <v>0.96918410968282842</v>
      </c>
    </row>
    <row r="671" spans="1:3">
      <c r="A671">
        <v>663</v>
      </c>
      <c r="B671">
        <v>0.15568405296529739</v>
      </c>
      <c r="C671">
        <v>0.38072295174697501</v>
      </c>
    </row>
    <row r="672" spans="1:3">
      <c r="A672">
        <v>664</v>
      </c>
      <c r="B672">
        <v>8.1669555527313975E-2</v>
      </c>
      <c r="C672">
        <v>0.88886702168201737</v>
      </c>
    </row>
    <row r="673" spans="1:3">
      <c r="A673">
        <v>665</v>
      </c>
      <c r="B673">
        <v>0.33256144217880479</v>
      </c>
      <c r="C673">
        <v>0.27880831695165398</v>
      </c>
    </row>
    <row r="674" spans="1:3">
      <c r="A674">
        <v>666</v>
      </c>
      <c r="B674">
        <v>0.3339521365072467</v>
      </c>
      <c r="C674">
        <v>0.82215299775270978</v>
      </c>
    </row>
    <row r="675" spans="1:3">
      <c r="A675">
        <v>667</v>
      </c>
      <c r="B675">
        <v>0.54842207063534809</v>
      </c>
      <c r="C675">
        <v>0.68421274418869871</v>
      </c>
    </row>
    <row r="676" spans="1:3">
      <c r="A676">
        <v>668</v>
      </c>
      <c r="B676">
        <v>0.87308065155779024</v>
      </c>
      <c r="C676">
        <v>0.72609421212018788</v>
      </c>
    </row>
    <row r="677" spans="1:3">
      <c r="A677">
        <v>669</v>
      </c>
      <c r="B677">
        <v>0.68800179843767595</v>
      </c>
      <c r="C677">
        <v>0.44447717693947197</v>
      </c>
    </row>
    <row r="678" spans="1:3">
      <c r="A678">
        <v>670</v>
      </c>
      <c r="B678">
        <v>0.30268574482381477</v>
      </c>
      <c r="C678">
        <v>0.90867303863433335</v>
      </c>
    </row>
    <row r="679" spans="1:3">
      <c r="A679">
        <v>671</v>
      </c>
      <c r="B679">
        <v>0.21758162907547821</v>
      </c>
      <c r="C679">
        <v>0.25409447286801878</v>
      </c>
    </row>
    <row r="680" spans="1:3">
      <c r="A680">
        <v>672</v>
      </c>
      <c r="B680">
        <v>0.25391654878456993</v>
      </c>
      <c r="C680">
        <v>0.56777245890771155</v>
      </c>
    </row>
    <row r="681" spans="1:3">
      <c r="A681">
        <v>673</v>
      </c>
      <c r="B681">
        <v>0.20074209483520641</v>
      </c>
      <c r="C681">
        <v>0.42595041485674301</v>
      </c>
    </row>
    <row r="682" spans="1:3">
      <c r="A682">
        <v>674</v>
      </c>
      <c r="B682">
        <v>0.82616658653695285</v>
      </c>
      <c r="C682">
        <v>0.77338045784381393</v>
      </c>
    </row>
    <row r="683" spans="1:3">
      <c r="A683">
        <v>675</v>
      </c>
      <c r="B683">
        <v>0.54163639281146136</v>
      </c>
      <c r="C683">
        <v>0.3834104544012007</v>
      </c>
    </row>
    <row r="684" spans="1:3">
      <c r="A684">
        <v>676</v>
      </c>
      <c r="B684">
        <v>0.57756538069773589</v>
      </c>
      <c r="C684">
        <v>0.17330018997745356</v>
      </c>
    </row>
    <row r="685" spans="1:3">
      <c r="A685">
        <v>677</v>
      </c>
      <c r="B685">
        <v>0.34701319167320921</v>
      </c>
      <c r="C685">
        <v>0.44371546007096185</v>
      </c>
    </row>
    <row r="686" spans="1:3">
      <c r="A686">
        <v>678</v>
      </c>
      <c r="B686">
        <v>0.72269891416903087</v>
      </c>
      <c r="C686">
        <v>0.82153051697241608</v>
      </c>
    </row>
    <row r="687" spans="1:3">
      <c r="A687">
        <v>679</v>
      </c>
      <c r="B687">
        <v>0.44725228245375964</v>
      </c>
      <c r="C687">
        <v>9.2658725235196471E-2</v>
      </c>
    </row>
    <row r="688" spans="1:3">
      <c r="A688">
        <v>680</v>
      </c>
      <c r="B688">
        <v>0.2261650176747155</v>
      </c>
      <c r="C688">
        <v>0.86853126696405525</v>
      </c>
    </row>
    <row r="689" spans="1:3">
      <c r="A689">
        <v>681</v>
      </c>
      <c r="B689">
        <v>0.95786246232429106</v>
      </c>
      <c r="C689">
        <v>0.21464673546597623</v>
      </c>
    </row>
    <row r="690" spans="1:3">
      <c r="A690">
        <v>682</v>
      </c>
      <c r="B690">
        <v>9.1663323183465595E-2</v>
      </c>
      <c r="C690">
        <v>0.20468199382958119</v>
      </c>
    </row>
    <row r="691" spans="1:3">
      <c r="A691">
        <v>683</v>
      </c>
      <c r="B691">
        <v>0.19892273145237069</v>
      </c>
      <c r="C691">
        <v>0.3019710314756594</v>
      </c>
    </row>
    <row r="692" spans="1:3">
      <c r="A692">
        <v>684</v>
      </c>
      <c r="B692">
        <v>0.51193306812060368</v>
      </c>
      <c r="C692">
        <v>0.91389334499945107</v>
      </c>
    </row>
    <row r="693" spans="1:3">
      <c r="A693">
        <v>685</v>
      </c>
      <c r="B693">
        <v>0.90605772609800506</v>
      </c>
      <c r="C693">
        <v>0.42636714610216586</v>
      </c>
    </row>
    <row r="694" spans="1:3">
      <c r="A694">
        <v>686</v>
      </c>
      <c r="B694">
        <v>2.2711874059800029E-2</v>
      </c>
      <c r="C694">
        <v>0.39090351838240167</v>
      </c>
    </row>
    <row r="695" spans="1:3">
      <c r="A695">
        <v>687</v>
      </c>
      <c r="B695">
        <v>0.35204600297381305</v>
      </c>
      <c r="C695">
        <v>0.72039382176717481</v>
      </c>
    </row>
    <row r="696" spans="1:3">
      <c r="A696">
        <v>688</v>
      </c>
      <c r="B696">
        <v>0.42876323140802869</v>
      </c>
      <c r="C696">
        <v>0.59756132953407359</v>
      </c>
    </row>
    <row r="697" spans="1:3">
      <c r="A697">
        <v>689</v>
      </c>
      <c r="B697">
        <v>0.27919496836517821</v>
      </c>
      <c r="C697">
        <v>0.73785113313988404</v>
      </c>
    </row>
    <row r="698" spans="1:3">
      <c r="A698">
        <v>690</v>
      </c>
      <c r="B698">
        <v>0.20498179363086397</v>
      </c>
      <c r="C698">
        <v>0.7602289505139197</v>
      </c>
    </row>
    <row r="699" spans="1:3">
      <c r="A699">
        <v>691</v>
      </c>
      <c r="B699">
        <v>0.74203770657466672</v>
      </c>
      <c r="C699">
        <v>0.75601721350631124</v>
      </c>
    </row>
    <row r="700" spans="1:3">
      <c r="A700">
        <v>692</v>
      </c>
      <c r="B700">
        <v>0.38651097842993004</v>
      </c>
      <c r="C700">
        <v>0.4358467830970767</v>
      </c>
    </row>
    <row r="701" spans="1:3">
      <c r="A701">
        <v>693</v>
      </c>
      <c r="B701">
        <v>0.35079666937137877</v>
      </c>
      <c r="C701">
        <v>4.1364951142895734E-2</v>
      </c>
    </row>
    <row r="702" spans="1:3">
      <c r="A702">
        <v>694</v>
      </c>
      <c r="B702">
        <v>0.82847187641506825</v>
      </c>
      <c r="C702">
        <v>0.96707505643917102</v>
      </c>
    </row>
    <row r="703" spans="1:3">
      <c r="A703">
        <v>695</v>
      </c>
      <c r="B703">
        <v>0.13872237726690304</v>
      </c>
      <c r="C703">
        <v>0.1177161209834594</v>
      </c>
    </row>
    <row r="704" spans="1:3">
      <c r="A704">
        <v>696</v>
      </c>
      <c r="B704">
        <v>0.20664237190192619</v>
      </c>
      <c r="C704">
        <v>0.89977254776840709</v>
      </c>
    </row>
    <row r="705" spans="1:3">
      <c r="A705">
        <v>697</v>
      </c>
      <c r="B705">
        <v>0.92655770591193753</v>
      </c>
      <c r="C705">
        <v>0.2640569900686387</v>
      </c>
    </row>
    <row r="706" spans="1:3">
      <c r="A706">
        <v>698</v>
      </c>
      <c r="B706">
        <v>0.46373448800172989</v>
      </c>
      <c r="C706">
        <v>0.45451538192264707</v>
      </c>
    </row>
    <row r="707" spans="1:3">
      <c r="A707">
        <v>699</v>
      </c>
      <c r="B707">
        <v>0.71621738197473284</v>
      </c>
      <c r="C707">
        <v>0.42785604978598712</v>
      </c>
    </row>
    <row r="708" spans="1:3">
      <c r="A708">
        <v>700</v>
      </c>
      <c r="B708">
        <v>0.54996142703503403</v>
      </c>
      <c r="C708">
        <v>0.70535655036383105</v>
      </c>
    </row>
    <row r="709" spans="1:3">
      <c r="A709">
        <v>701</v>
      </c>
      <c r="B709">
        <v>0.27707352071420138</v>
      </c>
      <c r="C709">
        <v>0.80799527003910043</v>
      </c>
    </row>
    <row r="710" spans="1:3">
      <c r="A710">
        <v>702</v>
      </c>
      <c r="B710">
        <v>0.11005549769547197</v>
      </c>
      <c r="C710">
        <v>0.49250627188939688</v>
      </c>
    </row>
    <row r="711" spans="1:3">
      <c r="A711">
        <v>703</v>
      </c>
      <c r="B711">
        <v>0.13075194317166505</v>
      </c>
      <c r="C711">
        <v>0.28415492639580009</v>
      </c>
    </row>
    <row r="712" spans="1:3">
      <c r="A712">
        <v>704</v>
      </c>
      <c r="B712">
        <v>0.1766938287354293</v>
      </c>
      <c r="C712">
        <v>0.2042467570881854</v>
      </c>
    </row>
    <row r="713" spans="1:3">
      <c r="A713">
        <v>705</v>
      </c>
      <c r="B713">
        <v>0.38021287614484617</v>
      </c>
      <c r="C713">
        <v>0.35357495501830272</v>
      </c>
    </row>
    <row r="714" spans="1:3">
      <c r="A714">
        <v>706</v>
      </c>
      <c r="B714">
        <v>0.38232049485396608</v>
      </c>
      <c r="C714">
        <v>0.45339209054873209</v>
      </c>
    </row>
    <row r="715" spans="1:3">
      <c r="A715">
        <v>707</v>
      </c>
      <c r="B715">
        <v>0.8973108298362491</v>
      </c>
      <c r="C715">
        <v>0.52365239494156413</v>
      </c>
    </row>
    <row r="716" spans="1:3">
      <c r="A716">
        <v>708</v>
      </c>
      <c r="B716">
        <v>0.14332966398804675</v>
      </c>
      <c r="C716">
        <v>0.87997934761187935</v>
      </c>
    </row>
    <row r="717" spans="1:3">
      <c r="A717">
        <v>709</v>
      </c>
      <c r="B717">
        <v>0.50885591038266564</v>
      </c>
      <c r="C717">
        <v>0.98646332476437237</v>
      </c>
    </row>
    <row r="718" spans="1:3">
      <c r="A718">
        <v>710</v>
      </c>
      <c r="B718">
        <v>0.39782184112556784</v>
      </c>
      <c r="C718">
        <v>0.47865455654391553</v>
      </c>
    </row>
    <row r="719" spans="1:3">
      <c r="A719">
        <v>711</v>
      </c>
      <c r="B719">
        <v>6.6639609443638378E-2</v>
      </c>
      <c r="C719">
        <v>0.18559310525870387</v>
      </c>
    </row>
    <row r="720" spans="1:3">
      <c r="A720">
        <v>712</v>
      </c>
      <c r="B720">
        <v>0.58654153365607875</v>
      </c>
      <c r="C720">
        <v>0.2109049469090678</v>
      </c>
    </row>
    <row r="721" spans="1:3">
      <c r="A721">
        <v>713</v>
      </c>
      <c r="B721">
        <v>0.88280747565576057</v>
      </c>
      <c r="C721">
        <v>0.80304482507017383</v>
      </c>
    </row>
    <row r="722" spans="1:3">
      <c r="A722">
        <v>714</v>
      </c>
      <c r="B722">
        <v>0.10808815595765787</v>
      </c>
      <c r="C722">
        <v>0.98702505354685854</v>
      </c>
    </row>
    <row r="723" spans="1:3">
      <c r="A723">
        <v>715</v>
      </c>
      <c r="B723">
        <v>0.9369155523369358</v>
      </c>
      <c r="C723">
        <v>0.40282953860878479</v>
      </c>
    </row>
    <row r="724" spans="1:3">
      <c r="A724">
        <v>716</v>
      </c>
      <c r="B724">
        <v>0.5834529260435265</v>
      </c>
      <c r="C724">
        <v>0.71198228797857155</v>
      </c>
    </row>
    <row r="725" spans="1:3">
      <c r="A725">
        <v>717</v>
      </c>
      <c r="B725">
        <v>0.55160625303434363</v>
      </c>
      <c r="C725">
        <v>0.43806320784824493</v>
      </c>
    </row>
    <row r="726" spans="1:3">
      <c r="A726">
        <v>718</v>
      </c>
      <c r="B726">
        <v>1.1941943156985086E-2</v>
      </c>
      <c r="C726">
        <v>1.6810126519885671E-2</v>
      </c>
    </row>
    <row r="727" spans="1:3">
      <c r="A727">
        <v>719</v>
      </c>
      <c r="B727">
        <v>0.5154490075163658</v>
      </c>
      <c r="C727">
        <v>9.3678516965155723E-2</v>
      </c>
    </row>
    <row r="728" spans="1:3">
      <c r="A728">
        <v>720</v>
      </c>
      <c r="B728">
        <v>0.59738173130652439</v>
      </c>
      <c r="C728">
        <v>0.24516444307664642</v>
      </c>
    </row>
    <row r="729" spans="1:3">
      <c r="A729">
        <v>721</v>
      </c>
      <c r="B729">
        <v>0.7861393730903834</v>
      </c>
      <c r="C729">
        <v>0.75875065598938818</v>
      </c>
    </row>
    <row r="730" spans="1:3">
      <c r="A730">
        <v>722</v>
      </c>
      <c r="B730">
        <v>0.76988608452814777</v>
      </c>
      <c r="C730">
        <v>0.71355373226288066</v>
      </c>
    </row>
    <row r="731" spans="1:3">
      <c r="A731">
        <v>723</v>
      </c>
      <c r="B731">
        <v>0.55592359093272214</v>
      </c>
      <c r="C731">
        <v>0.33337159792154125</v>
      </c>
    </row>
    <row r="732" spans="1:3">
      <c r="A732">
        <v>724</v>
      </c>
      <c r="B732">
        <v>0.33423914375045322</v>
      </c>
      <c r="C732">
        <v>0.10066162333168904</v>
      </c>
    </row>
    <row r="733" spans="1:3">
      <c r="A733">
        <v>725</v>
      </c>
      <c r="B733">
        <v>0.76519820112273984</v>
      </c>
      <c r="C733">
        <v>0.42674811341476016</v>
      </c>
    </row>
    <row r="734" spans="1:3">
      <c r="A734">
        <v>726</v>
      </c>
      <c r="B734">
        <v>0.51480257274834507</v>
      </c>
      <c r="C734">
        <v>0.83055945326306713</v>
      </c>
    </row>
    <row r="735" spans="1:3">
      <c r="A735">
        <v>727</v>
      </c>
      <c r="B735">
        <v>0.48938416065796841</v>
      </c>
      <c r="C735">
        <v>0.61321152800701384</v>
      </c>
    </row>
    <row r="736" spans="1:3">
      <c r="A736">
        <v>728</v>
      </c>
      <c r="B736">
        <v>6.879618610856035E-2</v>
      </c>
      <c r="C736">
        <v>0.49077417528042133</v>
      </c>
    </row>
    <row r="737" spans="1:3">
      <c r="A737">
        <v>729</v>
      </c>
      <c r="B737">
        <v>0.16515211267190802</v>
      </c>
      <c r="C737">
        <v>0.30502930725560873</v>
      </c>
    </row>
    <row r="738" spans="1:3">
      <c r="A738">
        <v>730</v>
      </c>
      <c r="B738">
        <v>0.75567440058818891</v>
      </c>
      <c r="C738">
        <v>0.85622485152180161</v>
      </c>
    </row>
    <row r="739" spans="1:3">
      <c r="A739">
        <v>731</v>
      </c>
      <c r="B739">
        <v>0.70975182601989995</v>
      </c>
      <c r="C739">
        <v>0.64338315172608418</v>
      </c>
    </row>
    <row r="740" spans="1:3">
      <c r="A740">
        <v>732</v>
      </c>
      <c r="B740">
        <v>0.57351506653626338</v>
      </c>
      <c r="C740">
        <v>6.1184940773273411E-2</v>
      </c>
    </row>
    <row r="741" spans="1:3">
      <c r="A741">
        <v>733</v>
      </c>
      <c r="B741">
        <v>0.12772590332611602</v>
      </c>
      <c r="C741">
        <v>0.18824948865221813</v>
      </c>
    </row>
    <row r="742" spans="1:3">
      <c r="A742">
        <v>734</v>
      </c>
      <c r="B742">
        <v>0.66635221450155413</v>
      </c>
      <c r="C742">
        <v>8.637576969613292E-2</v>
      </c>
    </row>
    <row r="743" spans="1:3">
      <c r="A743">
        <v>735</v>
      </c>
      <c r="B743">
        <v>0.9242335997860025</v>
      </c>
      <c r="C743">
        <v>0.7126099371471355</v>
      </c>
    </row>
    <row r="744" spans="1:3">
      <c r="A744">
        <v>736</v>
      </c>
      <c r="B744">
        <v>0.39985488864566548</v>
      </c>
      <c r="C744">
        <v>0.99247562022810598</v>
      </c>
    </row>
    <row r="745" spans="1:3">
      <c r="A745">
        <v>737</v>
      </c>
      <c r="B745">
        <v>0.77856703898463564</v>
      </c>
      <c r="C745">
        <v>0.19876996492166654</v>
      </c>
    </row>
    <row r="746" spans="1:3">
      <c r="A746">
        <v>738</v>
      </c>
      <c r="B746">
        <v>0.93164567429028577</v>
      </c>
      <c r="C746">
        <v>0.13749611074217682</v>
      </c>
    </row>
    <row r="747" spans="1:3">
      <c r="A747">
        <v>739</v>
      </c>
      <c r="B747">
        <v>0.50951165629050499</v>
      </c>
      <c r="C747">
        <v>3.5035172359130229E-2</v>
      </c>
    </row>
    <row r="748" spans="1:3">
      <c r="A748">
        <v>740</v>
      </c>
      <c r="B748">
        <v>0.93990513030134726</v>
      </c>
      <c r="C748">
        <v>0.80517359230179864</v>
      </c>
    </row>
    <row r="749" spans="1:3">
      <c r="A749">
        <v>741</v>
      </c>
      <c r="B749">
        <v>0.1573960591015397</v>
      </c>
      <c r="C749">
        <v>0.72162215921434836</v>
      </c>
    </row>
    <row r="750" spans="1:3">
      <c r="A750">
        <v>742</v>
      </c>
      <c r="B750">
        <v>0.78384586247565358</v>
      </c>
      <c r="C750">
        <v>8.7280524785455782E-3</v>
      </c>
    </row>
    <row r="751" spans="1:3">
      <c r="A751">
        <v>743</v>
      </c>
      <c r="B751">
        <v>0.62207104347135656</v>
      </c>
      <c r="C751">
        <v>0.94731755028533371</v>
      </c>
    </row>
    <row r="752" spans="1:3">
      <c r="A752">
        <v>744</v>
      </c>
      <c r="B752">
        <v>0.11696995143242413</v>
      </c>
      <c r="C752">
        <v>0.36348921390708711</v>
      </c>
    </row>
    <row r="753" spans="1:3">
      <c r="A753">
        <v>745</v>
      </c>
      <c r="B753">
        <v>0.22828554238315801</v>
      </c>
      <c r="C753">
        <v>0.99945853382178029</v>
      </c>
    </row>
    <row r="754" spans="1:3">
      <c r="A754">
        <v>746</v>
      </c>
      <c r="B754">
        <v>0.66568037825955084</v>
      </c>
      <c r="C754">
        <v>0.49156780534394784</v>
      </c>
    </row>
    <row r="755" spans="1:3">
      <c r="A755">
        <v>747</v>
      </c>
      <c r="B755">
        <v>0.14612173169272061</v>
      </c>
      <c r="C755">
        <v>0.40468014394991769</v>
      </c>
    </row>
    <row r="756" spans="1:3">
      <c r="A756">
        <v>748</v>
      </c>
      <c r="B756">
        <v>0.23275028389802907</v>
      </c>
      <c r="C756">
        <v>0.19882929489722301</v>
      </c>
    </row>
    <row r="757" spans="1:3">
      <c r="A757">
        <v>749</v>
      </c>
      <c r="B757">
        <v>0.67949631604191285</v>
      </c>
      <c r="C757">
        <v>0.14866608178726892</v>
      </c>
    </row>
    <row r="758" spans="1:3">
      <c r="A758">
        <v>750</v>
      </c>
      <c r="B758">
        <v>0.94539801246076771</v>
      </c>
      <c r="C758">
        <v>0.67937099904156639</v>
      </c>
    </row>
    <row r="759" spans="1:3">
      <c r="A759">
        <v>751</v>
      </c>
      <c r="B759">
        <v>0.98262761752065908</v>
      </c>
      <c r="C759">
        <v>0.62177289581359219</v>
      </c>
    </row>
    <row r="760" spans="1:3">
      <c r="A760">
        <v>752</v>
      </c>
      <c r="B760">
        <v>0.30048751094320031</v>
      </c>
      <c r="C760">
        <v>0.58761710794897226</v>
      </c>
    </row>
    <row r="761" spans="1:3">
      <c r="A761">
        <v>753</v>
      </c>
      <c r="B761">
        <v>0.81079361179605902</v>
      </c>
      <c r="C761">
        <v>0.31419831569746748</v>
      </c>
    </row>
    <row r="762" spans="1:3">
      <c r="A762">
        <v>754</v>
      </c>
      <c r="B762">
        <v>0.31517788484161208</v>
      </c>
      <c r="C762">
        <v>0.79073019255883992</v>
      </c>
    </row>
    <row r="763" spans="1:3">
      <c r="A763">
        <v>755</v>
      </c>
      <c r="B763">
        <v>0.21659081942462149</v>
      </c>
      <c r="C763">
        <v>0.14253625710534834</v>
      </c>
    </row>
    <row r="764" spans="1:3">
      <c r="A764">
        <v>756</v>
      </c>
      <c r="B764">
        <v>0.94990759864284369</v>
      </c>
      <c r="C764">
        <v>0.41098349089770636</v>
      </c>
    </row>
    <row r="765" spans="1:3">
      <c r="A765">
        <v>757</v>
      </c>
      <c r="B765">
        <v>0.26396405296422637</v>
      </c>
      <c r="C765">
        <v>0.42221240180242603</v>
      </c>
    </row>
    <row r="766" spans="1:3">
      <c r="A766">
        <v>758</v>
      </c>
      <c r="B766">
        <v>0.93745348975142784</v>
      </c>
      <c r="C766">
        <v>0.86820171762155951</v>
      </c>
    </row>
    <row r="767" spans="1:3">
      <c r="A767">
        <v>759</v>
      </c>
      <c r="B767">
        <v>3.0187069188614159E-2</v>
      </c>
      <c r="C767">
        <v>0.84625704393693013</v>
      </c>
    </row>
    <row r="768" spans="1:3">
      <c r="A768">
        <v>760</v>
      </c>
      <c r="B768">
        <v>0.4039514346883985</v>
      </c>
      <c r="C768">
        <v>0.75086136362642719</v>
      </c>
    </row>
    <row r="769" spans="1:3">
      <c r="A769">
        <v>761</v>
      </c>
      <c r="B769">
        <v>0.28785673787348359</v>
      </c>
      <c r="C769">
        <v>0.44631403383755242</v>
      </c>
    </row>
    <row r="770" spans="1:3">
      <c r="A770">
        <v>762</v>
      </c>
      <c r="B770">
        <v>0.87263901417880296</v>
      </c>
      <c r="C770">
        <v>1.9754879182983132E-2</v>
      </c>
    </row>
    <row r="771" spans="1:3">
      <c r="A771">
        <v>763</v>
      </c>
      <c r="B771">
        <v>0.44973630385490515</v>
      </c>
      <c r="C771">
        <v>6.7452163040798041E-2</v>
      </c>
    </row>
    <row r="772" spans="1:3">
      <c r="A772">
        <v>764</v>
      </c>
      <c r="B772">
        <v>0.50743946378432203</v>
      </c>
      <c r="C772">
        <v>0.12701995021143375</v>
      </c>
    </row>
    <row r="773" spans="1:3">
      <c r="A773">
        <v>765</v>
      </c>
      <c r="B773">
        <v>0.45446538210740905</v>
      </c>
      <c r="C773">
        <v>0.59818941653793445</v>
      </c>
    </row>
    <row r="774" spans="1:3">
      <c r="A774">
        <v>766</v>
      </c>
      <c r="B774">
        <v>0.86189161052063379</v>
      </c>
      <c r="C774">
        <v>2.5585112215594563E-2</v>
      </c>
    </row>
    <row r="775" spans="1:3">
      <c r="A775">
        <v>767</v>
      </c>
      <c r="B775">
        <v>0.54721573773054777</v>
      </c>
      <c r="C775">
        <v>0.68653343366349873</v>
      </c>
    </row>
    <row r="776" spans="1:3">
      <c r="A776">
        <v>768</v>
      </c>
      <c r="B776">
        <v>0.81630017578003466</v>
      </c>
      <c r="C776">
        <v>0.12566497757234174</v>
      </c>
    </row>
    <row r="777" spans="1:3">
      <c r="A777">
        <v>769</v>
      </c>
      <c r="B777">
        <v>0.52649988915014545</v>
      </c>
      <c r="C777">
        <v>0.49704976888824604</v>
      </c>
    </row>
    <row r="778" spans="1:3">
      <c r="A778">
        <v>770</v>
      </c>
      <c r="B778">
        <v>0.42599279760382897</v>
      </c>
      <c r="C778">
        <v>0.80076939302671235</v>
      </c>
    </row>
    <row r="779" spans="1:3">
      <c r="A779">
        <v>771</v>
      </c>
      <c r="B779">
        <v>0.89441709464355768</v>
      </c>
      <c r="C779">
        <v>0.88202298518808675</v>
      </c>
    </row>
    <row r="780" spans="1:3">
      <c r="A780">
        <v>772</v>
      </c>
      <c r="B780">
        <v>0.37070230066489951</v>
      </c>
      <c r="C780">
        <v>0.26162993422531144</v>
      </c>
    </row>
    <row r="781" spans="1:3">
      <c r="A781">
        <v>773</v>
      </c>
      <c r="B781">
        <v>0.797973428751103</v>
      </c>
      <c r="C781">
        <v>0.14414175132696982</v>
      </c>
    </row>
    <row r="782" spans="1:3">
      <c r="A782">
        <v>774</v>
      </c>
      <c r="B782">
        <v>0.96088876504355314</v>
      </c>
      <c r="C782">
        <v>0.37506596184084628</v>
      </c>
    </row>
    <row r="783" spans="1:3">
      <c r="A783">
        <v>775</v>
      </c>
      <c r="B783">
        <v>0.69278313670930991</v>
      </c>
      <c r="C783">
        <v>0.67314432911553013</v>
      </c>
    </row>
    <row r="784" spans="1:3">
      <c r="A784">
        <v>776</v>
      </c>
      <c r="B784">
        <v>0.34421133808563731</v>
      </c>
      <c r="C784">
        <v>0.66544606825209485</v>
      </c>
    </row>
    <row r="785" spans="1:3">
      <c r="A785">
        <v>777</v>
      </c>
      <c r="B785">
        <v>0.50496104161463695</v>
      </c>
      <c r="C785">
        <v>0.64560729834556696</v>
      </c>
    </row>
    <row r="786" spans="1:3">
      <c r="A786">
        <v>778</v>
      </c>
      <c r="B786">
        <v>0.38314906287615869</v>
      </c>
      <c r="C786">
        <v>9.9767317274228162E-2</v>
      </c>
    </row>
    <row r="787" spans="1:3">
      <c r="A787">
        <v>779</v>
      </c>
      <c r="B787">
        <v>0.4805405589748501</v>
      </c>
      <c r="C787">
        <v>0.49992359939005837</v>
      </c>
    </row>
    <row r="788" spans="1:3">
      <c r="A788">
        <v>780</v>
      </c>
      <c r="B788">
        <v>0.32955920033402719</v>
      </c>
      <c r="C788">
        <v>0.42450632259715348</v>
      </c>
    </row>
    <row r="789" spans="1:3">
      <c r="A789">
        <v>781</v>
      </c>
      <c r="B789">
        <v>0.96273545766289703</v>
      </c>
      <c r="C789">
        <v>0.4466651147849916</v>
      </c>
    </row>
    <row r="790" spans="1:3">
      <c r="A790">
        <v>782</v>
      </c>
      <c r="B790">
        <v>0.93853427916288701</v>
      </c>
      <c r="C790">
        <v>0.37541726754625415</v>
      </c>
    </row>
    <row r="791" spans="1:3">
      <c r="A791">
        <v>783</v>
      </c>
      <c r="B791">
        <v>0.25079874588218487</v>
      </c>
      <c r="C791">
        <v>0.72526797954742506</v>
      </c>
    </row>
    <row r="792" spans="1:3">
      <c r="A792">
        <v>784</v>
      </c>
      <c r="B792">
        <v>0.30979196844827195</v>
      </c>
      <c r="C792">
        <v>0.10690202704608964</v>
      </c>
    </row>
    <row r="793" spans="1:3">
      <c r="A793">
        <v>785</v>
      </c>
      <c r="B793">
        <v>0.88935914510357184</v>
      </c>
      <c r="C793">
        <v>0.32024040990381764</v>
      </c>
    </row>
    <row r="794" spans="1:3">
      <c r="A794">
        <v>786</v>
      </c>
      <c r="B794">
        <v>1.3771784770714999E-2</v>
      </c>
      <c r="C794">
        <v>0.11589875245772419</v>
      </c>
    </row>
    <row r="795" spans="1:3">
      <c r="A795">
        <v>787</v>
      </c>
      <c r="B795">
        <v>0.820460273954426</v>
      </c>
      <c r="C795">
        <v>0.83062750261797191</v>
      </c>
    </row>
    <row r="796" spans="1:3">
      <c r="A796">
        <v>788</v>
      </c>
      <c r="B796">
        <v>0.94140063922954742</v>
      </c>
      <c r="C796">
        <v>0.92124879492439504</v>
      </c>
    </row>
    <row r="797" spans="1:3">
      <c r="A797">
        <v>789</v>
      </c>
      <c r="B797">
        <v>0.77561838634419678</v>
      </c>
      <c r="C797">
        <v>0.43084163194816938</v>
      </c>
    </row>
    <row r="798" spans="1:3">
      <c r="A798">
        <v>790</v>
      </c>
      <c r="B798">
        <v>5.978399110906385E-2</v>
      </c>
      <c r="C798">
        <v>0.14031399861414684</v>
      </c>
    </row>
    <row r="799" spans="1:3">
      <c r="A799">
        <v>791</v>
      </c>
      <c r="B799">
        <v>2.1320678836042221E-2</v>
      </c>
      <c r="C799">
        <v>0.90123890086670144</v>
      </c>
    </row>
    <row r="800" spans="1:3">
      <c r="A800">
        <v>792</v>
      </c>
      <c r="B800">
        <v>0.59083375837114505</v>
      </c>
      <c r="C800">
        <v>0.47134103033931751</v>
      </c>
    </row>
    <row r="801" spans="1:3">
      <c r="A801">
        <v>793</v>
      </c>
      <c r="B801">
        <v>0.53604388697632677</v>
      </c>
      <c r="C801">
        <v>0.99619776215422462</v>
      </c>
    </row>
    <row r="802" spans="1:3">
      <c r="A802">
        <v>794</v>
      </c>
      <c r="B802">
        <v>0.84064736190197231</v>
      </c>
      <c r="C802">
        <v>0.47770883753764792</v>
      </c>
    </row>
    <row r="803" spans="1:3">
      <c r="A803">
        <v>795</v>
      </c>
      <c r="B803">
        <v>0.76300815905863617</v>
      </c>
      <c r="C803">
        <v>0.20816924645532708</v>
      </c>
    </row>
    <row r="804" spans="1:3">
      <c r="A804">
        <v>796</v>
      </c>
      <c r="B804">
        <v>0.78029967223557173</v>
      </c>
      <c r="C804">
        <v>0.59848882553887961</v>
      </c>
    </row>
    <row r="805" spans="1:3">
      <c r="A805">
        <v>797</v>
      </c>
      <c r="B805">
        <v>0.31155267887831495</v>
      </c>
      <c r="C805">
        <v>0.60716668420445785</v>
      </c>
    </row>
    <row r="806" spans="1:3">
      <c r="A806">
        <v>798</v>
      </c>
      <c r="B806">
        <v>0.17547775410778768</v>
      </c>
      <c r="C806">
        <v>0.69284044241067022</v>
      </c>
    </row>
    <row r="807" spans="1:3">
      <c r="A807">
        <v>799</v>
      </c>
      <c r="B807">
        <v>0.15276230615022646</v>
      </c>
      <c r="C807">
        <v>0.69702433614565962</v>
      </c>
    </row>
    <row r="808" spans="1:3">
      <c r="A808">
        <v>800</v>
      </c>
      <c r="B808">
        <v>0.85011595377165727</v>
      </c>
      <c r="C808">
        <v>0.43496315090487769</v>
      </c>
    </row>
    <row r="809" spans="1:3">
      <c r="A809">
        <v>801</v>
      </c>
      <c r="B809">
        <v>0.4101604830520601</v>
      </c>
      <c r="C809">
        <v>0.68852516524657403</v>
      </c>
    </row>
    <row r="810" spans="1:3">
      <c r="A810">
        <v>802</v>
      </c>
      <c r="B810">
        <v>0.4352358415055172</v>
      </c>
      <c r="C810">
        <v>9.1435151643963763E-2</v>
      </c>
    </row>
    <row r="811" spans="1:3">
      <c r="A811">
        <v>803</v>
      </c>
      <c r="B811">
        <v>0.97419016211577458</v>
      </c>
      <c r="C811">
        <v>0.3709702764681424</v>
      </c>
    </row>
    <row r="812" spans="1:3">
      <c r="A812">
        <v>804</v>
      </c>
      <c r="B812">
        <v>0.17303196710046195</v>
      </c>
      <c r="C812">
        <v>0.35448474416261888</v>
      </c>
    </row>
    <row r="813" spans="1:3">
      <c r="A813">
        <v>805</v>
      </c>
      <c r="B813">
        <v>0.73193374309896808</v>
      </c>
      <c r="C813">
        <v>0.510470550259015</v>
      </c>
    </row>
    <row r="814" spans="1:3">
      <c r="A814">
        <v>806</v>
      </c>
      <c r="B814">
        <v>0.5753383775181925</v>
      </c>
      <c r="C814">
        <v>0.76759250475697627</v>
      </c>
    </row>
    <row r="815" spans="1:3">
      <c r="A815">
        <v>807</v>
      </c>
      <c r="B815">
        <v>0.28135980615051459</v>
      </c>
      <c r="C815">
        <v>0.15052026236753591</v>
      </c>
    </row>
    <row r="816" spans="1:3">
      <c r="A816">
        <v>808</v>
      </c>
      <c r="B816">
        <v>0.17017610585484097</v>
      </c>
      <c r="C816">
        <v>5.9466636594152078E-2</v>
      </c>
    </row>
    <row r="817" spans="1:3">
      <c r="A817">
        <v>809</v>
      </c>
      <c r="B817">
        <v>0.33974437902163351</v>
      </c>
      <c r="C817">
        <v>0.43843877958988742</v>
      </c>
    </row>
    <row r="818" spans="1:3">
      <c r="A818">
        <v>810</v>
      </c>
      <c r="B818">
        <v>0.16793337620793222</v>
      </c>
      <c r="C818">
        <v>5.6669475039598183E-2</v>
      </c>
    </row>
    <row r="819" spans="1:3">
      <c r="A819">
        <v>811</v>
      </c>
      <c r="B819">
        <v>0.28961485085697258</v>
      </c>
      <c r="C819">
        <v>0.26544222295797226</v>
      </c>
    </row>
    <row r="820" spans="1:3">
      <c r="A820">
        <v>812</v>
      </c>
      <c r="B820">
        <v>0.90478681624000579</v>
      </c>
      <c r="C820">
        <v>0.87197915485376143</v>
      </c>
    </row>
    <row r="821" spans="1:3">
      <c r="A821">
        <v>813</v>
      </c>
      <c r="B821">
        <v>0.23768099260183076</v>
      </c>
      <c r="C821">
        <v>1.4475112452601024E-2</v>
      </c>
    </row>
    <row r="822" spans="1:3">
      <c r="A822">
        <v>814</v>
      </c>
      <c r="B822">
        <v>0.26875587232079262</v>
      </c>
      <c r="C822">
        <v>5.3026577601485769E-2</v>
      </c>
    </row>
    <row r="823" spans="1:3">
      <c r="A823">
        <v>815</v>
      </c>
      <c r="B823">
        <v>0.43427513686713648</v>
      </c>
      <c r="C823">
        <v>0.20852693174037995</v>
      </c>
    </row>
    <row r="824" spans="1:3">
      <c r="A824">
        <v>816</v>
      </c>
      <c r="B824">
        <v>0.63252004068240519</v>
      </c>
      <c r="C824">
        <v>0.43772230149625102</v>
      </c>
    </row>
    <row r="825" spans="1:3">
      <c r="A825">
        <v>817</v>
      </c>
      <c r="B825">
        <v>0.73899151047901057</v>
      </c>
      <c r="C825">
        <v>0.6925228079298904</v>
      </c>
    </row>
    <row r="826" spans="1:3">
      <c r="A826">
        <v>818</v>
      </c>
      <c r="B826">
        <v>0.99327442482003814</v>
      </c>
      <c r="C826">
        <v>0.96649082482508675</v>
      </c>
    </row>
    <row r="827" spans="1:3">
      <c r="A827">
        <v>819</v>
      </c>
      <c r="B827">
        <v>0.88115865055265807</v>
      </c>
      <c r="C827">
        <v>0.14420157507720432</v>
      </c>
    </row>
    <row r="828" spans="1:3">
      <c r="A828">
        <v>820</v>
      </c>
      <c r="B828">
        <v>0.71784743619450542</v>
      </c>
      <c r="C828">
        <v>0.61268728870710731</v>
      </c>
    </row>
    <row r="829" spans="1:3">
      <c r="A829">
        <v>821</v>
      </c>
      <c r="B829">
        <v>0.29997959326928936</v>
      </c>
      <c r="C829">
        <v>0.85014557462318407</v>
      </c>
    </row>
    <row r="830" spans="1:3">
      <c r="A830">
        <v>822</v>
      </c>
      <c r="B830">
        <v>0.63908446266247998</v>
      </c>
      <c r="C830">
        <v>0.84175409339650287</v>
      </c>
    </row>
    <row r="831" spans="1:3">
      <c r="A831">
        <v>823</v>
      </c>
      <c r="B831">
        <v>1.8705947426777787E-2</v>
      </c>
      <c r="C831">
        <v>0.20856358485525561</v>
      </c>
    </row>
    <row r="832" spans="1:3">
      <c r="A832">
        <v>824</v>
      </c>
      <c r="B832">
        <v>0.25629150794406691</v>
      </c>
      <c r="C832">
        <v>0.79615195633959956</v>
      </c>
    </row>
    <row r="833" spans="1:3">
      <c r="A833">
        <v>825</v>
      </c>
      <c r="B833">
        <v>0.85207374468587194</v>
      </c>
      <c r="C833">
        <v>9.637631565965421E-3</v>
      </c>
    </row>
    <row r="834" spans="1:3">
      <c r="A834">
        <v>826</v>
      </c>
      <c r="B834">
        <v>0.88831848105842215</v>
      </c>
      <c r="C834">
        <v>0.73065162816419615</v>
      </c>
    </row>
    <row r="835" spans="1:3">
      <c r="A835">
        <v>827</v>
      </c>
      <c r="B835">
        <v>0.22147128367388419</v>
      </c>
      <c r="C835">
        <v>0.2992576046517712</v>
      </c>
    </row>
    <row r="836" spans="1:3">
      <c r="A836">
        <v>828</v>
      </c>
      <c r="B836">
        <v>2.7298149960417802E-2</v>
      </c>
      <c r="C836">
        <v>0.1305280697552007</v>
      </c>
    </row>
    <row r="837" spans="1:3">
      <c r="A837">
        <v>829</v>
      </c>
      <c r="B837">
        <v>0.62811191780495268</v>
      </c>
      <c r="C837">
        <v>0.95244945328704489</v>
      </c>
    </row>
    <row r="838" spans="1:3">
      <c r="A838">
        <v>830</v>
      </c>
      <c r="B838">
        <v>0.26136786274131574</v>
      </c>
      <c r="C838">
        <v>0.88408386593891919</v>
      </c>
    </row>
    <row r="839" spans="1:3">
      <c r="A839">
        <v>831</v>
      </c>
      <c r="B839">
        <v>0.74607660881361848</v>
      </c>
      <c r="C839">
        <v>0.61924316611839458</v>
      </c>
    </row>
    <row r="840" spans="1:3">
      <c r="A840">
        <v>832</v>
      </c>
      <c r="B840">
        <v>0.29870534409110094</v>
      </c>
      <c r="C840">
        <v>0.9206113036516399</v>
      </c>
    </row>
    <row r="841" spans="1:3">
      <c r="A841">
        <v>833</v>
      </c>
      <c r="B841">
        <v>0.55318695940477469</v>
      </c>
      <c r="C841">
        <v>0.52679271468696243</v>
      </c>
    </row>
    <row r="842" spans="1:3">
      <c r="A842">
        <v>834</v>
      </c>
      <c r="B842">
        <v>0.51760880743633231</v>
      </c>
      <c r="C842">
        <v>0.34679093548493256</v>
      </c>
    </row>
    <row r="843" spans="1:3">
      <c r="A843">
        <v>835</v>
      </c>
      <c r="B843">
        <v>0.59236007777772837</v>
      </c>
      <c r="C843">
        <v>0.40484948276207433</v>
      </c>
    </row>
    <row r="844" spans="1:3">
      <c r="A844">
        <v>836</v>
      </c>
      <c r="B844">
        <v>4.557786868758916E-2</v>
      </c>
      <c r="C844">
        <v>0.17184062359501695</v>
      </c>
    </row>
    <row r="845" spans="1:3">
      <c r="A845">
        <v>837</v>
      </c>
      <c r="B845">
        <v>0.52131617308089429</v>
      </c>
      <c r="C845">
        <v>0.67922662035380199</v>
      </c>
    </row>
    <row r="846" spans="1:3">
      <c r="A846">
        <v>838</v>
      </c>
      <c r="B846">
        <v>0.91977886901022377</v>
      </c>
      <c r="C846">
        <v>0.34541044804154808</v>
      </c>
    </row>
    <row r="847" spans="1:3">
      <c r="A847">
        <v>839</v>
      </c>
      <c r="B847">
        <v>0.35137769241081029</v>
      </c>
      <c r="C847">
        <v>0.84471882810612442</v>
      </c>
    </row>
    <row r="848" spans="1:3">
      <c r="A848">
        <v>840</v>
      </c>
      <c r="B848">
        <v>8.06539937636475E-2</v>
      </c>
      <c r="C848">
        <v>0.62534255293849128</v>
      </c>
    </row>
    <row r="849" spans="1:3">
      <c r="A849">
        <v>841</v>
      </c>
      <c r="B849">
        <v>0.69602667575562993</v>
      </c>
      <c r="C849">
        <v>0.45320939898738288</v>
      </c>
    </row>
    <row r="850" spans="1:3">
      <c r="A850">
        <v>842</v>
      </c>
      <c r="B850">
        <v>0.31081395703410125</v>
      </c>
      <c r="C850">
        <v>0.66069327099012298</v>
      </c>
    </row>
    <row r="851" spans="1:3">
      <c r="A851">
        <v>843</v>
      </c>
      <c r="B851">
        <v>0.61555577215053037</v>
      </c>
      <c r="C851">
        <v>0.88317118227132596</v>
      </c>
    </row>
    <row r="852" spans="1:3">
      <c r="A852">
        <v>844</v>
      </c>
      <c r="B852">
        <v>0.19021322392747114</v>
      </c>
      <c r="C852">
        <v>7.5478787507563538E-2</v>
      </c>
    </row>
    <row r="853" spans="1:3">
      <c r="A853">
        <v>845</v>
      </c>
      <c r="B853">
        <v>0.25166540537277826</v>
      </c>
      <c r="C853">
        <v>0.88439864600877627</v>
      </c>
    </row>
    <row r="854" spans="1:3">
      <c r="A854">
        <v>846</v>
      </c>
      <c r="B854">
        <v>0.75383664546693596</v>
      </c>
      <c r="C854">
        <v>0.57528032375466864</v>
      </c>
    </row>
    <row r="855" spans="1:3">
      <c r="A855">
        <v>847</v>
      </c>
      <c r="B855">
        <v>0.79458390560806358</v>
      </c>
      <c r="C855">
        <v>0.98152402967934904</v>
      </c>
    </row>
    <row r="856" spans="1:3">
      <c r="A856">
        <v>848</v>
      </c>
      <c r="B856">
        <v>0.97986814546256051</v>
      </c>
      <c r="C856">
        <v>0.35388406619404122</v>
      </c>
    </row>
    <row r="857" spans="1:3">
      <c r="A857">
        <v>849</v>
      </c>
      <c r="B857">
        <v>0.28213960241320069</v>
      </c>
      <c r="C857">
        <v>0.85767972178291529</v>
      </c>
    </row>
    <row r="858" spans="1:3">
      <c r="A858">
        <v>850</v>
      </c>
      <c r="B858">
        <v>0.80219729587766275</v>
      </c>
      <c r="C858">
        <v>9.776662863259844E-3</v>
      </c>
    </row>
    <row r="859" spans="1:3">
      <c r="A859">
        <v>851</v>
      </c>
      <c r="B859">
        <v>0.87597736925258707</v>
      </c>
      <c r="C859">
        <v>8.2411339530153782E-2</v>
      </c>
    </row>
    <row r="860" spans="1:3">
      <c r="A860">
        <v>852</v>
      </c>
      <c r="B860">
        <v>0.32203268244048411</v>
      </c>
      <c r="C860">
        <v>0.8996989098859558</v>
      </c>
    </row>
    <row r="861" spans="1:3">
      <c r="A861">
        <v>853</v>
      </c>
      <c r="B861">
        <v>0.97329933145486269</v>
      </c>
      <c r="C861">
        <v>0.40571831842316897</v>
      </c>
    </row>
    <row r="862" spans="1:3">
      <c r="A862">
        <v>854</v>
      </c>
      <c r="B862">
        <v>0.89192914482251029</v>
      </c>
      <c r="C862">
        <v>0.66846964420255972</v>
      </c>
    </row>
    <row r="863" spans="1:3">
      <c r="A863">
        <v>855</v>
      </c>
      <c r="B863">
        <v>7.991307237649176E-3</v>
      </c>
      <c r="C863">
        <v>0.43757611748424097</v>
      </c>
    </row>
    <row r="864" spans="1:3">
      <c r="A864">
        <v>856</v>
      </c>
      <c r="B864">
        <v>0.3124651831592119</v>
      </c>
      <c r="C864">
        <v>0.89248467413020194</v>
      </c>
    </row>
    <row r="865" spans="1:3">
      <c r="A865">
        <v>857</v>
      </c>
      <c r="B865">
        <v>7.5780661881850245E-2</v>
      </c>
      <c r="C865">
        <v>0.79679797752760351</v>
      </c>
    </row>
    <row r="866" spans="1:3">
      <c r="A866">
        <v>858</v>
      </c>
      <c r="B866">
        <v>0.79004499460781108</v>
      </c>
      <c r="C866">
        <v>0.42937940469983005</v>
      </c>
    </row>
    <row r="867" spans="1:3">
      <c r="A867">
        <v>859</v>
      </c>
      <c r="B867">
        <v>0.65337175646689061</v>
      </c>
      <c r="C867">
        <v>1.6182267712792964E-2</v>
      </c>
    </row>
    <row r="868" spans="1:3">
      <c r="A868">
        <v>860</v>
      </c>
      <c r="B868">
        <v>0.42996546909887473</v>
      </c>
      <c r="C868">
        <v>0.45940595020238106</v>
      </c>
    </row>
    <row r="869" spans="1:3">
      <c r="A869">
        <v>861</v>
      </c>
      <c r="B869">
        <v>0.94669720846570504</v>
      </c>
      <c r="C869">
        <v>0.14296546031619073</v>
      </c>
    </row>
    <row r="870" spans="1:3">
      <c r="A870">
        <v>862</v>
      </c>
      <c r="B870">
        <v>9.4459836924788501E-2</v>
      </c>
      <c r="C870">
        <v>0.28159214782408526</v>
      </c>
    </row>
    <row r="871" spans="1:3">
      <c r="A871">
        <v>863</v>
      </c>
      <c r="B871">
        <v>0.20806277520956071</v>
      </c>
      <c r="C871">
        <v>0.34307509177415341</v>
      </c>
    </row>
    <row r="872" spans="1:3">
      <c r="A872">
        <v>864</v>
      </c>
      <c r="B872">
        <v>7.9986409213856413E-2</v>
      </c>
      <c r="C872">
        <v>8.5208603014507389E-2</v>
      </c>
    </row>
    <row r="873" spans="1:3">
      <c r="A873">
        <v>865</v>
      </c>
      <c r="B873">
        <v>0.42122853918751435</v>
      </c>
      <c r="C873">
        <v>0.19337644457846181</v>
      </c>
    </row>
    <row r="874" spans="1:3">
      <c r="A874">
        <v>866</v>
      </c>
      <c r="B874">
        <v>0.45343651244077748</v>
      </c>
      <c r="C874">
        <v>0.60818402490531298</v>
      </c>
    </row>
    <row r="875" spans="1:3">
      <c r="A875">
        <v>867</v>
      </c>
      <c r="B875">
        <v>0.37449541299941375</v>
      </c>
      <c r="C875">
        <v>1.9651275393698597E-2</v>
      </c>
    </row>
    <row r="876" spans="1:3">
      <c r="A876">
        <v>868</v>
      </c>
      <c r="B876">
        <v>0.93423711366142081</v>
      </c>
      <c r="C876">
        <v>0.22663726956579922</v>
      </c>
    </row>
    <row r="877" spans="1:3">
      <c r="A877">
        <v>869</v>
      </c>
      <c r="B877">
        <v>0.19785107781268915</v>
      </c>
      <c r="C877">
        <v>6.6651941478994559E-2</v>
      </c>
    </row>
    <row r="878" spans="1:3">
      <c r="A878">
        <v>870</v>
      </c>
      <c r="B878">
        <v>0.80424438417731881</v>
      </c>
      <c r="C878">
        <v>0.58455546535788017</v>
      </c>
    </row>
    <row r="879" spans="1:3">
      <c r="A879">
        <v>871</v>
      </c>
      <c r="B879">
        <v>0.98977246995823753</v>
      </c>
      <c r="C879">
        <v>0.14005904176883632</v>
      </c>
    </row>
    <row r="880" spans="1:3">
      <c r="A880">
        <v>872</v>
      </c>
      <c r="B880">
        <v>0.40738954440769498</v>
      </c>
      <c r="C880">
        <v>0.27011121740724775</v>
      </c>
    </row>
    <row r="881" spans="1:3">
      <c r="A881">
        <v>873</v>
      </c>
      <c r="B881">
        <v>0.78905478110445071</v>
      </c>
      <c r="C881">
        <v>0.33627841973793693</v>
      </c>
    </row>
    <row r="882" spans="1:3">
      <c r="A882">
        <v>874</v>
      </c>
      <c r="B882">
        <v>0.55839159251875048</v>
      </c>
      <c r="C882">
        <v>0.4320989307916534</v>
      </c>
    </row>
    <row r="883" spans="1:3">
      <c r="A883">
        <v>875</v>
      </c>
      <c r="B883">
        <v>0.59659002529028571</v>
      </c>
      <c r="C883">
        <v>0.27364792109619884</v>
      </c>
    </row>
    <row r="884" spans="1:3">
      <c r="A884">
        <v>876</v>
      </c>
      <c r="B884">
        <v>0.4684275375577685</v>
      </c>
      <c r="C884">
        <v>0.11632891845329141</v>
      </c>
    </row>
    <row r="885" spans="1:3">
      <c r="A885">
        <v>877</v>
      </c>
      <c r="B885">
        <v>0.70248326176672327</v>
      </c>
      <c r="C885">
        <v>0.98130023153589718</v>
      </c>
    </row>
    <row r="886" spans="1:3">
      <c r="A886">
        <v>878</v>
      </c>
      <c r="B886">
        <v>3.9467166361973428E-2</v>
      </c>
      <c r="C886">
        <v>0.96234462529537268</v>
      </c>
    </row>
    <row r="887" spans="1:3">
      <c r="A887">
        <v>879</v>
      </c>
      <c r="B887">
        <v>0.41121950429100995</v>
      </c>
      <c r="C887">
        <v>0.42580793574143172</v>
      </c>
    </row>
    <row r="888" spans="1:3">
      <c r="A888">
        <v>880</v>
      </c>
      <c r="B888">
        <v>0.56536826359675452</v>
      </c>
      <c r="C888">
        <v>0.85786455630477576</v>
      </c>
    </row>
    <row r="889" spans="1:3">
      <c r="A889">
        <v>881</v>
      </c>
      <c r="B889">
        <v>0.38887003591001734</v>
      </c>
      <c r="C889">
        <v>0.44029054658767564</v>
      </c>
    </row>
    <row r="890" spans="1:3">
      <c r="A890">
        <v>882</v>
      </c>
      <c r="B890">
        <v>0.93233314097983133</v>
      </c>
      <c r="C890">
        <v>0.81984975390150794</v>
      </c>
    </row>
    <row r="891" spans="1:3">
      <c r="A891">
        <v>883</v>
      </c>
      <c r="B891">
        <v>0.65732231051133072</v>
      </c>
      <c r="C891">
        <v>0.54060405989730498</v>
      </c>
    </row>
    <row r="892" spans="1:3">
      <c r="A892">
        <v>884</v>
      </c>
      <c r="B892">
        <v>0.85675043005560303</v>
      </c>
      <c r="C892">
        <v>6.7729326600783679E-2</v>
      </c>
    </row>
    <row r="893" spans="1:3">
      <c r="A893">
        <v>885</v>
      </c>
      <c r="B893">
        <v>0.99608633002547697</v>
      </c>
      <c r="C893">
        <v>0.7572515536321589</v>
      </c>
    </row>
    <row r="894" spans="1:3">
      <c r="A894">
        <v>886</v>
      </c>
      <c r="B894">
        <v>0.7820571291379298</v>
      </c>
      <c r="C894">
        <v>0.43167293896567571</v>
      </c>
    </row>
    <row r="895" spans="1:3">
      <c r="A895">
        <v>887</v>
      </c>
      <c r="B895">
        <v>0.90910498747744251</v>
      </c>
      <c r="C895">
        <v>0.34538369028814486</v>
      </c>
    </row>
    <row r="896" spans="1:3">
      <c r="A896">
        <v>888</v>
      </c>
      <c r="B896">
        <v>0.71884240389192533</v>
      </c>
      <c r="C896">
        <v>0.34680840028067905</v>
      </c>
    </row>
    <row r="897" spans="1:3">
      <c r="A897">
        <v>889</v>
      </c>
      <c r="B897">
        <v>0.53383198562376943</v>
      </c>
      <c r="C897">
        <v>0.69767062781284039</v>
      </c>
    </row>
    <row r="898" spans="1:3">
      <c r="A898">
        <v>890</v>
      </c>
      <c r="B898">
        <v>0.73206958601695249</v>
      </c>
      <c r="C898">
        <v>0.31837282900323771</v>
      </c>
    </row>
    <row r="899" spans="1:3">
      <c r="A899">
        <v>891</v>
      </c>
      <c r="B899">
        <v>0.50073817680676891</v>
      </c>
      <c r="C899">
        <v>0.66252409821026959</v>
      </c>
    </row>
    <row r="900" spans="1:3">
      <c r="A900">
        <v>892</v>
      </c>
      <c r="B900">
        <v>0.71137894101589427</v>
      </c>
      <c r="C900">
        <v>8.0550030313133902E-2</v>
      </c>
    </row>
    <row r="901" spans="1:3">
      <c r="A901">
        <v>893</v>
      </c>
      <c r="B901">
        <v>0.38992344869182521</v>
      </c>
      <c r="C901">
        <v>0.57081296183787344</v>
      </c>
    </row>
    <row r="902" spans="1:3">
      <c r="A902">
        <v>894</v>
      </c>
      <c r="B902">
        <v>0.93035491572584839</v>
      </c>
      <c r="C902">
        <v>0.73115578150191141</v>
      </c>
    </row>
    <row r="903" spans="1:3">
      <c r="A903">
        <v>895</v>
      </c>
      <c r="B903">
        <v>0.19184211995891345</v>
      </c>
      <c r="C903">
        <v>0.23401609671782353</v>
      </c>
    </row>
    <row r="904" spans="1:3">
      <c r="A904">
        <v>896</v>
      </c>
      <c r="B904">
        <v>0.87157441650390954</v>
      </c>
      <c r="C904">
        <v>0.77617174779061315</v>
      </c>
    </row>
    <row r="905" spans="1:3">
      <c r="A905">
        <v>897</v>
      </c>
      <c r="B905">
        <v>0.58205879345537592</v>
      </c>
      <c r="C905">
        <v>0.4164118026073993</v>
      </c>
    </row>
    <row r="906" spans="1:3">
      <c r="A906">
        <v>898</v>
      </c>
      <c r="B906">
        <v>0.15322411830449106</v>
      </c>
      <c r="C906">
        <v>0.73789562923138874</v>
      </c>
    </row>
    <row r="907" spans="1:3">
      <c r="A907">
        <v>899</v>
      </c>
      <c r="B907">
        <v>0.97134662822176387</v>
      </c>
      <c r="C907">
        <v>0.15525843317300314</v>
      </c>
    </row>
    <row r="908" spans="1:3">
      <c r="A908">
        <v>900</v>
      </c>
      <c r="B908">
        <v>0.55940073109404209</v>
      </c>
      <c r="C908">
        <v>0.5630778193117294</v>
      </c>
    </row>
    <row r="909" spans="1:3">
      <c r="A909">
        <v>901</v>
      </c>
      <c r="B909">
        <v>0.74147834784315869</v>
      </c>
      <c r="C909">
        <v>0.89805918282854691</v>
      </c>
    </row>
    <row r="910" spans="1:3">
      <c r="A910">
        <v>902</v>
      </c>
      <c r="B910">
        <v>0.79690081931811307</v>
      </c>
      <c r="C910">
        <v>0.94295847858847992</v>
      </c>
    </row>
    <row r="911" spans="1:3">
      <c r="A911">
        <v>903</v>
      </c>
      <c r="B911">
        <v>0.67394932188092482</v>
      </c>
      <c r="C911">
        <v>0.38066422262727428</v>
      </c>
    </row>
    <row r="912" spans="1:3">
      <c r="A912">
        <v>904</v>
      </c>
      <c r="B912">
        <v>0.65432760138863877</v>
      </c>
      <c r="C912">
        <v>0.52890887514513452</v>
      </c>
    </row>
    <row r="913" spans="1:3">
      <c r="A913">
        <v>905</v>
      </c>
      <c r="B913">
        <v>8.4823713855776875E-2</v>
      </c>
      <c r="C913">
        <v>6.1053197887304123E-3</v>
      </c>
    </row>
    <row r="914" spans="1:3">
      <c r="A914">
        <v>906</v>
      </c>
      <c r="B914">
        <v>0.45846896316401403</v>
      </c>
      <c r="C914">
        <v>0.23123613498682971</v>
      </c>
    </row>
    <row r="915" spans="1:3">
      <c r="A915">
        <v>907</v>
      </c>
      <c r="B915">
        <v>0.53584200148792982</v>
      </c>
      <c r="C915">
        <v>0.61918620299456961</v>
      </c>
    </row>
    <row r="916" spans="1:3">
      <c r="A916">
        <v>908</v>
      </c>
      <c r="B916">
        <v>0.78130354973611038</v>
      </c>
      <c r="C916">
        <v>0.52972662807587767</v>
      </c>
    </row>
    <row r="917" spans="1:3">
      <c r="A917">
        <v>909</v>
      </c>
      <c r="B917">
        <v>0.68429324831541005</v>
      </c>
      <c r="C917">
        <v>0.37489216112135182</v>
      </c>
    </row>
    <row r="918" spans="1:3">
      <c r="A918">
        <v>910</v>
      </c>
      <c r="B918">
        <v>0.71581769282739094</v>
      </c>
      <c r="C918">
        <v>0.18389494629991532</v>
      </c>
    </row>
    <row r="919" spans="1:3">
      <c r="A919">
        <v>911</v>
      </c>
      <c r="B919">
        <v>0.96174547821975909</v>
      </c>
      <c r="C919">
        <v>0.29570652678103215</v>
      </c>
    </row>
    <row r="920" spans="1:3">
      <c r="A920">
        <v>912</v>
      </c>
      <c r="B920">
        <v>0.57142774988744127</v>
      </c>
      <c r="C920">
        <v>0.23370129555041785</v>
      </c>
    </row>
    <row r="921" spans="1:3">
      <c r="A921">
        <v>913</v>
      </c>
      <c r="B921">
        <v>0.97631519453351279</v>
      </c>
      <c r="C921">
        <v>0.40241369279010542</v>
      </c>
    </row>
    <row r="922" spans="1:3">
      <c r="A922">
        <v>914</v>
      </c>
      <c r="B922">
        <v>0.64227261121274726</v>
      </c>
      <c r="C922">
        <v>0.66480672298894206</v>
      </c>
    </row>
    <row r="923" spans="1:3">
      <c r="A923">
        <v>915</v>
      </c>
      <c r="B923">
        <v>0.27343904839070488</v>
      </c>
      <c r="C923">
        <v>0.4493603659366272</v>
      </c>
    </row>
    <row r="924" spans="1:3">
      <c r="A924">
        <v>916</v>
      </c>
      <c r="B924">
        <v>0.91810895554095251</v>
      </c>
      <c r="C924">
        <v>6.779643397021573E-2</v>
      </c>
    </row>
    <row r="925" spans="1:3">
      <c r="A925">
        <v>917</v>
      </c>
      <c r="B925">
        <v>0.40264764130386704</v>
      </c>
      <c r="C925">
        <v>0.85884389926198423</v>
      </c>
    </row>
    <row r="926" spans="1:3">
      <c r="A926">
        <v>918</v>
      </c>
      <c r="B926">
        <v>0.13547435413987244</v>
      </c>
      <c r="C926">
        <v>0.99355911416660092</v>
      </c>
    </row>
    <row r="927" spans="1:3">
      <c r="A927">
        <v>919</v>
      </c>
      <c r="B927">
        <v>0.97012037654782657</v>
      </c>
      <c r="C927">
        <v>0.40073691393990885</v>
      </c>
    </row>
    <row r="928" spans="1:3">
      <c r="A928">
        <v>920</v>
      </c>
      <c r="B928">
        <v>5.3533145557980319E-2</v>
      </c>
      <c r="C928">
        <v>0.17116357205577515</v>
      </c>
    </row>
    <row r="929" spans="1:3">
      <c r="A929">
        <v>921</v>
      </c>
      <c r="B929">
        <v>4.1293784645221612E-2</v>
      </c>
      <c r="C929">
        <v>0.31638221481080109</v>
      </c>
    </row>
    <row r="930" spans="1:3">
      <c r="A930">
        <v>922</v>
      </c>
      <c r="B930">
        <v>2.1218582829744226E-4</v>
      </c>
      <c r="C930">
        <v>0.45119489521493961</v>
      </c>
    </row>
    <row r="931" spans="1:3">
      <c r="A931">
        <v>923</v>
      </c>
      <c r="B931">
        <v>0.5992769205407884</v>
      </c>
      <c r="C931">
        <v>5.5186146707455919E-2</v>
      </c>
    </row>
    <row r="932" spans="1:3">
      <c r="A932">
        <v>924</v>
      </c>
      <c r="B932">
        <v>0.90117946190507614</v>
      </c>
      <c r="C932">
        <v>0.19592009082771256</v>
      </c>
    </row>
    <row r="933" spans="1:3">
      <c r="A933">
        <v>925</v>
      </c>
      <c r="B933">
        <v>0.62379329558363961</v>
      </c>
      <c r="C933">
        <v>0.32528553066367749</v>
      </c>
    </row>
    <row r="934" spans="1:3">
      <c r="A934">
        <v>926</v>
      </c>
      <c r="B934">
        <v>6.6341941458252706E-3</v>
      </c>
      <c r="C934">
        <v>0.36757667632173252</v>
      </c>
    </row>
    <row r="935" spans="1:3">
      <c r="A935">
        <v>927</v>
      </c>
      <c r="B935">
        <v>0.90844841647740648</v>
      </c>
      <c r="C935">
        <v>0.53271457556729729</v>
      </c>
    </row>
    <row r="936" spans="1:3">
      <c r="A936">
        <v>928</v>
      </c>
      <c r="B936">
        <v>0.18416995109738082</v>
      </c>
      <c r="C936">
        <v>0.36781567452089803</v>
      </c>
    </row>
    <row r="937" spans="1:3">
      <c r="A937">
        <v>929</v>
      </c>
      <c r="B937">
        <v>0.69130169345119541</v>
      </c>
      <c r="C937">
        <v>7.3181685279450903E-2</v>
      </c>
    </row>
    <row r="938" spans="1:3">
      <c r="A938">
        <v>930</v>
      </c>
      <c r="B938">
        <v>0.40072951556363362</v>
      </c>
      <c r="C938">
        <v>0.61647728255775291</v>
      </c>
    </row>
    <row r="939" spans="1:3">
      <c r="A939">
        <v>931</v>
      </c>
      <c r="B939">
        <v>0.82173646049125504</v>
      </c>
      <c r="C939">
        <v>0.51340569598232833</v>
      </c>
    </row>
    <row r="940" spans="1:3">
      <c r="A940">
        <v>932</v>
      </c>
      <c r="B940">
        <v>0.25715986294372939</v>
      </c>
      <c r="C940">
        <v>0.71584233395151387</v>
      </c>
    </row>
    <row r="941" spans="1:3">
      <c r="A941">
        <v>933</v>
      </c>
      <c r="B941">
        <v>3.6163179905890297E-2</v>
      </c>
      <c r="C941">
        <v>0.24924204435046704</v>
      </c>
    </row>
    <row r="942" spans="1:3">
      <c r="A942">
        <v>934</v>
      </c>
      <c r="B942">
        <v>0.95157364639932607</v>
      </c>
      <c r="C942">
        <v>0.71099291746304516</v>
      </c>
    </row>
    <row r="943" spans="1:3">
      <c r="A943">
        <v>935</v>
      </c>
      <c r="B943">
        <v>0.46961132687111651</v>
      </c>
      <c r="C943">
        <v>0.57246812096855137</v>
      </c>
    </row>
    <row r="944" spans="1:3">
      <c r="A944">
        <v>936</v>
      </c>
      <c r="B944">
        <v>0.47457798002184787</v>
      </c>
      <c r="C944">
        <v>0.3129577178215186</v>
      </c>
    </row>
    <row r="945" spans="1:3">
      <c r="A945">
        <v>937</v>
      </c>
      <c r="B945">
        <v>8.5570035632832442E-2</v>
      </c>
      <c r="C945">
        <v>0.23960426488702069</v>
      </c>
    </row>
    <row r="946" spans="1:3">
      <c r="A946">
        <v>938</v>
      </c>
      <c r="B946">
        <v>0.71037153716836399</v>
      </c>
      <c r="C946">
        <v>0.8475030132676693</v>
      </c>
    </row>
    <row r="947" spans="1:3">
      <c r="A947">
        <v>939</v>
      </c>
      <c r="B947">
        <v>0.90512996772423615</v>
      </c>
      <c r="C947">
        <v>0.51145803640793019</v>
      </c>
    </row>
    <row r="948" spans="1:3">
      <c r="A948">
        <v>940</v>
      </c>
      <c r="B948">
        <v>0.680585979581947</v>
      </c>
      <c r="C948">
        <v>0.765210472295621</v>
      </c>
    </row>
    <row r="949" spans="1:3">
      <c r="A949">
        <v>941</v>
      </c>
      <c r="B949">
        <v>0.42416167893148066</v>
      </c>
      <c r="C949">
        <v>0.31598639556614216</v>
      </c>
    </row>
    <row r="950" spans="1:3">
      <c r="A950">
        <v>942</v>
      </c>
      <c r="B950">
        <v>0.24318254135786149</v>
      </c>
      <c r="C950">
        <v>0.38212346540512954</v>
      </c>
    </row>
    <row r="951" spans="1:3">
      <c r="A951">
        <v>943</v>
      </c>
      <c r="B951">
        <v>0.53065183290644824</v>
      </c>
      <c r="C951">
        <v>0.77849731734931993</v>
      </c>
    </row>
    <row r="952" spans="1:3">
      <c r="A952">
        <v>944</v>
      </c>
      <c r="B952">
        <v>0.98481724508195589</v>
      </c>
      <c r="C952">
        <v>9.9984885983758431E-2</v>
      </c>
    </row>
    <row r="953" spans="1:3">
      <c r="A953">
        <v>945</v>
      </c>
      <c r="B953">
        <v>0.56023705605213459</v>
      </c>
      <c r="C953">
        <v>0.71271031523428974</v>
      </c>
    </row>
    <row r="954" spans="1:3">
      <c r="A954">
        <v>946</v>
      </c>
      <c r="B954">
        <v>0.22532138404374044</v>
      </c>
      <c r="C954">
        <v>0.73749485772623302</v>
      </c>
    </row>
    <row r="955" spans="1:3">
      <c r="A955">
        <v>947</v>
      </c>
      <c r="B955">
        <v>0.75884368301691574</v>
      </c>
      <c r="C955">
        <v>0.76488259567122441</v>
      </c>
    </row>
    <row r="956" spans="1:3">
      <c r="A956">
        <v>948</v>
      </c>
      <c r="B956">
        <v>0.34911958000252946</v>
      </c>
      <c r="C956">
        <v>0.36234473686272395</v>
      </c>
    </row>
    <row r="957" spans="1:3">
      <c r="A957">
        <v>949</v>
      </c>
      <c r="B957">
        <v>0.94432060084336455</v>
      </c>
      <c r="C957">
        <v>0.95018477485336916</v>
      </c>
    </row>
    <row r="958" spans="1:3">
      <c r="A958">
        <v>950</v>
      </c>
      <c r="B958">
        <v>0.32311559015678137</v>
      </c>
      <c r="C958">
        <v>0.32290114903116773</v>
      </c>
    </row>
    <row r="959" spans="1:3">
      <c r="A959">
        <v>951</v>
      </c>
      <c r="B959">
        <v>0.18630439739658136</v>
      </c>
      <c r="C959">
        <v>0.32255886081202334</v>
      </c>
    </row>
    <row r="960" spans="1:3">
      <c r="A960">
        <v>952</v>
      </c>
      <c r="B960">
        <v>0.80370066847598665</v>
      </c>
      <c r="C960">
        <v>0.9667948026835802</v>
      </c>
    </row>
    <row r="961" spans="1:3">
      <c r="A961">
        <v>953</v>
      </c>
      <c r="B961">
        <v>0.28660050897547057</v>
      </c>
      <c r="C961">
        <v>0.73389185857013217</v>
      </c>
    </row>
    <row r="962" spans="1:3">
      <c r="A962">
        <v>954</v>
      </c>
      <c r="B962">
        <v>0.7489633674900894</v>
      </c>
      <c r="C962">
        <v>2.219845684885513E-2</v>
      </c>
    </row>
    <row r="963" spans="1:3">
      <c r="A963">
        <v>955</v>
      </c>
      <c r="B963">
        <v>0.52853468004533433</v>
      </c>
      <c r="C963">
        <v>0.15588621823098947</v>
      </c>
    </row>
    <row r="964" spans="1:3">
      <c r="A964">
        <v>956</v>
      </c>
      <c r="B964">
        <v>0.52097414985228663</v>
      </c>
      <c r="C964">
        <v>0.551465212201947</v>
      </c>
    </row>
    <row r="965" spans="1:3">
      <c r="A965">
        <v>957</v>
      </c>
      <c r="B965">
        <v>0.32525597563275505</v>
      </c>
      <c r="C965">
        <v>0.53470918527909816</v>
      </c>
    </row>
    <row r="966" spans="1:3">
      <c r="A966">
        <v>958</v>
      </c>
      <c r="B966">
        <v>0.20167325671940883</v>
      </c>
      <c r="C966">
        <v>0.46911401085162652</v>
      </c>
    </row>
    <row r="967" spans="1:3">
      <c r="A967">
        <v>959</v>
      </c>
      <c r="B967">
        <v>0.55089248718924178</v>
      </c>
      <c r="C967">
        <v>0.62630863142021553</v>
      </c>
    </row>
    <row r="968" spans="1:3">
      <c r="A968">
        <v>960</v>
      </c>
      <c r="B968">
        <v>0.88590058611447464</v>
      </c>
      <c r="C968">
        <v>0.83618771260080393</v>
      </c>
    </row>
    <row r="969" spans="1:3">
      <c r="A969">
        <v>961</v>
      </c>
      <c r="B969">
        <v>0.33748790426470521</v>
      </c>
      <c r="C969">
        <v>0.77572177884849225</v>
      </c>
    </row>
    <row r="970" spans="1:3">
      <c r="A970">
        <v>962</v>
      </c>
      <c r="B970">
        <v>0.38481125722006226</v>
      </c>
      <c r="C970">
        <v>0.60188635486156272</v>
      </c>
    </row>
    <row r="971" spans="1:3">
      <c r="A971">
        <v>963</v>
      </c>
      <c r="B971">
        <v>3.4914705039913466E-2</v>
      </c>
      <c r="C971">
        <v>0.41485853944777773</v>
      </c>
    </row>
    <row r="972" spans="1:3">
      <c r="A972">
        <v>964</v>
      </c>
      <c r="B972">
        <v>0.4719120436103344</v>
      </c>
      <c r="C972">
        <v>0.35491415938668069</v>
      </c>
    </row>
    <row r="973" spans="1:3">
      <c r="A973">
        <v>965</v>
      </c>
      <c r="B973">
        <v>0.95007362911153437</v>
      </c>
      <c r="C973">
        <v>0.27672107212856645</v>
      </c>
    </row>
    <row r="974" spans="1:3">
      <c r="A974">
        <v>966</v>
      </c>
      <c r="B974">
        <v>2.6203232432297253E-2</v>
      </c>
      <c r="C974">
        <v>0.89661515691386739</v>
      </c>
    </row>
    <row r="975" spans="1:3">
      <c r="A975">
        <v>967</v>
      </c>
      <c r="B975">
        <v>0.61224191001668615</v>
      </c>
      <c r="C975">
        <v>0.57900371583127708</v>
      </c>
    </row>
    <row r="976" spans="1:3">
      <c r="A976">
        <v>968</v>
      </c>
      <c r="B976">
        <v>0.56141647810568485</v>
      </c>
      <c r="C976">
        <v>0.32601795886603213</v>
      </c>
    </row>
    <row r="977" spans="1:3">
      <c r="A977">
        <v>969</v>
      </c>
      <c r="B977">
        <v>0.62990913574651564</v>
      </c>
      <c r="C977">
        <v>0.76271080060905661</v>
      </c>
    </row>
    <row r="978" spans="1:3">
      <c r="A978">
        <v>970</v>
      </c>
      <c r="B978">
        <v>0.55403481754591566</v>
      </c>
      <c r="C978">
        <v>0.26430631068069488</v>
      </c>
    </row>
    <row r="979" spans="1:3">
      <c r="A979">
        <v>971</v>
      </c>
      <c r="B979">
        <v>0.40433945406957983</v>
      </c>
      <c r="C979">
        <v>0.98677218408920453</v>
      </c>
    </row>
    <row r="980" spans="1:3">
      <c r="A980">
        <v>972</v>
      </c>
      <c r="B980">
        <v>0.815377174692549</v>
      </c>
      <c r="C980">
        <v>0.65582397986781871</v>
      </c>
    </row>
    <row r="981" spans="1:3">
      <c r="A981">
        <v>973</v>
      </c>
      <c r="B981">
        <v>0.73082960387524909</v>
      </c>
      <c r="C981">
        <v>0.42729586083260074</v>
      </c>
    </row>
    <row r="982" spans="1:3">
      <c r="A982">
        <v>974</v>
      </c>
      <c r="B982">
        <v>0.60720788272870896</v>
      </c>
      <c r="C982">
        <v>0.77537238994500512</v>
      </c>
    </row>
    <row r="983" spans="1:3">
      <c r="A983">
        <v>975</v>
      </c>
      <c r="B983">
        <v>0.76106399469195496</v>
      </c>
      <c r="C983">
        <v>0.65467555821669521</v>
      </c>
    </row>
    <row r="984" spans="1:3">
      <c r="A984">
        <v>976</v>
      </c>
      <c r="B984">
        <v>0.24090144687260071</v>
      </c>
      <c r="C984">
        <v>0.43167025890852528</v>
      </c>
    </row>
    <row r="985" spans="1:3">
      <c r="A985">
        <v>977</v>
      </c>
      <c r="B985">
        <v>0.84110063018605596</v>
      </c>
      <c r="C985">
        <v>0.80219974133251526</v>
      </c>
    </row>
    <row r="986" spans="1:3">
      <c r="A986">
        <v>978</v>
      </c>
      <c r="B986">
        <v>0.76252625751088521</v>
      </c>
      <c r="C986">
        <v>0.99651625586375303</v>
      </c>
    </row>
    <row r="987" spans="1:3">
      <c r="A987">
        <v>979</v>
      </c>
      <c r="B987">
        <v>0.71464276142829153</v>
      </c>
      <c r="C987">
        <v>0.95018628761499713</v>
      </c>
    </row>
    <row r="988" spans="1:3">
      <c r="A988">
        <v>980</v>
      </c>
      <c r="B988">
        <v>0.61740059112953027</v>
      </c>
      <c r="C988">
        <v>0.8449904979834173</v>
      </c>
    </row>
    <row r="989" spans="1:3">
      <c r="A989">
        <v>981</v>
      </c>
      <c r="B989">
        <v>0.1800220383785251</v>
      </c>
      <c r="C989">
        <v>0.1823722428707697</v>
      </c>
    </row>
    <row r="990" spans="1:3">
      <c r="A990">
        <v>982</v>
      </c>
      <c r="B990">
        <v>0.84620181632675273</v>
      </c>
      <c r="C990">
        <v>0.22596488724866504</v>
      </c>
    </row>
    <row r="991" spans="1:3">
      <c r="A991">
        <v>983</v>
      </c>
      <c r="B991">
        <v>0.40584142116802774</v>
      </c>
      <c r="C991">
        <v>0.71665390675298113</v>
      </c>
    </row>
    <row r="992" spans="1:3">
      <c r="A992">
        <v>984</v>
      </c>
      <c r="B992">
        <v>1.6655539621285985E-2</v>
      </c>
      <c r="C992">
        <v>0.31597364853314502</v>
      </c>
    </row>
    <row r="993" spans="1:3">
      <c r="A993">
        <v>985</v>
      </c>
      <c r="B993">
        <v>0.50626524104160842</v>
      </c>
      <c r="C993">
        <v>0.98286481494869804</v>
      </c>
    </row>
    <row r="994" spans="1:3">
      <c r="A994">
        <v>986</v>
      </c>
      <c r="B994">
        <v>0.49613532299621388</v>
      </c>
      <c r="C994">
        <v>0.38747762818456977</v>
      </c>
    </row>
    <row r="995" spans="1:3">
      <c r="A995">
        <v>987</v>
      </c>
      <c r="B995">
        <v>0.43280280630448897</v>
      </c>
      <c r="C995">
        <v>0.31342194446096983</v>
      </c>
    </row>
    <row r="996" spans="1:3">
      <c r="A996">
        <v>988</v>
      </c>
      <c r="B996">
        <v>0.10252313328872507</v>
      </c>
      <c r="C996">
        <v>0.58537743740271253</v>
      </c>
    </row>
    <row r="997" spans="1:3">
      <c r="A997">
        <v>989</v>
      </c>
      <c r="B997">
        <v>0.21446786682504879</v>
      </c>
      <c r="C997">
        <v>0.62411452308970183</v>
      </c>
    </row>
    <row r="998" spans="1:3">
      <c r="A998">
        <v>990</v>
      </c>
      <c r="B998">
        <v>0.11925708490313429</v>
      </c>
      <c r="C998">
        <v>0.44914011639775708</v>
      </c>
    </row>
    <row r="999" spans="1:3">
      <c r="A999">
        <v>991</v>
      </c>
      <c r="B999">
        <v>0.87986128003263409</v>
      </c>
      <c r="C999">
        <v>0.27059642691438057</v>
      </c>
    </row>
    <row r="1000" spans="1:3">
      <c r="A1000">
        <v>992</v>
      </c>
      <c r="B1000">
        <v>0.36749326588481041</v>
      </c>
      <c r="C1000">
        <v>0.8615948895112524</v>
      </c>
    </row>
    <row r="1001" spans="1:3">
      <c r="A1001">
        <v>993</v>
      </c>
      <c r="B1001">
        <v>2.9739683229182773E-2</v>
      </c>
      <c r="C1001">
        <v>0.72379080694099684</v>
      </c>
    </row>
    <row r="1002" spans="1:3">
      <c r="A1002">
        <v>994</v>
      </c>
      <c r="B1002">
        <v>0.68248081467102306</v>
      </c>
      <c r="C1002">
        <v>0.74523847288584477</v>
      </c>
    </row>
    <row r="1003" spans="1:3">
      <c r="A1003">
        <v>995</v>
      </c>
      <c r="B1003">
        <v>0.62782284184913684</v>
      </c>
      <c r="C1003">
        <v>6.0616261922859849E-2</v>
      </c>
    </row>
    <row r="1004" spans="1:3">
      <c r="A1004">
        <v>996</v>
      </c>
      <c r="B1004">
        <v>0.11481481050160128</v>
      </c>
      <c r="C1004">
        <v>0.30095983162894413</v>
      </c>
    </row>
    <row r="1005" spans="1:3">
      <c r="A1005">
        <v>997</v>
      </c>
      <c r="B1005">
        <v>0.64065018397445106</v>
      </c>
      <c r="C1005">
        <v>0.57619874127067305</v>
      </c>
    </row>
    <row r="1006" spans="1:3">
      <c r="A1006">
        <v>998</v>
      </c>
      <c r="B1006">
        <v>0.48722237085672615</v>
      </c>
      <c r="C1006">
        <v>0.55347261179122142</v>
      </c>
    </row>
    <row r="1007" spans="1:3">
      <c r="A1007">
        <v>999</v>
      </c>
      <c r="B1007">
        <v>0.96685942368112954</v>
      </c>
      <c r="C1007">
        <v>0.82014801379682467</v>
      </c>
    </row>
    <row r="1008" spans="1:3">
      <c r="A1008">
        <v>1000</v>
      </c>
      <c r="B1008">
        <v>0.32752579697769274</v>
      </c>
      <c r="C1008">
        <v>0.69762991147035791</v>
      </c>
    </row>
    <row r="1009" spans="1:13">
      <c r="J1009" t="str">
        <f>SimData1000!$B$8</f>
        <v>Latin</v>
      </c>
      <c r="K1009" t="s">
        <v>8</v>
      </c>
      <c r="L1009" t="str">
        <f>SimData1000!$C$8</f>
        <v>Monte</v>
      </c>
      <c r="M1009" t="s">
        <v>8</v>
      </c>
    </row>
    <row r="1010" spans="1:13">
      <c r="A1010" t="s">
        <v>18</v>
      </c>
      <c r="J1010">
        <f>SMALL(SimData1000!$B$9:$B$1008,1)</f>
        <v>2.1218582829744226E-4</v>
      </c>
      <c r="K1010">
        <v>0</v>
      </c>
      <c r="L1010">
        <f>SMALL(SimData1000!$C$9:$C$1008,1)</f>
        <v>1.3541062799049541E-3</v>
      </c>
      <c r="M1010">
        <v>0</v>
      </c>
    </row>
    <row r="1011" spans="1:13">
      <c r="A1011" t="s">
        <v>19</v>
      </c>
      <c r="B1011" t="str">
        <f>IF(ISBLANK($B1010)=TRUE,"",_xll.EDF(B9:B1008,$B1010))</f>
        <v/>
      </c>
      <c r="C1011" t="str">
        <f>IF(ISBLANK($C1010)=TRUE,"",_xll.EDF(C9:C1008,$C1010))</f>
        <v/>
      </c>
      <c r="J1011">
        <f>SMALL(SimData1000!$B$9:$B$1008,2)</f>
        <v>1.8583755860706733E-3</v>
      </c>
      <c r="K1011">
        <f>1/(COUNT(SimData1000!$B$9:$B$1008)-1)+$K$1010</f>
        <v>1.001001001001001E-3</v>
      </c>
      <c r="L1011">
        <f>SMALL(SimData1000!$C$9:$C$1008,2)</f>
        <v>1.6915183850869653E-3</v>
      </c>
      <c r="M1011">
        <f>1/(COUNT(SimData1000!$C$9:$C$1008)-1)+$M$1010</f>
        <v>1.001001001001001E-3</v>
      </c>
    </row>
    <row r="1012" spans="1:13">
      <c r="A1012" t="s">
        <v>20</v>
      </c>
      <c r="J1012">
        <f>SMALL(SimData1000!$B$9:$B$1008,3)</f>
        <v>2.49193994526098E-3</v>
      </c>
      <c r="K1012">
        <f>1/(COUNT(SimData1000!$B$9:$B$1008)-1)+$K$1011</f>
        <v>2.002002002002002E-3</v>
      </c>
      <c r="L1012">
        <f>SMALL(SimData1000!$C$9:$C$1008,3)</f>
        <v>2.1343523594623548E-3</v>
      </c>
      <c r="M1012">
        <f>1/(COUNT(SimData1000!$C$9:$C$1008)-1)+$M$1011</f>
        <v>2.002002002002002E-3</v>
      </c>
    </row>
    <row r="1013" spans="1:13">
      <c r="A1013" t="s">
        <v>21</v>
      </c>
      <c r="B1013" t="str">
        <f>IF(ISBLANK($B1012)=TRUE,"",_xll.EDF(B9:B1008,$B1012))</f>
        <v/>
      </c>
      <c r="C1013" t="str">
        <f>IF(ISBLANK($C1012)=TRUE,"",_xll.EDF(C9:C1008,$C1012))</f>
        <v/>
      </c>
      <c r="J1013">
        <f>SMALL(SimData1000!$B$9:$B$1008,4)</f>
        <v>3.8501895903260887E-3</v>
      </c>
      <c r="K1013">
        <f>1/(COUNT(SimData1000!$B$9:$B$1008)-1)+$K$1012</f>
        <v>3.003003003003003E-3</v>
      </c>
      <c r="L1013">
        <f>SMALL(SimData1000!$C$9:$C$1008,4)</f>
        <v>3.9900616402519518E-3</v>
      </c>
      <c r="M1013">
        <f>1/(COUNT(SimData1000!$C$9:$C$1008)-1)+$M$1012</f>
        <v>3.003003003003003E-3</v>
      </c>
    </row>
    <row r="1014" spans="1:13">
      <c r="A1014" t="s">
        <v>22</v>
      </c>
      <c r="J1014">
        <f>SMALL(SimData1000!$B$9:$B$1008,5)</f>
        <v>4.6770170677166937E-3</v>
      </c>
      <c r="K1014">
        <f>1/(COUNT(SimData1000!$B$9:$B$1008)-1)+$K$1013</f>
        <v>4.004004004004004E-3</v>
      </c>
      <c r="L1014">
        <f>SMALL(SimData1000!$C$9:$C$1008,5)</f>
        <v>5.7340219100296963E-3</v>
      </c>
      <c r="M1014">
        <f>1/(COUNT(SimData1000!$C$9:$C$1008)-1)+$M$1013</f>
        <v>4.004004004004004E-3</v>
      </c>
    </row>
    <row r="1015" spans="1:13">
      <c r="A1015" t="s">
        <v>23</v>
      </c>
      <c r="B1015" t="str">
        <f>IF(ISBLANK($B1014)=TRUE,"",_xll.EDF(B9:B1008,$B1014))</f>
        <v/>
      </c>
      <c r="C1015" t="str">
        <f>IF(ISBLANK($C1014)=TRUE,"",_xll.EDF(C9:C1008,$C1014))</f>
        <v/>
      </c>
      <c r="J1015">
        <f>SMALL(SimData1000!$B$9:$B$1008,6)</f>
        <v>5.7127426980791481E-3</v>
      </c>
      <c r="K1015">
        <f>1/(COUNT(SimData1000!$B$9:$B$1008)-1)+$K$1014</f>
        <v>5.005005005005005E-3</v>
      </c>
      <c r="L1015">
        <f>SMALL(SimData1000!$C$9:$C$1008,6)</f>
        <v>6.1053197887304123E-3</v>
      </c>
      <c r="M1015">
        <f>1/(COUNT(SimData1000!$C$9:$C$1008)-1)+$M$1014</f>
        <v>5.005005005005005E-3</v>
      </c>
    </row>
    <row r="1016" spans="1:13">
      <c r="A1016" t="s">
        <v>24</v>
      </c>
      <c r="J1016">
        <f>SMALL(SimData1000!$B$9:$B$1008,7)</f>
        <v>6.6341941458252706E-3</v>
      </c>
      <c r="K1016">
        <f>1/(COUNT(SimData1000!$B$9:$B$1008)-1)+$K$1015</f>
        <v>6.006006006006006E-3</v>
      </c>
      <c r="L1016">
        <f>SMALL(SimData1000!$C$9:$C$1008,7)</f>
        <v>6.1953352505952353E-3</v>
      </c>
      <c r="M1016">
        <f>1/(COUNT(SimData1000!$C$9:$C$1008)-1)+$M$1015</f>
        <v>6.006006006006006E-3</v>
      </c>
    </row>
    <row r="1017" spans="1:13">
      <c r="A1017" t="s">
        <v>25</v>
      </c>
      <c r="B1017" t="str">
        <f>IF(ISBLANK($B1016)=TRUE,"",_xll.EDF(B9:B1008,$B1016))</f>
        <v/>
      </c>
      <c r="C1017" t="str">
        <f>IF(ISBLANK($C1016)=TRUE,"",_xll.EDF(C9:C1008,$C1016))</f>
        <v/>
      </c>
      <c r="J1017">
        <f>SMALL(SimData1000!$B$9:$B$1008,8)</f>
        <v>7.991307237649176E-3</v>
      </c>
      <c r="K1017">
        <f>1/(COUNT(SimData1000!$B$9:$B$1008)-1)+$K$1016</f>
        <v>7.0070070070070069E-3</v>
      </c>
      <c r="L1017">
        <f>SMALL(SimData1000!$C$9:$C$1008,8)</f>
        <v>6.7399017652860493E-3</v>
      </c>
      <c r="M1017">
        <f>1/(COUNT(SimData1000!$C$9:$C$1008)-1)+$M$1016</f>
        <v>7.0070070070070069E-3</v>
      </c>
    </row>
    <row r="1018" spans="1:13">
      <c r="A1018" t="s">
        <v>26</v>
      </c>
      <c r="J1018">
        <f>SMALL(SimData1000!$B$9:$B$1008,9)</f>
        <v>8.6910029742147312E-3</v>
      </c>
      <c r="K1018">
        <f>1/(COUNT(SimData1000!$B$9:$B$1008)-1)+$K$1017</f>
        <v>8.0080080080080079E-3</v>
      </c>
      <c r="L1018">
        <f>SMALL(SimData1000!$C$9:$C$1008,9)</f>
        <v>8.7011098921720986E-3</v>
      </c>
      <c r="M1018">
        <f>1/(COUNT(SimData1000!$C$9:$C$1008)-1)+$M$1017</f>
        <v>8.0080080080080079E-3</v>
      </c>
    </row>
    <row r="1019" spans="1:13">
      <c r="A1019" t="s">
        <v>27</v>
      </c>
      <c r="B1019" t="str">
        <f>IF(ISBLANK($B1018)=TRUE,"",_xll.EDF(B9:B1008,$B1018))</f>
        <v/>
      </c>
      <c r="C1019" t="str">
        <f>IF(ISBLANK($C1018)=TRUE,"",_xll.EDF(C9:C1008,$C1018))</f>
        <v/>
      </c>
      <c r="J1019">
        <f>SMALL(SimData1000!$B$9:$B$1008,10)</f>
        <v>9.0824375220300707E-3</v>
      </c>
      <c r="K1019">
        <f>1/(COUNT(SimData1000!$B$9:$B$1008)-1)+$K$1018</f>
        <v>9.0090090090090089E-3</v>
      </c>
      <c r="L1019">
        <f>SMALL(SimData1000!$C$9:$C$1008,10)</f>
        <v>8.7280524785455782E-3</v>
      </c>
      <c r="M1019">
        <f>1/(COUNT(SimData1000!$C$9:$C$1008)-1)+$M$1018</f>
        <v>9.0090090090090089E-3</v>
      </c>
    </row>
    <row r="1020" spans="1:13">
      <c r="J1020">
        <f>SMALL(SimData1000!$B$9:$B$1008,11)</f>
        <v>1.0550063027429874E-2</v>
      </c>
      <c r="K1020">
        <f>1/(COUNT(SimData1000!$B$9:$B$1008)-1)+$K$1019</f>
        <v>1.001001001001001E-2</v>
      </c>
      <c r="L1020">
        <f>SMALL(SimData1000!$C$9:$C$1008,11)</f>
        <v>9.637631565965421E-3</v>
      </c>
      <c r="M1020">
        <f>1/(COUNT(SimData1000!$C$9:$C$1008)-1)+$M$1019</f>
        <v>1.001001001001001E-2</v>
      </c>
    </row>
    <row r="1021" spans="1:13">
      <c r="J1021">
        <f>SMALL(SimData1000!$B$9:$B$1008,12)</f>
        <v>1.1941943156985086E-2</v>
      </c>
      <c r="K1021">
        <f>1/(COUNT(SimData1000!$B$9:$B$1008)-1)+$K$1020</f>
        <v>1.1011011011011011E-2</v>
      </c>
      <c r="L1021">
        <f>SMALL(SimData1000!$C$9:$C$1008,12)</f>
        <v>9.776662863259844E-3</v>
      </c>
      <c r="M1021">
        <f>1/(COUNT(SimData1000!$C$9:$C$1008)-1)+$M$1020</f>
        <v>1.1011011011011011E-2</v>
      </c>
    </row>
    <row r="1022" spans="1:13">
      <c r="J1022">
        <f>SMALL(SimData1000!$B$9:$B$1008,13)</f>
        <v>1.248931624006697E-2</v>
      </c>
      <c r="K1022">
        <f>1/(COUNT(SimData1000!$B$9:$B$1008)-1)+$K$1021</f>
        <v>1.2012012012012012E-2</v>
      </c>
      <c r="L1022">
        <f>SMALL(SimData1000!$C$9:$C$1008,13)</f>
        <v>1.0215160431471304E-2</v>
      </c>
      <c r="M1022">
        <f>1/(COUNT(SimData1000!$C$9:$C$1008)-1)+$M$1021</f>
        <v>1.2012012012012012E-2</v>
      </c>
    </row>
    <row r="1023" spans="1:13">
      <c r="J1023">
        <f>SMALL(SimData1000!$B$9:$B$1008,14)</f>
        <v>1.3771784770714999E-2</v>
      </c>
      <c r="K1023">
        <f>1/(COUNT(SimData1000!$B$9:$B$1008)-1)+$K$1022</f>
        <v>1.3013013013013013E-2</v>
      </c>
      <c r="L1023">
        <f>SMALL(SimData1000!$C$9:$C$1008,14)</f>
        <v>1.1211351866222685E-2</v>
      </c>
      <c r="M1023">
        <f>1/(COUNT(SimData1000!$C$9:$C$1008)-1)+$M$1022</f>
        <v>1.3013013013013013E-2</v>
      </c>
    </row>
    <row r="1024" spans="1:13">
      <c r="J1024">
        <f>SMALL(SimData1000!$B$9:$B$1008,15)</f>
        <v>1.433510894289592E-2</v>
      </c>
      <c r="K1024">
        <f>1/(COUNT(SimData1000!$B$9:$B$1008)-1)+$K$1023</f>
        <v>1.4014014014014014E-2</v>
      </c>
      <c r="L1024">
        <f>SMALL(SimData1000!$C$9:$C$1008,15)</f>
        <v>1.1858088029839564E-2</v>
      </c>
      <c r="M1024">
        <f>1/(COUNT(SimData1000!$C$9:$C$1008)-1)+$M$1023</f>
        <v>1.4014014014014014E-2</v>
      </c>
    </row>
    <row r="1025" spans="10:13">
      <c r="J1025">
        <f>SMALL(SimData1000!$B$9:$B$1008,16)</f>
        <v>1.565377212354303E-2</v>
      </c>
      <c r="K1025">
        <f>1/(COUNT(SimData1000!$B$9:$B$1008)-1)+$K$1024</f>
        <v>1.5015015015015015E-2</v>
      </c>
      <c r="L1025">
        <f>SMALL(SimData1000!$C$9:$C$1008,16)</f>
        <v>1.3598933372122701E-2</v>
      </c>
      <c r="M1025">
        <f>1/(COUNT(SimData1000!$C$9:$C$1008)-1)+$M$1024</f>
        <v>1.5015015015015015E-2</v>
      </c>
    </row>
    <row r="1026" spans="10:13">
      <c r="J1026">
        <f>SMALL(SimData1000!$B$9:$B$1008,17)</f>
        <v>1.6655539621285985E-2</v>
      </c>
      <c r="K1026">
        <f>1/(COUNT(SimData1000!$B$9:$B$1008)-1)+$K$1025</f>
        <v>1.6016016016016016E-2</v>
      </c>
      <c r="L1026">
        <f>SMALL(SimData1000!$C$9:$C$1008,17)</f>
        <v>1.4475112452601024E-2</v>
      </c>
      <c r="M1026">
        <f>1/(COUNT(SimData1000!$C$9:$C$1008)-1)+$M$1025</f>
        <v>1.6016016016016016E-2</v>
      </c>
    </row>
    <row r="1027" spans="10:13">
      <c r="J1027">
        <f>SMALL(SimData1000!$B$9:$B$1008,18)</f>
        <v>1.7060150638003868E-2</v>
      </c>
      <c r="K1027">
        <f>1/(COUNT(SimData1000!$B$9:$B$1008)-1)+$K$1026</f>
        <v>1.7017017017017015E-2</v>
      </c>
      <c r="L1027">
        <f>SMALL(SimData1000!$C$9:$C$1008,18)</f>
        <v>1.4872851552354405E-2</v>
      </c>
      <c r="M1027">
        <f>1/(COUNT(SimData1000!$C$9:$C$1008)-1)+$M$1026</f>
        <v>1.7017017017017015E-2</v>
      </c>
    </row>
    <row r="1028" spans="10:13">
      <c r="J1028">
        <f>SMALL(SimData1000!$B$9:$B$1008,19)</f>
        <v>1.8705947426777787E-2</v>
      </c>
      <c r="K1028">
        <f>1/(COUNT(SimData1000!$B$9:$B$1008)-1)+$K$1027</f>
        <v>1.8018018018018014E-2</v>
      </c>
      <c r="L1028">
        <f>SMALL(SimData1000!$C$9:$C$1008,19)</f>
        <v>1.6182267712792964E-2</v>
      </c>
      <c r="M1028">
        <f>1/(COUNT(SimData1000!$C$9:$C$1008)-1)+$M$1027</f>
        <v>1.8018018018018014E-2</v>
      </c>
    </row>
    <row r="1029" spans="10:13">
      <c r="J1029">
        <f>SMALL(SimData1000!$B$9:$B$1008,20)</f>
        <v>1.9357135893627333E-2</v>
      </c>
      <c r="K1029">
        <f>1/(COUNT(SimData1000!$B$9:$B$1008)-1)+$K$1028</f>
        <v>1.9019019019019014E-2</v>
      </c>
      <c r="L1029">
        <f>SMALL(SimData1000!$C$9:$C$1008,20)</f>
        <v>1.6810126519885671E-2</v>
      </c>
      <c r="M1029">
        <f>1/(COUNT(SimData1000!$C$9:$C$1008)-1)+$M$1028</f>
        <v>1.9019019019019014E-2</v>
      </c>
    </row>
    <row r="1030" spans="10:13">
      <c r="J1030">
        <f>SMALL(SimData1000!$B$9:$B$1008,21)</f>
        <v>2.0928895952629135E-2</v>
      </c>
      <c r="K1030">
        <f>1/(COUNT(SimData1000!$B$9:$B$1008)-1)+$K$1029</f>
        <v>2.0020020020020013E-2</v>
      </c>
      <c r="L1030">
        <f>SMALL(SimData1000!$C$9:$C$1008,21)</f>
        <v>1.7457077196013415E-2</v>
      </c>
      <c r="M1030">
        <f>1/(COUNT(SimData1000!$C$9:$C$1008)-1)+$M$1029</f>
        <v>2.0020020020020013E-2</v>
      </c>
    </row>
    <row r="1031" spans="10:13">
      <c r="J1031">
        <f>SMALL(SimData1000!$B$9:$B$1008,22)</f>
        <v>2.1320678836042221E-2</v>
      </c>
      <c r="K1031">
        <f>1/(COUNT(SimData1000!$B$9:$B$1008)-1)+$K$1030</f>
        <v>2.1021021021021012E-2</v>
      </c>
      <c r="L1031">
        <f>SMALL(SimData1000!$C$9:$C$1008,22)</f>
        <v>1.7608963148632029E-2</v>
      </c>
      <c r="M1031">
        <f>1/(COUNT(SimData1000!$C$9:$C$1008)-1)+$M$1030</f>
        <v>2.1021021021021012E-2</v>
      </c>
    </row>
    <row r="1032" spans="10:13">
      <c r="J1032">
        <f>SMALL(SimData1000!$B$9:$B$1008,23)</f>
        <v>2.2711874059800029E-2</v>
      </c>
      <c r="K1032">
        <f>1/(COUNT(SimData1000!$B$9:$B$1008)-1)+$K$1031</f>
        <v>2.2022022022022011E-2</v>
      </c>
      <c r="L1032">
        <f>SMALL(SimData1000!$C$9:$C$1008,23)</f>
        <v>1.9651275393698597E-2</v>
      </c>
      <c r="M1032">
        <f>1/(COUNT(SimData1000!$C$9:$C$1008)-1)+$M$1031</f>
        <v>2.2022022022022011E-2</v>
      </c>
    </row>
    <row r="1033" spans="10:13">
      <c r="J1033">
        <f>SMALL(SimData1000!$B$9:$B$1008,24)</f>
        <v>2.3318226056946029E-2</v>
      </c>
      <c r="K1033">
        <f>1/(COUNT(SimData1000!$B$9:$B$1008)-1)+$K$1032</f>
        <v>2.3023023023023011E-2</v>
      </c>
      <c r="L1033">
        <f>SMALL(SimData1000!$C$9:$C$1008,24)</f>
        <v>1.9754879182983132E-2</v>
      </c>
      <c r="M1033">
        <f>1/(COUNT(SimData1000!$C$9:$C$1008)-1)+$M$1032</f>
        <v>2.3023023023023011E-2</v>
      </c>
    </row>
    <row r="1034" spans="10:13">
      <c r="J1034">
        <f>SMALL(SimData1000!$B$9:$B$1008,25)</f>
        <v>2.4425383692473497E-2</v>
      </c>
      <c r="K1034">
        <f>1/(COUNT(SimData1000!$B$9:$B$1008)-1)+$K$1033</f>
        <v>2.402402402402401E-2</v>
      </c>
      <c r="L1034">
        <f>SMALL(SimData1000!$C$9:$C$1008,25)</f>
        <v>2.1180632570576563E-2</v>
      </c>
      <c r="M1034">
        <f>1/(COUNT(SimData1000!$C$9:$C$1008)-1)+$M$1033</f>
        <v>2.402402402402401E-2</v>
      </c>
    </row>
    <row r="1035" spans="10:13">
      <c r="J1035">
        <f>SMALL(SimData1000!$B$9:$B$1008,26)</f>
        <v>2.5466303915126786E-2</v>
      </c>
      <c r="K1035">
        <f>1/(COUNT(SimData1000!$B$9:$B$1008)-1)+$K$1034</f>
        <v>2.5025025025025009E-2</v>
      </c>
      <c r="L1035">
        <f>SMALL(SimData1000!$C$9:$C$1008,26)</f>
        <v>2.219845684885513E-2</v>
      </c>
      <c r="M1035">
        <f>1/(COUNT(SimData1000!$C$9:$C$1008)-1)+$M$1034</f>
        <v>2.5025025025025009E-2</v>
      </c>
    </row>
    <row r="1036" spans="10:13">
      <c r="J1036">
        <f>SMALL(SimData1000!$B$9:$B$1008,27)</f>
        <v>2.6203232432297253E-2</v>
      </c>
      <c r="K1036">
        <f>1/(COUNT(SimData1000!$B$9:$B$1008)-1)+$K$1035</f>
        <v>2.6026026026026008E-2</v>
      </c>
      <c r="L1036">
        <f>SMALL(SimData1000!$C$9:$C$1008,27)</f>
        <v>2.4623832653560385E-2</v>
      </c>
      <c r="M1036">
        <f>1/(COUNT(SimData1000!$C$9:$C$1008)-1)+$M$1035</f>
        <v>2.6026026026026008E-2</v>
      </c>
    </row>
    <row r="1037" spans="10:13">
      <c r="J1037">
        <f>SMALL(SimData1000!$B$9:$B$1008,28)</f>
        <v>2.7298149960417802E-2</v>
      </c>
      <c r="K1037">
        <f>1/(COUNT(SimData1000!$B$9:$B$1008)-1)+$K$1036</f>
        <v>2.7027027027027008E-2</v>
      </c>
      <c r="L1037">
        <f>SMALL(SimData1000!$C$9:$C$1008,28)</f>
        <v>2.5346385492412082E-2</v>
      </c>
      <c r="M1037">
        <f>1/(COUNT(SimData1000!$C$9:$C$1008)-1)+$M$1036</f>
        <v>2.7027027027027008E-2</v>
      </c>
    </row>
    <row r="1038" spans="10:13">
      <c r="J1038">
        <f>SMALL(SimData1000!$B$9:$B$1008,29)</f>
        <v>2.8105863570493148E-2</v>
      </c>
      <c r="K1038">
        <f>1/(COUNT(SimData1000!$B$9:$B$1008)-1)+$K$1037</f>
        <v>2.8028028028028007E-2</v>
      </c>
      <c r="L1038">
        <f>SMALL(SimData1000!$C$9:$C$1008,29)</f>
        <v>2.5585112215594563E-2</v>
      </c>
      <c r="M1038">
        <f>1/(COUNT(SimData1000!$C$9:$C$1008)-1)+$M$1037</f>
        <v>2.8028028028028007E-2</v>
      </c>
    </row>
    <row r="1039" spans="10:13">
      <c r="J1039">
        <f>SMALL(SimData1000!$B$9:$B$1008,30)</f>
        <v>2.9739683229182773E-2</v>
      </c>
      <c r="K1039">
        <f>1/(COUNT(SimData1000!$B$9:$B$1008)-1)+$K$1038</f>
        <v>2.9029029029029006E-2</v>
      </c>
      <c r="L1039">
        <f>SMALL(SimData1000!$C$9:$C$1008,30)</f>
        <v>3.0662406963529065E-2</v>
      </c>
      <c r="M1039">
        <f>1/(COUNT(SimData1000!$C$9:$C$1008)-1)+$M$1038</f>
        <v>2.9029029029029006E-2</v>
      </c>
    </row>
    <row r="1040" spans="10:13">
      <c r="J1040">
        <f>SMALL(SimData1000!$B$9:$B$1008,31)</f>
        <v>3.0187069188614159E-2</v>
      </c>
      <c r="K1040">
        <f>1/(COUNT(SimData1000!$B$9:$B$1008)-1)+$K$1039</f>
        <v>3.0030030030030005E-2</v>
      </c>
      <c r="L1040">
        <f>SMALL(SimData1000!$C$9:$C$1008,31)</f>
        <v>3.1465156617741741E-2</v>
      </c>
      <c r="M1040">
        <f>1/(COUNT(SimData1000!$C$9:$C$1008)-1)+$M$1039</f>
        <v>3.0030030030030005E-2</v>
      </c>
    </row>
    <row r="1041" spans="10:13">
      <c r="J1041">
        <f>SMALL(SimData1000!$B$9:$B$1008,32)</f>
        <v>3.1064319378944192E-2</v>
      </c>
      <c r="K1041">
        <f>1/(COUNT(SimData1000!$B$9:$B$1008)-1)+$K$1040</f>
        <v>3.1031031031031005E-2</v>
      </c>
      <c r="L1041">
        <f>SMALL(SimData1000!$C$9:$C$1008,32)</f>
        <v>3.2954708040051628E-2</v>
      </c>
      <c r="M1041">
        <f>1/(COUNT(SimData1000!$C$9:$C$1008)-1)+$M$1040</f>
        <v>3.1031031031031005E-2</v>
      </c>
    </row>
    <row r="1042" spans="10:13">
      <c r="J1042">
        <f>SMALL(SimData1000!$B$9:$B$1008,33)</f>
        <v>3.2736773244975315E-2</v>
      </c>
      <c r="K1042">
        <f>1/(COUNT(SimData1000!$B$9:$B$1008)-1)+$K$1041</f>
        <v>3.2032032032032004E-2</v>
      </c>
      <c r="L1042">
        <f>SMALL(SimData1000!$C$9:$C$1008,33)</f>
        <v>3.4229346257234283E-2</v>
      </c>
      <c r="M1042">
        <f>1/(COUNT(SimData1000!$C$9:$C$1008)-1)+$M$1041</f>
        <v>3.2032032032032004E-2</v>
      </c>
    </row>
    <row r="1043" spans="10:13">
      <c r="J1043">
        <f>SMALL(SimData1000!$B$9:$B$1008,34)</f>
        <v>3.3975360922975317E-2</v>
      </c>
      <c r="K1043">
        <f>1/(COUNT(SimData1000!$B$9:$B$1008)-1)+$K$1042</f>
        <v>3.3033033033033003E-2</v>
      </c>
      <c r="L1043">
        <f>SMALL(SimData1000!$C$9:$C$1008,34)</f>
        <v>3.5035172359130229E-2</v>
      </c>
      <c r="M1043">
        <f>1/(COUNT(SimData1000!$C$9:$C$1008)-1)+$M$1042</f>
        <v>3.3033033033033003E-2</v>
      </c>
    </row>
    <row r="1044" spans="10:13">
      <c r="J1044">
        <f>SMALL(SimData1000!$B$9:$B$1008,35)</f>
        <v>3.4914705039913466E-2</v>
      </c>
      <c r="K1044">
        <f>1/(COUNT(SimData1000!$B$9:$B$1008)-1)+$K$1043</f>
        <v>3.4034034034034003E-2</v>
      </c>
      <c r="L1044">
        <f>SMALL(SimData1000!$C$9:$C$1008,35)</f>
        <v>3.5850358423886064E-2</v>
      </c>
      <c r="M1044">
        <f>1/(COUNT(SimData1000!$C$9:$C$1008)-1)+$M$1043</f>
        <v>3.4034034034034003E-2</v>
      </c>
    </row>
    <row r="1045" spans="10:13">
      <c r="J1045">
        <f>SMALL(SimData1000!$B$9:$B$1008,36)</f>
        <v>3.5355216207065436E-2</v>
      </c>
      <c r="K1045">
        <f>1/(COUNT(SimData1000!$B$9:$B$1008)-1)+$K$1044</f>
        <v>3.5035035035035002E-2</v>
      </c>
      <c r="L1045">
        <f>SMALL(SimData1000!$C$9:$C$1008,36)</f>
        <v>3.8460968570689147E-2</v>
      </c>
      <c r="M1045">
        <f>1/(COUNT(SimData1000!$C$9:$C$1008)-1)+$M$1044</f>
        <v>3.5035035035035002E-2</v>
      </c>
    </row>
    <row r="1046" spans="10:13">
      <c r="J1046">
        <f>SMALL(SimData1000!$B$9:$B$1008,37)</f>
        <v>3.6163179905890297E-2</v>
      </c>
      <c r="K1046">
        <f>1/(COUNT(SimData1000!$B$9:$B$1008)-1)+$K$1045</f>
        <v>3.6036036036036001E-2</v>
      </c>
      <c r="L1046">
        <f>SMALL(SimData1000!$C$9:$C$1008,37)</f>
        <v>3.9676028753092396E-2</v>
      </c>
      <c r="M1046">
        <f>1/(COUNT(SimData1000!$C$9:$C$1008)-1)+$M$1045</f>
        <v>3.6036036036036001E-2</v>
      </c>
    </row>
    <row r="1047" spans="10:13">
      <c r="J1047">
        <f>SMALL(SimData1000!$B$9:$B$1008,38)</f>
        <v>3.7704157652497329E-2</v>
      </c>
      <c r="K1047">
        <f>1/(COUNT(SimData1000!$B$9:$B$1008)-1)+$K$1046</f>
        <v>3.7037037037037E-2</v>
      </c>
      <c r="L1047">
        <f>SMALL(SimData1000!$C$9:$C$1008,38)</f>
        <v>4.1364951142895734E-2</v>
      </c>
      <c r="M1047">
        <f>1/(COUNT(SimData1000!$C$9:$C$1008)-1)+$M$1046</f>
        <v>3.7037037037037E-2</v>
      </c>
    </row>
    <row r="1048" spans="10:13">
      <c r="J1048">
        <f>SMALL(SimData1000!$B$9:$B$1008,39)</f>
        <v>3.8870849678262799E-2</v>
      </c>
      <c r="K1048">
        <f>1/(COUNT(SimData1000!$B$9:$B$1008)-1)+$K$1047</f>
        <v>3.8038038038038E-2</v>
      </c>
      <c r="L1048">
        <f>SMALL(SimData1000!$C$9:$C$1008,39)</f>
        <v>4.1417087769332284E-2</v>
      </c>
      <c r="M1048">
        <f>1/(COUNT(SimData1000!$C$9:$C$1008)-1)+$M$1047</f>
        <v>3.8038038038038E-2</v>
      </c>
    </row>
    <row r="1049" spans="10:13">
      <c r="J1049">
        <f>SMALL(SimData1000!$B$9:$B$1008,40)</f>
        <v>3.9467166361973428E-2</v>
      </c>
      <c r="K1049">
        <f>1/(COUNT(SimData1000!$B$9:$B$1008)-1)+$K$1048</f>
        <v>3.9039039039038999E-2</v>
      </c>
      <c r="L1049">
        <f>SMALL(SimData1000!$C$9:$C$1008,40)</f>
        <v>4.2773981163009012E-2</v>
      </c>
      <c r="M1049">
        <f>1/(COUNT(SimData1000!$C$9:$C$1008)-1)+$M$1048</f>
        <v>3.9039039039038999E-2</v>
      </c>
    </row>
    <row r="1050" spans="10:13">
      <c r="J1050">
        <f>SMALL(SimData1000!$B$9:$B$1008,41)</f>
        <v>4.0383625568911348E-2</v>
      </c>
      <c r="K1050">
        <f>1/(COUNT(SimData1000!$B$9:$B$1008)-1)+$K$1049</f>
        <v>4.0040040040039998E-2</v>
      </c>
      <c r="L1050">
        <f>SMALL(SimData1000!$C$9:$C$1008,41)</f>
        <v>4.6573462764172291E-2</v>
      </c>
      <c r="M1050">
        <f>1/(COUNT(SimData1000!$C$9:$C$1008)-1)+$M$1049</f>
        <v>4.0040040040039998E-2</v>
      </c>
    </row>
    <row r="1051" spans="10:13">
      <c r="J1051">
        <f>SMALL(SimData1000!$B$9:$B$1008,42)</f>
        <v>4.1293784645221612E-2</v>
      </c>
      <c r="K1051">
        <f>1/(COUNT(SimData1000!$B$9:$B$1008)-1)+$K$1050</f>
        <v>4.1041041041040997E-2</v>
      </c>
      <c r="L1051">
        <f>SMALL(SimData1000!$C$9:$C$1008,42)</f>
        <v>4.7318216405074054E-2</v>
      </c>
      <c r="M1051">
        <f>1/(COUNT(SimData1000!$C$9:$C$1008)-1)+$M$1050</f>
        <v>4.1041041041040997E-2</v>
      </c>
    </row>
    <row r="1052" spans="10:13">
      <c r="J1052">
        <f>SMALL(SimData1000!$B$9:$B$1008,43)</f>
        <v>4.2633868829261949E-2</v>
      </c>
      <c r="K1052">
        <f>1/(COUNT(SimData1000!$B$9:$B$1008)-1)+$K$1051</f>
        <v>4.2042042042041997E-2</v>
      </c>
      <c r="L1052">
        <f>SMALL(SimData1000!$C$9:$C$1008,43)</f>
        <v>4.7405520890606567E-2</v>
      </c>
      <c r="M1052">
        <f>1/(COUNT(SimData1000!$C$9:$C$1008)-1)+$M$1051</f>
        <v>4.2042042042041997E-2</v>
      </c>
    </row>
    <row r="1053" spans="10:13">
      <c r="J1053">
        <f>SMALL(SimData1000!$B$9:$B$1008,44)</f>
        <v>4.3236398436184133E-2</v>
      </c>
      <c r="K1053">
        <f>1/(COUNT(SimData1000!$B$9:$B$1008)-1)+$K$1052</f>
        <v>4.3043043043042996E-2</v>
      </c>
      <c r="L1053">
        <f>SMALL(SimData1000!$C$9:$C$1008,44)</f>
        <v>4.9244369748521422E-2</v>
      </c>
      <c r="M1053">
        <f>1/(COUNT(SimData1000!$C$9:$C$1008)-1)+$M$1052</f>
        <v>4.3043043043042996E-2</v>
      </c>
    </row>
    <row r="1054" spans="10:13">
      <c r="J1054">
        <f>SMALL(SimData1000!$B$9:$B$1008,45)</f>
        <v>4.4077545070573113E-2</v>
      </c>
      <c r="K1054">
        <f>1/(COUNT(SimData1000!$B$9:$B$1008)-1)+$K$1053</f>
        <v>4.4044044044043995E-2</v>
      </c>
      <c r="L1054">
        <f>SMALL(SimData1000!$C$9:$C$1008,45)</f>
        <v>4.9619463712588185E-2</v>
      </c>
      <c r="M1054">
        <f>1/(COUNT(SimData1000!$C$9:$C$1008)-1)+$M$1053</f>
        <v>4.4044044044043995E-2</v>
      </c>
    </row>
    <row r="1055" spans="10:13">
      <c r="J1055">
        <f>SMALL(SimData1000!$B$9:$B$1008,46)</f>
        <v>4.557786868758916E-2</v>
      </c>
      <c r="K1055">
        <f>1/(COUNT(SimData1000!$B$9:$B$1008)-1)+$K$1054</f>
        <v>4.5045045045044994E-2</v>
      </c>
      <c r="L1055">
        <f>SMALL(SimData1000!$C$9:$C$1008,46)</f>
        <v>5.0085400844182004E-2</v>
      </c>
      <c r="M1055">
        <f>1/(COUNT(SimData1000!$C$9:$C$1008)-1)+$M$1054</f>
        <v>4.5045045045044994E-2</v>
      </c>
    </row>
    <row r="1056" spans="10:13">
      <c r="J1056">
        <f>SMALL(SimData1000!$B$9:$B$1008,47)</f>
        <v>4.6941907570916666E-2</v>
      </c>
      <c r="K1056">
        <f>1/(COUNT(SimData1000!$B$9:$B$1008)-1)+$K$1055</f>
        <v>4.6046046046045994E-2</v>
      </c>
      <c r="L1056">
        <f>SMALL(SimData1000!$C$9:$C$1008,47)</f>
        <v>5.3026577601485769E-2</v>
      </c>
      <c r="M1056">
        <f>1/(COUNT(SimData1000!$C$9:$C$1008)-1)+$M$1055</f>
        <v>4.6046046046045994E-2</v>
      </c>
    </row>
    <row r="1057" spans="10:13">
      <c r="J1057">
        <f>SMALL(SimData1000!$B$9:$B$1008,48)</f>
        <v>4.77649109297816E-2</v>
      </c>
      <c r="K1057">
        <f>1/(COUNT(SimData1000!$B$9:$B$1008)-1)+$K$1056</f>
        <v>4.7047047047046993E-2</v>
      </c>
      <c r="L1057">
        <f>SMALL(SimData1000!$C$9:$C$1008,48)</f>
        <v>5.5186146707455919E-2</v>
      </c>
      <c r="M1057">
        <f>1/(COUNT(SimData1000!$C$9:$C$1008)-1)+$M$1056</f>
        <v>4.7047047047046993E-2</v>
      </c>
    </row>
    <row r="1058" spans="10:13">
      <c r="J1058">
        <f>SMALL(SimData1000!$B$9:$B$1008,49)</f>
        <v>4.8836777261885997E-2</v>
      </c>
      <c r="K1058">
        <f>1/(COUNT(SimData1000!$B$9:$B$1008)-1)+$K$1057</f>
        <v>4.8048048048047992E-2</v>
      </c>
      <c r="L1058">
        <f>SMALL(SimData1000!$C$9:$C$1008,49)</f>
        <v>5.6125780625734478E-2</v>
      </c>
      <c r="M1058">
        <f>1/(COUNT(SimData1000!$C$9:$C$1008)-1)+$M$1057</f>
        <v>4.8048048048047992E-2</v>
      </c>
    </row>
    <row r="1059" spans="10:13">
      <c r="J1059">
        <f>SMALL(SimData1000!$B$9:$B$1008,50)</f>
        <v>4.9665537978677433E-2</v>
      </c>
      <c r="K1059">
        <f>1/(COUNT(SimData1000!$B$9:$B$1008)-1)+$K$1058</f>
        <v>4.9049049049048991E-2</v>
      </c>
      <c r="L1059">
        <f>SMALL(SimData1000!$C$9:$C$1008,50)</f>
        <v>5.6669475039598183E-2</v>
      </c>
      <c r="M1059">
        <f>1/(COUNT(SimData1000!$C$9:$C$1008)-1)+$M$1058</f>
        <v>4.9049049049048991E-2</v>
      </c>
    </row>
    <row r="1060" spans="10:13">
      <c r="J1060">
        <f>SMALL(SimData1000!$B$9:$B$1008,51)</f>
        <v>5.0043066369146821E-2</v>
      </c>
      <c r="K1060">
        <f>1/(COUNT(SimData1000!$B$9:$B$1008)-1)+$K$1059</f>
        <v>5.0050050050049991E-2</v>
      </c>
      <c r="L1060">
        <f>SMALL(SimData1000!$C$9:$C$1008,51)</f>
        <v>5.7200194591132458E-2</v>
      </c>
      <c r="M1060">
        <f>1/(COUNT(SimData1000!$C$9:$C$1008)-1)+$M$1059</f>
        <v>5.0050050050049991E-2</v>
      </c>
    </row>
    <row r="1061" spans="10:13">
      <c r="J1061">
        <f>SMALL(SimData1000!$B$9:$B$1008,52)</f>
        <v>5.1606558549126276E-2</v>
      </c>
      <c r="K1061">
        <f>1/(COUNT(SimData1000!$B$9:$B$1008)-1)+$K$1060</f>
        <v>5.105105105105099E-2</v>
      </c>
      <c r="L1061">
        <f>SMALL(SimData1000!$C$9:$C$1008,52)</f>
        <v>5.7870081588589528E-2</v>
      </c>
      <c r="M1061">
        <f>1/(COUNT(SimData1000!$C$9:$C$1008)-1)+$M$1060</f>
        <v>5.105105105105099E-2</v>
      </c>
    </row>
    <row r="1062" spans="10:13">
      <c r="J1062">
        <f>SMALL(SimData1000!$B$9:$B$1008,53)</f>
        <v>5.2243524471354559E-2</v>
      </c>
      <c r="K1062">
        <f>1/(COUNT(SimData1000!$B$9:$B$1008)-1)+$K$1061</f>
        <v>5.2052052052051989E-2</v>
      </c>
      <c r="L1062">
        <f>SMALL(SimData1000!$C$9:$C$1008,53)</f>
        <v>5.9466636594152078E-2</v>
      </c>
      <c r="M1062">
        <f>1/(COUNT(SimData1000!$C$9:$C$1008)-1)+$M$1061</f>
        <v>5.2052052052051989E-2</v>
      </c>
    </row>
    <row r="1063" spans="10:13">
      <c r="J1063">
        <f>SMALL(SimData1000!$B$9:$B$1008,54)</f>
        <v>5.3533145557980319E-2</v>
      </c>
      <c r="K1063">
        <f>1/(COUNT(SimData1000!$B$9:$B$1008)-1)+$K$1062</f>
        <v>5.3053053053052988E-2</v>
      </c>
      <c r="L1063">
        <f>SMALL(SimData1000!$C$9:$C$1008,54)</f>
        <v>6.0616261922859849E-2</v>
      </c>
      <c r="M1063">
        <f>1/(COUNT(SimData1000!$C$9:$C$1008)-1)+$M$1062</f>
        <v>5.3053053053052988E-2</v>
      </c>
    </row>
    <row r="1064" spans="10:13">
      <c r="J1064">
        <f>SMALL(SimData1000!$B$9:$B$1008,55)</f>
        <v>5.4422300050366273E-2</v>
      </c>
      <c r="K1064">
        <f>1/(COUNT(SimData1000!$B$9:$B$1008)-1)+$K$1063</f>
        <v>5.4054054054053988E-2</v>
      </c>
      <c r="L1064">
        <f>SMALL(SimData1000!$C$9:$C$1008,55)</f>
        <v>6.1184940773273411E-2</v>
      </c>
      <c r="M1064">
        <f>1/(COUNT(SimData1000!$C$9:$C$1008)-1)+$M$1063</f>
        <v>5.4054054054053988E-2</v>
      </c>
    </row>
    <row r="1065" spans="10:13">
      <c r="J1065">
        <f>SMALL(SimData1000!$B$9:$B$1008,56)</f>
        <v>5.5083745440953354E-2</v>
      </c>
      <c r="K1065">
        <f>1/(COUNT(SimData1000!$B$9:$B$1008)-1)+$K$1064</f>
        <v>5.5055055055054987E-2</v>
      </c>
      <c r="L1065">
        <f>SMALL(SimData1000!$C$9:$C$1008,56)</f>
        <v>6.1290174009627663E-2</v>
      </c>
      <c r="M1065">
        <f>1/(COUNT(SimData1000!$C$9:$C$1008)-1)+$M$1064</f>
        <v>5.5055055055054987E-2</v>
      </c>
    </row>
    <row r="1066" spans="10:13">
      <c r="J1066">
        <f>SMALL(SimData1000!$B$9:$B$1008,57)</f>
        <v>5.6768623753629767E-2</v>
      </c>
      <c r="K1066">
        <f>1/(COUNT(SimData1000!$B$9:$B$1008)-1)+$K$1065</f>
        <v>5.6056056056055986E-2</v>
      </c>
      <c r="L1066">
        <f>SMALL(SimData1000!$C$9:$C$1008,57)</f>
        <v>6.2322208959812997E-2</v>
      </c>
      <c r="M1066">
        <f>1/(COUNT(SimData1000!$C$9:$C$1008)-1)+$M$1065</f>
        <v>5.6056056056055986E-2</v>
      </c>
    </row>
    <row r="1067" spans="10:13">
      <c r="J1067">
        <f>SMALL(SimData1000!$B$9:$B$1008,58)</f>
        <v>5.7069298443167778E-2</v>
      </c>
      <c r="K1067">
        <f>1/(COUNT(SimData1000!$B$9:$B$1008)-1)+$K$1066</f>
        <v>5.7057057057056985E-2</v>
      </c>
      <c r="L1067">
        <f>SMALL(SimData1000!$C$9:$C$1008,58)</f>
        <v>6.313671932912257E-2</v>
      </c>
      <c r="M1067">
        <f>1/(COUNT(SimData1000!$C$9:$C$1008)-1)+$M$1066</f>
        <v>5.7057057057056985E-2</v>
      </c>
    </row>
    <row r="1068" spans="10:13">
      <c r="J1068">
        <f>SMALL(SimData1000!$B$9:$B$1008,59)</f>
        <v>5.8784020167725166E-2</v>
      </c>
      <c r="K1068">
        <f>1/(COUNT(SimData1000!$B$9:$B$1008)-1)+$K$1067</f>
        <v>5.8058058058057985E-2</v>
      </c>
      <c r="L1068">
        <f>SMALL(SimData1000!$C$9:$C$1008,59)</f>
        <v>6.3751215485353896E-2</v>
      </c>
      <c r="M1068">
        <f>1/(COUNT(SimData1000!$C$9:$C$1008)-1)+$M$1067</f>
        <v>5.8058058058057985E-2</v>
      </c>
    </row>
    <row r="1069" spans="10:13">
      <c r="J1069">
        <f>SMALL(SimData1000!$B$9:$B$1008,60)</f>
        <v>5.978399110906385E-2</v>
      </c>
      <c r="K1069">
        <f>1/(COUNT(SimData1000!$B$9:$B$1008)-1)+$K$1068</f>
        <v>5.9059059059058984E-2</v>
      </c>
      <c r="L1069">
        <f>SMALL(SimData1000!$C$9:$C$1008,60)</f>
        <v>6.4133336339182279E-2</v>
      </c>
      <c r="M1069">
        <f>1/(COUNT(SimData1000!$C$9:$C$1008)-1)+$M$1068</f>
        <v>5.9059059059058984E-2</v>
      </c>
    </row>
    <row r="1070" spans="10:13">
      <c r="J1070">
        <f>SMALL(SimData1000!$B$9:$B$1008,61)</f>
        <v>6.01762935368289E-2</v>
      </c>
      <c r="K1070">
        <f>1/(COUNT(SimData1000!$B$9:$B$1008)-1)+$K$1069</f>
        <v>6.0060060060059983E-2</v>
      </c>
      <c r="L1070">
        <f>SMALL(SimData1000!$C$9:$C$1008,61)</f>
        <v>6.4766973167934339E-2</v>
      </c>
      <c r="M1070">
        <f>1/(COUNT(SimData1000!$C$9:$C$1008)-1)+$M$1069</f>
        <v>6.0060060060059983E-2</v>
      </c>
    </row>
    <row r="1071" spans="10:13">
      <c r="J1071">
        <f>SMALL(SimData1000!$B$9:$B$1008,62)</f>
        <v>6.1490843851000732E-2</v>
      </c>
      <c r="K1071">
        <f>1/(COUNT(SimData1000!$B$9:$B$1008)-1)+$K$1070</f>
        <v>6.1061061061060982E-2</v>
      </c>
      <c r="L1071">
        <f>SMALL(SimData1000!$C$9:$C$1008,62)</f>
        <v>6.6651941478994559E-2</v>
      </c>
      <c r="M1071">
        <f>1/(COUNT(SimData1000!$C$9:$C$1008)-1)+$M$1070</f>
        <v>6.1061061061060982E-2</v>
      </c>
    </row>
    <row r="1072" spans="10:13">
      <c r="J1072">
        <f>SMALL(SimData1000!$B$9:$B$1008,63)</f>
        <v>6.2880064797559768E-2</v>
      </c>
      <c r="K1072">
        <f>1/(COUNT(SimData1000!$B$9:$B$1008)-1)+$K$1071</f>
        <v>6.2062062062061982E-2</v>
      </c>
      <c r="L1072">
        <f>SMALL(SimData1000!$C$9:$C$1008,63)</f>
        <v>6.7452163040798041E-2</v>
      </c>
      <c r="M1072">
        <f>1/(COUNT(SimData1000!$C$9:$C$1008)-1)+$M$1071</f>
        <v>6.2062062062061982E-2</v>
      </c>
    </row>
    <row r="1073" spans="10:13">
      <c r="J1073">
        <f>SMALL(SimData1000!$B$9:$B$1008,64)</f>
        <v>6.351503184449743E-2</v>
      </c>
      <c r="K1073">
        <f>1/(COUNT(SimData1000!$B$9:$B$1008)-1)+$K$1072</f>
        <v>6.3063063063062988E-2</v>
      </c>
      <c r="L1073">
        <f>SMALL(SimData1000!$C$9:$C$1008,64)</f>
        <v>6.7718517536377476E-2</v>
      </c>
      <c r="M1073">
        <f>1/(COUNT(SimData1000!$C$9:$C$1008)-1)+$M$1072</f>
        <v>6.3063063063062988E-2</v>
      </c>
    </row>
    <row r="1074" spans="10:13">
      <c r="J1074">
        <f>SMALL(SimData1000!$B$9:$B$1008,65)</f>
        <v>6.4929717621749664E-2</v>
      </c>
      <c r="K1074">
        <f>1/(COUNT(SimData1000!$B$9:$B$1008)-1)+$K$1073</f>
        <v>6.4064064064063994E-2</v>
      </c>
      <c r="L1074">
        <f>SMALL(SimData1000!$C$9:$C$1008,65)</f>
        <v>6.7729326600783679E-2</v>
      </c>
      <c r="M1074">
        <f>1/(COUNT(SimData1000!$C$9:$C$1008)-1)+$M$1073</f>
        <v>6.4064064064063994E-2</v>
      </c>
    </row>
    <row r="1075" spans="10:13">
      <c r="J1075">
        <f>SMALL(SimData1000!$B$9:$B$1008,66)</f>
        <v>6.5396103420387056E-2</v>
      </c>
      <c r="K1075">
        <f>1/(COUNT(SimData1000!$B$9:$B$1008)-1)+$K$1074</f>
        <v>6.5065065065065E-2</v>
      </c>
      <c r="L1075">
        <f>SMALL(SimData1000!$C$9:$C$1008,66)</f>
        <v>6.779643397021573E-2</v>
      </c>
      <c r="M1075">
        <f>1/(COUNT(SimData1000!$C$9:$C$1008)-1)+$M$1074</f>
        <v>6.5065065065065E-2</v>
      </c>
    </row>
    <row r="1076" spans="10:13">
      <c r="J1076">
        <f>SMALL(SimData1000!$B$9:$B$1008,67)</f>
        <v>6.6639609443638378E-2</v>
      </c>
      <c r="K1076">
        <f>1/(COUNT(SimData1000!$B$9:$B$1008)-1)+$K$1075</f>
        <v>6.6066066066066007E-2</v>
      </c>
      <c r="L1076">
        <f>SMALL(SimData1000!$C$9:$C$1008,67)</f>
        <v>6.8769444711506367E-2</v>
      </c>
      <c r="M1076">
        <f>1/(COUNT(SimData1000!$C$9:$C$1008)-1)+$M$1075</f>
        <v>6.6066066066066007E-2</v>
      </c>
    </row>
    <row r="1077" spans="10:13">
      <c r="J1077">
        <f>SMALL(SimData1000!$B$9:$B$1008,68)</f>
        <v>6.7910902575103307E-2</v>
      </c>
      <c r="K1077">
        <f>1/(COUNT(SimData1000!$B$9:$B$1008)-1)+$K$1076</f>
        <v>6.7067067067067013E-2</v>
      </c>
      <c r="L1077">
        <f>SMALL(SimData1000!$C$9:$C$1008,68)</f>
        <v>6.9844415974330332E-2</v>
      </c>
      <c r="M1077">
        <f>1/(COUNT(SimData1000!$C$9:$C$1008)-1)+$M$1076</f>
        <v>6.7067067067067013E-2</v>
      </c>
    </row>
    <row r="1078" spans="10:13">
      <c r="J1078">
        <f>SMALL(SimData1000!$B$9:$B$1008,69)</f>
        <v>6.879618610856035E-2</v>
      </c>
      <c r="K1078">
        <f>1/(COUNT(SimData1000!$B$9:$B$1008)-1)+$K$1077</f>
        <v>6.8068068068068019E-2</v>
      </c>
      <c r="L1078">
        <f>SMALL(SimData1000!$C$9:$C$1008,69)</f>
        <v>7.0581609260443656E-2</v>
      </c>
      <c r="M1078">
        <f>1/(COUNT(SimData1000!$C$9:$C$1008)-1)+$M$1077</f>
        <v>6.8068068068068019E-2</v>
      </c>
    </row>
    <row r="1079" spans="10:13">
      <c r="J1079">
        <f>SMALL(SimData1000!$B$9:$B$1008,70)</f>
        <v>6.9094570057255805E-2</v>
      </c>
      <c r="K1079">
        <f>1/(COUNT(SimData1000!$B$9:$B$1008)-1)+$K$1078</f>
        <v>6.9069069069069025E-2</v>
      </c>
      <c r="L1079">
        <f>SMALL(SimData1000!$C$9:$C$1008,70)</f>
        <v>7.0603153805677721E-2</v>
      </c>
      <c r="M1079">
        <f>1/(COUNT(SimData1000!$C$9:$C$1008)-1)+$M$1078</f>
        <v>6.9069069069069025E-2</v>
      </c>
    </row>
    <row r="1080" spans="10:13">
      <c r="J1080">
        <f>SMALL(SimData1000!$B$9:$B$1008,71)</f>
        <v>7.0613509754793136E-2</v>
      </c>
      <c r="K1080">
        <f>1/(COUNT(SimData1000!$B$9:$B$1008)-1)+$K$1079</f>
        <v>7.0070070070070031E-2</v>
      </c>
      <c r="L1080">
        <f>SMALL(SimData1000!$C$9:$C$1008,71)</f>
        <v>7.3181685279450903E-2</v>
      </c>
      <c r="M1080">
        <f>1/(COUNT(SimData1000!$C$9:$C$1008)-1)+$M$1079</f>
        <v>7.0070070070070031E-2</v>
      </c>
    </row>
    <row r="1081" spans="10:13">
      <c r="J1081">
        <f>SMALL(SimData1000!$B$9:$B$1008,72)</f>
        <v>7.1137832935233097E-2</v>
      </c>
      <c r="K1081">
        <f>1/(COUNT(SimData1000!$B$9:$B$1008)-1)+$K$1080</f>
        <v>7.1071071071071037E-2</v>
      </c>
      <c r="L1081">
        <f>SMALL(SimData1000!$C$9:$C$1008,72)</f>
        <v>7.3585749507401488E-2</v>
      </c>
      <c r="M1081">
        <f>1/(COUNT(SimData1000!$C$9:$C$1008)-1)+$M$1080</f>
        <v>7.1071071071071037E-2</v>
      </c>
    </row>
    <row r="1082" spans="10:13">
      <c r="J1082">
        <f>SMALL(SimData1000!$B$9:$B$1008,73)</f>
        <v>7.2946094884524609E-2</v>
      </c>
      <c r="K1082">
        <f>1/(COUNT(SimData1000!$B$9:$B$1008)-1)+$K$1081</f>
        <v>7.2072072072072044E-2</v>
      </c>
      <c r="L1082">
        <f>SMALL(SimData1000!$C$9:$C$1008,73)</f>
        <v>7.4625878911319887E-2</v>
      </c>
      <c r="M1082">
        <f>1/(COUNT(SimData1000!$C$9:$C$1008)-1)+$M$1081</f>
        <v>7.2072072072072044E-2</v>
      </c>
    </row>
    <row r="1083" spans="10:13">
      <c r="J1083">
        <f>SMALL(SimData1000!$B$9:$B$1008,74)</f>
        <v>7.3312953893866606E-2</v>
      </c>
      <c r="K1083">
        <f>1/(COUNT(SimData1000!$B$9:$B$1008)-1)+$K$1082</f>
        <v>7.307307307307305E-2</v>
      </c>
      <c r="L1083">
        <f>SMALL(SimData1000!$C$9:$C$1008,74)</f>
        <v>7.5072056588396663E-2</v>
      </c>
      <c r="M1083">
        <f>1/(COUNT(SimData1000!$C$9:$C$1008)-1)+$M$1082</f>
        <v>7.307307307307305E-2</v>
      </c>
    </row>
    <row r="1084" spans="10:13">
      <c r="J1084">
        <f>SMALL(SimData1000!$B$9:$B$1008,75)</f>
        <v>7.4804644809291845E-2</v>
      </c>
      <c r="K1084">
        <f>1/(COUNT(SimData1000!$B$9:$B$1008)-1)+$K$1083</f>
        <v>7.4074074074074056E-2</v>
      </c>
      <c r="L1084">
        <f>SMALL(SimData1000!$C$9:$C$1008,75)</f>
        <v>7.5478787507563538E-2</v>
      </c>
      <c r="M1084">
        <f>1/(COUNT(SimData1000!$C$9:$C$1008)-1)+$M$1083</f>
        <v>7.4074074074074056E-2</v>
      </c>
    </row>
    <row r="1085" spans="10:13">
      <c r="J1085">
        <f>SMALL(SimData1000!$B$9:$B$1008,76)</f>
        <v>7.5780661881850245E-2</v>
      </c>
      <c r="K1085">
        <f>1/(COUNT(SimData1000!$B$9:$B$1008)-1)+$K$1084</f>
        <v>7.5075075075075062E-2</v>
      </c>
      <c r="L1085">
        <f>SMALL(SimData1000!$C$9:$C$1008,76)</f>
        <v>7.5908599094873352E-2</v>
      </c>
      <c r="M1085">
        <f>1/(COUNT(SimData1000!$C$9:$C$1008)-1)+$M$1084</f>
        <v>7.5075075075075062E-2</v>
      </c>
    </row>
    <row r="1086" spans="10:13">
      <c r="J1086">
        <f>SMALL(SimData1000!$B$9:$B$1008,77)</f>
        <v>7.6992667490149075E-2</v>
      </c>
      <c r="K1086">
        <f>1/(COUNT(SimData1000!$B$9:$B$1008)-1)+$K$1085</f>
        <v>7.6076076076076068E-2</v>
      </c>
      <c r="L1086">
        <f>SMALL(SimData1000!$C$9:$C$1008,77)</f>
        <v>7.5927759563455766E-2</v>
      </c>
      <c r="M1086">
        <f>1/(COUNT(SimData1000!$C$9:$C$1008)-1)+$M$1085</f>
        <v>7.6076076076076068E-2</v>
      </c>
    </row>
    <row r="1087" spans="10:13">
      <c r="J1087">
        <f>SMALL(SimData1000!$B$9:$B$1008,78)</f>
        <v>7.7387285899693903E-2</v>
      </c>
      <c r="K1087">
        <f>1/(COUNT(SimData1000!$B$9:$B$1008)-1)+$K$1086</f>
        <v>7.7077077077077075E-2</v>
      </c>
      <c r="L1087">
        <f>SMALL(SimData1000!$C$9:$C$1008,78)</f>
        <v>7.7126953827246325E-2</v>
      </c>
      <c r="M1087">
        <f>1/(COUNT(SimData1000!$C$9:$C$1008)-1)+$M$1086</f>
        <v>7.7077077077077075E-2</v>
      </c>
    </row>
    <row r="1088" spans="10:13">
      <c r="J1088">
        <f>SMALL(SimData1000!$B$9:$B$1008,79)</f>
        <v>7.8734843806534741E-2</v>
      </c>
      <c r="K1088">
        <f>1/(COUNT(SimData1000!$B$9:$B$1008)-1)+$K$1087</f>
        <v>7.8078078078078081E-2</v>
      </c>
      <c r="L1088">
        <f>SMALL(SimData1000!$C$9:$C$1008,79)</f>
        <v>7.8167716152165667E-2</v>
      </c>
      <c r="M1088">
        <f>1/(COUNT(SimData1000!$C$9:$C$1008)-1)+$M$1087</f>
        <v>7.8078078078078081E-2</v>
      </c>
    </row>
    <row r="1089" spans="10:13">
      <c r="J1089">
        <f>SMALL(SimData1000!$B$9:$B$1008,80)</f>
        <v>7.9986409213856413E-2</v>
      </c>
      <c r="K1089">
        <f>1/(COUNT(SimData1000!$B$9:$B$1008)-1)+$K$1088</f>
        <v>7.9079079079079087E-2</v>
      </c>
      <c r="L1089">
        <f>SMALL(SimData1000!$C$9:$C$1008,80)</f>
        <v>7.9111905313766329E-2</v>
      </c>
      <c r="M1089">
        <f>1/(COUNT(SimData1000!$C$9:$C$1008)-1)+$M$1088</f>
        <v>7.9079079079079087E-2</v>
      </c>
    </row>
    <row r="1090" spans="10:13">
      <c r="J1090">
        <f>SMALL(SimData1000!$B$9:$B$1008,81)</f>
        <v>8.06539937636475E-2</v>
      </c>
      <c r="K1090">
        <f>1/(COUNT(SimData1000!$B$9:$B$1008)-1)+$K$1089</f>
        <v>8.0080080080080093E-2</v>
      </c>
      <c r="L1090">
        <f>SMALL(SimData1000!$C$9:$C$1008,81)</f>
        <v>7.9114407742054027E-2</v>
      </c>
      <c r="M1090">
        <f>1/(COUNT(SimData1000!$C$9:$C$1008)-1)+$M$1089</f>
        <v>8.0080080080080093E-2</v>
      </c>
    </row>
    <row r="1091" spans="10:13">
      <c r="J1091">
        <f>SMALL(SimData1000!$B$9:$B$1008,82)</f>
        <v>8.1669555527313975E-2</v>
      </c>
      <c r="K1091">
        <f>1/(COUNT(SimData1000!$B$9:$B$1008)-1)+$K$1090</f>
        <v>8.1081081081081099E-2</v>
      </c>
      <c r="L1091">
        <f>SMALL(SimData1000!$C$9:$C$1008,82)</f>
        <v>8.0550030313133902E-2</v>
      </c>
      <c r="M1091">
        <f>1/(COUNT(SimData1000!$C$9:$C$1008)-1)+$M$1090</f>
        <v>8.1081081081081099E-2</v>
      </c>
    </row>
    <row r="1092" spans="10:13">
      <c r="J1092">
        <f>SMALL(SimData1000!$B$9:$B$1008,83)</f>
        <v>8.2126551448396992E-2</v>
      </c>
      <c r="K1092">
        <f>1/(COUNT(SimData1000!$B$9:$B$1008)-1)+$K$1091</f>
        <v>8.2082082082082106E-2</v>
      </c>
      <c r="L1092">
        <f>SMALL(SimData1000!$C$9:$C$1008,83)</f>
        <v>8.1371748452511383E-2</v>
      </c>
      <c r="M1092">
        <f>1/(COUNT(SimData1000!$C$9:$C$1008)-1)+$M$1091</f>
        <v>8.2082082082082106E-2</v>
      </c>
    </row>
    <row r="1093" spans="10:13">
      <c r="J1093">
        <f>SMALL(SimData1000!$B$9:$B$1008,84)</f>
        <v>8.3243669542307885E-2</v>
      </c>
      <c r="K1093">
        <f>1/(COUNT(SimData1000!$B$9:$B$1008)-1)+$K$1092</f>
        <v>8.3083083083083112E-2</v>
      </c>
      <c r="L1093">
        <f>SMALL(SimData1000!$C$9:$C$1008,84)</f>
        <v>8.2086765857638966E-2</v>
      </c>
      <c r="M1093">
        <f>1/(COUNT(SimData1000!$C$9:$C$1008)-1)+$M$1092</f>
        <v>8.3083083083083112E-2</v>
      </c>
    </row>
    <row r="1094" spans="10:13">
      <c r="J1094">
        <f>SMALL(SimData1000!$B$9:$B$1008,85)</f>
        <v>8.4823713855776875E-2</v>
      </c>
      <c r="K1094">
        <f>1/(COUNT(SimData1000!$B$9:$B$1008)-1)+$K$1093</f>
        <v>8.4084084084084118E-2</v>
      </c>
      <c r="L1094">
        <f>SMALL(SimData1000!$C$9:$C$1008,85)</f>
        <v>8.2411339530153782E-2</v>
      </c>
      <c r="M1094">
        <f>1/(COUNT(SimData1000!$C$9:$C$1008)-1)+$M$1093</f>
        <v>8.4084084084084118E-2</v>
      </c>
    </row>
    <row r="1095" spans="10:13">
      <c r="J1095">
        <f>SMALL(SimData1000!$B$9:$B$1008,86)</f>
        <v>8.5570035632832442E-2</v>
      </c>
      <c r="K1095">
        <f>1/(COUNT(SimData1000!$B$9:$B$1008)-1)+$K$1094</f>
        <v>8.5085085085085124E-2</v>
      </c>
      <c r="L1095">
        <f>SMALL(SimData1000!$C$9:$C$1008,86)</f>
        <v>8.4886834432836622E-2</v>
      </c>
      <c r="M1095">
        <f>1/(COUNT(SimData1000!$C$9:$C$1008)-1)+$M$1094</f>
        <v>8.5085085085085124E-2</v>
      </c>
    </row>
    <row r="1096" spans="10:13">
      <c r="J1096">
        <f>SMALL(SimData1000!$B$9:$B$1008,87)</f>
        <v>8.6592005300240582E-2</v>
      </c>
      <c r="K1096">
        <f>1/(COUNT(SimData1000!$B$9:$B$1008)-1)+$K$1095</f>
        <v>8.608608608608613E-2</v>
      </c>
      <c r="L1096">
        <f>SMALL(SimData1000!$C$9:$C$1008,87)</f>
        <v>8.5056970044206537E-2</v>
      </c>
      <c r="M1096">
        <f>1/(COUNT(SimData1000!$C$9:$C$1008)-1)+$M$1095</f>
        <v>8.608608608608613E-2</v>
      </c>
    </row>
    <row r="1097" spans="10:13">
      <c r="J1097">
        <f>SMALL(SimData1000!$B$9:$B$1008,88)</f>
        <v>8.792924507426314E-2</v>
      </c>
      <c r="K1097">
        <f>1/(COUNT(SimData1000!$B$9:$B$1008)-1)+$K$1096</f>
        <v>8.7087087087087137E-2</v>
      </c>
      <c r="L1097">
        <f>SMALL(SimData1000!$C$9:$C$1008,88)</f>
        <v>8.5208603014507389E-2</v>
      </c>
      <c r="M1097">
        <f>1/(COUNT(SimData1000!$C$9:$C$1008)-1)+$M$1096</f>
        <v>8.7087087087087137E-2</v>
      </c>
    </row>
    <row r="1098" spans="10:13">
      <c r="J1098">
        <f>SMALL(SimData1000!$B$9:$B$1008,89)</f>
        <v>8.8022139985585154E-2</v>
      </c>
      <c r="K1098">
        <f>1/(COUNT(SimData1000!$B$9:$B$1008)-1)+$K$1097</f>
        <v>8.8088088088088143E-2</v>
      </c>
      <c r="L1098">
        <f>SMALL(SimData1000!$C$9:$C$1008,89)</f>
        <v>8.637576969613292E-2</v>
      </c>
      <c r="M1098">
        <f>1/(COUNT(SimData1000!$C$9:$C$1008)-1)+$M$1097</f>
        <v>8.8088088088088143E-2</v>
      </c>
    </row>
    <row r="1099" spans="10:13">
      <c r="J1099">
        <f>SMALL(SimData1000!$B$9:$B$1008,90)</f>
        <v>8.9572290378755956E-2</v>
      </c>
      <c r="K1099">
        <f>1/(COUNT(SimData1000!$B$9:$B$1008)-1)+$K$1098</f>
        <v>8.9089089089089149E-2</v>
      </c>
      <c r="L1099">
        <f>SMALL(SimData1000!$C$9:$C$1008,90)</f>
        <v>8.6698461459519649E-2</v>
      </c>
      <c r="M1099">
        <f>1/(COUNT(SimData1000!$C$9:$C$1008)-1)+$M$1098</f>
        <v>8.9089089089089149E-2</v>
      </c>
    </row>
    <row r="1100" spans="10:13">
      <c r="J1100">
        <f>SMALL(SimData1000!$B$9:$B$1008,91)</f>
        <v>9.0040128835486274E-2</v>
      </c>
      <c r="K1100">
        <f>1/(COUNT(SimData1000!$B$9:$B$1008)-1)+$K$1099</f>
        <v>9.0090090090090155E-2</v>
      </c>
      <c r="L1100">
        <f>SMALL(SimData1000!$C$9:$C$1008,91)</f>
        <v>8.8533418977021938E-2</v>
      </c>
      <c r="M1100">
        <f>1/(COUNT(SimData1000!$C$9:$C$1008)-1)+$M$1099</f>
        <v>9.0090090090090155E-2</v>
      </c>
    </row>
    <row r="1101" spans="10:13">
      <c r="J1101">
        <f>SMALL(SimData1000!$B$9:$B$1008,92)</f>
        <v>9.1663323183465595E-2</v>
      </c>
      <c r="K1101">
        <f>1/(COUNT(SimData1000!$B$9:$B$1008)-1)+$K$1100</f>
        <v>9.1091091091091161E-2</v>
      </c>
      <c r="L1101">
        <f>SMALL(SimData1000!$C$9:$C$1008,92)</f>
        <v>8.9283092125697294E-2</v>
      </c>
      <c r="M1101">
        <f>1/(COUNT(SimData1000!$C$9:$C$1008)-1)+$M$1100</f>
        <v>9.1091091091091161E-2</v>
      </c>
    </row>
    <row r="1102" spans="10:13">
      <c r="J1102">
        <f>SMALL(SimData1000!$B$9:$B$1008,93)</f>
        <v>9.2568650954302556E-2</v>
      </c>
      <c r="K1102">
        <f>1/(COUNT(SimData1000!$B$9:$B$1008)-1)+$K$1101</f>
        <v>9.2092092092092168E-2</v>
      </c>
      <c r="L1102">
        <f>SMALL(SimData1000!$C$9:$C$1008,93)</f>
        <v>8.9510644369511283E-2</v>
      </c>
      <c r="M1102">
        <f>1/(COUNT(SimData1000!$C$9:$C$1008)-1)+$M$1101</f>
        <v>9.2092092092092168E-2</v>
      </c>
    </row>
    <row r="1103" spans="10:13">
      <c r="J1103">
        <f>SMALL(SimData1000!$B$9:$B$1008,94)</f>
        <v>9.3996374547480693E-2</v>
      </c>
      <c r="K1103">
        <f>1/(COUNT(SimData1000!$B$9:$B$1008)-1)+$K$1102</f>
        <v>9.3093093093093174E-2</v>
      </c>
      <c r="L1103">
        <f>SMALL(SimData1000!$C$9:$C$1008,94)</f>
        <v>8.9712644357859972E-2</v>
      </c>
      <c r="M1103">
        <f>1/(COUNT(SimData1000!$C$9:$C$1008)-1)+$M$1102</f>
        <v>9.3093093093093174E-2</v>
      </c>
    </row>
    <row r="1104" spans="10:13">
      <c r="J1104">
        <f>SMALL(SimData1000!$B$9:$B$1008,95)</f>
        <v>9.4459836924788501E-2</v>
      </c>
      <c r="K1104">
        <f>1/(COUNT(SimData1000!$B$9:$B$1008)-1)+$K$1103</f>
        <v>9.409409409409418E-2</v>
      </c>
      <c r="L1104">
        <f>SMALL(SimData1000!$C$9:$C$1008,95)</f>
        <v>9.1435151643963763E-2</v>
      </c>
      <c r="M1104">
        <f>1/(COUNT(SimData1000!$C$9:$C$1008)-1)+$M$1103</f>
        <v>9.409409409409418E-2</v>
      </c>
    </row>
    <row r="1105" spans="10:13">
      <c r="J1105">
        <f>SMALL(SimData1000!$B$9:$B$1008,96)</f>
        <v>9.5920157652329696E-2</v>
      </c>
      <c r="K1105">
        <f>1/(COUNT(SimData1000!$B$9:$B$1008)-1)+$K$1104</f>
        <v>9.5095095095095186E-2</v>
      </c>
      <c r="L1105">
        <f>SMALL(SimData1000!$C$9:$C$1008,96)</f>
        <v>9.2433231820905348E-2</v>
      </c>
      <c r="M1105">
        <f>1/(COUNT(SimData1000!$C$9:$C$1008)-1)+$M$1104</f>
        <v>9.5095095095095186E-2</v>
      </c>
    </row>
    <row r="1106" spans="10:13">
      <c r="J1106">
        <f>SMALL(SimData1000!$B$9:$B$1008,97)</f>
        <v>9.6992186852728993E-2</v>
      </c>
      <c r="K1106">
        <f>1/(COUNT(SimData1000!$B$9:$B$1008)-1)+$K$1105</f>
        <v>9.6096096096096192E-2</v>
      </c>
      <c r="L1106">
        <f>SMALL(SimData1000!$C$9:$C$1008,97)</f>
        <v>9.2446410824777558E-2</v>
      </c>
      <c r="M1106">
        <f>1/(COUNT(SimData1000!$C$9:$C$1008)-1)+$M$1105</f>
        <v>9.6096096096096192E-2</v>
      </c>
    </row>
    <row r="1107" spans="10:13">
      <c r="J1107">
        <f>SMALL(SimData1000!$B$9:$B$1008,98)</f>
        <v>9.7313273864405525E-2</v>
      </c>
      <c r="K1107">
        <f>1/(COUNT(SimData1000!$B$9:$B$1008)-1)+$K$1106</f>
        <v>9.7097097097097199E-2</v>
      </c>
      <c r="L1107">
        <f>SMALL(SimData1000!$C$9:$C$1008,98)</f>
        <v>9.2658725235196471E-2</v>
      </c>
      <c r="M1107">
        <f>1/(COUNT(SimData1000!$C$9:$C$1008)-1)+$M$1106</f>
        <v>9.7097097097097199E-2</v>
      </c>
    </row>
    <row r="1108" spans="10:13">
      <c r="J1108">
        <f>SMALL(SimData1000!$B$9:$B$1008,99)</f>
        <v>9.8686756204275125E-2</v>
      </c>
      <c r="K1108">
        <f>1/(COUNT(SimData1000!$B$9:$B$1008)-1)+$K$1107</f>
        <v>9.8098098098098205E-2</v>
      </c>
      <c r="L1108">
        <f>SMALL(SimData1000!$C$9:$C$1008,99)</f>
        <v>9.3678516965155723E-2</v>
      </c>
      <c r="M1108">
        <f>1/(COUNT(SimData1000!$C$9:$C$1008)-1)+$M$1107</f>
        <v>9.8098098098098205E-2</v>
      </c>
    </row>
    <row r="1109" spans="10:13">
      <c r="J1109">
        <f>SMALL(SimData1000!$B$9:$B$1008,100)</f>
        <v>9.9442490562201127E-2</v>
      </c>
      <c r="K1109">
        <f>1/(COUNT(SimData1000!$B$9:$B$1008)-1)+$K$1108</f>
        <v>9.9099099099099211E-2</v>
      </c>
      <c r="L1109">
        <f>SMALL(SimData1000!$C$9:$C$1008,100)</f>
        <v>9.3854593867945368E-2</v>
      </c>
      <c r="M1109">
        <f>1/(COUNT(SimData1000!$C$9:$C$1008)-1)+$M$1108</f>
        <v>9.9099099099099211E-2</v>
      </c>
    </row>
    <row r="1110" spans="10:13">
      <c r="J1110">
        <f>SMALL(SimData1000!$B$9:$B$1008,101)</f>
        <v>0.10040165039417373</v>
      </c>
      <c r="K1110">
        <f>1/(COUNT(SimData1000!$B$9:$B$1008)-1)+$K$1109</f>
        <v>0.10010010010010022</v>
      </c>
      <c r="L1110">
        <f>SMALL(SimData1000!$C$9:$C$1008,101)</f>
        <v>9.4993514558154857E-2</v>
      </c>
      <c r="M1110">
        <f>1/(COUNT(SimData1000!$C$9:$C$1008)-1)+$M$1109</f>
        <v>0.10010010010010022</v>
      </c>
    </row>
    <row r="1111" spans="10:13">
      <c r="J1111">
        <f>SMALL(SimData1000!$B$9:$B$1008,102)</f>
        <v>0.10192527664683883</v>
      </c>
      <c r="K1111">
        <f>1/(COUNT(SimData1000!$B$9:$B$1008)-1)+$K$1110</f>
        <v>0.10110110110110122</v>
      </c>
      <c r="L1111">
        <f>SMALL(SimData1000!$C$9:$C$1008,102)</f>
        <v>9.6180386862215528E-2</v>
      </c>
      <c r="M1111">
        <f>1/(COUNT(SimData1000!$C$9:$C$1008)-1)+$M$1110</f>
        <v>0.10110110110110122</v>
      </c>
    </row>
    <row r="1112" spans="10:13">
      <c r="J1112">
        <f>SMALL(SimData1000!$B$9:$B$1008,103)</f>
        <v>0.10252313328872507</v>
      </c>
      <c r="K1112">
        <f>1/(COUNT(SimData1000!$B$9:$B$1008)-1)+$K$1111</f>
        <v>0.10210210210210223</v>
      </c>
      <c r="L1112">
        <f>SMALL(SimData1000!$C$9:$C$1008,103)</f>
        <v>9.8295434565471851E-2</v>
      </c>
      <c r="M1112">
        <f>1/(COUNT(SimData1000!$C$9:$C$1008)-1)+$M$1111</f>
        <v>0.10210210210210223</v>
      </c>
    </row>
    <row r="1113" spans="10:13">
      <c r="J1113">
        <f>SMALL(SimData1000!$B$9:$B$1008,104)</f>
        <v>0.1033358567758314</v>
      </c>
      <c r="K1113">
        <f>1/(COUNT(SimData1000!$B$9:$B$1008)-1)+$K$1112</f>
        <v>0.10310310310310324</v>
      </c>
      <c r="L1113">
        <f>SMALL(SimData1000!$C$9:$C$1008,104)</f>
        <v>9.9767317274228162E-2</v>
      </c>
      <c r="M1113">
        <f>1/(COUNT(SimData1000!$C$9:$C$1008)-1)+$M$1112</f>
        <v>0.10310310310310324</v>
      </c>
    </row>
    <row r="1114" spans="10:13">
      <c r="J1114">
        <f>SMALL(SimData1000!$B$9:$B$1008,105)</f>
        <v>0.10446055257237995</v>
      </c>
      <c r="K1114">
        <f>1/(COUNT(SimData1000!$B$9:$B$1008)-1)+$K$1113</f>
        <v>0.10410410410410424</v>
      </c>
      <c r="L1114">
        <f>SMALL(SimData1000!$C$9:$C$1008,105)</f>
        <v>9.9984885983758431E-2</v>
      </c>
      <c r="M1114">
        <f>1/(COUNT(SimData1000!$C$9:$C$1008)-1)+$M$1113</f>
        <v>0.10410410410410424</v>
      </c>
    </row>
    <row r="1115" spans="10:13">
      <c r="J1115">
        <f>SMALL(SimData1000!$B$9:$B$1008,106)</f>
        <v>0.10548520234354894</v>
      </c>
      <c r="K1115">
        <f>1/(COUNT(SimData1000!$B$9:$B$1008)-1)+$K$1114</f>
        <v>0.10510510510510525</v>
      </c>
      <c r="L1115">
        <f>SMALL(SimData1000!$C$9:$C$1008,106)</f>
        <v>0.10066162333168904</v>
      </c>
      <c r="M1115">
        <f>1/(COUNT(SimData1000!$C$9:$C$1008)-1)+$M$1114</f>
        <v>0.10510510510510525</v>
      </c>
    </row>
    <row r="1116" spans="10:13">
      <c r="J1116">
        <f>SMALL(SimData1000!$B$9:$B$1008,107)</f>
        <v>0.10680307755242174</v>
      </c>
      <c r="K1116">
        <f>1/(COUNT(SimData1000!$B$9:$B$1008)-1)+$K$1115</f>
        <v>0.10610610610610625</v>
      </c>
      <c r="L1116">
        <f>SMALL(SimData1000!$C$9:$C$1008,107)</f>
        <v>0.10339972395286168</v>
      </c>
      <c r="M1116">
        <f>1/(COUNT(SimData1000!$C$9:$C$1008)-1)+$M$1115</f>
        <v>0.10610610610610625</v>
      </c>
    </row>
    <row r="1117" spans="10:13">
      <c r="J1117">
        <f>SMALL(SimData1000!$B$9:$B$1008,108)</f>
        <v>0.10729272359523287</v>
      </c>
      <c r="K1117">
        <f>1/(COUNT(SimData1000!$B$9:$B$1008)-1)+$K$1116</f>
        <v>0.10710710710710726</v>
      </c>
      <c r="L1117">
        <f>SMALL(SimData1000!$C$9:$C$1008,108)</f>
        <v>0.10361097731038171</v>
      </c>
      <c r="M1117">
        <f>1/(COUNT(SimData1000!$C$9:$C$1008)-1)+$M$1116</f>
        <v>0.10710710710710726</v>
      </c>
    </row>
    <row r="1118" spans="10:13">
      <c r="J1118">
        <f>SMALL(SimData1000!$B$9:$B$1008,109)</f>
        <v>0.10808815595765787</v>
      </c>
      <c r="K1118">
        <f>1/(COUNT(SimData1000!$B$9:$B$1008)-1)+$K$1117</f>
        <v>0.10810810810810827</v>
      </c>
      <c r="L1118">
        <f>SMALL(SimData1000!$C$9:$C$1008,109)</f>
        <v>0.10462125325648231</v>
      </c>
      <c r="M1118">
        <f>1/(COUNT(SimData1000!$C$9:$C$1008)-1)+$M$1117</f>
        <v>0.10810810810810827</v>
      </c>
    </row>
    <row r="1119" spans="10:13">
      <c r="J1119">
        <f>SMALL(SimData1000!$B$9:$B$1008,110)</f>
        <v>0.10902486409899426</v>
      </c>
      <c r="K1119">
        <f>1/(COUNT(SimData1000!$B$9:$B$1008)-1)+$K$1118</f>
        <v>0.10910910910910927</v>
      </c>
      <c r="L1119">
        <f>SMALL(SimData1000!$C$9:$C$1008,110)</f>
        <v>0.10690202704608964</v>
      </c>
      <c r="M1119">
        <f>1/(COUNT(SimData1000!$C$9:$C$1008)-1)+$M$1118</f>
        <v>0.10910910910910927</v>
      </c>
    </row>
    <row r="1120" spans="10:13">
      <c r="J1120">
        <f>SMALL(SimData1000!$B$9:$B$1008,111)</f>
        <v>0.11005549769547197</v>
      </c>
      <c r="K1120">
        <f>1/(COUNT(SimData1000!$B$9:$B$1008)-1)+$K$1119</f>
        <v>0.11011011011011028</v>
      </c>
      <c r="L1120">
        <f>SMALL(SimData1000!$C$9:$C$1008,111)</f>
        <v>0.11204560420446796</v>
      </c>
      <c r="M1120">
        <f>1/(COUNT(SimData1000!$C$9:$C$1008)-1)+$M$1119</f>
        <v>0.11011011011011028</v>
      </c>
    </row>
    <row r="1121" spans="10:13">
      <c r="J1121">
        <f>SMALL(SimData1000!$B$9:$B$1008,112)</f>
        <v>0.11158859897209067</v>
      </c>
      <c r="K1121">
        <f>1/(COUNT(SimData1000!$B$9:$B$1008)-1)+$K$1120</f>
        <v>0.11111111111111129</v>
      </c>
      <c r="L1121">
        <f>SMALL(SimData1000!$C$9:$C$1008,112)</f>
        <v>0.1142468187636041</v>
      </c>
      <c r="M1121">
        <f>1/(COUNT(SimData1000!$C$9:$C$1008)-1)+$M$1120</f>
        <v>0.11111111111111129</v>
      </c>
    </row>
    <row r="1122" spans="10:13">
      <c r="J1122">
        <f>SMALL(SimData1000!$B$9:$B$1008,113)</f>
        <v>0.11273290526045787</v>
      </c>
      <c r="K1122">
        <f>1/(COUNT(SimData1000!$B$9:$B$1008)-1)+$K$1121</f>
        <v>0.11211211211211229</v>
      </c>
      <c r="L1122">
        <f>SMALL(SimData1000!$C$9:$C$1008,113)</f>
        <v>0.11520144727546722</v>
      </c>
      <c r="M1122">
        <f>1/(COUNT(SimData1000!$C$9:$C$1008)-1)+$M$1121</f>
        <v>0.11211211211211229</v>
      </c>
    </row>
    <row r="1123" spans="10:13">
      <c r="J1123">
        <f>SMALL(SimData1000!$B$9:$B$1008,114)</f>
        <v>0.11387705432294799</v>
      </c>
      <c r="K1123">
        <f>1/(COUNT(SimData1000!$B$9:$B$1008)-1)+$K$1122</f>
        <v>0.1131131131131133</v>
      </c>
      <c r="L1123">
        <f>SMALL(SimData1000!$C$9:$C$1008,114)</f>
        <v>0.11545731188653008</v>
      </c>
      <c r="M1123">
        <f>1/(COUNT(SimData1000!$C$9:$C$1008)-1)+$M$1122</f>
        <v>0.1131131131131133</v>
      </c>
    </row>
    <row r="1124" spans="10:13">
      <c r="J1124">
        <f>SMALL(SimData1000!$B$9:$B$1008,115)</f>
        <v>0.11481481050160128</v>
      </c>
      <c r="K1124">
        <f>1/(COUNT(SimData1000!$B$9:$B$1008)-1)+$K$1123</f>
        <v>0.1141141141141143</v>
      </c>
      <c r="L1124">
        <f>SMALL(SimData1000!$C$9:$C$1008,115)</f>
        <v>0.11589875245772419</v>
      </c>
      <c r="M1124">
        <f>1/(COUNT(SimData1000!$C$9:$C$1008)-1)+$M$1123</f>
        <v>0.1141141141141143</v>
      </c>
    </row>
    <row r="1125" spans="10:13">
      <c r="J1125">
        <f>SMALL(SimData1000!$B$9:$B$1008,116)</f>
        <v>0.11575128277548385</v>
      </c>
      <c r="K1125">
        <f>1/(COUNT(SimData1000!$B$9:$B$1008)-1)+$K$1124</f>
        <v>0.11511511511511531</v>
      </c>
      <c r="L1125">
        <f>SMALL(SimData1000!$C$9:$C$1008,116)</f>
        <v>0.11632891845329141</v>
      </c>
      <c r="M1125">
        <f>1/(COUNT(SimData1000!$C$9:$C$1008)-1)+$M$1124</f>
        <v>0.11511511511511531</v>
      </c>
    </row>
    <row r="1126" spans="10:13">
      <c r="J1126">
        <f>SMALL(SimData1000!$B$9:$B$1008,117)</f>
        <v>0.11696995143242413</v>
      </c>
      <c r="K1126">
        <f>1/(COUNT(SimData1000!$B$9:$B$1008)-1)+$K$1125</f>
        <v>0.11611611611611632</v>
      </c>
      <c r="L1126">
        <f>SMALL(SimData1000!$C$9:$C$1008,117)</f>
        <v>0.1177161209834594</v>
      </c>
      <c r="M1126">
        <f>1/(COUNT(SimData1000!$C$9:$C$1008)-1)+$M$1125</f>
        <v>0.11611611611611632</v>
      </c>
    </row>
    <row r="1127" spans="10:13">
      <c r="J1127">
        <f>SMALL(SimData1000!$B$9:$B$1008,118)</f>
        <v>0.11727707453357919</v>
      </c>
      <c r="K1127">
        <f>1/(COUNT(SimData1000!$B$9:$B$1008)-1)+$K$1126</f>
        <v>0.11711711711711732</v>
      </c>
      <c r="L1127">
        <f>SMALL(SimData1000!$C$9:$C$1008,118)</f>
        <v>0.11794379117691278</v>
      </c>
      <c r="M1127">
        <f>1/(COUNT(SimData1000!$C$9:$C$1008)-1)+$M$1126</f>
        <v>0.11711711711711732</v>
      </c>
    </row>
    <row r="1128" spans="10:13">
      <c r="J1128">
        <f>SMALL(SimData1000!$B$9:$B$1008,119)</f>
        <v>0.11839767318484319</v>
      </c>
      <c r="K1128">
        <f>1/(COUNT(SimData1000!$B$9:$B$1008)-1)+$K$1127</f>
        <v>0.11811811811811833</v>
      </c>
      <c r="L1128">
        <f>SMALL(SimData1000!$C$9:$C$1008,119)</f>
        <v>0.11857215411964717</v>
      </c>
      <c r="M1128">
        <f>1/(COUNT(SimData1000!$C$9:$C$1008)-1)+$M$1127</f>
        <v>0.11811811811811833</v>
      </c>
    </row>
    <row r="1129" spans="10:13">
      <c r="J1129">
        <f>SMALL(SimData1000!$B$9:$B$1008,120)</f>
        <v>0.11925708490313429</v>
      </c>
      <c r="K1129">
        <f>1/(COUNT(SimData1000!$B$9:$B$1008)-1)+$K$1128</f>
        <v>0.11911911911911933</v>
      </c>
      <c r="L1129">
        <f>SMALL(SimData1000!$C$9:$C$1008,120)</f>
        <v>0.11858161232157727</v>
      </c>
      <c r="M1129">
        <f>1/(COUNT(SimData1000!$C$9:$C$1008)-1)+$M$1128</f>
        <v>0.11911911911911933</v>
      </c>
    </row>
    <row r="1130" spans="10:13">
      <c r="J1130">
        <f>SMALL(SimData1000!$B$9:$B$1008,121)</f>
        <v>0.12026472034777158</v>
      </c>
      <c r="K1130">
        <f>1/(COUNT(SimData1000!$B$9:$B$1008)-1)+$K$1129</f>
        <v>0.12012012012012034</v>
      </c>
      <c r="L1130">
        <f>SMALL(SimData1000!$C$9:$C$1008,121)</f>
        <v>0.12095238563779276</v>
      </c>
      <c r="M1130">
        <f>1/(COUNT(SimData1000!$C$9:$C$1008)-1)+$M$1129</f>
        <v>0.12012012012012034</v>
      </c>
    </row>
    <row r="1131" spans="10:13">
      <c r="J1131">
        <f>SMALL(SimData1000!$B$9:$B$1008,122)</f>
        <v>0.12121760008954853</v>
      </c>
      <c r="K1131">
        <f>1/(COUNT(SimData1000!$B$9:$B$1008)-1)+$K$1130</f>
        <v>0.12112112112112135</v>
      </c>
      <c r="L1131">
        <f>SMALL(SimData1000!$C$9:$C$1008,122)</f>
        <v>0.12119521447357329</v>
      </c>
      <c r="M1131">
        <f>1/(COUNT(SimData1000!$C$9:$C$1008)-1)+$M$1130</f>
        <v>0.12112112112112135</v>
      </c>
    </row>
    <row r="1132" spans="10:13">
      <c r="J1132">
        <f>SMALL(SimData1000!$B$9:$B$1008,123)</f>
        <v>0.12273327774594847</v>
      </c>
      <c r="K1132">
        <f>1/(COUNT(SimData1000!$B$9:$B$1008)-1)+$K$1131</f>
        <v>0.12212212212212235</v>
      </c>
      <c r="L1132">
        <f>SMALL(SimData1000!$C$9:$C$1008,123)</f>
        <v>0.12154684669985727</v>
      </c>
      <c r="M1132">
        <f>1/(COUNT(SimData1000!$C$9:$C$1008)-1)+$M$1131</f>
        <v>0.12212212212212235</v>
      </c>
    </row>
    <row r="1133" spans="10:13">
      <c r="J1133">
        <f>SMALL(SimData1000!$B$9:$B$1008,124)</f>
        <v>0.12331552147569963</v>
      </c>
      <c r="K1133">
        <f>1/(COUNT(SimData1000!$B$9:$B$1008)-1)+$K$1132</f>
        <v>0.12312312312312336</v>
      </c>
      <c r="L1133">
        <f>SMALL(SimData1000!$C$9:$C$1008,124)</f>
        <v>0.1220198289011023</v>
      </c>
      <c r="M1133">
        <f>1/(COUNT(SimData1000!$C$9:$C$1008)-1)+$M$1132</f>
        <v>0.12312312312312336</v>
      </c>
    </row>
    <row r="1134" spans="10:13">
      <c r="J1134">
        <f>SMALL(SimData1000!$B$9:$B$1008,125)</f>
        <v>0.12433428631660862</v>
      </c>
      <c r="K1134">
        <f>1/(COUNT(SimData1000!$B$9:$B$1008)-1)+$K$1133</f>
        <v>0.12412412412412437</v>
      </c>
      <c r="L1134">
        <f>SMALL(SimData1000!$C$9:$C$1008,125)</f>
        <v>0.12235107513242838</v>
      </c>
      <c r="M1134">
        <f>1/(COUNT(SimData1000!$C$9:$C$1008)-1)+$M$1133</f>
        <v>0.12412412412412437</v>
      </c>
    </row>
    <row r="1135" spans="10:13">
      <c r="J1135">
        <f>SMALL(SimData1000!$B$9:$B$1008,126)</f>
        <v>0.12510809156440852</v>
      </c>
      <c r="K1135">
        <f>1/(COUNT(SimData1000!$B$9:$B$1008)-1)+$K$1134</f>
        <v>0.12512512512512536</v>
      </c>
      <c r="L1135">
        <f>SMALL(SimData1000!$C$9:$C$1008,126)</f>
        <v>0.12246310320279008</v>
      </c>
      <c r="M1135">
        <f>1/(COUNT(SimData1000!$C$9:$C$1008)-1)+$M$1134</f>
        <v>0.12512512512512536</v>
      </c>
    </row>
    <row r="1136" spans="10:13">
      <c r="J1136">
        <f>SMALL(SimData1000!$B$9:$B$1008,127)</f>
        <v>0.12673797497286879</v>
      </c>
      <c r="K1136">
        <f>1/(COUNT(SimData1000!$B$9:$B$1008)-1)+$K$1135</f>
        <v>0.12612612612612636</v>
      </c>
      <c r="L1136">
        <f>SMALL(SimData1000!$C$9:$C$1008,127)</f>
        <v>0.12295190836994152</v>
      </c>
      <c r="M1136">
        <f>1/(COUNT(SimData1000!$C$9:$C$1008)-1)+$M$1135</f>
        <v>0.12612612612612636</v>
      </c>
    </row>
    <row r="1137" spans="10:13">
      <c r="J1137">
        <f>SMALL(SimData1000!$B$9:$B$1008,128)</f>
        <v>0.12772590332611602</v>
      </c>
      <c r="K1137">
        <f>1/(COUNT(SimData1000!$B$9:$B$1008)-1)+$K$1136</f>
        <v>0.12712712712712737</v>
      </c>
      <c r="L1137">
        <f>SMALL(SimData1000!$C$9:$C$1008,128)</f>
        <v>0.12378173367505951</v>
      </c>
      <c r="M1137">
        <f>1/(COUNT(SimData1000!$C$9:$C$1008)-1)+$M$1136</f>
        <v>0.12712712712712737</v>
      </c>
    </row>
    <row r="1138" spans="10:13">
      <c r="J1138">
        <f>SMALL(SimData1000!$B$9:$B$1008,129)</f>
        <v>0.12876450670435199</v>
      </c>
      <c r="K1138">
        <f>1/(COUNT(SimData1000!$B$9:$B$1008)-1)+$K$1137</f>
        <v>0.12812812812812838</v>
      </c>
      <c r="L1138">
        <f>SMALL(SimData1000!$C$9:$C$1008,129)</f>
        <v>0.12566497757234174</v>
      </c>
      <c r="M1138">
        <f>1/(COUNT(SimData1000!$C$9:$C$1008)-1)+$M$1137</f>
        <v>0.12812812812812838</v>
      </c>
    </row>
    <row r="1139" spans="10:13">
      <c r="J1139">
        <f>SMALL(SimData1000!$B$9:$B$1008,130)</f>
        <v>0.12969857974296869</v>
      </c>
      <c r="K1139">
        <f>1/(COUNT(SimData1000!$B$9:$B$1008)-1)+$K$1138</f>
        <v>0.12912912912912938</v>
      </c>
      <c r="L1139">
        <f>SMALL(SimData1000!$C$9:$C$1008,130)</f>
        <v>0.12581602437876427</v>
      </c>
      <c r="M1139">
        <f>1/(COUNT(SimData1000!$C$9:$C$1008)-1)+$M$1138</f>
        <v>0.12912912912912938</v>
      </c>
    </row>
    <row r="1140" spans="10:13">
      <c r="J1140">
        <f>SMALL(SimData1000!$B$9:$B$1008,131)</f>
        <v>0.13075194317166505</v>
      </c>
      <c r="K1140">
        <f>1/(COUNT(SimData1000!$B$9:$B$1008)-1)+$K$1139</f>
        <v>0.13013013013013039</v>
      </c>
      <c r="L1140">
        <f>SMALL(SimData1000!$C$9:$C$1008,131)</f>
        <v>0.12641923727190374</v>
      </c>
      <c r="M1140">
        <f>1/(COUNT(SimData1000!$C$9:$C$1008)-1)+$M$1139</f>
        <v>0.13013013013013039</v>
      </c>
    </row>
    <row r="1141" spans="10:13">
      <c r="J1141">
        <f>SMALL(SimData1000!$B$9:$B$1008,132)</f>
        <v>0.13158739759949675</v>
      </c>
      <c r="K1141">
        <f>1/(COUNT(SimData1000!$B$9:$B$1008)-1)+$K$1140</f>
        <v>0.1311311311311314</v>
      </c>
      <c r="L1141">
        <f>SMALL(SimData1000!$C$9:$C$1008,132)</f>
        <v>0.12701995021143375</v>
      </c>
      <c r="M1141">
        <f>1/(COUNT(SimData1000!$C$9:$C$1008)-1)+$M$1140</f>
        <v>0.1311311311311314</v>
      </c>
    </row>
    <row r="1142" spans="10:13">
      <c r="J1142">
        <f>SMALL(SimData1000!$B$9:$B$1008,133)</f>
        <v>0.13242980617946709</v>
      </c>
      <c r="K1142">
        <f>1/(COUNT(SimData1000!$B$9:$B$1008)-1)+$K$1141</f>
        <v>0.1321321321321324</v>
      </c>
      <c r="L1142">
        <f>SMALL(SimData1000!$C$9:$C$1008,133)</f>
        <v>0.12774671748491073</v>
      </c>
      <c r="M1142">
        <f>1/(COUNT(SimData1000!$C$9:$C$1008)-1)+$M$1141</f>
        <v>0.1321321321321324</v>
      </c>
    </row>
    <row r="1143" spans="10:13">
      <c r="J1143">
        <f>SMALL(SimData1000!$B$9:$B$1008,134)</f>
        <v>0.13317417967882339</v>
      </c>
      <c r="K1143">
        <f>1/(COUNT(SimData1000!$B$9:$B$1008)-1)+$K$1142</f>
        <v>0.13313313313313341</v>
      </c>
      <c r="L1143">
        <f>SMALL(SimData1000!$C$9:$C$1008,134)</f>
        <v>0.12796282010276627</v>
      </c>
      <c r="M1143">
        <f>1/(COUNT(SimData1000!$C$9:$C$1008)-1)+$M$1142</f>
        <v>0.13313313313313341</v>
      </c>
    </row>
    <row r="1144" spans="10:13">
      <c r="J1144">
        <f>SMALL(SimData1000!$B$9:$B$1008,135)</f>
        <v>0.13419960453016674</v>
      </c>
      <c r="K1144">
        <f>1/(COUNT(SimData1000!$B$9:$B$1008)-1)+$K$1143</f>
        <v>0.13413413413413441</v>
      </c>
      <c r="L1144">
        <f>SMALL(SimData1000!$C$9:$C$1008,135)</f>
        <v>0.12812633943212859</v>
      </c>
      <c r="M1144">
        <f>1/(COUNT(SimData1000!$C$9:$C$1008)-1)+$M$1143</f>
        <v>0.13413413413413441</v>
      </c>
    </row>
    <row r="1145" spans="10:13">
      <c r="J1145">
        <f>SMALL(SimData1000!$B$9:$B$1008,136)</f>
        <v>0.13547435413987244</v>
      </c>
      <c r="K1145">
        <f>1/(COUNT(SimData1000!$B$9:$B$1008)-1)+$K$1144</f>
        <v>0.13513513513513542</v>
      </c>
      <c r="L1145">
        <f>SMALL(SimData1000!$C$9:$C$1008,136)</f>
        <v>0.12864359425748262</v>
      </c>
      <c r="M1145">
        <f>1/(COUNT(SimData1000!$C$9:$C$1008)-1)+$M$1144</f>
        <v>0.13513513513513542</v>
      </c>
    </row>
    <row r="1146" spans="10:13">
      <c r="J1146">
        <f>SMALL(SimData1000!$B$9:$B$1008,137)</f>
        <v>0.13654434921791411</v>
      </c>
      <c r="K1146">
        <f>1/(COUNT(SimData1000!$B$9:$B$1008)-1)+$K$1145</f>
        <v>0.13613613613613643</v>
      </c>
      <c r="L1146">
        <f>SMALL(SimData1000!$C$9:$C$1008,137)</f>
        <v>0.1305280697552007</v>
      </c>
      <c r="M1146">
        <f>1/(COUNT(SimData1000!$C$9:$C$1008)-1)+$M$1145</f>
        <v>0.13613613613613643</v>
      </c>
    </row>
    <row r="1147" spans="10:13">
      <c r="J1147">
        <f>SMALL(SimData1000!$B$9:$B$1008,138)</f>
        <v>0.13747312247647744</v>
      </c>
      <c r="K1147">
        <f>1/(COUNT(SimData1000!$B$9:$B$1008)-1)+$K$1146</f>
        <v>0.13713713713713743</v>
      </c>
      <c r="L1147">
        <f>SMALL(SimData1000!$C$9:$C$1008,138)</f>
        <v>0.13086145589295484</v>
      </c>
      <c r="M1147">
        <f>1/(COUNT(SimData1000!$C$9:$C$1008)-1)+$M$1146</f>
        <v>0.13713713713713743</v>
      </c>
    </row>
    <row r="1148" spans="10:13">
      <c r="J1148">
        <f>SMALL(SimData1000!$B$9:$B$1008,139)</f>
        <v>0.13872237726690304</v>
      </c>
      <c r="K1148">
        <f>1/(COUNT(SimData1000!$B$9:$B$1008)-1)+$K$1147</f>
        <v>0.13813813813813844</v>
      </c>
      <c r="L1148">
        <f>SMALL(SimData1000!$C$9:$C$1008,139)</f>
        <v>0.13176310583003215</v>
      </c>
      <c r="M1148">
        <f>1/(COUNT(SimData1000!$C$9:$C$1008)-1)+$M$1147</f>
        <v>0.13813813813813844</v>
      </c>
    </row>
    <row r="1149" spans="10:13">
      <c r="J1149">
        <f>SMALL(SimData1000!$B$9:$B$1008,140)</f>
        <v>0.13975095706613525</v>
      </c>
      <c r="K1149">
        <f>1/(COUNT(SimData1000!$B$9:$B$1008)-1)+$K$1148</f>
        <v>0.13913913913913944</v>
      </c>
      <c r="L1149">
        <f>SMALL(SimData1000!$C$9:$C$1008,140)</f>
        <v>0.13317093108616973</v>
      </c>
      <c r="M1149">
        <f>1/(COUNT(SimData1000!$C$9:$C$1008)-1)+$M$1148</f>
        <v>0.13913913913913944</v>
      </c>
    </row>
    <row r="1150" spans="10:13">
      <c r="J1150">
        <f>SMALL(SimData1000!$B$9:$B$1008,141)</f>
        <v>0.14035478293205489</v>
      </c>
      <c r="K1150">
        <f>1/(COUNT(SimData1000!$B$9:$B$1008)-1)+$K$1149</f>
        <v>0.14014014014014045</v>
      </c>
      <c r="L1150">
        <f>SMALL(SimData1000!$C$9:$C$1008,141)</f>
        <v>0.13468638914946496</v>
      </c>
      <c r="M1150">
        <f>1/(COUNT(SimData1000!$C$9:$C$1008)-1)+$M$1149</f>
        <v>0.14014014014014045</v>
      </c>
    </row>
    <row r="1151" spans="10:13">
      <c r="J1151">
        <f>SMALL(SimData1000!$B$9:$B$1008,142)</f>
        <v>0.14113313972603836</v>
      </c>
      <c r="K1151">
        <f>1/(COUNT(SimData1000!$B$9:$B$1008)-1)+$K$1150</f>
        <v>0.14114114114114146</v>
      </c>
      <c r="L1151">
        <f>SMALL(SimData1000!$C$9:$C$1008,142)</f>
        <v>0.13477070219325071</v>
      </c>
      <c r="M1151">
        <f>1/(COUNT(SimData1000!$C$9:$C$1008)-1)+$M$1150</f>
        <v>0.14114114114114146</v>
      </c>
    </row>
    <row r="1152" spans="10:13">
      <c r="J1152">
        <f>SMALL(SimData1000!$B$9:$B$1008,143)</f>
        <v>0.14217783437137907</v>
      </c>
      <c r="K1152">
        <f>1/(COUNT(SimData1000!$B$9:$B$1008)-1)+$K$1151</f>
        <v>0.14214214214214246</v>
      </c>
      <c r="L1152">
        <f>SMALL(SimData1000!$C$9:$C$1008,143)</f>
        <v>0.13477509571839619</v>
      </c>
      <c r="M1152">
        <f>1/(COUNT(SimData1000!$C$9:$C$1008)-1)+$M$1151</f>
        <v>0.14214214214214246</v>
      </c>
    </row>
    <row r="1153" spans="10:13">
      <c r="J1153">
        <f>SMALL(SimData1000!$B$9:$B$1008,144)</f>
        <v>0.14332966398804675</v>
      </c>
      <c r="K1153">
        <f>1/(COUNT(SimData1000!$B$9:$B$1008)-1)+$K$1152</f>
        <v>0.14314314314314347</v>
      </c>
      <c r="L1153">
        <f>SMALL(SimData1000!$C$9:$C$1008,144)</f>
        <v>0.13739435827028501</v>
      </c>
      <c r="M1153">
        <f>1/(COUNT(SimData1000!$C$9:$C$1008)-1)+$M$1152</f>
        <v>0.14314314314314347</v>
      </c>
    </row>
    <row r="1154" spans="10:13">
      <c r="J1154">
        <f>SMALL(SimData1000!$B$9:$B$1008,145)</f>
        <v>0.14473210295516348</v>
      </c>
      <c r="K1154">
        <f>1/(COUNT(SimData1000!$B$9:$B$1008)-1)+$K$1153</f>
        <v>0.14414414414414448</v>
      </c>
      <c r="L1154">
        <f>SMALL(SimData1000!$C$9:$C$1008,145)</f>
        <v>0.13749611074217682</v>
      </c>
      <c r="M1154">
        <f>1/(COUNT(SimData1000!$C$9:$C$1008)-1)+$M$1153</f>
        <v>0.14414414414414448</v>
      </c>
    </row>
    <row r="1155" spans="10:13">
      <c r="J1155">
        <f>SMALL(SimData1000!$B$9:$B$1008,146)</f>
        <v>0.14560247403071319</v>
      </c>
      <c r="K1155">
        <f>1/(COUNT(SimData1000!$B$9:$B$1008)-1)+$K$1154</f>
        <v>0.14514514514514548</v>
      </c>
      <c r="L1155">
        <f>SMALL(SimData1000!$C$9:$C$1008,146)</f>
        <v>0.13873947016418242</v>
      </c>
      <c r="M1155">
        <f>1/(COUNT(SimData1000!$C$9:$C$1008)-1)+$M$1154</f>
        <v>0.14514514514514548</v>
      </c>
    </row>
    <row r="1156" spans="10:13">
      <c r="J1156">
        <f>SMALL(SimData1000!$B$9:$B$1008,147)</f>
        <v>0.14612173169272061</v>
      </c>
      <c r="K1156">
        <f>1/(COUNT(SimData1000!$B$9:$B$1008)-1)+$K$1155</f>
        <v>0.14614614614614649</v>
      </c>
      <c r="L1156">
        <f>SMALL(SimData1000!$C$9:$C$1008,147)</f>
        <v>0.13979048666442395</v>
      </c>
      <c r="M1156">
        <f>1/(COUNT(SimData1000!$C$9:$C$1008)-1)+$M$1155</f>
        <v>0.14614614614614649</v>
      </c>
    </row>
    <row r="1157" spans="10:13">
      <c r="J1157">
        <f>SMALL(SimData1000!$B$9:$B$1008,148)</f>
        <v>0.14725526042358372</v>
      </c>
      <c r="K1157">
        <f>1/(COUNT(SimData1000!$B$9:$B$1008)-1)+$K$1156</f>
        <v>0.14714714714714749</v>
      </c>
      <c r="L1157">
        <f>SMALL(SimData1000!$C$9:$C$1008,148)</f>
        <v>0.13993456459866138</v>
      </c>
      <c r="M1157">
        <f>1/(COUNT(SimData1000!$C$9:$C$1008)-1)+$M$1156</f>
        <v>0.14714714714714749</v>
      </c>
    </row>
    <row r="1158" spans="10:13">
      <c r="J1158">
        <f>SMALL(SimData1000!$B$9:$B$1008,149)</f>
        <v>0.14886593225339101</v>
      </c>
      <c r="K1158">
        <f>1/(COUNT(SimData1000!$B$9:$B$1008)-1)+$K$1157</f>
        <v>0.1481481481481485</v>
      </c>
      <c r="L1158">
        <f>SMALL(SimData1000!$C$9:$C$1008,149)</f>
        <v>0.14005904176883632</v>
      </c>
      <c r="M1158">
        <f>1/(COUNT(SimData1000!$C$9:$C$1008)-1)+$M$1157</f>
        <v>0.1481481481481485</v>
      </c>
    </row>
    <row r="1159" spans="10:13">
      <c r="J1159">
        <f>SMALL(SimData1000!$B$9:$B$1008,150)</f>
        <v>0.14980544433971063</v>
      </c>
      <c r="K1159">
        <f>1/(COUNT(SimData1000!$B$9:$B$1008)-1)+$K$1158</f>
        <v>0.14914914914914951</v>
      </c>
      <c r="L1159">
        <f>SMALL(SimData1000!$C$9:$C$1008,150)</f>
        <v>0.14031399861414684</v>
      </c>
      <c r="M1159">
        <f>1/(COUNT(SimData1000!$C$9:$C$1008)-1)+$M$1158</f>
        <v>0.14914914914914951</v>
      </c>
    </row>
    <row r="1160" spans="10:13">
      <c r="J1160">
        <f>SMALL(SimData1000!$B$9:$B$1008,151)</f>
        <v>0.15043583182302206</v>
      </c>
      <c r="K1160">
        <f>1/(COUNT(SimData1000!$B$9:$B$1008)-1)+$K$1159</f>
        <v>0.15015015015015051</v>
      </c>
      <c r="L1160">
        <f>SMALL(SimData1000!$C$9:$C$1008,151)</f>
        <v>0.14224409577673214</v>
      </c>
      <c r="M1160">
        <f>1/(COUNT(SimData1000!$C$9:$C$1008)-1)+$M$1159</f>
        <v>0.15015015015015051</v>
      </c>
    </row>
    <row r="1161" spans="10:13">
      <c r="J1161">
        <f>SMALL(SimData1000!$B$9:$B$1008,152)</f>
        <v>0.15116745451748545</v>
      </c>
      <c r="K1161">
        <f>1/(COUNT(SimData1000!$B$9:$B$1008)-1)+$K$1160</f>
        <v>0.15115115115115152</v>
      </c>
      <c r="L1161">
        <f>SMALL(SimData1000!$C$9:$C$1008,152)</f>
        <v>0.14240312412766798</v>
      </c>
      <c r="M1161">
        <f>1/(COUNT(SimData1000!$C$9:$C$1008)-1)+$M$1160</f>
        <v>0.15115115115115152</v>
      </c>
    </row>
    <row r="1162" spans="10:13">
      <c r="J1162">
        <f>SMALL(SimData1000!$B$9:$B$1008,153)</f>
        <v>0.15276230615022646</v>
      </c>
      <c r="K1162">
        <f>1/(COUNT(SimData1000!$B$9:$B$1008)-1)+$K$1161</f>
        <v>0.15215215215215253</v>
      </c>
      <c r="L1162">
        <f>SMALL(SimData1000!$C$9:$C$1008,153)</f>
        <v>0.14253625710534834</v>
      </c>
      <c r="M1162">
        <f>1/(COUNT(SimData1000!$C$9:$C$1008)-1)+$M$1161</f>
        <v>0.15215215215215253</v>
      </c>
    </row>
    <row r="1163" spans="10:13">
      <c r="J1163">
        <f>SMALL(SimData1000!$B$9:$B$1008,154)</f>
        <v>0.15322411830449106</v>
      </c>
      <c r="K1163">
        <f>1/(COUNT(SimData1000!$B$9:$B$1008)-1)+$K$1162</f>
        <v>0.15315315315315353</v>
      </c>
      <c r="L1163">
        <f>SMALL(SimData1000!$C$9:$C$1008,154)</f>
        <v>0.14257018552325462</v>
      </c>
      <c r="M1163">
        <f>1/(COUNT(SimData1000!$C$9:$C$1008)-1)+$M$1162</f>
        <v>0.15315315315315353</v>
      </c>
    </row>
    <row r="1164" spans="10:13">
      <c r="J1164">
        <f>SMALL(SimData1000!$B$9:$B$1008,155)</f>
        <v>0.1540393585497605</v>
      </c>
      <c r="K1164">
        <f>1/(COUNT(SimData1000!$B$9:$B$1008)-1)+$K$1163</f>
        <v>0.15415415415415454</v>
      </c>
      <c r="L1164">
        <f>SMALL(SimData1000!$C$9:$C$1008,155)</f>
        <v>0.14296546031619073</v>
      </c>
      <c r="M1164">
        <f>1/(COUNT(SimData1000!$C$9:$C$1008)-1)+$M$1163</f>
        <v>0.15415415415415454</v>
      </c>
    </row>
    <row r="1165" spans="10:13">
      <c r="J1165">
        <f>SMALL(SimData1000!$B$9:$B$1008,156)</f>
        <v>0.15568405296529739</v>
      </c>
      <c r="K1165">
        <f>1/(COUNT(SimData1000!$B$9:$B$1008)-1)+$K$1164</f>
        <v>0.15515515515515554</v>
      </c>
      <c r="L1165">
        <f>SMALL(SimData1000!$C$9:$C$1008,156)</f>
        <v>0.14414175132696982</v>
      </c>
      <c r="M1165">
        <f>1/(COUNT(SimData1000!$C$9:$C$1008)-1)+$M$1164</f>
        <v>0.15515515515515554</v>
      </c>
    </row>
    <row r="1166" spans="10:13">
      <c r="J1166">
        <f>SMALL(SimData1000!$B$9:$B$1008,157)</f>
        <v>0.15615695194763993</v>
      </c>
      <c r="K1166">
        <f>1/(COUNT(SimData1000!$B$9:$B$1008)-1)+$K$1165</f>
        <v>0.15615615615615655</v>
      </c>
      <c r="L1166">
        <f>SMALL(SimData1000!$C$9:$C$1008,157)</f>
        <v>0.14420157507720432</v>
      </c>
      <c r="M1166">
        <f>1/(COUNT(SimData1000!$C$9:$C$1008)-1)+$M$1165</f>
        <v>0.15615615615615655</v>
      </c>
    </row>
    <row r="1167" spans="10:13">
      <c r="J1167">
        <f>SMALL(SimData1000!$B$9:$B$1008,158)</f>
        <v>0.1573960591015397</v>
      </c>
      <c r="K1167">
        <f>1/(COUNT(SimData1000!$B$9:$B$1008)-1)+$K$1166</f>
        <v>0.15715715715715756</v>
      </c>
      <c r="L1167">
        <f>SMALL(SimData1000!$C$9:$C$1008,158)</f>
        <v>0.14806320895149838</v>
      </c>
      <c r="M1167">
        <f>1/(COUNT(SimData1000!$C$9:$C$1008)-1)+$M$1166</f>
        <v>0.15715715715715756</v>
      </c>
    </row>
    <row r="1168" spans="10:13">
      <c r="J1168">
        <f>SMALL(SimData1000!$B$9:$B$1008,159)</f>
        <v>0.15862746921685231</v>
      </c>
      <c r="K1168">
        <f>1/(COUNT(SimData1000!$B$9:$B$1008)-1)+$K$1167</f>
        <v>0.15815815815815856</v>
      </c>
      <c r="L1168">
        <f>SMALL(SimData1000!$C$9:$C$1008,159)</f>
        <v>0.14829745900078706</v>
      </c>
      <c r="M1168">
        <f>1/(COUNT(SimData1000!$C$9:$C$1008)-1)+$M$1167</f>
        <v>0.15815815815815856</v>
      </c>
    </row>
    <row r="1169" spans="10:13">
      <c r="J1169">
        <f>SMALL(SimData1000!$B$9:$B$1008,160)</f>
        <v>0.15966488336740642</v>
      </c>
      <c r="K1169">
        <f>1/(COUNT(SimData1000!$B$9:$B$1008)-1)+$K$1168</f>
        <v>0.15915915915915957</v>
      </c>
      <c r="L1169">
        <f>SMALL(SimData1000!$C$9:$C$1008,160)</f>
        <v>0.14866608178726892</v>
      </c>
      <c r="M1169">
        <f>1/(COUNT(SimData1000!$C$9:$C$1008)-1)+$M$1168</f>
        <v>0.15915915915915957</v>
      </c>
    </row>
    <row r="1170" spans="10:13">
      <c r="J1170">
        <f>SMALL(SimData1000!$B$9:$B$1008,161)</f>
        <v>0.16012259759430833</v>
      </c>
      <c r="K1170">
        <f>1/(COUNT(SimData1000!$B$9:$B$1008)-1)+$K$1169</f>
        <v>0.16016016016016058</v>
      </c>
      <c r="L1170">
        <f>SMALL(SimData1000!$C$9:$C$1008,161)</f>
        <v>0.14875065864816861</v>
      </c>
      <c r="M1170">
        <f>1/(COUNT(SimData1000!$C$9:$C$1008)-1)+$M$1169</f>
        <v>0.16016016016016058</v>
      </c>
    </row>
    <row r="1171" spans="10:13">
      <c r="J1171">
        <f>SMALL(SimData1000!$B$9:$B$1008,162)</f>
        <v>0.16126061361335697</v>
      </c>
      <c r="K1171">
        <f>1/(COUNT(SimData1000!$B$9:$B$1008)-1)+$K$1170</f>
        <v>0.16116116116116158</v>
      </c>
      <c r="L1171">
        <f>SMALL(SimData1000!$C$9:$C$1008,162)</f>
        <v>0.14932944509200752</v>
      </c>
      <c r="M1171">
        <f>1/(COUNT(SimData1000!$C$9:$C$1008)-1)+$M$1170</f>
        <v>0.16116116116116158</v>
      </c>
    </row>
    <row r="1172" spans="10:13">
      <c r="J1172">
        <f>SMALL(SimData1000!$B$9:$B$1008,163)</f>
        <v>0.16285428558100346</v>
      </c>
      <c r="K1172">
        <f>1/(COUNT(SimData1000!$B$9:$B$1008)-1)+$K$1171</f>
        <v>0.16216216216216259</v>
      </c>
      <c r="L1172">
        <f>SMALL(SimData1000!$C$9:$C$1008,163)</f>
        <v>0.15052026236753591</v>
      </c>
      <c r="M1172">
        <f>1/(COUNT(SimData1000!$C$9:$C$1008)-1)+$M$1171</f>
        <v>0.16216216216216259</v>
      </c>
    </row>
    <row r="1173" spans="10:13">
      <c r="J1173">
        <f>SMALL(SimData1000!$B$9:$B$1008,164)</f>
        <v>0.16312355638368137</v>
      </c>
      <c r="K1173">
        <f>1/(COUNT(SimData1000!$B$9:$B$1008)-1)+$K$1172</f>
        <v>0.16316316316316359</v>
      </c>
      <c r="L1173">
        <f>SMALL(SimData1000!$C$9:$C$1008,164)</f>
        <v>0.15122806285216939</v>
      </c>
      <c r="M1173">
        <f>1/(COUNT(SimData1000!$C$9:$C$1008)-1)+$M$1172</f>
        <v>0.16316316316316359</v>
      </c>
    </row>
    <row r="1174" spans="10:13">
      <c r="J1174">
        <f>SMALL(SimData1000!$B$9:$B$1008,165)</f>
        <v>0.16405769272452633</v>
      </c>
      <c r="K1174">
        <f>1/(COUNT(SimData1000!$B$9:$B$1008)-1)+$K$1173</f>
        <v>0.1641641641641646</v>
      </c>
      <c r="L1174">
        <f>SMALL(SimData1000!$C$9:$C$1008,165)</f>
        <v>0.1539916617448398</v>
      </c>
      <c r="M1174">
        <f>1/(COUNT(SimData1000!$C$9:$C$1008)-1)+$M$1173</f>
        <v>0.1641641641641646</v>
      </c>
    </row>
    <row r="1175" spans="10:13">
      <c r="J1175">
        <f>SMALL(SimData1000!$B$9:$B$1008,166)</f>
        <v>0.16515211267190802</v>
      </c>
      <c r="K1175">
        <f>1/(COUNT(SimData1000!$B$9:$B$1008)-1)+$K$1174</f>
        <v>0.16516516516516561</v>
      </c>
      <c r="L1175">
        <f>SMALL(SimData1000!$C$9:$C$1008,166)</f>
        <v>0.1550285696193896</v>
      </c>
      <c r="M1175">
        <f>1/(COUNT(SimData1000!$C$9:$C$1008)-1)+$M$1174</f>
        <v>0.16516516516516561</v>
      </c>
    </row>
    <row r="1176" spans="10:13">
      <c r="J1176">
        <f>SMALL(SimData1000!$B$9:$B$1008,167)</f>
        <v>0.16697978323255194</v>
      </c>
      <c r="K1176">
        <f>1/(COUNT(SimData1000!$B$9:$B$1008)-1)+$K$1175</f>
        <v>0.16616616616616661</v>
      </c>
      <c r="L1176">
        <f>SMALL(SimData1000!$C$9:$C$1008,167)</f>
        <v>0.15525843317300314</v>
      </c>
      <c r="M1176">
        <f>1/(COUNT(SimData1000!$C$9:$C$1008)-1)+$M$1175</f>
        <v>0.16616616616616661</v>
      </c>
    </row>
    <row r="1177" spans="10:13">
      <c r="J1177">
        <f>SMALL(SimData1000!$B$9:$B$1008,168)</f>
        <v>0.16793337620793222</v>
      </c>
      <c r="K1177">
        <f>1/(COUNT(SimData1000!$B$9:$B$1008)-1)+$K$1176</f>
        <v>0.16716716716716762</v>
      </c>
      <c r="L1177">
        <f>SMALL(SimData1000!$C$9:$C$1008,168)</f>
        <v>0.15576672203951603</v>
      </c>
      <c r="M1177">
        <f>1/(COUNT(SimData1000!$C$9:$C$1008)-1)+$M$1176</f>
        <v>0.16716716716716762</v>
      </c>
    </row>
    <row r="1178" spans="10:13">
      <c r="J1178">
        <f>SMALL(SimData1000!$B$9:$B$1008,169)</f>
        <v>0.16888465273843256</v>
      </c>
      <c r="K1178">
        <f>1/(COUNT(SimData1000!$B$9:$B$1008)-1)+$K$1177</f>
        <v>0.16816816816816862</v>
      </c>
      <c r="L1178">
        <f>SMALL(SimData1000!$C$9:$C$1008,169)</f>
        <v>0.15588621823098947</v>
      </c>
      <c r="M1178">
        <f>1/(COUNT(SimData1000!$C$9:$C$1008)-1)+$M$1177</f>
        <v>0.16816816816816862</v>
      </c>
    </row>
    <row r="1179" spans="10:13">
      <c r="J1179">
        <f>SMALL(SimData1000!$B$9:$B$1008,170)</f>
        <v>0.16954125815595994</v>
      </c>
      <c r="K1179">
        <f>1/(COUNT(SimData1000!$B$9:$B$1008)-1)+$K$1178</f>
        <v>0.16916916916916963</v>
      </c>
      <c r="L1179">
        <f>SMALL(SimData1000!$C$9:$C$1008,170)</f>
        <v>0.16287136202299735</v>
      </c>
      <c r="M1179">
        <f>1/(COUNT(SimData1000!$C$9:$C$1008)-1)+$M$1178</f>
        <v>0.16916916916916963</v>
      </c>
    </row>
    <row r="1180" spans="10:13">
      <c r="J1180">
        <f>SMALL(SimData1000!$B$9:$B$1008,171)</f>
        <v>0.17017610585484097</v>
      </c>
      <c r="K1180">
        <f>1/(COUNT(SimData1000!$B$9:$B$1008)-1)+$K$1179</f>
        <v>0.17017017017017064</v>
      </c>
      <c r="L1180">
        <f>SMALL(SimData1000!$C$9:$C$1008,171)</f>
        <v>0.16665519943762774</v>
      </c>
      <c r="M1180">
        <f>1/(COUNT(SimData1000!$C$9:$C$1008)-1)+$M$1179</f>
        <v>0.17017017017017064</v>
      </c>
    </row>
    <row r="1181" spans="10:13">
      <c r="J1181">
        <f>SMALL(SimData1000!$B$9:$B$1008,172)</f>
        <v>0.17121532529900207</v>
      </c>
      <c r="K1181">
        <f>1/(COUNT(SimData1000!$B$9:$B$1008)-1)+$K$1180</f>
        <v>0.17117117117117164</v>
      </c>
      <c r="L1181">
        <f>SMALL(SimData1000!$C$9:$C$1008,172)</f>
        <v>0.167092307623534</v>
      </c>
      <c r="M1181">
        <f>1/(COUNT(SimData1000!$C$9:$C$1008)-1)+$M$1180</f>
        <v>0.17117117117117164</v>
      </c>
    </row>
    <row r="1182" spans="10:13">
      <c r="J1182">
        <f>SMALL(SimData1000!$B$9:$B$1008,173)</f>
        <v>0.17210188994023529</v>
      </c>
      <c r="K1182">
        <f>1/(COUNT(SimData1000!$B$9:$B$1008)-1)+$K$1181</f>
        <v>0.17217217217217265</v>
      </c>
      <c r="L1182">
        <f>SMALL(SimData1000!$C$9:$C$1008,173)</f>
        <v>0.16792007715048385</v>
      </c>
      <c r="M1182">
        <f>1/(COUNT(SimData1000!$C$9:$C$1008)-1)+$M$1181</f>
        <v>0.17217217217217265</v>
      </c>
    </row>
    <row r="1183" spans="10:13">
      <c r="J1183">
        <f>SMALL(SimData1000!$B$9:$B$1008,174)</f>
        <v>0.17303196710046195</v>
      </c>
      <c r="K1183">
        <f>1/(COUNT(SimData1000!$B$9:$B$1008)-1)+$K$1182</f>
        <v>0.17317317317317366</v>
      </c>
      <c r="L1183">
        <f>SMALL(SimData1000!$C$9:$C$1008,174)</f>
        <v>0.17116357205577515</v>
      </c>
      <c r="M1183">
        <f>1/(COUNT(SimData1000!$C$9:$C$1008)-1)+$M$1182</f>
        <v>0.17317317317317366</v>
      </c>
    </row>
    <row r="1184" spans="10:13">
      <c r="J1184">
        <f>SMALL(SimData1000!$B$9:$B$1008,175)</f>
        <v>0.17463868577560379</v>
      </c>
      <c r="K1184">
        <f>1/(COUNT(SimData1000!$B$9:$B$1008)-1)+$K$1183</f>
        <v>0.17417417417417466</v>
      </c>
      <c r="L1184">
        <f>SMALL(SimData1000!$C$9:$C$1008,175)</f>
        <v>0.1718246622785955</v>
      </c>
      <c r="M1184">
        <f>1/(COUNT(SimData1000!$C$9:$C$1008)-1)+$M$1183</f>
        <v>0.17417417417417466</v>
      </c>
    </row>
    <row r="1185" spans="10:13">
      <c r="J1185">
        <f>SMALL(SimData1000!$B$9:$B$1008,176)</f>
        <v>0.17547775410778768</v>
      </c>
      <c r="K1185">
        <f>1/(COUNT(SimData1000!$B$9:$B$1008)-1)+$K$1184</f>
        <v>0.17517517517517567</v>
      </c>
      <c r="L1185">
        <f>SMALL(SimData1000!$C$9:$C$1008,176)</f>
        <v>0.17184062359501695</v>
      </c>
      <c r="M1185">
        <f>1/(COUNT(SimData1000!$C$9:$C$1008)-1)+$M$1184</f>
        <v>0.17517517517517567</v>
      </c>
    </row>
    <row r="1186" spans="10:13">
      <c r="J1186">
        <f>SMALL(SimData1000!$B$9:$B$1008,177)</f>
        <v>0.1766938287354293</v>
      </c>
      <c r="K1186">
        <f>1/(COUNT(SimData1000!$B$9:$B$1008)-1)+$K$1185</f>
        <v>0.17617617617617667</v>
      </c>
      <c r="L1186">
        <f>SMALL(SimData1000!$C$9:$C$1008,177)</f>
        <v>0.17214207994811659</v>
      </c>
      <c r="M1186">
        <f>1/(COUNT(SimData1000!$C$9:$C$1008)-1)+$M$1185</f>
        <v>0.17617617617617667</v>
      </c>
    </row>
    <row r="1187" spans="10:13">
      <c r="J1187">
        <f>SMALL(SimData1000!$B$9:$B$1008,178)</f>
        <v>0.17726661920344144</v>
      </c>
      <c r="K1187">
        <f>1/(COUNT(SimData1000!$B$9:$B$1008)-1)+$K$1186</f>
        <v>0.17717717717717768</v>
      </c>
      <c r="L1187">
        <f>SMALL(SimData1000!$C$9:$C$1008,178)</f>
        <v>0.17234301243661321</v>
      </c>
      <c r="M1187">
        <f>1/(COUNT(SimData1000!$C$9:$C$1008)-1)+$M$1186</f>
        <v>0.17717717717717768</v>
      </c>
    </row>
    <row r="1188" spans="10:13">
      <c r="J1188">
        <f>SMALL(SimData1000!$B$9:$B$1008,179)</f>
        <v>0.17839542224663202</v>
      </c>
      <c r="K1188">
        <f>1/(COUNT(SimData1000!$B$9:$B$1008)-1)+$K$1187</f>
        <v>0.17817817817817869</v>
      </c>
      <c r="L1188">
        <f>SMALL(SimData1000!$C$9:$C$1008,179)</f>
        <v>0.17330018997745356</v>
      </c>
      <c r="M1188">
        <f>1/(COUNT(SimData1000!$C$9:$C$1008)-1)+$M$1187</f>
        <v>0.17817817817817869</v>
      </c>
    </row>
    <row r="1189" spans="10:13">
      <c r="J1189">
        <f>SMALL(SimData1000!$B$9:$B$1008,180)</f>
        <v>0.17925153783318856</v>
      </c>
      <c r="K1189">
        <f>1/(COUNT(SimData1000!$B$9:$B$1008)-1)+$K$1188</f>
        <v>0.17917917917917969</v>
      </c>
      <c r="L1189">
        <f>SMALL(SimData1000!$C$9:$C$1008,180)</f>
        <v>0.17331556407498283</v>
      </c>
      <c r="M1189">
        <f>1/(COUNT(SimData1000!$C$9:$C$1008)-1)+$M$1188</f>
        <v>0.17917917917917969</v>
      </c>
    </row>
    <row r="1190" spans="10:13">
      <c r="J1190">
        <f>SMALL(SimData1000!$B$9:$B$1008,181)</f>
        <v>0.1800220383785251</v>
      </c>
      <c r="K1190">
        <f>1/(COUNT(SimData1000!$B$9:$B$1008)-1)+$K$1189</f>
        <v>0.1801801801801807</v>
      </c>
      <c r="L1190">
        <f>SMALL(SimData1000!$C$9:$C$1008,181)</f>
        <v>0.17455968860485882</v>
      </c>
      <c r="M1190">
        <f>1/(COUNT(SimData1000!$C$9:$C$1008)-1)+$M$1189</f>
        <v>0.1801801801801807</v>
      </c>
    </row>
    <row r="1191" spans="10:13">
      <c r="J1191">
        <f>SMALL(SimData1000!$B$9:$B$1008,182)</f>
        <v>0.18121357157226037</v>
      </c>
      <c r="K1191">
        <f>1/(COUNT(SimData1000!$B$9:$B$1008)-1)+$K$1190</f>
        <v>0.18118118118118171</v>
      </c>
      <c r="L1191">
        <f>SMALL(SimData1000!$C$9:$C$1008,182)</f>
        <v>0.17772801541468652</v>
      </c>
      <c r="M1191">
        <f>1/(COUNT(SimData1000!$C$9:$C$1008)-1)+$M$1190</f>
        <v>0.18118118118118171</v>
      </c>
    </row>
    <row r="1192" spans="10:13">
      <c r="J1192">
        <f>SMALL(SimData1000!$B$9:$B$1008,183)</f>
        <v>0.18278677702527185</v>
      </c>
      <c r="K1192">
        <f>1/(COUNT(SimData1000!$B$9:$B$1008)-1)+$K$1191</f>
        <v>0.18218218218218271</v>
      </c>
      <c r="L1192">
        <f>SMALL(SimData1000!$C$9:$C$1008,183)</f>
        <v>0.17959841013271216</v>
      </c>
      <c r="M1192">
        <f>1/(COUNT(SimData1000!$C$9:$C$1008)-1)+$M$1191</f>
        <v>0.18218218218218271</v>
      </c>
    </row>
    <row r="1193" spans="10:13">
      <c r="J1193">
        <f>SMALL(SimData1000!$B$9:$B$1008,184)</f>
        <v>0.18308545714036689</v>
      </c>
      <c r="K1193">
        <f>1/(COUNT(SimData1000!$B$9:$B$1008)-1)+$K$1192</f>
        <v>0.18318318318318372</v>
      </c>
      <c r="L1193">
        <f>SMALL(SimData1000!$C$9:$C$1008,184)</f>
        <v>0.1796294254336317</v>
      </c>
      <c r="M1193">
        <f>1/(COUNT(SimData1000!$C$9:$C$1008)-1)+$M$1192</f>
        <v>0.18318318318318372</v>
      </c>
    </row>
    <row r="1194" spans="10:13">
      <c r="J1194">
        <f>SMALL(SimData1000!$B$9:$B$1008,185)</f>
        <v>0.18416995109738082</v>
      </c>
      <c r="K1194">
        <f>1/(COUNT(SimData1000!$B$9:$B$1008)-1)+$K$1193</f>
        <v>0.18418418418418472</v>
      </c>
      <c r="L1194">
        <f>SMALL(SimData1000!$C$9:$C$1008,185)</f>
        <v>0.18194433067310456</v>
      </c>
      <c r="M1194">
        <f>1/(COUNT(SimData1000!$C$9:$C$1008)-1)+$M$1193</f>
        <v>0.18418418418418472</v>
      </c>
    </row>
    <row r="1195" spans="10:13">
      <c r="J1195">
        <f>SMALL(SimData1000!$B$9:$B$1008,186)</f>
        <v>0.18519427331262134</v>
      </c>
      <c r="K1195">
        <f>1/(COUNT(SimData1000!$B$9:$B$1008)-1)+$K$1194</f>
        <v>0.18518518518518573</v>
      </c>
      <c r="L1195">
        <f>SMALL(SimData1000!$C$9:$C$1008,186)</f>
        <v>0.1823722428707697</v>
      </c>
      <c r="M1195">
        <f>1/(COUNT(SimData1000!$C$9:$C$1008)-1)+$M$1194</f>
        <v>0.18518518518518573</v>
      </c>
    </row>
    <row r="1196" spans="10:13">
      <c r="J1196">
        <f>SMALL(SimData1000!$B$9:$B$1008,187)</f>
        <v>0.18630439739658136</v>
      </c>
      <c r="K1196">
        <f>1/(COUNT(SimData1000!$B$9:$B$1008)-1)+$K$1195</f>
        <v>0.18618618618618674</v>
      </c>
      <c r="L1196">
        <f>SMALL(SimData1000!$C$9:$C$1008,187)</f>
        <v>0.18264573962915165</v>
      </c>
      <c r="M1196">
        <f>1/(COUNT(SimData1000!$C$9:$C$1008)-1)+$M$1195</f>
        <v>0.18618618618618674</v>
      </c>
    </row>
    <row r="1197" spans="10:13">
      <c r="J1197">
        <f>SMALL(SimData1000!$B$9:$B$1008,188)</f>
        <v>0.187964032968265</v>
      </c>
      <c r="K1197">
        <f>1/(COUNT(SimData1000!$B$9:$B$1008)-1)+$K$1196</f>
        <v>0.18718718718718774</v>
      </c>
      <c r="L1197">
        <f>SMALL(SimData1000!$C$9:$C$1008,188)</f>
        <v>0.18268209954388226</v>
      </c>
      <c r="M1197">
        <f>1/(COUNT(SimData1000!$C$9:$C$1008)-1)+$M$1196</f>
        <v>0.18718718718718774</v>
      </c>
    </row>
    <row r="1198" spans="10:13">
      <c r="J1198">
        <f>SMALL(SimData1000!$B$9:$B$1008,189)</f>
        <v>0.18806717777393459</v>
      </c>
      <c r="K1198">
        <f>1/(COUNT(SimData1000!$B$9:$B$1008)-1)+$K$1197</f>
        <v>0.18818818818818875</v>
      </c>
      <c r="L1198">
        <f>SMALL(SimData1000!$C$9:$C$1008,189)</f>
        <v>0.1828568440860181</v>
      </c>
      <c r="M1198">
        <f>1/(COUNT(SimData1000!$C$9:$C$1008)-1)+$M$1197</f>
        <v>0.18818818818818875</v>
      </c>
    </row>
    <row r="1199" spans="10:13">
      <c r="J1199">
        <f>SMALL(SimData1000!$B$9:$B$1008,190)</f>
        <v>0.18930494857470154</v>
      </c>
      <c r="K1199">
        <f>1/(COUNT(SimData1000!$B$9:$B$1008)-1)+$K$1198</f>
        <v>0.18918918918918975</v>
      </c>
      <c r="L1199">
        <f>SMALL(SimData1000!$C$9:$C$1008,190)</f>
        <v>0.18304104221078887</v>
      </c>
      <c r="M1199">
        <f>1/(COUNT(SimData1000!$C$9:$C$1008)-1)+$M$1198</f>
        <v>0.18918918918918975</v>
      </c>
    </row>
    <row r="1200" spans="10:13">
      <c r="J1200">
        <f>SMALL(SimData1000!$B$9:$B$1008,191)</f>
        <v>0.19021322392747114</v>
      </c>
      <c r="K1200">
        <f>1/(COUNT(SimData1000!$B$9:$B$1008)-1)+$K$1199</f>
        <v>0.19019019019019076</v>
      </c>
      <c r="L1200">
        <f>SMALL(SimData1000!$C$9:$C$1008,191)</f>
        <v>0.18389494629991532</v>
      </c>
      <c r="M1200">
        <f>1/(COUNT(SimData1000!$C$9:$C$1008)-1)+$M$1199</f>
        <v>0.19019019019019076</v>
      </c>
    </row>
    <row r="1201" spans="10:13">
      <c r="J1201">
        <f>SMALL(SimData1000!$B$9:$B$1008,192)</f>
        <v>0.19184211995891345</v>
      </c>
      <c r="K1201">
        <f>1/(COUNT(SimData1000!$B$9:$B$1008)-1)+$K$1200</f>
        <v>0.19119119119119177</v>
      </c>
      <c r="L1201">
        <f>SMALL(SimData1000!$C$9:$C$1008,192)</f>
        <v>0.18559310525870387</v>
      </c>
      <c r="M1201">
        <f>1/(COUNT(SimData1000!$C$9:$C$1008)-1)+$M$1200</f>
        <v>0.19119119119119177</v>
      </c>
    </row>
    <row r="1202" spans="10:13">
      <c r="J1202">
        <f>SMALL(SimData1000!$B$9:$B$1008,193)</f>
        <v>0.19241820339262911</v>
      </c>
      <c r="K1202">
        <f>1/(COUNT(SimData1000!$B$9:$B$1008)-1)+$K$1201</f>
        <v>0.19219219219219277</v>
      </c>
      <c r="L1202">
        <f>SMALL(SimData1000!$C$9:$C$1008,193)</f>
        <v>0.18824948865221813</v>
      </c>
      <c r="M1202">
        <f>1/(COUNT(SimData1000!$C$9:$C$1008)-1)+$M$1201</f>
        <v>0.19219219219219277</v>
      </c>
    </row>
    <row r="1203" spans="10:13">
      <c r="J1203">
        <f>SMALL(SimData1000!$B$9:$B$1008,194)</f>
        <v>0.19394884442490265</v>
      </c>
      <c r="K1203">
        <f>1/(COUNT(SimData1000!$B$9:$B$1008)-1)+$K$1202</f>
        <v>0.19319319319319378</v>
      </c>
      <c r="L1203">
        <f>SMALL(SimData1000!$C$9:$C$1008,194)</f>
        <v>0.18927491119302431</v>
      </c>
      <c r="M1203">
        <f>1/(COUNT(SimData1000!$C$9:$C$1008)-1)+$M$1202</f>
        <v>0.19319319319319378</v>
      </c>
    </row>
    <row r="1204" spans="10:13">
      <c r="J1204">
        <f>SMALL(SimData1000!$B$9:$B$1008,195)</f>
        <v>0.19466749196445277</v>
      </c>
      <c r="K1204">
        <f>1/(COUNT(SimData1000!$B$9:$B$1008)-1)+$K$1203</f>
        <v>0.19419419419419479</v>
      </c>
      <c r="L1204">
        <f>SMALL(SimData1000!$C$9:$C$1008,195)</f>
        <v>0.18980447274407197</v>
      </c>
      <c r="M1204">
        <f>1/(COUNT(SimData1000!$C$9:$C$1008)-1)+$M$1203</f>
        <v>0.19419419419419479</v>
      </c>
    </row>
    <row r="1205" spans="10:13">
      <c r="J1205">
        <f>SMALL(SimData1000!$B$9:$B$1008,196)</f>
        <v>0.19599422029428981</v>
      </c>
      <c r="K1205">
        <f>1/(COUNT(SimData1000!$B$9:$B$1008)-1)+$K$1204</f>
        <v>0.19519519519519579</v>
      </c>
      <c r="L1205">
        <f>SMALL(SimData1000!$C$9:$C$1008,196)</f>
        <v>0.19121212681147881</v>
      </c>
      <c r="M1205">
        <f>1/(COUNT(SimData1000!$C$9:$C$1008)-1)+$M$1204</f>
        <v>0.19519519519519579</v>
      </c>
    </row>
    <row r="1206" spans="10:13">
      <c r="J1206">
        <f>SMALL(SimData1000!$B$9:$B$1008,197)</f>
        <v>0.19650536049052733</v>
      </c>
      <c r="K1206">
        <f>1/(COUNT(SimData1000!$B$9:$B$1008)-1)+$K$1205</f>
        <v>0.1961961961961968</v>
      </c>
      <c r="L1206">
        <f>SMALL(SimData1000!$C$9:$C$1008,197)</f>
        <v>0.19337644457846181</v>
      </c>
      <c r="M1206">
        <f>1/(COUNT(SimData1000!$C$9:$C$1008)-1)+$M$1205</f>
        <v>0.1961961961961968</v>
      </c>
    </row>
    <row r="1207" spans="10:13">
      <c r="J1207">
        <f>SMALL(SimData1000!$B$9:$B$1008,198)</f>
        <v>0.19785107781268915</v>
      </c>
      <c r="K1207">
        <f>1/(COUNT(SimData1000!$B$9:$B$1008)-1)+$K$1206</f>
        <v>0.1971971971971978</v>
      </c>
      <c r="L1207">
        <f>SMALL(SimData1000!$C$9:$C$1008,198)</f>
        <v>0.19592009082771256</v>
      </c>
      <c r="M1207">
        <f>1/(COUNT(SimData1000!$C$9:$C$1008)-1)+$M$1206</f>
        <v>0.1971971971971978</v>
      </c>
    </row>
    <row r="1208" spans="10:13">
      <c r="J1208">
        <f>SMALL(SimData1000!$B$9:$B$1008,199)</f>
        <v>0.19892273145237069</v>
      </c>
      <c r="K1208">
        <f>1/(COUNT(SimData1000!$B$9:$B$1008)-1)+$K$1207</f>
        <v>0.19819819819819881</v>
      </c>
      <c r="L1208">
        <f>SMALL(SimData1000!$C$9:$C$1008,199)</f>
        <v>0.19665817864279234</v>
      </c>
      <c r="M1208">
        <f>1/(COUNT(SimData1000!$C$9:$C$1008)-1)+$M$1207</f>
        <v>0.19819819819819881</v>
      </c>
    </row>
    <row r="1209" spans="10:13">
      <c r="J1209">
        <f>SMALL(SimData1000!$B$9:$B$1008,200)</f>
        <v>0.19963620706243354</v>
      </c>
      <c r="K1209">
        <f>1/(COUNT(SimData1000!$B$9:$B$1008)-1)+$K$1208</f>
        <v>0.19919919919919982</v>
      </c>
      <c r="L1209">
        <f>SMALL(SimData1000!$C$9:$C$1008,200)</f>
        <v>0.19712435427572927</v>
      </c>
      <c r="M1209">
        <f>1/(COUNT(SimData1000!$C$9:$C$1008)-1)+$M$1208</f>
        <v>0.19919919919919982</v>
      </c>
    </row>
    <row r="1210" spans="10:13">
      <c r="J1210">
        <f>SMALL(SimData1000!$B$9:$B$1008,201)</f>
        <v>0.20074209483520641</v>
      </c>
      <c r="K1210">
        <f>1/(COUNT(SimData1000!$B$9:$B$1008)-1)+$K$1209</f>
        <v>0.20020020020020082</v>
      </c>
      <c r="L1210">
        <f>SMALL(SimData1000!$C$9:$C$1008,201)</f>
        <v>0.19850580271577201</v>
      </c>
      <c r="M1210">
        <f>1/(COUNT(SimData1000!$C$9:$C$1008)-1)+$M$1209</f>
        <v>0.20020020020020082</v>
      </c>
    </row>
    <row r="1211" spans="10:13">
      <c r="J1211">
        <f>SMALL(SimData1000!$B$9:$B$1008,202)</f>
        <v>0.20167325671940883</v>
      </c>
      <c r="K1211">
        <f>1/(COUNT(SimData1000!$B$9:$B$1008)-1)+$K$1210</f>
        <v>0.20120120120120183</v>
      </c>
      <c r="L1211">
        <f>SMALL(SimData1000!$C$9:$C$1008,202)</f>
        <v>0.19876996492166654</v>
      </c>
      <c r="M1211">
        <f>1/(COUNT(SimData1000!$C$9:$C$1008)-1)+$M$1210</f>
        <v>0.20120120120120183</v>
      </c>
    </row>
    <row r="1212" spans="10:13">
      <c r="J1212">
        <f>SMALL(SimData1000!$B$9:$B$1008,203)</f>
        <v>0.20211731670496921</v>
      </c>
      <c r="K1212">
        <f>1/(COUNT(SimData1000!$B$9:$B$1008)-1)+$K$1211</f>
        <v>0.20220220220220284</v>
      </c>
      <c r="L1212">
        <f>SMALL(SimData1000!$C$9:$C$1008,203)</f>
        <v>0.19882929489722301</v>
      </c>
      <c r="M1212">
        <f>1/(COUNT(SimData1000!$C$9:$C$1008)-1)+$M$1211</f>
        <v>0.20220220220220284</v>
      </c>
    </row>
    <row r="1213" spans="10:13">
      <c r="J1213">
        <f>SMALL(SimData1000!$B$9:$B$1008,204)</f>
        <v>0.2036237952577937</v>
      </c>
      <c r="K1213">
        <f>1/(COUNT(SimData1000!$B$9:$B$1008)-1)+$K$1212</f>
        <v>0.20320320320320384</v>
      </c>
      <c r="L1213">
        <f>SMALL(SimData1000!$C$9:$C$1008,204)</f>
        <v>0.20094718594555161</v>
      </c>
      <c r="M1213">
        <f>1/(COUNT(SimData1000!$C$9:$C$1008)-1)+$M$1212</f>
        <v>0.20320320320320384</v>
      </c>
    </row>
    <row r="1214" spans="10:13">
      <c r="J1214">
        <f>SMALL(SimData1000!$B$9:$B$1008,205)</f>
        <v>0.20498179363086397</v>
      </c>
      <c r="K1214">
        <f>1/(COUNT(SimData1000!$B$9:$B$1008)-1)+$K$1213</f>
        <v>0.20420420420420485</v>
      </c>
      <c r="L1214">
        <f>SMALL(SimData1000!$C$9:$C$1008,205)</f>
        <v>0.20110635706259927</v>
      </c>
      <c r="M1214">
        <f>1/(COUNT(SimData1000!$C$9:$C$1008)-1)+$M$1213</f>
        <v>0.20420420420420485</v>
      </c>
    </row>
    <row r="1215" spans="10:13">
      <c r="J1215">
        <f>SMALL(SimData1000!$B$9:$B$1008,206)</f>
        <v>0.20595691634131524</v>
      </c>
      <c r="K1215">
        <f>1/(COUNT(SimData1000!$B$9:$B$1008)-1)+$K$1214</f>
        <v>0.20520520520520585</v>
      </c>
      <c r="L1215">
        <f>SMALL(SimData1000!$C$9:$C$1008,206)</f>
        <v>0.20122626526426757</v>
      </c>
      <c r="M1215">
        <f>1/(COUNT(SimData1000!$C$9:$C$1008)-1)+$M$1214</f>
        <v>0.20520520520520585</v>
      </c>
    </row>
    <row r="1216" spans="10:13">
      <c r="J1216">
        <f>SMALL(SimData1000!$B$9:$B$1008,207)</f>
        <v>0.20664237190192619</v>
      </c>
      <c r="K1216">
        <f>1/(COUNT(SimData1000!$B$9:$B$1008)-1)+$K$1215</f>
        <v>0.20620620620620686</v>
      </c>
      <c r="L1216">
        <f>SMALL(SimData1000!$C$9:$C$1008,207)</f>
        <v>0.20375365903055354</v>
      </c>
      <c r="M1216">
        <f>1/(COUNT(SimData1000!$C$9:$C$1008)-1)+$M$1215</f>
        <v>0.20620620620620686</v>
      </c>
    </row>
    <row r="1217" spans="10:13">
      <c r="J1217">
        <f>SMALL(SimData1000!$B$9:$B$1008,208)</f>
        <v>0.20761878448599455</v>
      </c>
      <c r="K1217">
        <f>1/(COUNT(SimData1000!$B$9:$B$1008)-1)+$K$1216</f>
        <v>0.20720720720720787</v>
      </c>
      <c r="L1217">
        <f>SMALL(SimData1000!$C$9:$C$1008,208)</f>
        <v>0.2042467570881854</v>
      </c>
      <c r="M1217">
        <f>1/(COUNT(SimData1000!$C$9:$C$1008)-1)+$M$1216</f>
        <v>0.20720720720720787</v>
      </c>
    </row>
    <row r="1218" spans="10:13">
      <c r="J1218">
        <f>SMALL(SimData1000!$B$9:$B$1008,209)</f>
        <v>0.20806277520956071</v>
      </c>
      <c r="K1218">
        <f>1/(COUNT(SimData1000!$B$9:$B$1008)-1)+$K$1217</f>
        <v>0.20820820820820887</v>
      </c>
      <c r="L1218">
        <f>SMALL(SimData1000!$C$9:$C$1008,209)</f>
        <v>0.20468199382958119</v>
      </c>
      <c r="M1218">
        <f>1/(COUNT(SimData1000!$C$9:$C$1008)-1)+$M$1217</f>
        <v>0.20820820820820887</v>
      </c>
    </row>
    <row r="1219" spans="10:13">
      <c r="J1219">
        <f>SMALL(SimData1000!$B$9:$B$1008,210)</f>
        <v>0.20976980991004263</v>
      </c>
      <c r="K1219">
        <f>1/(COUNT(SimData1000!$B$9:$B$1008)-1)+$K$1218</f>
        <v>0.20920920920920988</v>
      </c>
      <c r="L1219">
        <f>SMALL(SimData1000!$C$9:$C$1008,210)</f>
        <v>0.20816924645532708</v>
      </c>
      <c r="M1219">
        <f>1/(COUNT(SimData1000!$C$9:$C$1008)-1)+$M$1218</f>
        <v>0.20920920920920988</v>
      </c>
    </row>
    <row r="1220" spans="10:13">
      <c r="J1220">
        <f>SMALL(SimData1000!$B$9:$B$1008,211)</f>
        <v>0.21044467489129043</v>
      </c>
      <c r="K1220">
        <f>1/(COUNT(SimData1000!$B$9:$B$1008)-1)+$K$1219</f>
        <v>0.21021021021021088</v>
      </c>
      <c r="L1220">
        <f>SMALL(SimData1000!$C$9:$C$1008,211)</f>
        <v>0.20852693174037995</v>
      </c>
      <c r="M1220">
        <f>1/(COUNT(SimData1000!$C$9:$C$1008)-1)+$M$1219</f>
        <v>0.21021021021021088</v>
      </c>
    </row>
    <row r="1221" spans="10:13">
      <c r="J1221">
        <f>SMALL(SimData1000!$B$9:$B$1008,212)</f>
        <v>0.21185281955074817</v>
      </c>
      <c r="K1221">
        <f>1/(COUNT(SimData1000!$B$9:$B$1008)-1)+$K$1220</f>
        <v>0.21121121121121189</v>
      </c>
      <c r="L1221">
        <f>SMALL(SimData1000!$C$9:$C$1008,212)</f>
        <v>0.20853419544982899</v>
      </c>
      <c r="M1221">
        <f>1/(COUNT(SimData1000!$C$9:$C$1008)-1)+$M$1220</f>
        <v>0.21121121121121189</v>
      </c>
    </row>
    <row r="1222" spans="10:13">
      <c r="J1222">
        <f>SMALL(SimData1000!$B$9:$B$1008,213)</f>
        <v>0.21214100487300683</v>
      </c>
      <c r="K1222">
        <f>1/(COUNT(SimData1000!$B$9:$B$1008)-1)+$K$1221</f>
        <v>0.2122122122122129</v>
      </c>
      <c r="L1222">
        <f>SMALL(SimData1000!$C$9:$C$1008,213)</f>
        <v>0.20856358485525561</v>
      </c>
      <c r="M1222">
        <f>1/(COUNT(SimData1000!$C$9:$C$1008)-1)+$M$1221</f>
        <v>0.2122122122122129</v>
      </c>
    </row>
    <row r="1223" spans="10:13">
      <c r="J1223">
        <f>SMALL(SimData1000!$B$9:$B$1008,214)</f>
        <v>0.21354763696751269</v>
      </c>
      <c r="K1223">
        <f>1/(COUNT(SimData1000!$B$9:$B$1008)-1)+$K$1222</f>
        <v>0.2132132132132139</v>
      </c>
      <c r="L1223">
        <f>SMALL(SimData1000!$C$9:$C$1008,214)</f>
        <v>0.2086689572161049</v>
      </c>
      <c r="M1223">
        <f>1/(COUNT(SimData1000!$C$9:$C$1008)-1)+$M$1222</f>
        <v>0.2132132132132139</v>
      </c>
    </row>
    <row r="1224" spans="10:13">
      <c r="J1224">
        <f>SMALL(SimData1000!$B$9:$B$1008,215)</f>
        <v>0.21446786682504879</v>
      </c>
      <c r="K1224">
        <f>1/(COUNT(SimData1000!$B$9:$B$1008)-1)+$K$1223</f>
        <v>0.21421421421421491</v>
      </c>
      <c r="L1224">
        <f>SMALL(SimData1000!$C$9:$C$1008,215)</f>
        <v>0.2109049469090678</v>
      </c>
      <c r="M1224">
        <f>1/(COUNT(SimData1000!$C$9:$C$1008)-1)+$M$1223</f>
        <v>0.21421421421421491</v>
      </c>
    </row>
    <row r="1225" spans="10:13">
      <c r="J1225">
        <f>SMALL(SimData1000!$B$9:$B$1008,216)</f>
        <v>0.21503928212030773</v>
      </c>
      <c r="K1225">
        <f>1/(COUNT(SimData1000!$B$9:$B$1008)-1)+$K$1224</f>
        <v>0.21521521521521592</v>
      </c>
      <c r="L1225">
        <f>SMALL(SimData1000!$C$9:$C$1008,216)</f>
        <v>0.21116439590423397</v>
      </c>
      <c r="M1225">
        <f>1/(COUNT(SimData1000!$C$9:$C$1008)-1)+$M$1224</f>
        <v>0.21521521521521592</v>
      </c>
    </row>
    <row r="1226" spans="10:13">
      <c r="J1226">
        <f>SMALL(SimData1000!$B$9:$B$1008,217)</f>
        <v>0.21659081942462149</v>
      </c>
      <c r="K1226">
        <f>1/(COUNT(SimData1000!$B$9:$B$1008)-1)+$K$1225</f>
        <v>0.21621621621621692</v>
      </c>
      <c r="L1226">
        <f>SMALL(SimData1000!$C$9:$C$1008,217)</f>
        <v>0.2112260154390242</v>
      </c>
      <c r="M1226">
        <f>1/(COUNT(SimData1000!$C$9:$C$1008)-1)+$M$1225</f>
        <v>0.21621621621621692</v>
      </c>
    </row>
    <row r="1227" spans="10:13">
      <c r="J1227">
        <f>SMALL(SimData1000!$B$9:$B$1008,218)</f>
        <v>0.21758162907547821</v>
      </c>
      <c r="K1227">
        <f>1/(COUNT(SimData1000!$B$9:$B$1008)-1)+$K$1226</f>
        <v>0.21721721721721793</v>
      </c>
      <c r="L1227">
        <f>SMALL(SimData1000!$C$9:$C$1008,218)</f>
        <v>0.21322359210716968</v>
      </c>
      <c r="M1227">
        <f>1/(COUNT(SimData1000!$C$9:$C$1008)-1)+$M$1226</f>
        <v>0.21721721721721793</v>
      </c>
    </row>
    <row r="1228" spans="10:13">
      <c r="J1228">
        <f>SMALL(SimData1000!$B$9:$B$1008,219)</f>
        <v>0.21899596908478905</v>
      </c>
      <c r="K1228">
        <f>1/(COUNT(SimData1000!$B$9:$B$1008)-1)+$K$1227</f>
        <v>0.21821821821821893</v>
      </c>
      <c r="L1228">
        <f>SMALL(SimData1000!$C$9:$C$1008,219)</f>
        <v>0.21464673546597623</v>
      </c>
      <c r="M1228">
        <f>1/(COUNT(SimData1000!$C$9:$C$1008)-1)+$M$1227</f>
        <v>0.21821821821821893</v>
      </c>
    </row>
    <row r="1229" spans="10:13">
      <c r="J1229">
        <f>SMALL(SimData1000!$B$9:$B$1008,220)</f>
        <v>0.21982381841908766</v>
      </c>
      <c r="K1229">
        <f>1/(COUNT(SimData1000!$B$9:$B$1008)-1)+$K$1228</f>
        <v>0.21921921921921994</v>
      </c>
      <c r="L1229">
        <f>SMALL(SimData1000!$C$9:$C$1008,220)</f>
        <v>0.21490836291286541</v>
      </c>
      <c r="M1229">
        <f>1/(COUNT(SimData1000!$C$9:$C$1008)-1)+$M$1228</f>
        <v>0.21921921921921994</v>
      </c>
    </row>
    <row r="1230" spans="10:13">
      <c r="J1230">
        <f>SMALL(SimData1000!$B$9:$B$1008,221)</f>
        <v>0.22027552360279382</v>
      </c>
      <c r="K1230">
        <f>1/(COUNT(SimData1000!$B$9:$B$1008)-1)+$K$1229</f>
        <v>0.22022022022022095</v>
      </c>
      <c r="L1230">
        <f>SMALL(SimData1000!$C$9:$C$1008,221)</f>
        <v>0.21753738029292435</v>
      </c>
      <c r="M1230">
        <f>1/(COUNT(SimData1000!$C$9:$C$1008)-1)+$M$1229</f>
        <v>0.22022022022022095</v>
      </c>
    </row>
    <row r="1231" spans="10:13">
      <c r="J1231">
        <f>SMALL(SimData1000!$B$9:$B$1008,222)</f>
        <v>0.22147128367388419</v>
      </c>
      <c r="K1231">
        <f>1/(COUNT(SimData1000!$B$9:$B$1008)-1)+$K$1230</f>
        <v>0.22122122122122195</v>
      </c>
      <c r="L1231">
        <f>SMALL(SimData1000!$C$9:$C$1008,222)</f>
        <v>0.21804524127946934</v>
      </c>
      <c r="M1231">
        <f>1/(COUNT(SimData1000!$C$9:$C$1008)-1)+$M$1230</f>
        <v>0.22122122122122195</v>
      </c>
    </row>
    <row r="1232" spans="10:13">
      <c r="J1232">
        <f>SMALL(SimData1000!$B$9:$B$1008,223)</f>
        <v>0.22255749425817223</v>
      </c>
      <c r="K1232">
        <f>1/(COUNT(SimData1000!$B$9:$B$1008)-1)+$K$1231</f>
        <v>0.22222222222222296</v>
      </c>
      <c r="L1232">
        <f>SMALL(SimData1000!$C$9:$C$1008,223)</f>
        <v>0.22164918175258208</v>
      </c>
      <c r="M1232">
        <f>1/(COUNT(SimData1000!$C$9:$C$1008)-1)+$M$1231</f>
        <v>0.22222222222222296</v>
      </c>
    </row>
    <row r="1233" spans="10:13">
      <c r="J1233">
        <f>SMALL(SimData1000!$B$9:$B$1008,224)</f>
        <v>0.22307875538991734</v>
      </c>
      <c r="K1233">
        <f>1/(COUNT(SimData1000!$B$9:$B$1008)-1)+$K$1232</f>
        <v>0.22322322322322397</v>
      </c>
      <c r="L1233">
        <f>SMALL(SimData1000!$C$9:$C$1008,224)</f>
        <v>0.22214965293187561</v>
      </c>
      <c r="M1233">
        <f>1/(COUNT(SimData1000!$C$9:$C$1008)-1)+$M$1232</f>
        <v>0.22322322322322397</v>
      </c>
    </row>
    <row r="1234" spans="10:13">
      <c r="J1234">
        <f>SMALL(SimData1000!$B$9:$B$1008,225)</f>
        <v>0.2241853892081849</v>
      </c>
      <c r="K1234">
        <f>1/(COUNT(SimData1000!$B$9:$B$1008)-1)+$K$1233</f>
        <v>0.22422422422422497</v>
      </c>
      <c r="L1234">
        <f>SMALL(SimData1000!$C$9:$C$1008,225)</f>
        <v>0.22247557032733312</v>
      </c>
      <c r="M1234">
        <f>1/(COUNT(SimData1000!$C$9:$C$1008)-1)+$M$1233</f>
        <v>0.22422422422422497</v>
      </c>
    </row>
    <row r="1235" spans="10:13">
      <c r="J1235">
        <f>SMALL(SimData1000!$B$9:$B$1008,226)</f>
        <v>0.22532138404374044</v>
      </c>
      <c r="K1235">
        <f>1/(COUNT(SimData1000!$B$9:$B$1008)-1)+$K$1234</f>
        <v>0.22522522522522598</v>
      </c>
      <c r="L1235">
        <f>SMALL(SimData1000!$C$9:$C$1008,226)</f>
        <v>0.22596488724866504</v>
      </c>
      <c r="M1235">
        <f>1/(COUNT(SimData1000!$C$9:$C$1008)-1)+$M$1234</f>
        <v>0.22522522522522598</v>
      </c>
    </row>
    <row r="1236" spans="10:13">
      <c r="J1236">
        <f>SMALL(SimData1000!$B$9:$B$1008,227)</f>
        <v>0.2261650176747155</v>
      </c>
      <c r="K1236">
        <f>1/(COUNT(SimData1000!$B$9:$B$1008)-1)+$K$1235</f>
        <v>0.22622622622622698</v>
      </c>
      <c r="L1236">
        <f>SMALL(SimData1000!$C$9:$C$1008,227)</f>
        <v>0.22663726956579922</v>
      </c>
      <c r="M1236">
        <f>1/(COUNT(SimData1000!$C$9:$C$1008)-1)+$M$1235</f>
        <v>0.22622622622622698</v>
      </c>
    </row>
    <row r="1237" spans="10:13">
      <c r="J1237">
        <f>SMALL(SimData1000!$B$9:$B$1008,228)</f>
        <v>0.22772230701072194</v>
      </c>
      <c r="K1237">
        <f>1/(COUNT(SimData1000!$B$9:$B$1008)-1)+$K$1236</f>
        <v>0.22722722722722799</v>
      </c>
      <c r="L1237">
        <f>SMALL(SimData1000!$C$9:$C$1008,228)</f>
        <v>0.22736782884294371</v>
      </c>
      <c r="M1237">
        <f>1/(COUNT(SimData1000!$C$9:$C$1008)-1)+$M$1236</f>
        <v>0.22722722722722799</v>
      </c>
    </row>
    <row r="1238" spans="10:13">
      <c r="J1238">
        <f>SMALL(SimData1000!$B$9:$B$1008,229)</f>
        <v>0.22828554238315801</v>
      </c>
      <c r="K1238">
        <f>1/(COUNT(SimData1000!$B$9:$B$1008)-1)+$K$1237</f>
        <v>0.228228228228229</v>
      </c>
      <c r="L1238">
        <f>SMALL(SimData1000!$C$9:$C$1008,229)</f>
        <v>0.23123613498682971</v>
      </c>
      <c r="M1238">
        <f>1/(COUNT(SimData1000!$C$9:$C$1008)-1)+$M$1237</f>
        <v>0.228228228228229</v>
      </c>
    </row>
    <row r="1239" spans="10:13">
      <c r="J1239">
        <f>SMALL(SimData1000!$B$9:$B$1008,230)</f>
        <v>0.22935674044125637</v>
      </c>
      <c r="K1239">
        <f>1/(COUNT(SimData1000!$B$9:$B$1008)-1)+$K$1238</f>
        <v>0.22922922922923</v>
      </c>
      <c r="L1239">
        <f>SMALL(SimData1000!$C$9:$C$1008,230)</f>
        <v>0.23360959228557476</v>
      </c>
      <c r="M1239">
        <f>1/(COUNT(SimData1000!$C$9:$C$1008)-1)+$M$1238</f>
        <v>0.22922922922923</v>
      </c>
    </row>
    <row r="1240" spans="10:13">
      <c r="J1240">
        <f>SMALL(SimData1000!$B$9:$B$1008,231)</f>
        <v>0.2307997569089755</v>
      </c>
      <c r="K1240">
        <f>1/(COUNT(SimData1000!$B$9:$B$1008)-1)+$K$1239</f>
        <v>0.23023023023023101</v>
      </c>
      <c r="L1240">
        <f>SMALL(SimData1000!$C$9:$C$1008,231)</f>
        <v>0.23370129555041785</v>
      </c>
      <c r="M1240">
        <f>1/(COUNT(SimData1000!$C$9:$C$1008)-1)+$M$1239</f>
        <v>0.23023023023023101</v>
      </c>
    </row>
    <row r="1241" spans="10:13">
      <c r="J1241">
        <f>SMALL(SimData1000!$B$9:$B$1008,232)</f>
        <v>0.23135725424912695</v>
      </c>
      <c r="K1241">
        <f>1/(COUNT(SimData1000!$B$9:$B$1008)-1)+$K$1240</f>
        <v>0.23123123123123202</v>
      </c>
      <c r="L1241">
        <f>SMALL(SimData1000!$C$9:$C$1008,232)</f>
        <v>0.23401609671782353</v>
      </c>
      <c r="M1241">
        <f>1/(COUNT(SimData1000!$C$9:$C$1008)-1)+$M$1240</f>
        <v>0.23123123123123202</v>
      </c>
    </row>
    <row r="1242" spans="10:13">
      <c r="J1242">
        <f>SMALL(SimData1000!$B$9:$B$1008,233)</f>
        <v>0.23275028389802907</v>
      </c>
      <c r="K1242">
        <f>1/(COUNT(SimData1000!$B$9:$B$1008)-1)+$K$1241</f>
        <v>0.23223223223223302</v>
      </c>
      <c r="L1242">
        <f>SMALL(SimData1000!$C$9:$C$1008,233)</f>
        <v>0.23593191743475472</v>
      </c>
      <c r="M1242">
        <f>1/(COUNT(SimData1000!$C$9:$C$1008)-1)+$M$1241</f>
        <v>0.23223223223223302</v>
      </c>
    </row>
    <row r="1243" spans="10:13">
      <c r="J1243">
        <f>SMALL(SimData1000!$B$9:$B$1008,234)</f>
        <v>0.23325794097763905</v>
      </c>
      <c r="K1243">
        <f>1/(COUNT(SimData1000!$B$9:$B$1008)-1)+$K$1242</f>
        <v>0.23323323323323403</v>
      </c>
      <c r="L1243">
        <f>SMALL(SimData1000!$C$9:$C$1008,234)</f>
        <v>0.23642485586242401</v>
      </c>
      <c r="M1243">
        <f>1/(COUNT(SimData1000!$C$9:$C$1008)-1)+$M$1242</f>
        <v>0.23323323323323403</v>
      </c>
    </row>
    <row r="1244" spans="10:13">
      <c r="J1244">
        <f>SMALL(SimData1000!$B$9:$B$1008,235)</f>
        <v>0.23437430019475852</v>
      </c>
      <c r="K1244">
        <f>1/(COUNT(SimData1000!$B$9:$B$1008)-1)+$K$1243</f>
        <v>0.23423423423423503</v>
      </c>
      <c r="L1244">
        <f>SMALL(SimData1000!$C$9:$C$1008,235)</f>
        <v>0.23713252089692105</v>
      </c>
      <c r="M1244">
        <f>1/(COUNT(SimData1000!$C$9:$C$1008)-1)+$M$1243</f>
        <v>0.23423423423423503</v>
      </c>
    </row>
    <row r="1245" spans="10:13">
      <c r="J1245">
        <f>SMALL(SimData1000!$B$9:$B$1008,236)</f>
        <v>0.23540355074810879</v>
      </c>
      <c r="K1245">
        <f>1/(COUNT(SimData1000!$B$9:$B$1008)-1)+$K$1244</f>
        <v>0.23523523523523604</v>
      </c>
      <c r="L1245">
        <f>SMALL(SimData1000!$C$9:$C$1008,236)</f>
        <v>0.2385945088826702</v>
      </c>
      <c r="M1245">
        <f>1/(COUNT(SimData1000!$C$9:$C$1008)-1)+$M$1244</f>
        <v>0.23523523523523604</v>
      </c>
    </row>
    <row r="1246" spans="10:13">
      <c r="J1246">
        <f>SMALL(SimData1000!$B$9:$B$1008,237)</f>
        <v>0.23639583594058544</v>
      </c>
      <c r="K1246">
        <f>1/(COUNT(SimData1000!$B$9:$B$1008)-1)+$K$1245</f>
        <v>0.23623623623623705</v>
      </c>
      <c r="L1246">
        <f>SMALL(SimData1000!$C$9:$C$1008,237)</f>
        <v>0.23911188559486618</v>
      </c>
      <c r="M1246">
        <f>1/(COUNT(SimData1000!$C$9:$C$1008)-1)+$M$1245</f>
        <v>0.23623623623623705</v>
      </c>
    </row>
    <row r="1247" spans="10:13">
      <c r="J1247">
        <f>SMALL(SimData1000!$B$9:$B$1008,238)</f>
        <v>0.23768099260183076</v>
      </c>
      <c r="K1247">
        <f>1/(COUNT(SimData1000!$B$9:$B$1008)-1)+$K$1246</f>
        <v>0.23723723723723805</v>
      </c>
      <c r="L1247">
        <f>SMALL(SimData1000!$C$9:$C$1008,238)</f>
        <v>0.23927700463354995</v>
      </c>
      <c r="M1247">
        <f>1/(COUNT(SimData1000!$C$9:$C$1008)-1)+$M$1246</f>
        <v>0.23723723723723805</v>
      </c>
    </row>
    <row r="1248" spans="10:13">
      <c r="J1248">
        <f>SMALL(SimData1000!$B$9:$B$1008,239)</f>
        <v>0.23810898079259996</v>
      </c>
      <c r="K1248">
        <f>1/(COUNT(SimData1000!$B$9:$B$1008)-1)+$K$1247</f>
        <v>0.23823823823823906</v>
      </c>
      <c r="L1248">
        <f>SMALL(SimData1000!$C$9:$C$1008,239)</f>
        <v>0.23960426488702069</v>
      </c>
      <c r="M1248">
        <f>1/(COUNT(SimData1000!$C$9:$C$1008)-1)+$M$1247</f>
        <v>0.23823823823823906</v>
      </c>
    </row>
    <row r="1249" spans="10:13">
      <c r="J1249">
        <f>SMALL(SimData1000!$B$9:$B$1008,240)</f>
        <v>0.23916917685888922</v>
      </c>
      <c r="K1249">
        <f>1/(COUNT(SimData1000!$B$9:$B$1008)-1)+$K$1248</f>
        <v>0.23923923923924006</v>
      </c>
      <c r="L1249">
        <f>SMALL(SimData1000!$C$9:$C$1008,240)</f>
        <v>0.24001445007525035</v>
      </c>
      <c r="M1249">
        <f>1/(COUNT(SimData1000!$C$9:$C$1008)-1)+$M$1248</f>
        <v>0.23923923923924006</v>
      </c>
    </row>
    <row r="1250" spans="10:13">
      <c r="J1250">
        <f>SMALL(SimData1000!$B$9:$B$1008,241)</f>
        <v>0.24090144687260071</v>
      </c>
      <c r="K1250">
        <f>1/(COUNT(SimData1000!$B$9:$B$1008)-1)+$K$1249</f>
        <v>0.24024024024024107</v>
      </c>
      <c r="L1250">
        <f>SMALL(SimData1000!$C$9:$C$1008,241)</f>
        <v>0.24030060931727348</v>
      </c>
      <c r="M1250">
        <f>1/(COUNT(SimData1000!$C$9:$C$1008)-1)+$M$1249</f>
        <v>0.24024024024024107</v>
      </c>
    </row>
    <row r="1251" spans="10:13">
      <c r="J1251">
        <f>SMALL(SimData1000!$B$9:$B$1008,242)</f>
        <v>0.24188796471685356</v>
      </c>
      <c r="K1251">
        <f>1/(COUNT(SimData1000!$B$9:$B$1008)-1)+$K$1250</f>
        <v>0.24124124124124208</v>
      </c>
      <c r="L1251">
        <f>SMALL(SimData1000!$C$9:$C$1008,242)</f>
        <v>0.24046622457717604</v>
      </c>
      <c r="M1251">
        <f>1/(COUNT(SimData1000!$C$9:$C$1008)-1)+$M$1250</f>
        <v>0.24124124124124208</v>
      </c>
    </row>
    <row r="1252" spans="10:13">
      <c r="J1252">
        <f>SMALL(SimData1000!$B$9:$B$1008,243)</f>
        <v>0.24229091936892153</v>
      </c>
      <c r="K1252">
        <f>1/(COUNT(SimData1000!$B$9:$B$1008)-1)+$K$1251</f>
        <v>0.24224224224224308</v>
      </c>
      <c r="L1252">
        <f>SMALL(SimData1000!$C$9:$C$1008,243)</f>
        <v>0.24234927344696189</v>
      </c>
      <c r="M1252">
        <f>1/(COUNT(SimData1000!$C$9:$C$1008)-1)+$M$1251</f>
        <v>0.24224224224224308</v>
      </c>
    </row>
    <row r="1253" spans="10:13">
      <c r="J1253">
        <f>SMALL(SimData1000!$B$9:$B$1008,244)</f>
        <v>0.24318254135786149</v>
      </c>
      <c r="K1253">
        <f>1/(COUNT(SimData1000!$B$9:$B$1008)-1)+$K$1252</f>
        <v>0.24324324324324409</v>
      </c>
      <c r="L1253">
        <f>SMALL(SimData1000!$C$9:$C$1008,244)</f>
        <v>0.24264374302492797</v>
      </c>
      <c r="M1253">
        <f>1/(COUNT(SimData1000!$C$9:$C$1008)-1)+$M$1252</f>
        <v>0.24324324324324409</v>
      </c>
    </row>
    <row r="1254" spans="10:13">
      <c r="J1254">
        <f>SMALL(SimData1000!$B$9:$B$1008,245)</f>
        <v>0.24413431829752733</v>
      </c>
      <c r="K1254">
        <f>1/(COUNT(SimData1000!$B$9:$B$1008)-1)+$K$1253</f>
        <v>0.2442442442442451</v>
      </c>
      <c r="L1254">
        <f>SMALL(SimData1000!$C$9:$C$1008,245)</f>
        <v>0.243104803512324</v>
      </c>
      <c r="M1254">
        <f>1/(COUNT(SimData1000!$C$9:$C$1008)-1)+$M$1253</f>
        <v>0.2442442442442451</v>
      </c>
    </row>
    <row r="1255" spans="10:13">
      <c r="J1255">
        <f>SMALL(SimData1000!$B$9:$B$1008,246)</f>
        <v>0.24546700246503275</v>
      </c>
      <c r="K1255">
        <f>1/(COUNT(SimData1000!$B$9:$B$1008)-1)+$K$1254</f>
        <v>0.2452452452452461</v>
      </c>
      <c r="L1255">
        <f>SMALL(SimData1000!$C$9:$C$1008,246)</f>
        <v>0.24348613125675911</v>
      </c>
      <c r="M1255">
        <f>1/(COUNT(SimData1000!$C$9:$C$1008)-1)+$M$1254</f>
        <v>0.2452452452452461</v>
      </c>
    </row>
    <row r="1256" spans="10:13">
      <c r="J1256">
        <f>SMALL(SimData1000!$B$9:$B$1008,247)</f>
        <v>0.24617497991611598</v>
      </c>
      <c r="K1256">
        <f>1/(COUNT(SimData1000!$B$9:$B$1008)-1)+$K$1255</f>
        <v>0.24624624624624711</v>
      </c>
      <c r="L1256">
        <f>SMALL(SimData1000!$C$9:$C$1008,247)</f>
        <v>0.24500987576357147</v>
      </c>
      <c r="M1256">
        <f>1/(COUNT(SimData1000!$C$9:$C$1008)-1)+$M$1255</f>
        <v>0.24624624624624711</v>
      </c>
    </row>
    <row r="1257" spans="10:13">
      <c r="J1257">
        <f>SMALL(SimData1000!$B$9:$B$1008,248)</f>
        <v>0.24758337868693828</v>
      </c>
      <c r="K1257">
        <f>1/(COUNT(SimData1000!$B$9:$B$1008)-1)+$K$1256</f>
        <v>0.24724724724724811</v>
      </c>
      <c r="L1257">
        <f>SMALL(SimData1000!$C$9:$C$1008,248)</f>
        <v>0.24516444307664642</v>
      </c>
      <c r="M1257">
        <f>1/(COUNT(SimData1000!$C$9:$C$1008)-1)+$M$1256</f>
        <v>0.24724724724724811</v>
      </c>
    </row>
    <row r="1258" spans="10:13">
      <c r="J1258">
        <f>SMALL(SimData1000!$B$9:$B$1008,249)</f>
        <v>0.24805720535993048</v>
      </c>
      <c r="K1258">
        <f>1/(COUNT(SimData1000!$B$9:$B$1008)-1)+$K$1257</f>
        <v>0.24824824824824912</v>
      </c>
      <c r="L1258">
        <f>SMALL(SimData1000!$C$9:$C$1008,249)</f>
        <v>0.24906562103387841</v>
      </c>
      <c r="M1258">
        <f>1/(COUNT(SimData1000!$C$9:$C$1008)-1)+$M$1257</f>
        <v>0.24824824824824912</v>
      </c>
    </row>
    <row r="1259" spans="10:13">
      <c r="J1259">
        <f>SMALL(SimData1000!$B$9:$B$1008,250)</f>
        <v>0.24947687670366767</v>
      </c>
      <c r="K1259">
        <f>1/(COUNT(SimData1000!$B$9:$B$1008)-1)+$K$1258</f>
        <v>0.24924924924925013</v>
      </c>
      <c r="L1259">
        <f>SMALL(SimData1000!$C$9:$C$1008,250)</f>
        <v>0.24924204435046704</v>
      </c>
      <c r="M1259">
        <f>1/(COUNT(SimData1000!$C$9:$C$1008)-1)+$M$1258</f>
        <v>0.24924924924925013</v>
      </c>
    </row>
    <row r="1260" spans="10:13">
      <c r="J1260">
        <f>SMALL(SimData1000!$B$9:$B$1008,251)</f>
        <v>0.25079874588218487</v>
      </c>
      <c r="K1260">
        <f>1/(COUNT(SimData1000!$B$9:$B$1008)-1)+$K$1259</f>
        <v>0.25025025025025111</v>
      </c>
      <c r="L1260">
        <f>SMALL(SimData1000!$C$9:$C$1008,251)</f>
        <v>0.24965677803356812</v>
      </c>
      <c r="M1260">
        <f>1/(COUNT(SimData1000!$C$9:$C$1008)-1)+$M$1259</f>
        <v>0.25025025025025111</v>
      </c>
    </row>
    <row r="1261" spans="10:13">
      <c r="J1261">
        <f>SMALL(SimData1000!$B$9:$B$1008,252)</f>
        <v>0.25166540537277826</v>
      </c>
      <c r="K1261">
        <f>1/(COUNT(SimData1000!$B$9:$B$1008)-1)+$K$1260</f>
        <v>0.25125125125125208</v>
      </c>
      <c r="L1261">
        <f>SMALL(SimData1000!$C$9:$C$1008,252)</f>
        <v>0.24968690789683023</v>
      </c>
      <c r="M1261">
        <f>1/(COUNT(SimData1000!$C$9:$C$1008)-1)+$M$1260</f>
        <v>0.25125125125125208</v>
      </c>
    </row>
    <row r="1262" spans="10:13">
      <c r="J1262">
        <f>SMALL(SimData1000!$B$9:$B$1008,253)</f>
        <v>0.25292012646955442</v>
      </c>
      <c r="K1262">
        <f>1/(COUNT(SimData1000!$B$9:$B$1008)-1)+$K$1261</f>
        <v>0.25225225225225306</v>
      </c>
      <c r="L1262">
        <f>SMALL(SimData1000!$C$9:$C$1008,253)</f>
        <v>0.25018821095090971</v>
      </c>
      <c r="M1262">
        <f>1/(COUNT(SimData1000!$C$9:$C$1008)-1)+$M$1261</f>
        <v>0.25225225225225306</v>
      </c>
    </row>
    <row r="1263" spans="10:13">
      <c r="J1263">
        <f>SMALL(SimData1000!$B$9:$B$1008,254)</f>
        <v>0.25391654878456993</v>
      </c>
      <c r="K1263">
        <f>1/(COUNT(SimData1000!$B$9:$B$1008)-1)+$K$1262</f>
        <v>0.25325325325325404</v>
      </c>
      <c r="L1263">
        <f>SMALL(SimData1000!$C$9:$C$1008,254)</f>
        <v>0.25175295530334552</v>
      </c>
      <c r="M1263">
        <f>1/(COUNT(SimData1000!$C$9:$C$1008)-1)+$M$1262</f>
        <v>0.25325325325325404</v>
      </c>
    </row>
    <row r="1264" spans="10:13">
      <c r="J1264">
        <f>SMALL(SimData1000!$B$9:$B$1008,255)</f>
        <v>0.25477122392942458</v>
      </c>
      <c r="K1264">
        <f>1/(COUNT(SimData1000!$B$9:$B$1008)-1)+$K$1263</f>
        <v>0.25425425425425502</v>
      </c>
      <c r="L1264">
        <f>SMALL(SimData1000!$C$9:$C$1008,255)</f>
        <v>0.25288063476364186</v>
      </c>
      <c r="M1264">
        <f>1/(COUNT(SimData1000!$C$9:$C$1008)-1)+$M$1263</f>
        <v>0.25425425425425502</v>
      </c>
    </row>
    <row r="1265" spans="10:13">
      <c r="J1265">
        <f>SMALL(SimData1000!$B$9:$B$1008,256)</f>
        <v>0.25529771061178708</v>
      </c>
      <c r="K1265">
        <f>1/(COUNT(SimData1000!$B$9:$B$1008)-1)+$K$1264</f>
        <v>0.255255255255256</v>
      </c>
      <c r="L1265">
        <f>SMALL(SimData1000!$C$9:$C$1008,256)</f>
        <v>0.25398549304009066</v>
      </c>
      <c r="M1265">
        <f>1/(COUNT(SimData1000!$C$9:$C$1008)-1)+$M$1264</f>
        <v>0.255255255255256</v>
      </c>
    </row>
    <row r="1266" spans="10:13">
      <c r="J1266">
        <f>SMALL(SimData1000!$B$9:$B$1008,257)</f>
        <v>0.25629150794406691</v>
      </c>
      <c r="K1266">
        <f>1/(COUNT(SimData1000!$B$9:$B$1008)-1)+$K$1265</f>
        <v>0.25625625625625698</v>
      </c>
      <c r="L1266">
        <f>SMALL(SimData1000!$C$9:$C$1008,257)</f>
        <v>0.25409447286801878</v>
      </c>
      <c r="M1266">
        <f>1/(COUNT(SimData1000!$C$9:$C$1008)-1)+$M$1265</f>
        <v>0.25625625625625698</v>
      </c>
    </row>
    <row r="1267" spans="10:13">
      <c r="J1267">
        <f>SMALL(SimData1000!$B$9:$B$1008,258)</f>
        <v>0.25715986294372939</v>
      </c>
      <c r="K1267">
        <f>1/(COUNT(SimData1000!$B$9:$B$1008)-1)+$K$1266</f>
        <v>0.25725725725725795</v>
      </c>
      <c r="L1267">
        <f>SMALL(SimData1000!$C$9:$C$1008,258)</f>
        <v>0.25473558471821889</v>
      </c>
      <c r="M1267">
        <f>1/(COUNT(SimData1000!$C$9:$C$1008)-1)+$M$1266</f>
        <v>0.25725725725725795</v>
      </c>
    </row>
    <row r="1268" spans="10:13">
      <c r="J1268">
        <f>SMALL(SimData1000!$B$9:$B$1008,259)</f>
        <v>0.25891586676470835</v>
      </c>
      <c r="K1268">
        <f>1/(COUNT(SimData1000!$B$9:$B$1008)-1)+$K$1267</f>
        <v>0.25825825825825893</v>
      </c>
      <c r="L1268">
        <f>SMALL(SimData1000!$C$9:$C$1008,259)</f>
        <v>0.26014276296427852</v>
      </c>
      <c r="M1268">
        <f>1/(COUNT(SimData1000!$C$9:$C$1008)-1)+$M$1267</f>
        <v>0.25825825825825893</v>
      </c>
    </row>
    <row r="1269" spans="10:13">
      <c r="J1269">
        <f>SMALL(SimData1000!$B$9:$B$1008,260)</f>
        <v>0.25929408074829124</v>
      </c>
      <c r="K1269">
        <f>1/(COUNT(SimData1000!$B$9:$B$1008)-1)+$K$1268</f>
        <v>0.25925925925925991</v>
      </c>
      <c r="L1269">
        <f>SMALL(SimData1000!$C$9:$C$1008,260)</f>
        <v>0.26162993422531144</v>
      </c>
      <c r="M1269">
        <f>1/(COUNT(SimData1000!$C$9:$C$1008)-1)+$M$1268</f>
        <v>0.25925925925925991</v>
      </c>
    </row>
    <row r="1270" spans="10:13">
      <c r="J1270">
        <f>SMALL(SimData1000!$B$9:$B$1008,261)</f>
        <v>0.26086448230055731</v>
      </c>
      <c r="K1270">
        <f>1/(COUNT(SimData1000!$B$9:$B$1008)-1)+$K$1269</f>
        <v>0.26026026026026089</v>
      </c>
      <c r="L1270">
        <f>SMALL(SimData1000!$C$9:$C$1008,261)</f>
        <v>0.2640569900686387</v>
      </c>
      <c r="M1270">
        <f>1/(COUNT(SimData1000!$C$9:$C$1008)-1)+$M$1269</f>
        <v>0.26026026026026089</v>
      </c>
    </row>
    <row r="1271" spans="10:13">
      <c r="J1271">
        <f>SMALL(SimData1000!$B$9:$B$1008,262)</f>
        <v>0.26136786274131574</v>
      </c>
      <c r="K1271">
        <f>1/(COUNT(SimData1000!$B$9:$B$1008)-1)+$K$1270</f>
        <v>0.26126126126126187</v>
      </c>
      <c r="L1271">
        <f>SMALL(SimData1000!$C$9:$C$1008,262)</f>
        <v>0.26430631068069488</v>
      </c>
      <c r="M1271">
        <f>1/(COUNT(SimData1000!$C$9:$C$1008)-1)+$M$1270</f>
        <v>0.26126126126126187</v>
      </c>
    </row>
    <row r="1272" spans="10:13">
      <c r="J1272">
        <f>SMALL(SimData1000!$B$9:$B$1008,263)</f>
        <v>0.26275755006511636</v>
      </c>
      <c r="K1272">
        <f>1/(COUNT(SimData1000!$B$9:$B$1008)-1)+$K$1271</f>
        <v>0.26226226226226285</v>
      </c>
      <c r="L1272">
        <f>SMALL(SimData1000!$C$9:$C$1008,263)</f>
        <v>0.26475417244637356</v>
      </c>
      <c r="M1272">
        <f>1/(COUNT(SimData1000!$C$9:$C$1008)-1)+$M$1271</f>
        <v>0.26226226226226285</v>
      </c>
    </row>
    <row r="1273" spans="10:13">
      <c r="J1273">
        <f>SMALL(SimData1000!$B$9:$B$1008,264)</f>
        <v>0.26396405296422637</v>
      </c>
      <c r="K1273">
        <f>1/(COUNT(SimData1000!$B$9:$B$1008)-1)+$K$1272</f>
        <v>0.26326326326326382</v>
      </c>
      <c r="L1273">
        <f>SMALL(SimData1000!$C$9:$C$1008,264)</f>
        <v>0.26503907991991582</v>
      </c>
      <c r="M1273">
        <f>1/(COUNT(SimData1000!$C$9:$C$1008)-1)+$M$1272</f>
        <v>0.26326326326326382</v>
      </c>
    </row>
    <row r="1274" spans="10:13">
      <c r="J1274">
        <f>SMALL(SimData1000!$B$9:$B$1008,265)</f>
        <v>0.26404663292971592</v>
      </c>
      <c r="K1274">
        <f>1/(COUNT(SimData1000!$B$9:$B$1008)-1)+$K$1273</f>
        <v>0.2642642642642648</v>
      </c>
      <c r="L1274">
        <f>SMALL(SimData1000!$C$9:$C$1008,265)</f>
        <v>0.26544222295797226</v>
      </c>
      <c r="M1274">
        <f>1/(COUNT(SimData1000!$C$9:$C$1008)-1)+$M$1273</f>
        <v>0.2642642642642648</v>
      </c>
    </row>
    <row r="1275" spans="10:13">
      <c r="J1275">
        <f>SMALL(SimData1000!$B$9:$B$1008,266)</f>
        <v>0.26533904418869392</v>
      </c>
      <c r="K1275">
        <f>1/(COUNT(SimData1000!$B$9:$B$1008)-1)+$K$1274</f>
        <v>0.26526526526526578</v>
      </c>
      <c r="L1275">
        <f>SMALL(SimData1000!$C$9:$C$1008,266)</f>
        <v>0.26688230859599571</v>
      </c>
      <c r="M1275">
        <f>1/(COUNT(SimData1000!$C$9:$C$1008)-1)+$M$1274</f>
        <v>0.26526526526526578</v>
      </c>
    </row>
    <row r="1276" spans="10:13">
      <c r="J1276">
        <f>SMALL(SimData1000!$B$9:$B$1008,267)</f>
        <v>0.26600343616935507</v>
      </c>
      <c r="K1276">
        <f>1/(COUNT(SimData1000!$B$9:$B$1008)-1)+$K$1275</f>
        <v>0.26626626626626676</v>
      </c>
      <c r="L1276">
        <f>SMALL(SimData1000!$C$9:$C$1008,267)</f>
        <v>0.26798303005762136</v>
      </c>
      <c r="M1276">
        <f>1/(COUNT(SimData1000!$C$9:$C$1008)-1)+$M$1275</f>
        <v>0.26626626626626676</v>
      </c>
    </row>
    <row r="1277" spans="10:13">
      <c r="J1277">
        <f>SMALL(SimData1000!$B$9:$B$1008,268)</f>
        <v>0.26777595691959744</v>
      </c>
      <c r="K1277">
        <f>1/(COUNT(SimData1000!$B$9:$B$1008)-1)+$K$1276</f>
        <v>0.26726726726726774</v>
      </c>
      <c r="L1277">
        <f>SMALL(SimData1000!$C$9:$C$1008,268)</f>
        <v>0.27011121740724775</v>
      </c>
      <c r="M1277">
        <f>1/(COUNT(SimData1000!$C$9:$C$1008)-1)+$M$1276</f>
        <v>0.26726726726726774</v>
      </c>
    </row>
    <row r="1278" spans="10:13">
      <c r="J1278">
        <f>SMALL(SimData1000!$B$9:$B$1008,269)</f>
        <v>0.26875587232079262</v>
      </c>
      <c r="K1278">
        <f>1/(COUNT(SimData1000!$B$9:$B$1008)-1)+$K$1277</f>
        <v>0.26826826826826872</v>
      </c>
      <c r="L1278">
        <f>SMALL(SimData1000!$C$9:$C$1008,269)</f>
        <v>0.27028623929709283</v>
      </c>
      <c r="M1278">
        <f>1/(COUNT(SimData1000!$C$9:$C$1008)-1)+$M$1277</f>
        <v>0.26826826826826872</v>
      </c>
    </row>
    <row r="1279" spans="10:13">
      <c r="J1279">
        <f>SMALL(SimData1000!$B$9:$B$1008,270)</f>
        <v>0.26926313974295352</v>
      </c>
      <c r="K1279">
        <f>1/(COUNT(SimData1000!$B$9:$B$1008)-1)+$K$1278</f>
        <v>0.2692692692692697</v>
      </c>
      <c r="L1279">
        <f>SMALL(SimData1000!$C$9:$C$1008,270)</f>
        <v>0.2703766948707198</v>
      </c>
      <c r="M1279">
        <f>1/(COUNT(SimData1000!$C$9:$C$1008)-1)+$M$1278</f>
        <v>0.2692692692692697</v>
      </c>
    </row>
    <row r="1280" spans="10:13">
      <c r="J1280">
        <f>SMALL(SimData1000!$B$9:$B$1008,271)</f>
        <v>0.27081071681594726</v>
      </c>
      <c r="K1280">
        <f>1/(COUNT(SimData1000!$B$9:$B$1008)-1)+$K$1279</f>
        <v>0.27027027027027067</v>
      </c>
      <c r="L1280">
        <f>SMALL(SimData1000!$C$9:$C$1008,271)</f>
        <v>0.27059642691438057</v>
      </c>
      <c r="M1280">
        <f>1/(COUNT(SimData1000!$C$9:$C$1008)-1)+$M$1279</f>
        <v>0.27027027027027067</v>
      </c>
    </row>
    <row r="1281" spans="10:13">
      <c r="J1281">
        <f>SMALL(SimData1000!$B$9:$B$1008,272)</f>
        <v>0.2719500721536926</v>
      </c>
      <c r="K1281">
        <f>1/(COUNT(SimData1000!$B$9:$B$1008)-1)+$K$1280</f>
        <v>0.27127127127127165</v>
      </c>
      <c r="L1281">
        <f>SMALL(SimData1000!$C$9:$C$1008,272)</f>
        <v>0.27073589260453446</v>
      </c>
      <c r="M1281">
        <f>1/(COUNT(SimData1000!$C$9:$C$1008)-1)+$M$1280</f>
        <v>0.27127127127127165</v>
      </c>
    </row>
    <row r="1282" spans="10:13">
      <c r="J1282">
        <f>SMALL(SimData1000!$B$9:$B$1008,273)</f>
        <v>0.27254729060003241</v>
      </c>
      <c r="K1282">
        <f>1/(COUNT(SimData1000!$B$9:$B$1008)-1)+$K$1281</f>
        <v>0.27227227227227263</v>
      </c>
      <c r="L1282">
        <f>SMALL(SimData1000!$C$9:$C$1008,273)</f>
        <v>0.27175056943087839</v>
      </c>
      <c r="M1282">
        <f>1/(COUNT(SimData1000!$C$9:$C$1008)-1)+$M$1281</f>
        <v>0.27227227227227263</v>
      </c>
    </row>
    <row r="1283" spans="10:13">
      <c r="J1283">
        <f>SMALL(SimData1000!$B$9:$B$1008,274)</f>
        <v>0.27343904839070488</v>
      </c>
      <c r="K1283">
        <f>1/(COUNT(SimData1000!$B$9:$B$1008)-1)+$K$1282</f>
        <v>0.27327327327327361</v>
      </c>
      <c r="L1283">
        <f>SMALL(SimData1000!$C$9:$C$1008,274)</f>
        <v>0.27190750237605243</v>
      </c>
      <c r="M1283">
        <f>1/(COUNT(SimData1000!$C$9:$C$1008)-1)+$M$1282</f>
        <v>0.27327327327327361</v>
      </c>
    </row>
    <row r="1284" spans="10:13">
      <c r="J1284">
        <f>SMALL(SimData1000!$B$9:$B$1008,275)</f>
        <v>0.2746051373546024</v>
      </c>
      <c r="K1284">
        <f>1/(COUNT(SimData1000!$B$9:$B$1008)-1)+$K$1283</f>
        <v>0.27427427427427459</v>
      </c>
      <c r="L1284">
        <f>SMALL(SimData1000!$C$9:$C$1008,275)</f>
        <v>0.27364792109619884</v>
      </c>
      <c r="M1284">
        <f>1/(COUNT(SimData1000!$C$9:$C$1008)-1)+$M$1283</f>
        <v>0.27427427427427459</v>
      </c>
    </row>
    <row r="1285" spans="10:13">
      <c r="J1285">
        <f>SMALL(SimData1000!$B$9:$B$1008,276)</f>
        <v>0.27556550701883747</v>
      </c>
      <c r="K1285">
        <f>1/(COUNT(SimData1000!$B$9:$B$1008)-1)+$K$1284</f>
        <v>0.27527527527527557</v>
      </c>
      <c r="L1285">
        <f>SMALL(SimData1000!$C$9:$C$1008,276)</f>
        <v>0.2738405067466374</v>
      </c>
      <c r="M1285">
        <f>1/(COUNT(SimData1000!$C$9:$C$1008)-1)+$M$1284</f>
        <v>0.27527527527527557</v>
      </c>
    </row>
    <row r="1286" spans="10:13">
      <c r="J1286">
        <f>SMALL(SimData1000!$B$9:$B$1008,277)</f>
        <v>0.27604988744460274</v>
      </c>
      <c r="K1286">
        <f>1/(COUNT(SimData1000!$B$9:$B$1008)-1)+$K$1285</f>
        <v>0.27627627627627654</v>
      </c>
      <c r="L1286">
        <f>SMALL(SimData1000!$C$9:$C$1008,277)</f>
        <v>0.27444819771608309</v>
      </c>
      <c r="M1286">
        <f>1/(COUNT(SimData1000!$C$9:$C$1008)-1)+$M$1285</f>
        <v>0.27627627627627654</v>
      </c>
    </row>
    <row r="1287" spans="10:13">
      <c r="J1287">
        <f>SMALL(SimData1000!$B$9:$B$1008,278)</f>
        <v>0.27707352071420138</v>
      </c>
      <c r="K1287">
        <f>1/(COUNT(SimData1000!$B$9:$B$1008)-1)+$K$1286</f>
        <v>0.27727727727727752</v>
      </c>
      <c r="L1287">
        <f>SMALL(SimData1000!$C$9:$C$1008,278)</f>
        <v>0.27605206057614851</v>
      </c>
      <c r="M1287">
        <f>1/(COUNT(SimData1000!$C$9:$C$1008)-1)+$M$1286</f>
        <v>0.27727727727727752</v>
      </c>
    </row>
    <row r="1288" spans="10:13">
      <c r="J1288">
        <f>SMALL(SimData1000!$B$9:$B$1008,279)</f>
        <v>0.27884213336483621</v>
      </c>
      <c r="K1288">
        <f>1/(COUNT(SimData1000!$B$9:$B$1008)-1)+$K$1287</f>
        <v>0.2782782782782785</v>
      </c>
      <c r="L1288">
        <f>SMALL(SimData1000!$C$9:$C$1008,279)</f>
        <v>0.2760937085331534</v>
      </c>
      <c r="M1288">
        <f>1/(COUNT(SimData1000!$C$9:$C$1008)-1)+$M$1287</f>
        <v>0.2782782782782785</v>
      </c>
    </row>
    <row r="1289" spans="10:13">
      <c r="J1289">
        <f>SMALL(SimData1000!$B$9:$B$1008,280)</f>
        <v>0.27919496836517821</v>
      </c>
      <c r="K1289">
        <f>1/(COUNT(SimData1000!$B$9:$B$1008)-1)+$K$1288</f>
        <v>0.27927927927927948</v>
      </c>
      <c r="L1289">
        <f>SMALL(SimData1000!$C$9:$C$1008,280)</f>
        <v>0.27647046505808248</v>
      </c>
      <c r="M1289">
        <f>1/(COUNT(SimData1000!$C$9:$C$1008)-1)+$M$1288</f>
        <v>0.27927927927927948</v>
      </c>
    </row>
    <row r="1290" spans="10:13">
      <c r="J1290">
        <f>SMALL(SimData1000!$B$9:$B$1008,281)</f>
        <v>0.28091613294042556</v>
      </c>
      <c r="K1290">
        <f>1/(COUNT(SimData1000!$B$9:$B$1008)-1)+$K$1289</f>
        <v>0.28028028028028046</v>
      </c>
      <c r="L1290">
        <f>SMALL(SimData1000!$C$9:$C$1008,281)</f>
        <v>0.27672107212856645</v>
      </c>
      <c r="M1290">
        <f>1/(COUNT(SimData1000!$C$9:$C$1008)-1)+$M$1289</f>
        <v>0.28028028028028046</v>
      </c>
    </row>
    <row r="1291" spans="10:13">
      <c r="J1291">
        <f>SMALL(SimData1000!$B$9:$B$1008,282)</f>
        <v>0.28135980615051459</v>
      </c>
      <c r="K1291">
        <f>1/(COUNT(SimData1000!$B$9:$B$1008)-1)+$K$1290</f>
        <v>0.28128128128128144</v>
      </c>
      <c r="L1291">
        <f>SMALL(SimData1000!$C$9:$C$1008,282)</f>
        <v>0.27772327210550429</v>
      </c>
      <c r="M1291">
        <f>1/(COUNT(SimData1000!$C$9:$C$1008)-1)+$M$1290</f>
        <v>0.28128128128128144</v>
      </c>
    </row>
    <row r="1292" spans="10:13">
      <c r="J1292">
        <f>SMALL(SimData1000!$B$9:$B$1008,283)</f>
        <v>0.28213960241320069</v>
      </c>
      <c r="K1292">
        <f>1/(COUNT(SimData1000!$B$9:$B$1008)-1)+$K$1291</f>
        <v>0.28228228228228242</v>
      </c>
      <c r="L1292">
        <f>SMALL(SimData1000!$C$9:$C$1008,283)</f>
        <v>0.27791284618342615</v>
      </c>
      <c r="M1292">
        <f>1/(COUNT(SimData1000!$C$9:$C$1008)-1)+$M$1291</f>
        <v>0.28228228228228242</v>
      </c>
    </row>
    <row r="1293" spans="10:13">
      <c r="J1293">
        <f>SMALL(SimData1000!$B$9:$B$1008,284)</f>
        <v>0.28320607919623286</v>
      </c>
      <c r="K1293">
        <f>1/(COUNT(SimData1000!$B$9:$B$1008)-1)+$K$1292</f>
        <v>0.28328328328328339</v>
      </c>
      <c r="L1293">
        <f>SMALL(SimData1000!$C$9:$C$1008,284)</f>
        <v>0.27853090019289084</v>
      </c>
      <c r="M1293">
        <f>1/(COUNT(SimData1000!$C$9:$C$1008)-1)+$M$1292</f>
        <v>0.28328328328328339</v>
      </c>
    </row>
    <row r="1294" spans="10:13">
      <c r="J1294">
        <f>SMALL(SimData1000!$B$9:$B$1008,285)</f>
        <v>0.28427239124040876</v>
      </c>
      <c r="K1294">
        <f>1/(COUNT(SimData1000!$B$9:$B$1008)-1)+$K$1293</f>
        <v>0.28428428428428437</v>
      </c>
      <c r="L1294">
        <f>SMALL(SimData1000!$C$9:$C$1008,285)</f>
        <v>0.27880831695165398</v>
      </c>
      <c r="M1294">
        <f>1/(COUNT(SimData1000!$C$9:$C$1008)-1)+$M$1293</f>
        <v>0.28428428428428437</v>
      </c>
    </row>
    <row r="1295" spans="10:13">
      <c r="J1295">
        <f>SMALL(SimData1000!$B$9:$B$1008,286)</f>
        <v>0.28569802538810718</v>
      </c>
      <c r="K1295">
        <f>1/(COUNT(SimData1000!$B$9:$B$1008)-1)+$K$1294</f>
        <v>0.28528528528528535</v>
      </c>
      <c r="L1295">
        <f>SMALL(SimData1000!$C$9:$C$1008,286)</f>
        <v>0.27916761522646993</v>
      </c>
      <c r="M1295">
        <f>1/(COUNT(SimData1000!$C$9:$C$1008)-1)+$M$1294</f>
        <v>0.28528528528528535</v>
      </c>
    </row>
    <row r="1296" spans="10:13">
      <c r="J1296">
        <f>SMALL(SimData1000!$B$9:$B$1008,287)</f>
        <v>0.28660050897547057</v>
      </c>
      <c r="K1296">
        <f>1/(COUNT(SimData1000!$B$9:$B$1008)-1)+$K$1295</f>
        <v>0.28628628628628633</v>
      </c>
      <c r="L1296">
        <f>SMALL(SimData1000!$C$9:$C$1008,287)</f>
        <v>0.28056619398466864</v>
      </c>
      <c r="M1296">
        <f>1/(COUNT(SimData1000!$C$9:$C$1008)-1)+$M$1295</f>
        <v>0.28628628628628633</v>
      </c>
    </row>
    <row r="1297" spans="10:13">
      <c r="J1297">
        <f>SMALL(SimData1000!$B$9:$B$1008,288)</f>
        <v>0.28785673787348359</v>
      </c>
      <c r="K1297">
        <f>1/(COUNT(SimData1000!$B$9:$B$1008)-1)+$K$1296</f>
        <v>0.28728728728728731</v>
      </c>
      <c r="L1297">
        <f>SMALL(SimData1000!$C$9:$C$1008,288)</f>
        <v>0.28068192672708392</v>
      </c>
      <c r="M1297">
        <f>1/(COUNT(SimData1000!$C$9:$C$1008)-1)+$M$1296</f>
        <v>0.28728728728728731</v>
      </c>
    </row>
    <row r="1298" spans="10:13">
      <c r="J1298">
        <f>SMALL(SimData1000!$B$9:$B$1008,289)</f>
        <v>0.28810808607216648</v>
      </c>
      <c r="K1298">
        <f>1/(COUNT(SimData1000!$B$9:$B$1008)-1)+$K$1297</f>
        <v>0.28828828828828829</v>
      </c>
      <c r="L1298">
        <f>SMALL(SimData1000!$C$9:$C$1008,289)</f>
        <v>0.28108064131811261</v>
      </c>
      <c r="M1298">
        <f>1/(COUNT(SimData1000!$C$9:$C$1008)-1)+$M$1297</f>
        <v>0.28828828828828829</v>
      </c>
    </row>
    <row r="1299" spans="10:13">
      <c r="J1299">
        <f>SMALL(SimData1000!$B$9:$B$1008,290)</f>
        <v>0.28961485085697258</v>
      </c>
      <c r="K1299">
        <f>1/(COUNT(SimData1000!$B$9:$B$1008)-1)+$K$1298</f>
        <v>0.28928928928928926</v>
      </c>
      <c r="L1299">
        <f>SMALL(SimData1000!$C$9:$C$1008,290)</f>
        <v>0.28119547501592024</v>
      </c>
      <c r="M1299">
        <f>1/(COUNT(SimData1000!$C$9:$C$1008)-1)+$M$1298</f>
        <v>0.28928928928928926</v>
      </c>
    </row>
    <row r="1300" spans="10:13">
      <c r="J1300">
        <f>SMALL(SimData1000!$B$9:$B$1008,291)</f>
        <v>0.29060552539853507</v>
      </c>
      <c r="K1300">
        <f>1/(COUNT(SimData1000!$B$9:$B$1008)-1)+$K$1299</f>
        <v>0.29029029029029024</v>
      </c>
      <c r="L1300">
        <f>SMALL(SimData1000!$C$9:$C$1008,291)</f>
        <v>0.28145624904209399</v>
      </c>
      <c r="M1300">
        <f>1/(COUNT(SimData1000!$C$9:$C$1008)-1)+$M$1299</f>
        <v>0.29029029029029024</v>
      </c>
    </row>
    <row r="1301" spans="10:13">
      <c r="J1301">
        <f>SMALL(SimData1000!$B$9:$B$1008,292)</f>
        <v>0.29121141333277606</v>
      </c>
      <c r="K1301">
        <f>1/(COUNT(SimData1000!$B$9:$B$1008)-1)+$K$1300</f>
        <v>0.29129129129129122</v>
      </c>
      <c r="L1301">
        <f>SMALL(SimData1000!$C$9:$C$1008,292)</f>
        <v>0.28159214782408526</v>
      </c>
      <c r="M1301">
        <f>1/(COUNT(SimData1000!$C$9:$C$1008)-1)+$M$1300</f>
        <v>0.29129129129129122</v>
      </c>
    </row>
    <row r="1302" spans="10:13">
      <c r="J1302">
        <f>SMALL(SimData1000!$B$9:$B$1008,293)</f>
        <v>0.29208638583195545</v>
      </c>
      <c r="K1302">
        <f>1/(COUNT(SimData1000!$B$9:$B$1008)-1)+$K$1301</f>
        <v>0.2922922922922922</v>
      </c>
      <c r="L1302">
        <f>SMALL(SimData1000!$C$9:$C$1008,293)</f>
        <v>0.28415492639580009</v>
      </c>
      <c r="M1302">
        <f>1/(COUNT(SimData1000!$C$9:$C$1008)-1)+$M$1301</f>
        <v>0.2922922922922922</v>
      </c>
    </row>
    <row r="1303" spans="10:13">
      <c r="J1303">
        <f>SMALL(SimData1000!$B$9:$B$1008,294)</f>
        <v>0.29312896517667197</v>
      </c>
      <c r="K1303">
        <f>1/(COUNT(SimData1000!$B$9:$B$1008)-1)+$K$1302</f>
        <v>0.29329329329329318</v>
      </c>
      <c r="L1303">
        <f>SMALL(SimData1000!$C$9:$C$1008,294)</f>
        <v>0.28726741998798389</v>
      </c>
      <c r="M1303">
        <f>1/(COUNT(SimData1000!$C$9:$C$1008)-1)+$M$1302</f>
        <v>0.29329329329329318</v>
      </c>
    </row>
    <row r="1304" spans="10:13">
      <c r="J1304">
        <f>SMALL(SimData1000!$B$9:$B$1008,295)</f>
        <v>0.29412411366149877</v>
      </c>
      <c r="K1304">
        <f>1/(COUNT(SimData1000!$B$9:$B$1008)-1)+$K$1303</f>
        <v>0.29429429429429416</v>
      </c>
      <c r="L1304">
        <f>SMALL(SimData1000!$C$9:$C$1008,295)</f>
        <v>0.28888959381129098</v>
      </c>
      <c r="M1304">
        <f>1/(COUNT(SimData1000!$C$9:$C$1008)-1)+$M$1303</f>
        <v>0.29429429429429416</v>
      </c>
    </row>
    <row r="1305" spans="10:13">
      <c r="J1305">
        <f>SMALL(SimData1000!$B$9:$B$1008,296)</f>
        <v>0.29562322644042394</v>
      </c>
      <c r="K1305">
        <f>1/(COUNT(SimData1000!$B$9:$B$1008)-1)+$K$1304</f>
        <v>0.29529529529529513</v>
      </c>
      <c r="L1305">
        <f>SMALL(SimData1000!$C$9:$C$1008,296)</f>
        <v>0.28923570066126558</v>
      </c>
      <c r="M1305">
        <f>1/(COUNT(SimData1000!$C$9:$C$1008)-1)+$M$1304</f>
        <v>0.29529529529529513</v>
      </c>
    </row>
    <row r="1306" spans="10:13">
      <c r="J1306">
        <f>SMALL(SimData1000!$B$9:$B$1008,297)</f>
        <v>0.29685497549731632</v>
      </c>
      <c r="K1306">
        <f>1/(COUNT(SimData1000!$B$9:$B$1008)-1)+$K$1305</f>
        <v>0.29629629629629611</v>
      </c>
      <c r="L1306">
        <f>SMALL(SimData1000!$C$9:$C$1008,297)</f>
        <v>0.28983927239460172</v>
      </c>
      <c r="M1306">
        <f>1/(COUNT(SimData1000!$C$9:$C$1008)-1)+$M$1305</f>
        <v>0.29629629629629611</v>
      </c>
    </row>
    <row r="1307" spans="10:13">
      <c r="J1307">
        <f>SMALL(SimData1000!$B$9:$B$1008,298)</f>
        <v>0.29725637218152551</v>
      </c>
      <c r="K1307">
        <f>1/(COUNT(SimData1000!$B$9:$B$1008)-1)+$K$1306</f>
        <v>0.29729729729729709</v>
      </c>
      <c r="L1307">
        <f>SMALL(SimData1000!$C$9:$C$1008,298)</f>
        <v>0.29059891763881751</v>
      </c>
      <c r="M1307">
        <f>1/(COUNT(SimData1000!$C$9:$C$1008)-1)+$M$1306</f>
        <v>0.29729729729729709</v>
      </c>
    </row>
    <row r="1308" spans="10:13">
      <c r="J1308">
        <f>SMALL(SimData1000!$B$9:$B$1008,299)</f>
        <v>0.29870534409110094</v>
      </c>
      <c r="K1308">
        <f>1/(COUNT(SimData1000!$B$9:$B$1008)-1)+$K$1307</f>
        <v>0.29829829829829807</v>
      </c>
      <c r="L1308">
        <f>SMALL(SimData1000!$C$9:$C$1008,299)</f>
        <v>0.29217183981199923</v>
      </c>
      <c r="M1308">
        <f>1/(COUNT(SimData1000!$C$9:$C$1008)-1)+$M$1307</f>
        <v>0.29829829829829807</v>
      </c>
    </row>
    <row r="1309" spans="10:13">
      <c r="J1309">
        <f>SMALL(SimData1000!$B$9:$B$1008,300)</f>
        <v>0.29997959326928936</v>
      </c>
      <c r="K1309">
        <f>1/(COUNT(SimData1000!$B$9:$B$1008)-1)+$K$1308</f>
        <v>0.29929929929929905</v>
      </c>
      <c r="L1309">
        <f>SMALL(SimData1000!$C$9:$C$1008,300)</f>
        <v>0.29317600681406475</v>
      </c>
      <c r="M1309">
        <f>1/(COUNT(SimData1000!$C$9:$C$1008)-1)+$M$1308</f>
        <v>0.29929929929929905</v>
      </c>
    </row>
    <row r="1310" spans="10:13">
      <c r="J1310">
        <f>SMALL(SimData1000!$B$9:$B$1008,301)</f>
        <v>0.30048751094320031</v>
      </c>
      <c r="K1310">
        <f>1/(COUNT(SimData1000!$B$9:$B$1008)-1)+$K$1309</f>
        <v>0.30030030030030003</v>
      </c>
      <c r="L1310">
        <f>SMALL(SimData1000!$C$9:$C$1008,301)</f>
        <v>0.29401660024177545</v>
      </c>
      <c r="M1310">
        <f>1/(COUNT(SimData1000!$C$9:$C$1008)-1)+$M$1309</f>
        <v>0.30030030030030003</v>
      </c>
    </row>
    <row r="1311" spans="10:13">
      <c r="J1311">
        <f>SMALL(SimData1000!$B$9:$B$1008,302)</f>
        <v>0.30132685687028032</v>
      </c>
      <c r="K1311">
        <f>1/(COUNT(SimData1000!$B$9:$B$1008)-1)+$K$1310</f>
        <v>0.30130130130130101</v>
      </c>
      <c r="L1311">
        <f>SMALL(SimData1000!$C$9:$C$1008,302)</f>
        <v>0.29441384320307407</v>
      </c>
      <c r="M1311">
        <f>1/(COUNT(SimData1000!$C$9:$C$1008)-1)+$M$1310</f>
        <v>0.30130130130130101</v>
      </c>
    </row>
    <row r="1312" spans="10:13">
      <c r="J1312">
        <f>SMALL(SimData1000!$B$9:$B$1008,303)</f>
        <v>0.30268574482381477</v>
      </c>
      <c r="K1312">
        <f>1/(COUNT(SimData1000!$B$9:$B$1008)-1)+$K$1311</f>
        <v>0.30230230230230198</v>
      </c>
      <c r="L1312">
        <f>SMALL(SimData1000!$C$9:$C$1008,303)</f>
        <v>0.29461533405537921</v>
      </c>
      <c r="M1312">
        <f>1/(COUNT(SimData1000!$C$9:$C$1008)-1)+$M$1311</f>
        <v>0.30230230230230198</v>
      </c>
    </row>
    <row r="1313" spans="10:13">
      <c r="J1313">
        <f>SMALL(SimData1000!$B$9:$B$1008,304)</f>
        <v>0.30307455056325405</v>
      </c>
      <c r="K1313">
        <f>1/(COUNT(SimData1000!$B$9:$B$1008)-1)+$K$1312</f>
        <v>0.30330330330330296</v>
      </c>
      <c r="L1313">
        <f>SMALL(SimData1000!$C$9:$C$1008,304)</f>
        <v>0.29473292099100945</v>
      </c>
      <c r="M1313">
        <f>1/(COUNT(SimData1000!$C$9:$C$1008)-1)+$M$1312</f>
        <v>0.30330330330330296</v>
      </c>
    </row>
    <row r="1314" spans="10:13">
      <c r="J1314">
        <f>SMALL(SimData1000!$B$9:$B$1008,305)</f>
        <v>0.30409670906469616</v>
      </c>
      <c r="K1314">
        <f>1/(COUNT(SimData1000!$B$9:$B$1008)-1)+$K$1313</f>
        <v>0.30430430430430394</v>
      </c>
      <c r="L1314">
        <f>SMALL(SimData1000!$C$9:$C$1008,305)</f>
        <v>0.29570652678103215</v>
      </c>
      <c r="M1314">
        <f>1/(COUNT(SimData1000!$C$9:$C$1008)-1)+$M$1313</f>
        <v>0.30430430430430394</v>
      </c>
    </row>
    <row r="1315" spans="10:13">
      <c r="J1315">
        <f>SMALL(SimData1000!$B$9:$B$1008,306)</f>
        <v>0.30515674364151357</v>
      </c>
      <c r="K1315">
        <f>1/(COUNT(SimData1000!$B$9:$B$1008)-1)+$K$1314</f>
        <v>0.30530530530530492</v>
      </c>
      <c r="L1315">
        <f>SMALL(SimData1000!$C$9:$C$1008,306)</f>
        <v>0.2978686901715264</v>
      </c>
      <c r="M1315">
        <f>1/(COUNT(SimData1000!$C$9:$C$1008)-1)+$M$1314</f>
        <v>0.30530530530530492</v>
      </c>
    </row>
    <row r="1316" spans="10:13">
      <c r="J1316">
        <f>SMALL(SimData1000!$B$9:$B$1008,307)</f>
        <v>0.30624999906361333</v>
      </c>
      <c r="K1316">
        <f>1/(COUNT(SimData1000!$B$9:$B$1008)-1)+$K$1315</f>
        <v>0.3063063063063059</v>
      </c>
      <c r="L1316">
        <f>SMALL(SimData1000!$C$9:$C$1008,307)</f>
        <v>0.29886063253434259</v>
      </c>
      <c r="M1316">
        <f>1/(COUNT(SimData1000!$C$9:$C$1008)-1)+$M$1315</f>
        <v>0.3063063063063059</v>
      </c>
    </row>
    <row r="1317" spans="10:13">
      <c r="J1317">
        <f>SMALL(SimData1000!$B$9:$B$1008,308)</f>
        <v>0.30739762339610555</v>
      </c>
      <c r="K1317">
        <f>1/(COUNT(SimData1000!$B$9:$B$1008)-1)+$K$1316</f>
        <v>0.30730730730730688</v>
      </c>
      <c r="L1317">
        <f>SMALL(SimData1000!$C$9:$C$1008,308)</f>
        <v>0.2992576046517712</v>
      </c>
      <c r="M1317">
        <f>1/(COUNT(SimData1000!$C$9:$C$1008)-1)+$M$1316</f>
        <v>0.30730730730730688</v>
      </c>
    </row>
    <row r="1318" spans="10:13">
      <c r="J1318">
        <f>SMALL(SimData1000!$B$9:$B$1008,309)</f>
        <v>0.30816222829491879</v>
      </c>
      <c r="K1318">
        <f>1/(COUNT(SimData1000!$B$9:$B$1008)-1)+$K$1317</f>
        <v>0.30830830830830785</v>
      </c>
      <c r="L1318">
        <f>SMALL(SimData1000!$C$9:$C$1008,309)</f>
        <v>0.29957750196990673</v>
      </c>
      <c r="M1318">
        <f>1/(COUNT(SimData1000!$C$9:$C$1008)-1)+$M$1317</f>
        <v>0.30830830830830785</v>
      </c>
    </row>
    <row r="1319" spans="10:13">
      <c r="J1319">
        <f>SMALL(SimData1000!$B$9:$B$1008,310)</f>
        <v>0.30979196844827195</v>
      </c>
      <c r="K1319">
        <f>1/(COUNT(SimData1000!$B$9:$B$1008)-1)+$K$1318</f>
        <v>0.30930930930930883</v>
      </c>
      <c r="L1319">
        <f>SMALL(SimData1000!$C$9:$C$1008,310)</f>
        <v>0.30095983162894413</v>
      </c>
      <c r="M1319">
        <f>1/(COUNT(SimData1000!$C$9:$C$1008)-1)+$M$1318</f>
        <v>0.30930930930930883</v>
      </c>
    </row>
    <row r="1320" spans="10:13">
      <c r="J1320">
        <f>SMALL(SimData1000!$B$9:$B$1008,311)</f>
        <v>0.31081395703410125</v>
      </c>
      <c r="K1320">
        <f>1/(COUNT(SimData1000!$B$9:$B$1008)-1)+$K$1319</f>
        <v>0.31031031031030981</v>
      </c>
      <c r="L1320">
        <f>SMALL(SimData1000!$C$9:$C$1008,311)</f>
        <v>0.3019710314756594</v>
      </c>
      <c r="M1320">
        <f>1/(COUNT(SimData1000!$C$9:$C$1008)-1)+$M$1319</f>
        <v>0.31031031031030981</v>
      </c>
    </row>
    <row r="1321" spans="10:13">
      <c r="J1321">
        <f>SMALL(SimData1000!$B$9:$B$1008,312)</f>
        <v>0.31155267887831495</v>
      </c>
      <c r="K1321">
        <f>1/(COUNT(SimData1000!$B$9:$B$1008)-1)+$K$1320</f>
        <v>0.31131131131131079</v>
      </c>
      <c r="L1321">
        <f>SMALL(SimData1000!$C$9:$C$1008,312)</f>
        <v>0.30493725582527986</v>
      </c>
      <c r="M1321">
        <f>1/(COUNT(SimData1000!$C$9:$C$1008)-1)+$M$1320</f>
        <v>0.31131131131131079</v>
      </c>
    </row>
    <row r="1322" spans="10:13">
      <c r="J1322">
        <f>SMALL(SimData1000!$B$9:$B$1008,313)</f>
        <v>0.3124651831592119</v>
      </c>
      <c r="K1322">
        <f>1/(COUNT(SimData1000!$B$9:$B$1008)-1)+$K$1321</f>
        <v>0.31231231231231177</v>
      </c>
      <c r="L1322">
        <f>SMALL(SimData1000!$C$9:$C$1008,313)</f>
        <v>0.30502930725560873</v>
      </c>
      <c r="M1322">
        <f>1/(COUNT(SimData1000!$C$9:$C$1008)-1)+$M$1321</f>
        <v>0.31231231231231177</v>
      </c>
    </row>
    <row r="1323" spans="10:13">
      <c r="J1323">
        <f>SMALL(SimData1000!$B$9:$B$1008,314)</f>
        <v>0.31315126659631526</v>
      </c>
      <c r="K1323">
        <f>1/(COUNT(SimData1000!$B$9:$B$1008)-1)+$K$1322</f>
        <v>0.31331331331331275</v>
      </c>
      <c r="L1323">
        <f>SMALL(SimData1000!$C$9:$C$1008,314)</f>
        <v>0.30512906826515973</v>
      </c>
      <c r="M1323">
        <f>1/(COUNT(SimData1000!$C$9:$C$1008)-1)+$M$1322</f>
        <v>0.31331331331331275</v>
      </c>
    </row>
    <row r="1324" spans="10:13">
      <c r="J1324">
        <f>SMALL(SimData1000!$B$9:$B$1008,315)</f>
        <v>0.31406306781760951</v>
      </c>
      <c r="K1324">
        <f>1/(COUNT(SimData1000!$B$9:$B$1008)-1)+$K$1323</f>
        <v>0.31431431431431373</v>
      </c>
      <c r="L1324">
        <f>SMALL(SimData1000!$C$9:$C$1008,315)</f>
        <v>0.30599089498173271</v>
      </c>
      <c r="M1324">
        <f>1/(COUNT(SimData1000!$C$9:$C$1008)-1)+$M$1323</f>
        <v>0.31431431431431373</v>
      </c>
    </row>
    <row r="1325" spans="10:13">
      <c r="J1325">
        <f>SMALL(SimData1000!$B$9:$B$1008,316)</f>
        <v>0.31517788484161208</v>
      </c>
      <c r="K1325">
        <f>1/(COUNT(SimData1000!$B$9:$B$1008)-1)+$K$1324</f>
        <v>0.3153153153153147</v>
      </c>
      <c r="L1325">
        <f>SMALL(SimData1000!$C$9:$C$1008,316)</f>
        <v>0.30677981593544246</v>
      </c>
      <c r="M1325">
        <f>1/(COUNT(SimData1000!$C$9:$C$1008)-1)+$M$1324</f>
        <v>0.3153153153153147</v>
      </c>
    </row>
    <row r="1326" spans="10:13">
      <c r="J1326">
        <f>SMALL(SimData1000!$B$9:$B$1008,317)</f>
        <v>0.31632666027134437</v>
      </c>
      <c r="K1326">
        <f>1/(COUNT(SimData1000!$B$9:$B$1008)-1)+$K$1325</f>
        <v>0.31631631631631568</v>
      </c>
      <c r="L1326">
        <f>SMALL(SimData1000!$C$9:$C$1008,317)</f>
        <v>0.30961602991101245</v>
      </c>
      <c r="M1326">
        <f>1/(COUNT(SimData1000!$C$9:$C$1008)-1)+$M$1325</f>
        <v>0.31631631631631568</v>
      </c>
    </row>
    <row r="1327" spans="10:13">
      <c r="J1327">
        <f>SMALL(SimData1000!$B$9:$B$1008,318)</f>
        <v>0.31766816869510062</v>
      </c>
      <c r="K1327">
        <f>1/(COUNT(SimData1000!$B$9:$B$1008)-1)+$K$1326</f>
        <v>0.31731731731731666</v>
      </c>
      <c r="L1327">
        <f>SMALL(SimData1000!$C$9:$C$1008,318)</f>
        <v>0.30962999830626359</v>
      </c>
      <c r="M1327">
        <f>1/(COUNT(SimData1000!$C$9:$C$1008)-1)+$M$1326</f>
        <v>0.31731731731731666</v>
      </c>
    </row>
    <row r="1328" spans="10:13">
      <c r="J1328">
        <f>SMALL(SimData1000!$B$9:$B$1008,319)</f>
        <v>0.31858844464076413</v>
      </c>
      <c r="K1328">
        <f>1/(COUNT(SimData1000!$B$9:$B$1008)-1)+$K$1327</f>
        <v>0.31831831831831764</v>
      </c>
      <c r="L1328">
        <f>SMALL(SimData1000!$C$9:$C$1008,319)</f>
        <v>0.3121393452393022</v>
      </c>
      <c r="M1328">
        <f>1/(COUNT(SimData1000!$C$9:$C$1008)-1)+$M$1327</f>
        <v>0.31831831831831764</v>
      </c>
    </row>
    <row r="1329" spans="10:13">
      <c r="J1329">
        <f>SMALL(SimData1000!$B$9:$B$1008,320)</f>
        <v>0.31954291359743636</v>
      </c>
      <c r="K1329">
        <f>1/(COUNT(SimData1000!$B$9:$B$1008)-1)+$K$1328</f>
        <v>0.31931931931931862</v>
      </c>
      <c r="L1329">
        <f>SMALL(SimData1000!$C$9:$C$1008,320)</f>
        <v>0.3129577178215186</v>
      </c>
      <c r="M1329">
        <f>1/(COUNT(SimData1000!$C$9:$C$1008)-1)+$M$1328</f>
        <v>0.31931931931931862</v>
      </c>
    </row>
    <row r="1330" spans="10:13">
      <c r="J1330">
        <f>SMALL(SimData1000!$B$9:$B$1008,321)</f>
        <v>0.32011565416844462</v>
      </c>
      <c r="K1330">
        <f>1/(COUNT(SimData1000!$B$9:$B$1008)-1)+$K$1329</f>
        <v>0.3203203203203196</v>
      </c>
      <c r="L1330">
        <f>SMALL(SimData1000!$C$9:$C$1008,321)</f>
        <v>0.31342194446096983</v>
      </c>
      <c r="M1330">
        <f>1/(COUNT(SimData1000!$C$9:$C$1008)-1)+$M$1329</f>
        <v>0.3203203203203196</v>
      </c>
    </row>
    <row r="1331" spans="10:13">
      <c r="J1331">
        <f>SMALL(SimData1000!$B$9:$B$1008,322)</f>
        <v>0.32155271724507972</v>
      </c>
      <c r="K1331">
        <f>1/(COUNT(SimData1000!$B$9:$B$1008)-1)+$K$1330</f>
        <v>0.32132132132132057</v>
      </c>
      <c r="L1331">
        <f>SMALL(SimData1000!$C$9:$C$1008,322)</f>
        <v>0.31419831569746748</v>
      </c>
      <c r="M1331">
        <f>1/(COUNT(SimData1000!$C$9:$C$1008)-1)+$M$1330</f>
        <v>0.32132132132132057</v>
      </c>
    </row>
    <row r="1332" spans="10:13">
      <c r="J1332">
        <f>SMALL(SimData1000!$B$9:$B$1008,323)</f>
        <v>0.32203268244048411</v>
      </c>
      <c r="K1332">
        <f>1/(COUNT(SimData1000!$B$9:$B$1008)-1)+$K$1331</f>
        <v>0.32232232232232155</v>
      </c>
      <c r="L1332">
        <f>SMALL(SimData1000!$C$9:$C$1008,323)</f>
        <v>0.31488633305434632</v>
      </c>
      <c r="M1332">
        <f>1/(COUNT(SimData1000!$C$9:$C$1008)-1)+$M$1331</f>
        <v>0.32232232232232155</v>
      </c>
    </row>
    <row r="1333" spans="10:13">
      <c r="J1333">
        <f>SMALL(SimData1000!$B$9:$B$1008,324)</f>
        <v>0.32311559015678137</v>
      </c>
      <c r="K1333">
        <f>1/(COUNT(SimData1000!$B$9:$B$1008)-1)+$K$1332</f>
        <v>0.32332332332332253</v>
      </c>
      <c r="L1333">
        <f>SMALL(SimData1000!$C$9:$C$1008,324)</f>
        <v>0.31546363650977582</v>
      </c>
      <c r="M1333">
        <f>1/(COUNT(SimData1000!$C$9:$C$1008)-1)+$M$1332</f>
        <v>0.32332332332332253</v>
      </c>
    </row>
    <row r="1334" spans="10:13">
      <c r="J1334">
        <f>SMALL(SimData1000!$B$9:$B$1008,325)</f>
        <v>0.32449671837699062</v>
      </c>
      <c r="K1334">
        <f>1/(COUNT(SimData1000!$B$9:$B$1008)-1)+$K$1333</f>
        <v>0.32432432432432351</v>
      </c>
      <c r="L1334">
        <f>SMALL(SimData1000!$C$9:$C$1008,325)</f>
        <v>0.31596744374110131</v>
      </c>
      <c r="M1334">
        <f>1/(COUNT(SimData1000!$C$9:$C$1008)-1)+$M$1333</f>
        <v>0.32432432432432351</v>
      </c>
    </row>
    <row r="1335" spans="10:13">
      <c r="J1335">
        <f>SMALL(SimData1000!$B$9:$B$1008,326)</f>
        <v>0.32525597563275505</v>
      </c>
      <c r="K1335">
        <f>1/(COUNT(SimData1000!$B$9:$B$1008)-1)+$K$1334</f>
        <v>0.32532532532532449</v>
      </c>
      <c r="L1335">
        <f>SMALL(SimData1000!$C$9:$C$1008,326)</f>
        <v>0.31597364853314502</v>
      </c>
      <c r="M1335">
        <f>1/(COUNT(SimData1000!$C$9:$C$1008)-1)+$M$1334</f>
        <v>0.32532532532532449</v>
      </c>
    </row>
    <row r="1336" spans="10:13">
      <c r="J1336">
        <f>SMALL(SimData1000!$B$9:$B$1008,327)</f>
        <v>0.32602666744078196</v>
      </c>
      <c r="K1336">
        <f>1/(COUNT(SimData1000!$B$9:$B$1008)-1)+$K$1335</f>
        <v>0.32632632632632547</v>
      </c>
      <c r="L1336">
        <f>SMALL(SimData1000!$C$9:$C$1008,327)</f>
        <v>0.31598639556614216</v>
      </c>
      <c r="M1336">
        <f>1/(COUNT(SimData1000!$C$9:$C$1008)-1)+$M$1335</f>
        <v>0.32632632632632547</v>
      </c>
    </row>
    <row r="1337" spans="10:13">
      <c r="J1337">
        <f>SMALL(SimData1000!$B$9:$B$1008,328)</f>
        <v>0.32752579697769274</v>
      </c>
      <c r="K1337">
        <f>1/(COUNT(SimData1000!$B$9:$B$1008)-1)+$K$1336</f>
        <v>0.32732732732732644</v>
      </c>
      <c r="L1337">
        <f>SMALL(SimData1000!$C$9:$C$1008,328)</f>
        <v>0.31634418833982636</v>
      </c>
      <c r="M1337">
        <f>1/(COUNT(SimData1000!$C$9:$C$1008)-1)+$M$1336</f>
        <v>0.32732732732732644</v>
      </c>
    </row>
    <row r="1338" spans="10:13">
      <c r="J1338">
        <f>SMALL(SimData1000!$B$9:$B$1008,329)</f>
        <v>0.32867072601073205</v>
      </c>
      <c r="K1338">
        <f>1/(COUNT(SimData1000!$B$9:$B$1008)-1)+$K$1337</f>
        <v>0.32832832832832742</v>
      </c>
      <c r="L1338">
        <f>SMALL(SimData1000!$C$9:$C$1008,329)</f>
        <v>0.31638221481080109</v>
      </c>
      <c r="M1338">
        <f>1/(COUNT(SimData1000!$C$9:$C$1008)-1)+$M$1337</f>
        <v>0.32832832832832742</v>
      </c>
    </row>
    <row r="1339" spans="10:13">
      <c r="J1339">
        <f>SMALL(SimData1000!$B$9:$B$1008,330)</f>
        <v>0.32955920033402719</v>
      </c>
      <c r="K1339">
        <f>1/(COUNT(SimData1000!$B$9:$B$1008)-1)+$K$1338</f>
        <v>0.3293293293293284</v>
      </c>
      <c r="L1339">
        <f>SMALL(SimData1000!$C$9:$C$1008,330)</f>
        <v>0.31689544848813966</v>
      </c>
      <c r="M1339">
        <f>1/(COUNT(SimData1000!$C$9:$C$1008)-1)+$M$1338</f>
        <v>0.3293293293293284</v>
      </c>
    </row>
    <row r="1340" spans="10:13">
      <c r="J1340">
        <f>SMALL(SimData1000!$B$9:$B$1008,331)</f>
        <v>0.33036599805051597</v>
      </c>
      <c r="K1340">
        <f>1/(COUNT(SimData1000!$B$9:$B$1008)-1)+$K$1339</f>
        <v>0.33033033033032938</v>
      </c>
      <c r="L1340">
        <f>SMALL(SimData1000!$C$9:$C$1008,331)</f>
        <v>0.31837282900323771</v>
      </c>
      <c r="M1340">
        <f>1/(COUNT(SimData1000!$C$9:$C$1008)-1)+$M$1339</f>
        <v>0.33033033033032938</v>
      </c>
    </row>
    <row r="1341" spans="10:13">
      <c r="J1341">
        <f>SMALL(SimData1000!$B$9:$B$1008,332)</f>
        <v>0.33138183825774625</v>
      </c>
      <c r="K1341">
        <f>1/(COUNT(SimData1000!$B$9:$B$1008)-1)+$K$1340</f>
        <v>0.33133133133133036</v>
      </c>
      <c r="L1341">
        <f>SMALL(SimData1000!$C$9:$C$1008,332)</f>
        <v>0.31914641256662435</v>
      </c>
      <c r="M1341">
        <f>1/(COUNT(SimData1000!$C$9:$C$1008)-1)+$M$1340</f>
        <v>0.33133133133133036</v>
      </c>
    </row>
    <row r="1342" spans="10:13">
      <c r="J1342">
        <f>SMALL(SimData1000!$B$9:$B$1008,333)</f>
        <v>0.33256144217880479</v>
      </c>
      <c r="K1342">
        <f>1/(COUNT(SimData1000!$B$9:$B$1008)-1)+$K$1341</f>
        <v>0.33233233233233134</v>
      </c>
      <c r="L1342">
        <f>SMALL(SimData1000!$C$9:$C$1008,333)</f>
        <v>0.32024040990381764</v>
      </c>
      <c r="M1342">
        <f>1/(COUNT(SimData1000!$C$9:$C$1008)-1)+$M$1341</f>
        <v>0.33233233233233134</v>
      </c>
    </row>
    <row r="1343" spans="10:13">
      <c r="J1343">
        <f>SMALL(SimData1000!$B$9:$B$1008,334)</f>
        <v>0.3339521365072467</v>
      </c>
      <c r="K1343">
        <f>1/(COUNT(SimData1000!$B$9:$B$1008)-1)+$K$1342</f>
        <v>0.33333333333333232</v>
      </c>
      <c r="L1343">
        <f>SMALL(SimData1000!$C$9:$C$1008,334)</f>
        <v>0.32255886081202334</v>
      </c>
      <c r="M1343">
        <f>1/(COUNT(SimData1000!$C$9:$C$1008)-1)+$M$1342</f>
        <v>0.33333333333333232</v>
      </c>
    </row>
    <row r="1344" spans="10:13">
      <c r="J1344">
        <f>SMALL(SimData1000!$B$9:$B$1008,335)</f>
        <v>0.33423914375045322</v>
      </c>
      <c r="K1344">
        <f>1/(COUNT(SimData1000!$B$9:$B$1008)-1)+$K$1343</f>
        <v>0.33433433433433329</v>
      </c>
      <c r="L1344">
        <f>SMALL(SimData1000!$C$9:$C$1008,335)</f>
        <v>0.32290114903116773</v>
      </c>
      <c r="M1344">
        <f>1/(COUNT(SimData1000!$C$9:$C$1008)-1)+$M$1343</f>
        <v>0.33433433433433329</v>
      </c>
    </row>
    <row r="1345" spans="10:13">
      <c r="J1345">
        <f>SMALL(SimData1000!$B$9:$B$1008,336)</f>
        <v>0.33589216835398511</v>
      </c>
      <c r="K1345">
        <f>1/(COUNT(SimData1000!$B$9:$B$1008)-1)+$K$1344</f>
        <v>0.33533533533533427</v>
      </c>
      <c r="L1345">
        <f>SMALL(SimData1000!$C$9:$C$1008,336)</f>
        <v>0.32301644320796186</v>
      </c>
      <c r="M1345">
        <f>1/(COUNT(SimData1000!$C$9:$C$1008)-1)+$M$1344</f>
        <v>0.33533533533533427</v>
      </c>
    </row>
    <row r="1346" spans="10:13">
      <c r="J1346">
        <f>SMALL(SimData1000!$B$9:$B$1008,337)</f>
        <v>0.33619332027719201</v>
      </c>
      <c r="K1346">
        <f>1/(COUNT(SimData1000!$B$9:$B$1008)-1)+$K$1345</f>
        <v>0.33633633633633525</v>
      </c>
      <c r="L1346">
        <f>SMALL(SimData1000!$C$9:$C$1008,337)</f>
        <v>0.32528553066367749</v>
      </c>
      <c r="M1346">
        <f>1/(COUNT(SimData1000!$C$9:$C$1008)-1)+$M$1345</f>
        <v>0.33633633633633525</v>
      </c>
    </row>
    <row r="1347" spans="10:13">
      <c r="J1347">
        <f>SMALL(SimData1000!$B$9:$B$1008,338)</f>
        <v>0.33748790426470521</v>
      </c>
      <c r="K1347">
        <f>1/(COUNT(SimData1000!$B$9:$B$1008)-1)+$K$1346</f>
        <v>0.33733733733733623</v>
      </c>
      <c r="L1347">
        <f>SMALL(SimData1000!$C$9:$C$1008,338)</f>
        <v>0.32601795886603213</v>
      </c>
      <c r="M1347">
        <f>1/(COUNT(SimData1000!$C$9:$C$1008)-1)+$M$1346</f>
        <v>0.33733733733733623</v>
      </c>
    </row>
    <row r="1348" spans="10:13">
      <c r="J1348">
        <f>SMALL(SimData1000!$B$9:$B$1008,339)</f>
        <v>0.33885707589165709</v>
      </c>
      <c r="K1348">
        <f>1/(COUNT(SimData1000!$B$9:$B$1008)-1)+$K$1347</f>
        <v>0.33833833833833721</v>
      </c>
      <c r="L1348">
        <f>SMALL(SimData1000!$C$9:$C$1008,339)</f>
        <v>0.3270153138673777</v>
      </c>
      <c r="M1348">
        <f>1/(COUNT(SimData1000!$C$9:$C$1008)-1)+$M$1347</f>
        <v>0.33833833833833721</v>
      </c>
    </row>
    <row r="1349" spans="10:13">
      <c r="J1349">
        <f>SMALL(SimData1000!$B$9:$B$1008,340)</f>
        <v>0.33974437902163351</v>
      </c>
      <c r="K1349">
        <f>1/(COUNT(SimData1000!$B$9:$B$1008)-1)+$K$1348</f>
        <v>0.33933933933933819</v>
      </c>
      <c r="L1349">
        <f>SMALL(SimData1000!$C$9:$C$1008,340)</f>
        <v>0.32794278641449637</v>
      </c>
      <c r="M1349">
        <f>1/(COUNT(SimData1000!$C$9:$C$1008)-1)+$M$1348</f>
        <v>0.33933933933933819</v>
      </c>
    </row>
    <row r="1350" spans="10:13">
      <c r="J1350">
        <f>SMALL(SimData1000!$B$9:$B$1008,341)</f>
        <v>0.3406980355204311</v>
      </c>
      <c r="K1350">
        <f>1/(COUNT(SimData1000!$B$9:$B$1008)-1)+$K$1349</f>
        <v>0.34034034034033916</v>
      </c>
      <c r="L1350">
        <f>SMALL(SimData1000!$C$9:$C$1008,341)</f>
        <v>0.33204514208864566</v>
      </c>
      <c r="M1350">
        <f>1/(COUNT(SimData1000!$C$9:$C$1008)-1)+$M$1349</f>
        <v>0.34034034034033916</v>
      </c>
    </row>
    <row r="1351" spans="10:13">
      <c r="J1351">
        <f>SMALL(SimData1000!$B$9:$B$1008,342)</f>
        <v>0.34172508664492635</v>
      </c>
      <c r="K1351">
        <f>1/(COUNT(SimData1000!$B$9:$B$1008)-1)+$K$1350</f>
        <v>0.34134134134134014</v>
      </c>
      <c r="L1351">
        <f>SMALL(SimData1000!$C$9:$C$1008,342)</f>
        <v>0.33269595359615778</v>
      </c>
      <c r="M1351">
        <f>1/(COUNT(SimData1000!$C$9:$C$1008)-1)+$M$1350</f>
        <v>0.34134134134134014</v>
      </c>
    </row>
    <row r="1352" spans="10:13">
      <c r="J1352">
        <f>SMALL(SimData1000!$B$9:$B$1008,343)</f>
        <v>0.34266413276518326</v>
      </c>
      <c r="K1352">
        <f>1/(COUNT(SimData1000!$B$9:$B$1008)-1)+$K$1351</f>
        <v>0.34234234234234112</v>
      </c>
      <c r="L1352">
        <f>SMALL(SimData1000!$C$9:$C$1008,343)</f>
        <v>0.33337159792154125</v>
      </c>
      <c r="M1352">
        <f>1/(COUNT(SimData1000!$C$9:$C$1008)-1)+$M$1351</f>
        <v>0.34234234234234112</v>
      </c>
    </row>
    <row r="1353" spans="10:13">
      <c r="J1353">
        <f>SMALL(SimData1000!$B$9:$B$1008,344)</f>
        <v>0.34342439154009902</v>
      </c>
      <c r="K1353">
        <f>1/(COUNT(SimData1000!$B$9:$B$1008)-1)+$K$1352</f>
        <v>0.3433433433433421</v>
      </c>
      <c r="L1353">
        <f>SMALL(SimData1000!$C$9:$C$1008,344)</f>
        <v>0.33627841973793693</v>
      </c>
      <c r="M1353">
        <f>1/(COUNT(SimData1000!$C$9:$C$1008)-1)+$M$1352</f>
        <v>0.3433433433433421</v>
      </c>
    </row>
    <row r="1354" spans="10:13">
      <c r="J1354">
        <f>SMALL(SimData1000!$B$9:$B$1008,345)</f>
        <v>0.34421133808563731</v>
      </c>
      <c r="K1354">
        <f>1/(COUNT(SimData1000!$B$9:$B$1008)-1)+$K$1353</f>
        <v>0.34434434434434308</v>
      </c>
      <c r="L1354">
        <f>SMALL(SimData1000!$C$9:$C$1008,345)</f>
        <v>0.33691931359498994</v>
      </c>
      <c r="M1354">
        <f>1/(COUNT(SimData1000!$C$9:$C$1008)-1)+$M$1353</f>
        <v>0.34434434434434308</v>
      </c>
    </row>
    <row r="1355" spans="10:13">
      <c r="J1355">
        <f>SMALL(SimData1000!$B$9:$B$1008,346)</f>
        <v>0.34550740105251487</v>
      </c>
      <c r="K1355">
        <f>1/(COUNT(SimData1000!$B$9:$B$1008)-1)+$K$1354</f>
        <v>0.34534534534534406</v>
      </c>
      <c r="L1355">
        <f>SMALL(SimData1000!$C$9:$C$1008,346)</f>
        <v>0.33941879252415674</v>
      </c>
      <c r="M1355">
        <f>1/(COUNT(SimData1000!$C$9:$C$1008)-1)+$M$1354</f>
        <v>0.34534534534534406</v>
      </c>
    </row>
    <row r="1356" spans="10:13">
      <c r="J1356">
        <f>SMALL(SimData1000!$B$9:$B$1008,347)</f>
        <v>0.34669430396349504</v>
      </c>
      <c r="K1356">
        <f>1/(COUNT(SimData1000!$B$9:$B$1008)-1)+$K$1355</f>
        <v>0.34634634634634504</v>
      </c>
      <c r="L1356">
        <f>SMALL(SimData1000!$C$9:$C$1008,347)</f>
        <v>0.34301351003341551</v>
      </c>
      <c r="M1356">
        <f>1/(COUNT(SimData1000!$C$9:$C$1008)-1)+$M$1355</f>
        <v>0.34634634634634504</v>
      </c>
    </row>
    <row r="1357" spans="10:13">
      <c r="J1357">
        <f>SMALL(SimData1000!$B$9:$B$1008,348)</f>
        <v>0.34701319167320921</v>
      </c>
      <c r="K1357">
        <f>1/(COUNT(SimData1000!$B$9:$B$1008)-1)+$K$1356</f>
        <v>0.34734734734734601</v>
      </c>
      <c r="L1357">
        <f>SMALL(SimData1000!$C$9:$C$1008,348)</f>
        <v>0.34307509177415341</v>
      </c>
      <c r="M1357">
        <f>1/(COUNT(SimData1000!$C$9:$C$1008)-1)+$M$1356</f>
        <v>0.34734734734734601</v>
      </c>
    </row>
    <row r="1358" spans="10:13">
      <c r="J1358">
        <f>SMALL(SimData1000!$B$9:$B$1008,349)</f>
        <v>0.34816028963708329</v>
      </c>
      <c r="K1358">
        <f>1/(COUNT(SimData1000!$B$9:$B$1008)-1)+$K$1357</f>
        <v>0.34834834834834699</v>
      </c>
      <c r="L1358">
        <f>SMALL(SimData1000!$C$9:$C$1008,349)</f>
        <v>0.34538369028814486</v>
      </c>
      <c r="M1358">
        <f>1/(COUNT(SimData1000!$C$9:$C$1008)-1)+$M$1357</f>
        <v>0.34834834834834699</v>
      </c>
    </row>
    <row r="1359" spans="10:13">
      <c r="J1359">
        <f>SMALL(SimData1000!$B$9:$B$1008,350)</f>
        <v>0.34911958000252946</v>
      </c>
      <c r="K1359">
        <f>1/(COUNT(SimData1000!$B$9:$B$1008)-1)+$K$1358</f>
        <v>0.34934934934934797</v>
      </c>
      <c r="L1359">
        <f>SMALL(SimData1000!$C$9:$C$1008,350)</f>
        <v>0.34541044804154808</v>
      </c>
      <c r="M1359">
        <f>1/(COUNT(SimData1000!$C$9:$C$1008)-1)+$M$1358</f>
        <v>0.34934934934934797</v>
      </c>
    </row>
    <row r="1360" spans="10:13">
      <c r="J1360">
        <f>SMALL(SimData1000!$B$9:$B$1008,351)</f>
        <v>0.35079666937137877</v>
      </c>
      <c r="K1360">
        <f>1/(COUNT(SimData1000!$B$9:$B$1008)-1)+$K$1359</f>
        <v>0.35035035035034895</v>
      </c>
      <c r="L1360">
        <f>SMALL(SimData1000!$C$9:$C$1008,351)</f>
        <v>0.34663910429753741</v>
      </c>
      <c r="M1360">
        <f>1/(COUNT(SimData1000!$C$9:$C$1008)-1)+$M$1359</f>
        <v>0.35035035035034895</v>
      </c>
    </row>
    <row r="1361" spans="10:13">
      <c r="J1361">
        <f>SMALL(SimData1000!$B$9:$B$1008,352)</f>
        <v>0.35137769241081029</v>
      </c>
      <c r="K1361">
        <f>1/(COUNT(SimData1000!$B$9:$B$1008)-1)+$K$1360</f>
        <v>0.35135135135134993</v>
      </c>
      <c r="L1361">
        <f>SMALL(SimData1000!$C$9:$C$1008,352)</f>
        <v>0.34679093548493256</v>
      </c>
      <c r="M1361">
        <f>1/(COUNT(SimData1000!$C$9:$C$1008)-1)+$M$1360</f>
        <v>0.35135135135134993</v>
      </c>
    </row>
    <row r="1362" spans="10:13">
      <c r="J1362">
        <f>SMALL(SimData1000!$B$9:$B$1008,353)</f>
        <v>0.35204600297381305</v>
      </c>
      <c r="K1362">
        <f>1/(COUNT(SimData1000!$B$9:$B$1008)-1)+$K$1361</f>
        <v>0.35235235235235091</v>
      </c>
      <c r="L1362">
        <f>SMALL(SimData1000!$C$9:$C$1008,353)</f>
        <v>0.34680840028067905</v>
      </c>
      <c r="M1362">
        <f>1/(COUNT(SimData1000!$C$9:$C$1008)-1)+$M$1361</f>
        <v>0.35235235235235091</v>
      </c>
    </row>
    <row r="1363" spans="10:13">
      <c r="J1363">
        <f>SMALL(SimData1000!$B$9:$B$1008,354)</f>
        <v>0.3533384662590312</v>
      </c>
      <c r="K1363">
        <f>1/(COUNT(SimData1000!$B$9:$B$1008)-1)+$K$1362</f>
        <v>0.35335335335335188</v>
      </c>
      <c r="L1363">
        <f>SMALL(SimData1000!$C$9:$C$1008,354)</f>
        <v>0.34723145969110192</v>
      </c>
      <c r="M1363">
        <f>1/(COUNT(SimData1000!$C$9:$C$1008)-1)+$M$1362</f>
        <v>0.35335335335335188</v>
      </c>
    </row>
    <row r="1364" spans="10:13">
      <c r="J1364">
        <f>SMALL(SimData1000!$B$9:$B$1008,355)</f>
        <v>0.35410425707444182</v>
      </c>
      <c r="K1364">
        <f>1/(COUNT(SimData1000!$B$9:$B$1008)-1)+$K$1363</f>
        <v>0.35435435435435286</v>
      </c>
      <c r="L1364">
        <f>SMALL(SimData1000!$C$9:$C$1008,355)</f>
        <v>0.34806509211466619</v>
      </c>
      <c r="M1364">
        <f>1/(COUNT(SimData1000!$C$9:$C$1008)-1)+$M$1363</f>
        <v>0.35435435435435286</v>
      </c>
    </row>
    <row r="1365" spans="10:13">
      <c r="J1365">
        <f>SMALL(SimData1000!$B$9:$B$1008,356)</f>
        <v>0.3555878177049076</v>
      </c>
      <c r="K1365">
        <f>1/(COUNT(SimData1000!$B$9:$B$1008)-1)+$K$1364</f>
        <v>0.35535535535535384</v>
      </c>
      <c r="L1365">
        <f>SMALL(SimData1000!$C$9:$C$1008,356)</f>
        <v>0.35022742743694835</v>
      </c>
      <c r="M1365">
        <f>1/(COUNT(SimData1000!$C$9:$C$1008)-1)+$M$1364</f>
        <v>0.35535535535535384</v>
      </c>
    </row>
    <row r="1366" spans="10:13">
      <c r="J1366">
        <f>SMALL(SimData1000!$B$9:$B$1008,357)</f>
        <v>0.35670789317966162</v>
      </c>
      <c r="K1366">
        <f>1/(COUNT(SimData1000!$B$9:$B$1008)-1)+$K$1365</f>
        <v>0.35635635635635482</v>
      </c>
      <c r="L1366">
        <f>SMALL(SimData1000!$C$9:$C$1008,357)</f>
        <v>0.35169504402711027</v>
      </c>
      <c r="M1366">
        <f>1/(COUNT(SimData1000!$C$9:$C$1008)-1)+$M$1365</f>
        <v>0.35635635635635482</v>
      </c>
    </row>
    <row r="1367" spans="10:13">
      <c r="J1367">
        <f>SMALL(SimData1000!$B$9:$B$1008,358)</f>
        <v>0.35773519599920489</v>
      </c>
      <c r="K1367">
        <f>1/(COUNT(SimData1000!$B$9:$B$1008)-1)+$K$1366</f>
        <v>0.3573573573573558</v>
      </c>
      <c r="L1367">
        <f>SMALL(SimData1000!$C$9:$C$1008,358)</f>
        <v>0.3517841401953774</v>
      </c>
      <c r="M1367">
        <f>1/(COUNT(SimData1000!$C$9:$C$1008)-1)+$M$1366</f>
        <v>0.3573573573573558</v>
      </c>
    </row>
    <row r="1368" spans="10:13">
      <c r="J1368">
        <f>SMALL(SimData1000!$B$9:$B$1008,359)</f>
        <v>0.35898873132187614</v>
      </c>
      <c r="K1368">
        <f>1/(COUNT(SimData1000!$B$9:$B$1008)-1)+$K$1367</f>
        <v>0.35835835835835678</v>
      </c>
      <c r="L1368">
        <f>SMALL(SimData1000!$C$9:$C$1008,359)</f>
        <v>0.35340819403245405</v>
      </c>
      <c r="M1368">
        <f>1/(COUNT(SimData1000!$C$9:$C$1008)-1)+$M$1367</f>
        <v>0.35835835835835678</v>
      </c>
    </row>
    <row r="1369" spans="10:13">
      <c r="J1369">
        <f>SMALL(SimData1000!$B$9:$B$1008,360)</f>
        <v>0.35991835726190324</v>
      </c>
      <c r="K1369">
        <f>1/(COUNT(SimData1000!$B$9:$B$1008)-1)+$K$1368</f>
        <v>0.35935935935935776</v>
      </c>
      <c r="L1369">
        <f>SMALL(SimData1000!$C$9:$C$1008,360)</f>
        <v>0.35357495501830272</v>
      </c>
      <c r="M1369">
        <f>1/(COUNT(SimData1000!$C$9:$C$1008)-1)+$M$1368</f>
        <v>0.35935935935935776</v>
      </c>
    </row>
    <row r="1370" spans="10:13">
      <c r="J1370">
        <f>SMALL(SimData1000!$B$9:$B$1008,361)</f>
        <v>0.36019964025919321</v>
      </c>
      <c r="K1370">
        <f>1/(COUNT(SimData1000!$B$9:$B$1008)-1)+$K$1369</f>
        <v>0.36036036036035873</v>
      </c>
      <c r="L1370">
        <f>SMALL(SimData1000!$C$9:$C$1008,361)</f>
        <v>0.35388406619404122</v>
      </c>
      <c r="M1370">
        <f>1/(COUNT(SimData1000!$C$9:$C$1008)-1)+$M$1369</f>
        <v>0.36036036036035873</v>
      </c>
    </row>
    <row r="1371" spans="10:13">
      <c r="J1371">
        <f>SMALL(SimData1000!$B$9:$B$1008,362)</f>
        <v>0.36107530116571002</v>
      </c>
      <c r="K1371">
        <f>1/(COUNT(SimData1000!$B$9:$B$1008)-1)+$K$1370</f>
        <v>0.36136136136135971</v>
      </c>
      <c r="L1371">
        <f>SMALL(SimData1000!$C$9:$C$1008,362)</f>
        <v>0.35448474416261888</v>
      </c>
      <c r="M1371">
        <f>1/(COUNT(SimData1000!$C$9:$C$1008)-1)+$M$1370</f>
        <v>0.36136136136135971</v>
      </c>
    </row>
    <row r="1372" spans="10:13">
      <c r="J1372">
        <f>SMALL(SimData1000!$B$9:$B$1008,363)</f>
        <v>0.36206544565387661</v>
      </c>
      <c r="K1372">
        <f>1/(COUNT(SimData1000!$B$9:$B$1008)-1)+$K$1371</f>
        <v>0.36236236236236069</v>
      </c>
      <c r="L1372">
        <f>SMALL(SimData1000!$C$9:$C$1008,363)</f>
        <v>0.35491415938668069</v>
      </c>
      <c r="M1372">
        <f>1/(COUNT(SimData1000!$C$9:$C$1008)-1)+$M$1371</f>
        <v>0.36236236236236069</v>
      </c>
    </row>
    <row r="1373" spans="10:13">
      <c r="J1373">
        <f>SMALL(SimData1000!$B$9:$B$1008,364)</f>
        <v>0.36386516773697575</v>
      </c>
      <c r="K1373">
        <f>1/(COUNT(SimData1000!$B$9:$B$1008)-1)+$K$1372</f>
        <v>0.36336336336336167</v>
      </c>
      <c r="L1373">
        <f>SMALL(SimData1000!$C$9:$C$1008,364)</f>
        <v>0.3559429617407659</v>
      </c>
      <c r="M1373">
        <f>1/(COUNT(SimData1000!$C$9:$C$1008)-1)+$M$1372</f>
        <v>0.36336336336336167</v>
      </c>
    </row>
    <row r="1374" spans="10:13">
      <c r="J1374">
        <f>SMALL(SimData1000!$B$9:$B$1008,365)</f>
        <v>0.36478171202768145</v>
      </c>
      <c r="K1374">
        <f>1/(COUNT(SimData1000!$B$9:$B$1008)-1)+$K$1373</f>
        <v>0.36436436436436265</v>
      </c>
      <c r="L1374">
        <f>SMALL(SimData1000!$C$9:$C$1008,365)</f>
        <v>0.35703364805249294</v>
      </c>
      <c r="M1374">
        <f>1/(COUNT(SimData1000!$C$9:$C$1008)-1)+$M$1373</f>
        <v>0.36436436436436265</v>
      </c>
    </row>
    <row r="1375" spans="10:13">
      <c r="J1375">
        <f>SMALL(SimData1000!$B$9:$B$1008,366)</f>
        <v>0.36501914874441432</v>
      </c>
      <c r="K1375">
        <f>1/(COUNT(SimData1000!$B$9:$B$1008)-1)+$K$1374</f>
        <v>0.36536536536536363</v>
      </c>
      <c r="L1375">
        <f>SMALL(SimData1000!$C$9:$C$1008,366)</f>
        <v>0.3603785683217211</v>
      </c>
      <c r="M1375">
        <f>1/(COUNT(SimData1000!$C$9:$C$1008)-1)+$M$1374</f>
        <v>0.36536536536536363</v>
      </c>
    </row>
    <row r="1376" spans="10:13">
      <c r="J1376">
        <f>SMALL(SimData1000!$B$9:$B$1008,367)</f>
        <v>0.36692098371682708</v>
      </c>
      <c r="K1376">
        <f>1/(COUNT(SimData1000!$B$9:$B$1008)-1)+$K$1375</f>
        <v>0.3663663663663646</v>
      </c>
      <c r="L1376">
        <f>SMALL(SimData1000!$C$9:$C$1008,367)</f>
        <v>0.36234473686272395</v>
      </c>
      <c r="M1376">
        <f>1/(COUNT(SimData1000!$C$9:$C$1008)-1)+$M$1375</f>
        <v>0.3663663663663646</v>
      </c>
    </row>
    <row r="1377" spans="10:13">
      <c r="J1377">
        <f>SMALL(SimData1000!$B$9:$B$1008,368)</f>
        <v>0.36749326588481041</v>
      </c>
      <c r="K1377">
        <f>1/(COUNT(SimData1000!$B$9:$B$1008)-1)+$K$1376</f>
        <v>0.36736736736736558</v>
      </c>
      <c r="L1377">
        <f>SMALL(SimData1000!$C$9:$C$1008,368)</f>
        <v>0.36348921390708711</v>
      </c>
      <c r="M1377">
        <f>1/(COUNT(SimData1000!$C$9:$C$1008)-1)+$M$1376</f>
        <v>0.36736736736736558</v>
      </c>
    </row>
    <row r="1378" spans="10:13">
      <c r="J1378">
        <f>SMALL(SimData1000!$B$9:$B$1008,369)</f>
        <v>0.36895998892210424</v>
      </c>
      <c r="K1378">
        <f>1/(COUNT(SimData1000!$B$9:$B$1008)-1)+$K$1377</f>
        <v>0.36836836836836656</v>
      </c>
      <c r="L1378">
        <f>SMALL(SimData1000!$C$9:$C$1008,369)</f>
        <v>0.3653949239933354</v>
      </c>
      <c r="M1378">
        <f>1/(COUNT(SimData1000!$C$9:$C$1008)-1)+$M$1377</f>
        <v>0.36836836836836656</v>
      </c>
    </row>
    <row r="1379" spans="10:13">
      <c r="J1379">
        <f>SMALL(SimData1000!$B$9:$B$1008,370)</f>
        <v>0.3692683923473275</v>
      </c>
      <c r="K1379">
        <f>1/(COUNT(SimData1000!$B$9:$B$1008)-1)+$K$1378</f>
        <v>0.36936936936936754</v>
      </c>
      <c r="L1379">
        <f>SMALL(SimData1000!$C$9:$C$1008,370)</f>
        <v>0.36720495400459185</v>
      </c>
      <c r="M1379">
        <f>1/(COUNT(SimData1000!$C$9:$C$1008)-1)+$M$1378</f>
        <v>0.36936936936936754</v>
      </c>
    </row>
    <row r="1380" spans="10:13">
      <c r="J1380">
        <f>SMALL(SimData1000!$B$9:$B$1008,371)</f>
        <v>0.37070230066489951</v>
      </c>
      <c r="K1380">
        <f>1/(COUNT(SimData1000!$B$9:$B$1008)-1)+$K$1379</f>
        <v>0.37037037037036852</v>
      </c>
      <c r="L1380">
        <f>SMALL(SimData1000!$C$9:$C$1008,371)</f>
        <v>0.36757667632173252</v>
      </c>
      <c r="M1380">
        <f>1/(COUNT(SimData1000!$C$9:$C$1008)-1)+$M$1379</f>
        <v>0.37037037037036852</v>
      </c>
    </row>
    <row r="1381" spans="10:13">
      <c r="J1381">
        <f>SMALL(SimData1000!$B$9:$B$1008,372)</f>
        <v>0.3716889441089446</v>
      </c>
      <c r="K1381">
        <f>1/(COUNT(SimData1000!$B$9:$B$1008)-1)+$K$1380</f>
        <v>0.3713713713713695</v>
      </c>
      <c r="L1381">
        <f>SMALL(SimData1000!$C$9:$C$1008,372)</f>
        <v>0.36781567452089803</v>
      </c>
      <c r="M1381">
        <f>1/(COUNT(SimData1000!$C$9:$C$1008)-1)+$M$1380</f>
        <v>0.3713713713713695</v>
      </c>
    </row>
    <row r="1382" spans="10:13">
      <c r="J1382">
        <f>SMALL(SimData1000!$B$9:$B$1008,373)</f>
        <v>0.37261101160794757</v>
      </c>
      <c r="K1382">
        <f>1/(COUNT(SimData1000!$B$9:$B$1008)-1)+$K$1381</f>
        <v>0.37237237237237047</v>
      </c>
      <c r="L1382">
        <f>SMALL(SimData1000!$C$9:$C$1008,373)</f>
        <v>0.36786580543684977</v>
      </c>
      <c r="M1382">
        <f>1/(COUNT(SimData1000!$C$9:$C$1008)-1)+$M$1381</f>
        <v>0.37237237237237047</v>
      </c>
    </row>
    <row r="1383" spans="10:13">
      <c r="J1383">
        <f>SMALL(SimData1000!$B$9:$B$1008,374)</f>
        <v>0.37301069670636455</v>
      </c>
      <c r="K1383">
        <f>1/(COUNT(SimData1000!$B$9:$B$1008)-1)+$K$1382</f>
        <v>0.37337337337337145</v>
      </c>
      <c r="L1383">
        <f>SMALL(SimData1000!$C$9:$C$1008,374)</f>
        <v>0.3683147834135525</v>
      </c>
      <c r="M1383">
        <f>1/(COUNT(SimData1000!$C$9:$C$1008)-1)+$M$1382</f>
        <v>0.37337337337337145</v>
      </c>
    </row>
    <row r="1384" spans="10:13">
      <c r="J1384">
        <f>SMALL(SimData1000!$B$9:$B$1008,375)</f>
        <v>0.37449541299941375</v>
      </c>
      <c r="K1384">
        <f>1/(COUNT(SimData1000!$B$9:$B$1008)-1)+$K$1383</f>
        <v>0.37437437437437243</v>
      </c>
      <c r="L1384">
        <f>SMALL(SimData1000!$C$9:$C$1008,375)</f>
        <v>0.37078838344859832</v>
      </c>
      <c r="M1384">
        <f>1/(COUNT(SimData1000!$C$9:$C$1008)-1)+$M$1383</f>
        <v>0.37437437437437243</v>
      </c>
    </row>
    <row r="1385" spans="10:13">
      <c r="J1385">
        <f>SMALL(SimData1000!$B$9:$B$1008,376)</f>
        <v>0.37548064841713774</v>
      </c>
      <c r="K1385">
        <f>1/(COUNT(SimData1000!$B$9:$B$1008)-1)+$K$1384</f>
        <v>0.37537537537537341</v>
      </c>
      <c r="L1385">
        <f>SMALL(SimData1000!$C$9:$C$1008,376)</f>
        <v>0.3709702764681424</v>
      </c>
      <c r="M1385">
        <f>1/(COUNT(SimData1000!$C$9:$C$1008)-1)+$M$1384</f>
        <v>0.37537537537537341</v>
      </c>
    </row>
    <row r="1386" spans="10:13">
      <c r="J1386">
        <f>SMALL(SimData1000!$B$9:$B$1008,377)</f>
        <v>0.3769473806761548</v>
      </c>
      <c r="K1386">
        <f>1/(COUNT(SimData1000!$B$9:$B$1008)-1)+$K$1385</f>
        <v>0.37637637637637439</v>
      </c>
      <c r="L1386">
        <f>SMALL(SimData1000!$C$9:$C$1008,377)</f>
        <v>0.37489216112135182</v>
      </c>
      <c r="M1386">
        <f>1/(COUNT(SimData1000!$C$9:$C$1008)-1)+$M$1385</f>
        <v>0.37637637637637439</v>
      </c>
    </row>
    <row r="1387" spans="10:13">
      <c r="J1387">
        <f>SMALL(SimData1000!$B$9:$B$1008,378)</f>
        <v>0.37701814207109113</v>
      </c>
      <c r="K1387">
        <f>1/(COUNT(SimData1000!$B$9:$B$1008)-1)+$K$1386</f>
        <v>0.37737737737737537</v>
      </c>
      <c r="L1387">
        <f>SMALL(SimData1000!$C$9:$C$1008,378)</f>
        <v>0.37506596184084628</v>
      </c>
      <c r="M1387">
        <f>1/(COUNT(SimData1000!$C$9:$C$1008)-1)+$M$1386</f>
        <v>0.37737737737737537</v>
      </c>
    </row>
    <row r="1388" spans="10:13">
      <c r="J1388">
        <f>SMALL(SimData1000!$B$9:$B$1008,379)</f>
        <v>0.37861770299068132</v>
      </c>
      <c r="K1388">
        <f>1/(COUNT(SimData1000!$B$9:$B$1008)-1)+$K$1387</f>
        <v>0.37837837837837635</v>
      </c>
      <c r="L1388">
        <f>SMALL(SimData1000!$C$9:$C$1008,379)</f>
        <v>0.37541726754625415</v>
      </c>
      <c r="M1388">
        <f>1/(COUNT(SimData1000!$C$9:$C$1008)-1)+$M$1387</f>
        <v>0.37837837837837635</v>
      </c>
    </row>
    <row r="1389" spans="10:13">
      <c r="J1389">
        <f>SMALL(SimData1000!$B$9:$B$1008,380)</f>
        <v>0.37951823681907687</v>
      </c>
      <c r="K1389">
        <f>1/(COUNT(SimData1000!$B$9:$B$1008)-1)+$K$1388</f>
        <v>0.37937937937937732</v>
      </c>
      <c r="L1389">
        <f>SMALL(SimData1000!$C$9:$C$1008,380)</f>
        <v>0.37638336416057427</v>
      </c>
      <c r="M1389">
        <f>1/(COUNT(SimData1000!$C$9:$C$1008)-1)+$M$1388</f>
        <v>0.37937937937937732</v>
      </c>
    </row>
    <row r="1390" spans="10:13">
      <c r="J1390">
        <f>SMALL(SimData1000!$B$9:$B$1008,381)</f>
        <v>0.38021287614484617</v>
      </c>
      <c r="K1390">
        <f>1/(COUNT(SimData1000!$B$9:$B$1008)-1)+$K$1389</f>
        <v>0.3803803803803783</v>
      </c>
      <c r="L1390">
        <f>SMALL(SimData1000!$C$9:$C$1008,381)</f>
        <v>0.37680810479105276</v>
      </c>
      <c r="M1390">
        <f>1/(COUNT(SimData1000!$C$9:$C$1008)-1)+$M$1389</f>
        <v>0.3803803803803783</v>
      </c>
    </row>
    <row r="1391" spans="10:13">
      <c r="J1391">
        <f>SMALL(SimData1000!$B$9:$B$1008,382)</f>
        <v>0.38141303763757767</v>
      </c>
      <c r="K1391">
        <f>1/(COUNT(SimData1000!$B$9:$B$1008)-1)+$K$1390</f>
        <v>0.38138138138137928</v>
      </c>
      <c r="L1391">
        <f>SMALL(SimData1000!$C$9:$C$1008,382)</f>
        <v>0.37821797579999838</v>
      </c>
      <c r="M1391">
        <f>1/(COUNT(SimData1000!$C$9:$C$1008)-1)+$M$1390</f>
        <v>0.38138138138137928</v>
      </c>
    </row>
    <row r="1392" spans="10:13">
      <c r="J1392">
        <f>SMALL(SimData1000!$B$9:$B$1008,383)</f>
        <v>0.38232049485396608</v>
      </c>
      <c r="K1392">
        <f>1/(COUNT(SimData1000!$B$9:$B$1008)-1)+$K$1391</f>
        <v>0.38238238238238026</v>
      </c>
      <c r="L1392">
        <f>SMALL(SimData1000!$C$9:$C$1008,383)</f>
        <v>0.38066422262727428</v>
      </c>
      <c r="M1392">
        <f>1/(COUNT(SimData1000!$C$9:$C$1008)-1)+$M$1391</f>
        <v>0.38238238238238026</v>
      </c>
    </row>
    <row r="1393" spans="10:13">
      <c r="J1393">
        <f>SMALL(SimData1000!$B$9:$B$1008,384)</f>
        <v>0.38314906287615869</v>
      </c>
      <c r="K1393">
        <f>1/(COUNT(SimData1000!$B$9:$B$1008)-1)+$K$1392</f>
        <v>0.38338338338338124</v>
      </c>
      <c r="L1393">
        <f>SMALL(SimData1000!$C$9:$C$1008,384)</f>
        <v>0.38072295174697501</v>
      </c>
      <c r="M1393">
        <f>1/(COUNT(SimData1000!$C$9:$C$1008)-1)+$M$1392</f>
        <v>0.38338338338338124</v>
      </c>
    </row>
    <row r="1394" spans="10:13">
      <c r="J1394">
        <f>SMALL(SimData1000!$B$9:$B$1008,385)</f>
        <v>0.38481125722006226</v>
      </c>
      <c r="K1394">
        <f>1/(COUNT(SimData1000!$B$9:$B$1008)-1)+$K$1393</f>
        <v>0.38438438438438222</v>
      </c>
      <c r="L1394">
        <f>SMALL(SimData1000!$C$9:$C$1008,385)</f>
        <v>0.38110401430367347</v>
      </c>
      <c r="M1394">
        <f>1/(COUNT(SimData1000!$C$9:$C$1008)-1)+$M$1393</f>
        <v>0.38438438438438222</v>
      </c>
    </row>
    <row r="1395" spans="10:13">
      <c r="J1395">
        <f>SMALL(SimData1000!$B$9:$B$1008,386)</f>
        <v>0.38514087947368175</v>
      </c>
      <c r="K1395">
        <f>1/(COUNT(SimData1000!$B$9:$B$1008)-1)+$K$1394</f>
        <v>0.38538538538538319</v>
      </c>
      <c r="L1395">
        <f>SMALL(SimData1000!$C$9:$C$1008,386)</f>
        <v>0.38212346540512954</v>
      </c>
      <c r="M1395">
        <f>1/(COUNT(SimData1000!$C$9:$C$1008)-1)+$M$1394</f>
        <v>0.38538538538538319</v>
      </c>
    </row>
    <row r="1396" spans="10:13">
      <c r="J1396">
        <f>SMALL(SimData1000!$B$9:$B$1008,387)</f>
        <v>0.38651097842993004</v>
      </c>
      <c r="K1396">
        <f>1/(COUNT(SimData1000!$B$9:$B$1008)-1)+$K$1395</f>
        <v>0.38638638638638417</v>
      </c>
      <c r="L1396">
        <f>SMALL(SimData1000!$C$9:$C$1008,387)</f>
        <v>0.38253624215212767</v>
      </c>
      <c r="M1396">
        <f>1/(COUNT(SimData1000!$C$9:$C$1008)-1)+$M$1395</f>
        <v>0.38638638638638417</v>
      </c>
    </row>
    <row r="1397" spans="10:13">
      <c r="J1397">
        <f>SMALL(SimData1000!$B$9:$B$1008,388)</f>
        <v>0.38740627820892404</v>
      </c>
      <c r="K1397">
        <f>1/(COUNT(SimData1000!$B$9:$B$1008)-1)+$K$1396</f>
        <v>0.38738738738738515</v>
      </c>
      <c r="L1397">
        <f>SMALL(SimData1000!$C$9:$C$1008,388)</f>
        <v>0.3834104544012007</v>
      </c>
      <c r="M1397">
        <f>1/(COUNT(SimData1000!$C$9:$C$1008)-1)+$M$1396</f>
        <v>0.38738738738738515</v>
      </c>
    </row>
    <row r="1398" spans="10:13">
      <c r="J1398">
        <f>SMALL(SimData1000!$B$9:$B$1008,389)</f>
        <v>0.38887003591001734</v>
      </c>
      <c r="K1398">
        <f>1/(COUNT(SimData1000!$B$9:$B$1008)-1)+$K$1397</f>
        <v>0.38838838838838613</v>
      </c>
      <c r="L1398">
        <f>SMALL(SimData1000!$C$9:$C$1008,389)</f>
        <v>0.38483097153130075</v>
      </c>
      <c r="M1398">
        <f>1/(COUNT(SimData1000!$C$9:$C$1008)-1)+$M$1397</f>
        <v>0.38838838838838613</v>
      </c>
    </row>
    <row r="1399" spans="10:13">
      <c r="J1399">
        <f>SMALL(SimData1000!$B$9:$B$1008,390)</f>
        <v>0.38992344869182521</v>
      </c>
      <c r="K1399">
        <f>1/(COUNT(SimData1000!$B$9:$B$1008)-1)+$K$1398</f>
        <v>0.38938938938938711</v>
      </c>
      <c r="L1399">
        <f>SMALL(SimData1000!$C$9:$C$1008,390)</f>
        <v>0.3858449612489494</v>
      </c>
      <c r="M1399">
        <f>1/(COUNT(SimData1000!$C$9:$C$1008)-1)+$M$1398</f>
        <v>0.38938938938938711</v>
      </c>
    </row>
    <row r="1400" spans="10:13">
      <c r="J1400">
        <f>SMALL(SimData1000!$B$9:$B$1008,391)</f>
        <v>0.39068297540808161</v>
      </c>
      <c r="K1400">
        <f>1/(COUNT(SimData1000!$B$9:$B$1008)-1)+$K$1399</f>
        <v>0.39039039039038809</v>
      </c>
      <c r="L1400">
        <f>SMALL(SimData1000!$C$9:$C$1008,391)</f>
        <v>0.38642328119749436</v>
      </c>
      <c r="M1400">
        <f>1/(COUNT(SimData1000!$C$9:$C$1008)-1)+$M$1399</f>
        <v>0.39039039039038809</v>
      </c>
    </row>
    <row r="1401" spans="10:13">
      <c r="J1401">
        <f>SMALL(SimData1000!$B$9:$B$1008,392)</f>
        <v>0.39145475439970728</v>
      </c>
      <c r="K1401">
        <f>1/(COUNT(SimData1000!$B$9:$B$1008)-1)+$K$1400</f>
        <v>0.39139139139138907</v>
      </c>
      <c r="L1401">
        <f>SMALL(SimData1000!$C$9:$C$1008,392)</f>
        <v>0.38747762818456977</v>
      </c>
      <c r="M1401">
        <f>1/(COUNT(SimData1000!$C$9:$C$1008)-1)+$M$1400</f>
        <v>0.39139139139138907</v>
      </c>
    </row>
    <row r="1402" spans="10:13">
      <c r="J1402">
        <f>SMALL(SimData1000!$B$9:$B$1008,393)</f>
        <v>0.39297367003093792</v>
      </c>
      <c r="K1402">
        <f>1/(COUNT(SimData1000!$B$9:$B$1008)-1)+$K$1401</f>
        <v>0.39239239239239004</v>
      </c>
      <c r="L1402">
        <f>SMALL(SimData1000!$C$9:$C$1008,393)</f>
        <v>0.38752027733971772</v>
      </c>
      <c r="M1402">
        <f>1/(COUNT(SimData1000!$C$9:$C$1008)-1)+$M$1401</f>
        <v>0.39239239239239004</v>
      </c>
    </row>
    <row r="1403" spans="10:13">
      <c r="J1403">
        <f>SMALL(SimData1000!$B$9:$B$1008,394)</f>
        <v>0.3937155947651983</v>
      </c>
      <c r="K1403">
        <f>1/(COUNT(SimData1000!$B$9:$B$1008)-1)+$K$1402</f>
        <v>0.39339339339339102</v>
      </c>
      <c r="L1403">
        <f>SMALL(SimData1000!$C$9:$C$1008,394)</f>
        <v>0.38776236011563014</v>
      </c>
      <c r="M1403">
        <f>1/(COUNT(SimData1000!$C$9:$C$1008)-1)+$M$1402</f>
        <v>0.39339339339339102</v>
      </c>
    </row>
    <row r="1404" spans="10:13">
      <c r="J1404">
        <f>SMALL(SimData1000!$B$9:$B$1008,395)</f>
        <v>0.39481971524279097</v>
      </c>
      <c r="K1404">
        <f>1/(COUNT(SimData1000!$B$9:$B$1008)-1)+$K$1403</f>
        <v>0.394394394394392</v>
      </c>
      <c r="L1404">
        <f>SMALL(SimData1000!$C$9:$C$1008,395)</f>
        <v>0.38892508618118882</v>
      </c>
      <c r="M1404">
        <f>1/(COUNT(SimData1000!$C$9:$C$1008)-1)+$M$1403</f>
        <v>0.394394394394392</v>
      </c>
    </row>
    <row r="1405" spans="10:13">
      <c r="J1405">
        <f>SMALL(SimData1000!$B$9:$B$1008,396)</f>
        <v>0.39554183538666499</v>
      </c>
      <c r="K1405">
        <f>1/(COUNT(SimData1000!$B$9:$B$1008)-1)+$K$1404</f>
        <v>0.39539539539539298</v>
      </c>
      <c r="L1405">
        <f>SMALL(SimData1000!$C$9:$C$1008,396)</f>
        <v>0.38975029110042669</v>
      </c>
      <c r="M1405">
        <f>1/(COUNT(SimData1000!$C$9:$C$1008)-1)+$M$1404</f>
        <v>0.39539539539539298</v>
      </c>
    </row>
    <row r="1406" spans="10:13">
      <c r="J1406">
        <f>SMALL(SimData1000!$B$9:$B$1008,397)</f>
        <v>0.39645987882662098</v>
      </c>
      <c r="K1406">
        <f>1/(COUNT(SimData1000!$B$9:$B$1008)-1)+$K$1405</f>
        <v>0.39639639639639396</v>
      </c>
      <c r="L1406">
        <f>SMALL(SimData1000!$C$9:$C$1008,397)</f>
        <v>0.39090351838240167</v>
      </c>
      <c r="M1406">
        <f>1/(COUNT(SimData1000!$C$9:$C$1008)-1)+$M$1405</f>
        <v>0.39639639639639396</v>
      </c>
    </row>
    <row r="1407" spans="10:13">
      <c r="J1407">
        <f>SMALL(SimData1000!$B$9:$B$1008,398)</f>
        <v>0.39782184112556784</v>
      </c>
      <c r="K1407">
        <f>1/(COUNT(SimData1000!$B$9:$B$1008)-1)+$K$1406</f>
        <v>0.39739739739739494</v>
      </c>
      <c r="L1407">
        <f>SMALL(SimData1000!$C$9:$C$1008,398)</f>
        <v>0.39281995855435525</v>
      </c>
      <c r="M1407">
        <f>1/(COUNT(SimData1000!$C$9:$C$1008)-1)+$M$1406</f>
        <v>0.39739739739739494</v>
      </c>
    </row>
    <row r="1408" spans="10:13">
      <c r="J1408">
        <f>SMALL(SimData1000!$B$9:$B$1008,399)</f>
        <v>0.39807334415639595</v>
      </c>
      <c r="K1408">
        <f>1/(COUNT(SimData1000!$B$9:$B$1008)-1)+$K$1407</f>
        <v>0.39839839839839591</v>
      </c>
      <c r="L1408">
        <f>SMALL(SimData1000!$C$9:$C$1008,399)</f>
        <v>0.39383874609484337</v>
      </c>
      <c r="M1408">
        <f>1/(COUNT(SimData1000!$C$9:$C$1008)-1)+$M$1407</f>
        <v>0.39839839839839591</v>
      </c>
    </row>
    <row r="1409" spans="10:13">
      <c r="J1409">
        <f>SMALL(SimData1000!$B$9:$B$1008,400)</f>
        <v>0.39985488864566548</v>
      </c>
      <c r="K1409">
        <f>1/(COUNT(SimData1000!$B$9:$B$1008)-1)+$K$1408</f>
        <v>0.39939939939939689</v>
      </c>
      <c r="L1409">
        <f>SMALL(SimData1000!$C$9:$C$1008,400)</f>
        <v>0.39460370625693031</v>
      </c>
      <c r="M1409">
        <f>1/(COUNT(SimData1000!$C$9:$C$1008)-1)+$M$1408</f>
        <v>0.39939939939939689</v>
      </c>
    </row>
    <row r="1410" spans="10:13">
      <c r="J1410">
        <f>SMALL(SimData1000!$B$9:$B$1008,401)</f>
        <v>0.40072951556363362</v>
      </c>
      <c r="K1410">
        <f>1/(COUNT(SimData1000!$B$9:$B$1008)-1)+$K$1409</f>
        <v>0.40040040040039787</v>
      </c>
      <c r="L1410">
        <f>SMALL(SimData1000!$C$9:$C$1008,401)</f>
        <v>0.3948980562900033</v>
      </c>
      <c r="M1410">
        <f>1/(COUNT(SimData1000!$C$9:$C$1008)-1)+$M$1409</f>
        <v>0.40040040040039787</v>
      </c>
    </row>
    <row r="1411" spans="10:13">
      <c r="J1411">
        <f>SMALL(SimData1000!$B$9:$B$1008,402)</f>
        <v>0.40170585466588515</v>
      </c>
      <c r="K1411">
        <f>1/(COUNT(SimData1000!$B$9:$B$1008)-1)+$K$1410</f>
        <v>0.40140140140139885</v>
      </c>
      <c r="L1411">
        <f>SMALL(SimData1000!$C$9:$C$1008,402)</f>
        <v>0.39627854788068362</v>
      </c>
      <c r="M1411">
        <f>1/(COUNT(SimData1000!$C$9:$C$1008)-1)+$M$1410</f>
        <v>0.40140140140139885</v>
      </c>
    </row>
    <row r="1412" spans="10:13">
      <c r="J1412">
        <f>SMALL(SimData1000!$B$9:$B$1008,403)</f>
        <v>0.40264764130386704</v>
      </c>
      <c r="K1412">
        <f>1/(COUNT(SimData1000!$B$9:$B$1008)-1)+$K$1411</f>
        <v>0.40240240240239983</v>
      </c>
      <c r="L1412">
        <f>SMALL(SimData1000!$C$9:$C$1008,403)</f>
        <v>0.39692118219045369</v>
      </c>
      <c r="M1412">
        <f>1/(COUNT(SimData1000!$C$9:$C$1008)-1)+$M$1411</f>
        <v>0.40240240240239983</v>
      </c>
    </row>
    <row r="1413" spans="10:13">
      <c r="J1413">
        <f>SMALL(SimData1000!$B$9:$B$1008,404)</f>
        <v>0.4039514346883985</v>
      </c>
      <c r="K1413">
        <f>1/(COUNT(SimData1000!$B$9:$B$1008)-1)+$K$1412</f>
        <v>0.40340340340340081</v>
      </c>
      <c r="L1413">
        <f>SMALL(SimData1000!$C$9:$C$1008,404)</f>
        <v>0.40073691393990885</v>
      </c>
      <c r="M1413">
        <f>1/(COUNT(SimData1000!$C$9:$C$1008)-1)+$M$1412</f>
        <v>0.40340340340340081</v>
      </c>
    </row>
    <row r="1414" spans="10:13">
      <c r="J1414">
        <f>SMALL(SimData1000!$B$9:$B$1008,405)</f>
        <v>0.40433945406957983</v>
      </c>
      <c r="K1414">
        <f>1/(COUNT(SimData1000!$B$9:$B$1008)-1)+$K$1413</f>
        <v>0.40440440440440178</v>
      </c>
      <c r="L1414">
        <f>SMALL(SimData1000!$C$9:$C$1008,405)</f>
        <v>0.40108244006205496</v>
      </c>
      <c r="M1414">
        <f>1/(COUNT(SimData1000!$C$9:$C$1008)-1)+$M$1413</f>
        <v>0.40440440440440178</v>
      </c>
    </row>
    <row r="1415" spans="10:13">
      <c r="J1415">
        <f>SMALL(SimData1000!$B$9:$B$1008,406)</f>
        <v>0.40584142116802774</v>
      </c>
      <c r="K1415">
        <f>1/(COUNT(SimData1000!$B$9:$B$1008)-1)+$K$1414</f>
        <v>0.40540540540540276</v>
      </c>
      <c r="L1415">
        <f>SMALL(SimData1000!$C$9:$C$1008,406)</f>
        <v>0.40241369279010542</v>
      </c>
      <c r="M1415">
        <f>1/(COUNT(SimData1000!$C$9:$C$1008)-1)+$M$1414</f>
        <v>0.40540540540540276</v>
      </c>
    </row>
    <row r="1416" spans="10:13">
      <c r="J1416">
        <f>SMALL(SimData1000!$B$9:$B$1008,407)</f>
        <v>0.40684687883612863</v>
      </c>
      <c r="K1416">
        <f>1/(COUNT(SimData1000!$B$9:$B$1008)-1)+$K$1415</f>
        <v>0.40640640640640374</v>
      </c>
      <c r="L1416">
        <f>SMALL(SimData1000!$C$9:$C$1008,407)</f>
        <v>0.40282953860878479</v>
      </c>
      <c r="M1416">
        <f>1/(COUNT(SimData1000!$C$9:$C$1008)-1)+$M$1415</f>
        <v>0.40640640640640374</v>
      </c>
    </row>
    <row r="1417" spans="10:13">
      <c r="J1417">
        <f>SMALL(SimData1000!$B$9:$B$1008,408)</f>
        <v>0.40738954440769498</v>
      </c>
      <c r="K1417">
        <f>1/(COUNT(SimData1000!$B$9:$B$1008)-1)+$K$1416</f>
        <v>0.40740740740740472</v>
      </c>
      <c r="L1417">
        <f>SMALL(SimData1000!$C$9:$C$1008,408)</f>
        <v>0.40402419782822108</v>
      </c>
      <c r="M1417">
        <f>1/(COUNT(SimData1000!$C$9:$C$1008)-1)+$M$1416</f>
        <v>0.40740740740740472</v>
      </c>
    </row>
    <row r="1418" spans="10:13">
      <c r="J1418">
        <f>SMALL(SimData1000!$B$9:$B$1008,409)</f>
        <v>0.40874313694907893</v>
      </c>
      <c r="K1418">
        <f>1/(COUNT(SimData1000!$B$9:$B$1008)-1)+$K$1417</f>
        <v>0.4084084084084057</v>
      </c>
      <c r="L1418">
        <f>SMALL(SimData1000!$C$9:$C$1008,409)</f>
        <v>0.40468014394991769</v>
      </c>
      <c r="M1418">
        <f>1/(COUNT(SimData1000!$C$9:$C$1008)-1)+$M$1417</f>
        <v>0.4084084084084057</v>
      </c>
    </row>
    <row r="1419" spans="10:13">
      <c r="J1419">
        <f>SMALL(SimData1000!$B$9:$B$1008,410)</f>
        <v>0.40933282825684469</v>
      </c>
      <c r="K1419">
        <f>1/(COUNT(SimData1000!$B$9:$B$1008)-1)+$K$1418</f>
        <v>0.40940940940940668</v>
      </c>
      <c r="L1419">
        <f>SMALL(SimData1000!$C$9:$C$1008,410)</f>
        <v>0.40484948276207433</v>
      </c>
      <c r="M1419">
        <f>1/(COUNT(SimData1000!$C$9:$C$1008)-1)+$M$1418</f>
        <v>0.40940940940940668</v>
      </c>
    </row>
    <row r="1420" spans="10:13">
      <c r="J1420">
        <f>SMALL(SimData1000!$B$9:$B$1008,411)</f>
        <v>0.4101604830520601</v>
      </c>
      <c r="K1420">
        <f>1/(COUNT(SimData1000!$B$9:$B$1008)-1)+$K$1419</f>
        <v>0.41041041041040766</v>
      </c>
      <c r="L1420">
        <f>SMALL(SimData1000!$C$9:$C$1008,411)</f>
        <v>0.40571831842316897</v>
      </c>
      <c r="M1420">
        <f>1/(COUNT(SimData1000!$C$9:$C$1008)-1)+$M$1419</f>
        <v>0.41041041041040766</v>
      </c>
    </row>
    <row r="1421" spans="10:13">
      <c r="J1421">
        <f>SMALL(SimData1000!$B$9:$B$1008,412)</f>
        <v>0.41121950429100995</v>
      </c>
      <c r="K1421">
        <f>1/(COUNT(SimData1000!$B$9:$B$1008)-1)+$K$1420</f>
        <v>0.41141141141140863</v>
      </c>
      <c r="L1421">
        <f>SMALL(SimData1000!$C$9:$C$1008,412)</f>
        <v>0.40573578970634117</v>
      </c>
      <c r="M1421">
        <f>1/(COUNT(SimData1000!$C$9:$C$1008)-1)+$M$1420</f>
        <v>0.41141141141140863</v>
      </c>
    </row>
    <row r="1422" spans="10:13">
      <c r="J1422">
        <f>SMALL(SimData1000!$B$9:$B$1008,413)</f>
        <v>0.41283174134880113</v>
      </c>
      <c r="K1422">
        <f>1/(COUNT(SimData1000!$B$9:$B$1008)-1)+$K$1421</f>
        <v>0.41241241241240961</v>
      </c>
      <c r="L1422">
        <f>SMALL(SimData1000!$C$9:$C$1008,413)</f>
        <v>0.40579505188634357</v>
      </c>
      <c r="M1422">
        <f>1/(COUNT(SimData1000!$C$9:$C$1008)-1)+$M$1421</f>
        <v>0.41241241241240961</v>
      </c>
    </row>
    <row r="1423" spans="10:13">
      <c r="J1423">
        <f>SMALL(SimData1000!$B$9:$B$1008,414)</f>
        <v>0.41383274016059768</v>
      </c>
      <c r="K1423">
        <f>1/(COUNT(SimData1000!$B$9:$B$1008)-1)+$K$1422</f>
        <v>0.41341341341341059</v>
      </c>
      <c r="L1423">
        <f>SMALL(SimData1000!$C$9:$C$1008,414)</f>
        <v>0.40602156301611103</v>
      </c>
      <c r="M1423">
        <f>1/(COUNT(SimData1000!$C$9:$C$1008)-1)+$M$1422</f>
        <v>0.41341341341341059</v>
      </c>
    </row>
    <row r="1424" spans="10:13">
      <c r="J1424">
        <f>SMALL(SimData1000!$B$9:$B$1008,415)</f>
        <v>0.41452645837900376</v>
      </c>
      <c r="K1424">
        <f>1/(COUNT(SimData1000!$B$9:$B$1008)-1)+$K$1423</f>
        <v>0.41441441441441157</v>
      </c>
      <c r="L1424">
        <f>SMALL(SimData1000!$C$9:$C$1008,415)</f>
        <v>0.40994146398317355</v>
      </c>
      <c r="M1424">
        <f>1/(COUNT(SimData1000!$C$9:$C$1008)-1)+$M$1423</f>
        <v>0.41441441441441157</v>
      </c>
    </row>
    <row r="1425" spans="10:13">
      <c r="J1425">
        <f>SMALL(SimData1000!$B$9:$B$1008,416)</f>
        <v>0.41508847512050728</v>
      </c>
      <c r="K1425">
        <f>1/(COUNT(SimData1000!$B$9:$B$1008)-1)+$K$1424</f>
        <v>0.41541541541541255</v>
      </c>
      <c r="L1425">
        <f>SMALL(SimData1000!$C$9:$C$1008,416)</f>
        <v>0.41023555636547826</v>
      </c>
      <c r="M1425">
        <f>1/(COUNT(SimData1000!$C$9:$C$1008)-1)+$M$1424</f>
        <v>0.41541541541541255</v>
      </c>
    </row>
    <row r="1426" spans="10:13">
      <c r="J1426">
        <f>SMALL(SimData1000!$B$9:$B$1008,417)</f>
        <v>0.4160842512115101</v>
      </c>
      <c r="K1426">
        <f>1/(COUNT(SimData1000!$B$9:$B$1008)-1)+$K$1425</f>
        <v>0.41641641641641353</v>
      </c>
      <c r="L1426">
        <f>SMALL(SimData1000!$C$9:$C$1008,417)</f>
        <v>0.41073821998998028</v>
      </c>
      <c r="M1426">
        <f>1/(COUNT(SimData1000!$C$9:$C$1008)-1)+$M$1425</f>
        <v>0.41641641641641353</v>
      </c>
    </row>
    <row r="1427" spans="10:13">
      <c r="J1427">
        <f>SMALL(SimData1000!$B$9:$B$1008,418)</f>
        <v>0.41762914338862273</v>
      </c>
      <c r="K1427">
        <f>1/(COUNT(SimData1000!$B$9:$B$1008)-1)+$K$1426</f>
        <v>0.4174174174174145</v>
      </c>
      <c r="L1427">
        <f>SMALL(SimData1000!$C$9:$C$1008,418)</f>
        <v>0.41098349089770636</v>
      </c>
      <c r="M1427">
        <f>1/(COUNT(SimData1000!$C$9:$C$1008)-1)+$M$1426</f>
        <v>0.4174174174174145</v>
      </c>
    </row>
    <row r="1428" spans="10:13">
      <c r="J1428">
        <f>SMALL(SimData1000!$B$9:$B$1008,419)</f>
        <v>0.41895110021181198</v>
      </c>
      <c r="K1428">
        <f>1/(COUNT(SimData1000!$B$9:$B$1008)-1)+$K$1427</f>
        <v>0.41841841841841548</v>
      </c>
      <c r="L1428">
        <f>SMALL(SimData1000!$C$9:$C$1008,419)</f>
        <v>0.41116457814041496</v>
      </c>
      <c r="M1428">
        <f>1/(COUNT(SimData1000!$C$9:$C$1008)-1)+$M$1427</f>
        <v>0.41841841841841548</v>
      </c>
    </row>
    <row r="1429" spans="10:13">
      <c r="J1429">
        <f>SMALL(SimData1000!$B$9:$B$1008,420)</f>
        <v>0.41938112821112877</v>
      </c>
      <c r="K1429">
        <f>1/(COUNT(SimData1000!$B$9:$B$1008)-1)+$K$1428</f>
        <v>0.41941941941941646</v>
      </c>
      <c r="L1429">
        <f>SMALL(SimData1000!$C$9:$C$1008,420)</f>
        <v>0.41137501769301821</v>
      </c>
      <c r="M1429">
        <f>1/(COUNT(SimData1000!$C$9:$C$1008)-1)+$M$1428</f>
        <v>0.41941941941941646</v>
      </c>
    </row>
    <row r="1430" spans="10:13">
      <c r="J1430">
        <f>SMALL(SimData1000!$B$9:$B$1008,421)</f>
        <v>0.4204824483297957</v>
      </c>
      <c r="K1430">
        <f>1/(COUNT(SimData1000!$B$9:$B$1008)-1)+$K$1429</f>
        <v>0.42042042042041744</v>
      </c>
      <c r="L1430">
        <f>SMALL(SimData1000!$C$9:$C$1008,421)</f>
        <v>0.41430827497242717</v>
      </c>
      <c r="M1430">
        <f>1/(COUNT(SimData1000!$C$9:$C$1008)-1)+$M$1429</f>
        <v>0.42042042042041744</v>
      </c>
    </row>
    <row r="1431" spans="10:13">
      <c r="J1431">
        <f>SMALL(SimData1000!$B$9:$B$1008,422)</f>
        <v>0.42122853918751435</v>
      </c>
      <c r="K1431">
        <f>1/(COUNT(SimData1000!$B$9:$B$1008)-1)+$K$1430</f>
        <v>0.42142142142141842</v>
      </c>
      <c r="L1431">
        <f>SMALL(SimData1000!$C$9:$C$1008,422)</f>
        <v>0.41485853944777773</v>
      </c>
      <c r="M1431">
        <f>1/(COUNT(SimData1000!$C$9:$C$1008)-1)+$M$1430</f>
        <v>0.42142142142141842</v>
      </c>
    </row>
    <row r="1432" spans="10:13">
      <c r="J1432">
        <f>SMALL(SimData1000!$B$9:$B$1008,423)</f>
        <v>0.42211354230230524</v>
      </c>
      <c r="K1432">
        <f>1/(COUNT(SimData1000!$B$9:$B$1008)-1)+$K$1431</f>
        <v>0.4224224224224194</v>
      </c>
      <c r="L1432">
        <f>SMALL(SimData1000!$C$9:$C$1008,423)</f>
        <v>0.4164118026073993</v>
      </c>
      <c r="M1432">
        <f>1/(COUNT(SimData1000!$C$9:$C$1008)-1)+$M$1431</f>
        <v>0.4224224224224194</v>
      </c>
    </row>
    <row r="1433" spans="10:13">
      <c r="J1433">
        <f>SMALL(SimData1000!$B$9:$B$1008,424)</f>
        <v>0.4231128485591879</v>
      </c>
      <c r="K1433">
        <f>1/(COUNT(SimData1000!$B$9:$B$1008)-1)+$K$1432</f>
        <v>0.42342342342342038</v>
      </c>
      <c r="L1433">
        <f>SMALL(SimData1000!$C$9:$C$1008,424)</f>
        <v>0.41992112870593701</v>
      </c>
      <c r="M1433">
        <f>1/(COUNT(SimData1000!$C$9:$C$1008)-1)+$M$1432</f>
        <v>0.42342342342342038</v>
      </c>
    </row>
    <row r="1434" spans="10:13">
      <c r="J1434">
        <f>SMALL(SimData1000!$B$9:$B$1008,425)</f>
        <v>0.42416167893148066</v>
      </c>
      <c r="K1434">
        <f>1/(COUNT(SimData1000!$B$9:$B$1008)-1)+$K$1433</f>
        <v>0.42442442442442135</v>
      </c>
      <c r="L1434">
        <f>SMALL(SimData1000!$C$9:$C$1008,425)</f>
        <v>0.42165063945139991</v>
      </c>
      <c r="M1434">
        <f>1/(COUNT(SimData1000!$C$9:$C$1008)-1)+$M$1433</f>
        <v>0.42442442442442135</v>
      </c>
    </row>
    <row r="1435" spans="10:13">
      <c r="J1435">
        <f>SMALL(SimData1000!$B$9:$B$1008,426)</f>
        <v>0.42599279760382897</v>
      </c>
      <c r="K1435">
        <f>1/(COUNT(SimData1000!$B$9:$B$1008)-1)+$K$1434</f>
        <v>0.42542542542542233</v>
      </c>
      <c r="L1435">
        <f>SMALL(SimData1000!$C$9:$C$1008,426)</f>
        <v>0.42186645443143789</v>
      </c>
      <c r="M1435">
        <f>1/(COUNT(SimData1000!$C$9:$C$1008)-1)+$M$1434</f>
        <v>0.42542542542542233</v>
      </c>
    </row>
    <row r="1436" spans="10:13">
      <c r="J1436">
        <f>SMALL(SimData1000!$B$9:$B$1008,427)</f>
        <v>0.42627867290314253</v>
      </c>
      <c r="K1436">
        <f>1/(COUNT(SimData1000!$B$9:$B$1008)-1)+$K$1435</f>
        <v>0.42642642642642331</v>
      </c>
      <c r="L1436">
        <f>SMALL(SimData1000!$C$9:$C$1008,427)</f>
        <v>0.42221240180242603</v>
      </c>
      <c r="M1436">
        <f>1/(COUNT(SimData1000!$C$9:$C$1008)-1)+$M$1435</f>
        <v>0.42642642642642331</v>
      </c>
    </row>
    <row r="1437" spans="10:13">
      <c r="J1437">
        <f>SMALL(SimData1000!$B$9:$B$1008,428)</f>
        <v>0.4279021401081472</v>
      </c>
      <c r="K1437">
        <f>1/(COUNT(SimData1000!$B$9:$B$1008)-1)+$K$1436</f>
        <v>0.42742742742742429</v>
      </c>
      <c r="L1437">
        <f>SMALL(SimData1000!$C$9:$C$1008,428)</f>
        <v>0.42450632259715348</v>
      </c>
      <c r="M1437">
        <f>1/(COUNT(SimData1000!$C$9:$C$1008)-1)+$M$1436</f>
        <v>0.42742742742742429</v>
      </c>
    </row>
    <row r="1438" spans="10:13">
      <c r="J1438">
        <f>SMALL(SimData1000!$B$9:$B$1008,429)</f>
        <v>0.42876323140802869</v>
      </c>
      <c r="K1438">
        <f>1/(COUNT(SimData1000!$B$9:$B$1008)-1)+$K$1437</f>
        <v>0.42842842842842527</v>
      </c>
      <c r="L1438">
        <f>SMALL(SimData1000!$C$9:$C$1008,429)</f>
        <v>0.42462787644763011</v>
      </c>
      <c r="M1438">
        <f>1/(COUNT(SimData1000!$C$9:$C$1008)-1)+$M$1437</f>
        <v>0.42842842842842527</v>
      </c>
    </row>
    <row r="1439" spans="10:13">
      <c r="J1439">
        <f>SMALL(SimData1000!$B$9:$B$1008,430)</f>
        <v>0.42996546909887473</v>
      </c>
      <c r="K1439">
        <f>1/(COUNT(SimData1000!$B$9:$B$1008)-1)+$K$1438</f>
        <v>0.42942942942942625</v>
      </c>
      <c r="L1439">
        <f>SMALL(SimData1000!$C$9:$C$1008,430)</f>
        <v>0.42580793574143172</v>
      </c>
      <c r="M1439">
        <f>1/(COUNT(SimData1000!$C$9:$C$1008)-1)+$M$1438</f>
        <v>0.42942942942942625</v>
      </c>
    </row>
    <row r="1440" spans="10:13">
      <c r="J1440">
        <f>SMALL(SimData1000!$B$9:$B$1008,431)</f>
        <v>0.43002533706860274</v>
      </c>
      <c r="K1440">
        <f>1/(COUNT(SimData1000!$B$9:$B$1008)-1)+$K$1439</f>
        <v>0.43043043043042722</v>
      </c>
      <c r="L1440">
        <f>SMALL(SimData1000!$C$9:$C$1008,431)</f>
        <v>0.42595041485674301</v>
      </c>
      <c r="M1440">
        <f>1/(COUNT(SimData1000!$C$9:$C$1008)-1)+$M$1439</f>
        <v>0.43043043043042722</v>
      </c>
    </row>
    <row r="1441" spans="10:13">
      <c r="J1441">
        <f>SMALL(SimData1000!$B$9:$B$1008,432)</f>
        <v>0.43138609281936335</v>
      </c>
      <c r="K1441">
        <f>1/(COUNT(SimData1000!$B$9:$B$1008)-1)+$K$1440</f>
        <v>0.4314314314314282</v>
      </c>
      <c r="L1441">
        <f>SMALL(SimData1000!$C$9:$C$1008,432)</f>
        <v>0.42636714610216586</v>
      </c>
      <c r="M1441">
        <f>1/(COUNT(SimData1000!$C$9:$C$1008)-1)+$M$1440</f>
        <v>0.4314314314314282</v>
      </c>
    </row>
    <row r="1442" spans="10:13">
      <c r="J1442">
        <f>SMALL(SimData1000!$B$9:$B$1008,433)</f>
        <v>0.43280280630448897</v>
      </c>
      <c r="K1442">
        <f>1/(COUNT(SimData1000!$B$9:$B$1008)-1)+$K$1441</f>
        <v>0.43243243243242918</v>
      </c>
      <c r="L1442">
        <f>SMALL(SimData1000!$C$9:$C$1008,433)</f>
        <v>0.42674811341476016</v>
      </c>
      <c r="M1442">
        <f>1/(COUNT(SimData1000!$C$9:$C$1008)-1)+$M$1441</f>
        <v>0.43243243243242918</v>
      </c>
    </row>
    <row r="1443" spans="10:13">
      <c r="J1443">
        <f>SMALL(SimData1000!$B$9:$B$1008,434)</f>
        <v>0.433345875867723</v>
      </c>
      <c r="K1443">
        <f>1/(COUNT(SimData1000!$B$9:$B$1008)-1)+$K$1442</f>
        <v>0.43343343343343016</v>
      </c>
      <c r="L1443">
        <f>SMALL(SimData1000!$C$9:$C$1008,434)</f>
        <v>0.42729586083260074</v>
      </c>
      <c r="M1443">
        <f>1/(COUNT(SimData1000!$C$9:$C$1008)-1)+$M$1442</f>
        <v>0.43343343343343016</v>
      </c>
    </row>
    <row r="1444" spans="10:13">
      <c r="J1444">
        <f>SMALL(SimData1000!$B$9:$B$1008,435)</f>
        <v>0.43427513686713648</v>
      </c>
      <c r="K1444">
        <f>1/(COUNT(SimData1000!$B$9:$B$1008)-1)+$K$1443</f>
        <v>0.43443443443443114</v>
      </c>
      <c r="L1444">
        <f>SMALL(SimData1000!$C$9:$C$1008,435)</f>
        <v>0.42785604978598712</v>
      </c>
      <c r="M1444">
        <f>1/(COUNT(SimData1000!$C$9:$C$1008)-1)+$M$1443</f>
        <v>0.43443443443443114</v>
      </c>
    </row>
    <row r="1445" spans="10:13">
      <c r="J1445">
        <f>SMALL(SimData1000!$B$9:$B$1008,436)</f>
        <v>0.4352358415055172</v>
      </c>
      <c r="K1445">
        <f>1/(COUNT(SimData1000!$B$9:$B$1008)-1)+$K$1444</f>
        <v>0.43543543543543212</v>
      </c>
      <c r="L1445">
        <f>SMALL(SimData1000!$C$9:$C$1008,436)</f>
        <v>0.42851340890865686</v>
      </c>
      <c r="M1445">
        <f>1/(COUNT(SimData1000!$C$9:$C$1008)-1)+$M$1444</f>
        <v>0.43543543543543212</v>
      </c>
    </row>
    <row r="1446" spans="10:13">
      <c r="J1446">
        <f>SMALL(SimData1000!$B$9:$B$1008,437)</f>
        <v>0.43659706456577341</v>
      </c>
      <c r="K1446">
        <f>1/(COUNT(SimData1000!$B$9:$B$1008)-1)+$K$1445</f>
        <v>0.4364364364364331</v>
      </c>
      <c r="L1446">
        <f>SMALL(SimData1000!$C$9:$C$1008,437)</f>
        <v>0.42937940469983005</v>
      </c>
      <c r="M1446">
        <f>1/(COUNT(SimData1000!$C$9:$C$1008)-1)+$M$1445</f>
        <v>0.4364364364364331</v>
      </c>
    </row>
    <row r="1447" spans="10:13">
      <c r="J1447">
        <f>SMALL(SimData1000!$B$9:$B$1008,438)</f>
        <v>0.43787854419948502</v>
      </c>
      <c r="K1447">
        <f>1/(COUNT(SimData1000!$B$9:$B$1008)-1)+$K$1446</f>
        <v>0.43743743743743407</v>
      </c>
      <c r="L1447">
        <f>SMALL(SimData1000!$C$9:$C$1008,438)</f>
        <v>0.42947665598785534</v>
      </c>
      <c r="M1447">
        <f>1/(COUNT(SimData1000!$C$9:$C$1008)-1)+$M$1446</f>
        <v>0.43743743743743407</v>
      </c>
    </row>
    <row r="1448" spans="10:13">
      <c r="J1448">
        <f>SMALL(SimData1000!$B$9:$B$1008,439)</f>
        <v>0.43866109310990692</v>
      </c>
      <c r="K1448">
        <f>1/(COUNT(SimData1000!$B$9:$B$1008)-1)+$K$1447</f>
        <v>0.43843843843843505</v>
      </c>
      <c r="L1448">
        <f>SMALL(SimData1000!$C$9:$C$1008,439)</f>
        <v>0.43073627498142741</v>
      </c>
      <c r="M1448">
        <f>1/(COUNT(SimData1000!$C$9:$C$1008)-1)+$M$1447</f>
        <v>0.43843843843843505</v>
      </c>
    </row>
    <row r="1449" spans="10:13">
      <c r="J1449">
        <f>SMALL(SimData1000!$B$9:$B$1008,440)</f>
        <v>0.43996346113457424</v>
      </c>
      <c r="K1449">
        <f>1/(COUNT(SimData1000!$B$9:$B$1008)-1)+$K$1448</f>
        <v>0.43943943943943603</v>
      </c>
      <c r="L1449">
        <f>SMALL(SimData1000!$C$9:$C$1008,440)</f>
        <v>0.43084163194816938</v>
      </c>
      <c r="M1449">
        <f>1/(COUNT(SimData1000!$C$9:$C$1008)-1)+$M$1448</f>
        <v>0.43943943943943603</v>
      </c>
    </row>
    <row r="1450" spans="10:13">
      <c r="J1450">
        <f>SMALL(SimData1000!$B$9:$B$1008,441)</f>
        <v>0.44058853854834767</v>
      </c>
      <c r="K1450">
        <f>1/(COUNT(SimData1000!$B$9:$B$1008)-1)+$K$1449</f>
        <v>0.44044044044043701</v>
      </c>
      <c r="L1450">
        <f>SMALL(SimData1000!$C$9:$C$1008,441)</f>
        <v>0.43167025890852528</v>
      </c>
      <c r="M1450">
        <f>1/(COUNT(SimData1000!$C$9:$C$1008)-1)+$M$1449</f>
        <v>0.44044044044043701</v>
      </c>
    </row>
    <row r="1451" spans="10:13">
      <c r="J1451">
        <f>SMALL(SimData1000!$B$9:$B$1008,442)</f>
        <v>0.44193050359281022</v>
      </c>
      <c r="K1451">
        <f>1/(COUNT(SimData1000!$B$9:$B$1008)-1)+$K$1450</f>
        <v>0.44144144144143799</v>
      </c>
      <c r="L1451">
        <f>SMALL(SimData1000!$C$9:$C$1008,442)</f>
        <v>0.43167293896567571</v>
      </c>
      <c r="M1451">
        <f>1/(COUNT(SimData1000!$C$9:$C$1008)-1)+$M$1450</f>
        <v>0.44144144144143799</v>
      </c>
    </row>
    <row r="1452" spans="10:13">
      <c r="J1452">
        <f>SMALL(SimData1000!$B$9:$B$1008,443)</f>
        <v>0.44264936277029326</v>
      </c>
      <c r="K1452">
        <f>1/(COUNT(SimData1000!$B$9:$B$1008)-1)+$K$1451</f>
        <v>0.44244244244243897</v>
      </c>
      <c r="L1452">
        <f>SMALL(SimData1000!$C$9:$C$1008,443)</f>
        <v>0.4320989307916534</v>
      </c>
      <c r="M1452">
        <f>1/(COUNT(SimData1000!$C$9:$C$1008)-1)+$M$1451</f>
        <v>0.44244244244243897</v>
      </c>
    </row>
    <row r="1453" spans="10:13">
      <c r="J1453">
        <f>SMALL(SimData1000!$B$9:$B$1008,444)</f>
        <v>0.44354798195756695</v>
      </c>
      <c r="K1453">
        <f>1/(COUNT(SimData1000!$B$9:$B$1008)-1)+$K$1452</f>
        <v>0.44344344344343994</v>
      </c>
      <c r="L1453">
        <f>SMALL(SimData1000!$C$9:$C$1008,444)</f>
        <v>0.43496315090487769</v>
      </c>
      <c r="M1453">
        <f>1/(COUNT(SimData1000!$C$9:$C$1008)-1)+$M$1452</f>
        <v>0.44344344344343994</v>
      </c>
    </row>
    <row r="1454" spans="10:13">
      <c r="J1454">
        <f>SMALL(SimData1000!$B$9:$B$1008,445)</f>
        <v>0.44460377537403345</v>
      </c>
      <c r="K1454">
        <f>1/(COUNT(SimData1000!$B$9:$B$1008)-1)+$K$1453</f>
        <v>0.44444444444444092</v>
      </c>
      <c r="L1454">
        <f>SMALL(SimData1000!$C$9:$C$1008,445)</f>
        <v>0.4358467830970767</v>
      </c>
      <c r="M1454">
        <f>1/(COUNT(SimData1000!$C$9:$C$1008)-1)+$M$1453</f>
        <v>0.44444444444444092</v>
      </c>
    </row>
    <row r="1455" spans="10:13">
      <c r="J1455">
        <f>SMALL(SimData1000!$B$9:$B$1008,446)</f>
        <v>0.44503466543253389</v>
      </c>
      <c r="K1455">
        <f>1/(COUNT(SimData1000!$B$9:$B$1008)-1)+$K$1454</f>
        <v>0.4454454454454419</v>
      </c>
      <c r="L1455">
        <f>SMALL(SimData1000!$C$9:$C$1008,446)</f>
        <v>0.43640654359023756</v>
      </c>
      <c r="M1455">
        <f>1/(COUNT(SimData1000!$C$9:$C$1008)-1)+$M$1454</f>
        <v>0.4454454454454419</v>
      </c>
    </row>
    <row r="1456" spans="10:13">
      <c r="J1456">
        <f>SMALL(SimData1000!$B$9:$B$1008,447)</f>
        <v>0.44692116693801276</v>
      </c>
      <c r="K1456">
        <f>1/(COUNT(SimData1000!$B$9:$B$1008)-1)+$K$1455</f>
        <v>0.44644644644644288</v>
      </c>
      <c r="L1456">
        <f>SMALL(SimData1000!$C$9:$C$1008,447)</f>
        <v>0.43757611748424097</v>
      </c>
      <c r="M1456">
        <f>1/(COUNT(SimData1000!$C$9:$C$1008)-1)+$M$1455</f>
        <v>0.44644644644644288</v>
      </c>
    </row>
    <row r="1457" spans="10:13">
      <c r="J1457">
        <f>SMALL(SimData1000!$B$9:$B$1008,448)</f>
        <v>0.44725228245375964</v>
      </c>
      <c r="K1457">
        <f>1/(COUNT(SimData1000!$B$9:$B$1008)-1)+$K$1456</f>
        <v>0.44744744744744386</v>
      </c>
      <c r="L1457">
        <f>SMALL(SimData1000!$C$9:$C$1008,448)</f>
        <v>0.43772230149625102</v>
      </c>
      <c r="M1457">
        <f>1/(COUNT(SimData1000!$C$9:$C$1008)-1)+$M$1456</f>
        <v>0.44744744744744386</v>
      </c>
    </row>
    <row r="1458" spans="10:13">
      <c r="J1458">
        <f>SMALL(SimData1000!$B$9:$B$1008,449)</f>
        <v>0.44876813794201426</v>
      </c>
      <c r="K1458">
        <f>1/(COUNT(SimData1000!$B$9:$B$1008)-1)+$K$1457</f>
        <v>0.44844844844844484</v>
      </c>
      <c r="L1458">
        <f>SMALL(SimData1000!$C$9:$C$1008,449)</f>
        <v>0.43806320784824493</v>
      </c>
      <c r="M1458">
        <f>1/(COUNT(SimData1000!$C$9:$C$1008)-1)+$M$1457</f>
        <v>0.44844844844844484</v>
      </c>
    </row>
    <row r="1459" spans="10:13">
      <c r="J1459">
        <f>SMALL(SimData1000!$B$9:$B$1008,450)</f>
        <v>0.44973630385490515</v>
      </c>
      <c r="K1459">
        <f>1/(COUNT(SimData1000!$B$9:$B$1008)-1)+$K$1458</f>
        <v>0.44944944944944581</v>
      </c>
      <c r="L1459">
        <f>SMALL(SimData1000!$C$9:$C$1008,450)</f>
        <v>0.43843877958988742</v>
      </c>
      <c r="M1459">
        <f>1/(COUNT(SimData1000!$C$9:$C$1008)-1)+$M$1458</f>
        <v>0.44944944944944581</v>
      </c>
    </row>
    <row r="1460" spans="10:13">
      <c r="J1460">
        <f>SMALL(SimData1000!$B$9:$B$1008,451)</f>
        <v>0.45049521410709598</v>
      </c>
      <c r="K1460">
        <f>1/(COUNT(SimData1000!$B$9:$B$1008)-1)+$K$1459</f>
        <v>0.45045045045044679</v>
      </c>
      <c r="L1460">
        <f>SMALL(SimData1000!$C$9:$C$1008,451)</f>
        <v>0.44029054658767564</v>
      </c>
      <c r="M1460">
        <f>1/(COUNT(SimData1000!$C$9:$C$1008)-1)+$M$1459</f>
        <v>0.45045045045044679</v>
      </c>
    </row>
    <row r="1461" spans="10:13">
      <c r="J1461">
        <f>SMALL(SimData1000!$B$9:$B$1008,452)</f>
        <v>0.45173479936801242</v>
      </c>
      <c r="K1461">
        <f>1/(COUNT(SimData1000!$B$9:$B$1008)-1)+$K$1460</f>
        <v>0.45145145145144777</v>
      </c>
      <c r="L1461">
        <f>SMALL(SimData1000!$C$9:$C$1008,452)</f>
        <v>0.44085233415080438</v>
      </c>
      <c r="M1461">
        <f>1/(COUNT(SimData1000!$C$9:$C$1008)-1)+$M$1460</f>
        <v>0.45145145145144777</v>
      </c>
    </row>
    <row r="1462" spans="10:13">
      <c r="J1462">
        <f>SMALL(SimData1000!$B$9:$B$1008,453)</f>
        <v>0.4526356255862945</v>
      </c>
      <c r="K1462">
        <f>1/(COUNT(SimData1000!$B$9:$B$1008)-1)+$K$1461</f>
        <v>0.45245245245244875</v>
      </c>
      <c r="L1462">
        <f>SMALL(SimData1000!$C$9:$C$1008,453)</f>
        <v>0.44337858577546285</v>
      </c>
      <c r="M1462">
        <f>1/(COUNT(SimData1000!$C$9:$C$1008)-1)+$M$1461</f>
        <v>0.45245245245244875</v>
      </c>
    </row>
    <row r="1463" spans="10:13">
      <c r="J1463">
        <f>SMALL(SimData1000!$B$9:$B$1008,454)</f>
        <v>0.45343651244077748</v>
      </c>
      <c r="K1463">
        <f>1/(COUNT(SimData1000!$B$9:$B$1008)-1)+$K$1462</f>
        <v>0.45345345345344973</v>
      </c>
      <c r="L1463">
        <f>SMALL(SimData1000!$C$9:$C$1008,454)</f>
        <v>0.44371546007096185</v>
      </c>
      <c r="M1463">
        <f>1/(COUNT(SimData1000!$C$9:$C$1008)-1)+$M$1462</f>
        <v>0.45345345345344973</v>
      </c>
    </row>
    <row r="1464" spans="10:13">
      <c r="J1464">
        <f>SMALL(SimData1000!$B$9:$B$1008,455)</f>
        <v>0.45446538210740905</v>
      </c>
      <c r="K1464">
        <f>1/(COUNT(SimData1000!$B$9:$B$1008)-1)+$K$1463</f>
        <v>0.45445445445445071</v>
      </c>
      <c r="L1464">
        <f>SMALL(SimData1000!$C$9:$C$1008,455)</f>
        <v>0.44436099736230972</v>
      </c>
      <c r="M1464">
        <f>1/(COUNT(SimData1000!$C$9:$C$1008)-1)+$M$1463</f>
        <v>0.45445445445445071</v>
      </c>
    </row>
    <row r="1465" spans="10:13">
      <c r="J1465">
        <f>SMALL(SimData1000!$B$9:$B$1008,456)</f>
        <v>0.45574386684590573</v>
      </c>
      <c r="K1465">
        <f>1/(COUNT(SimData1000!$B$9:$B$1008)-1)+$K$1464</f>
        <v>0.45545545545545169</v>
      </c>
      <c r="L1465">
        <f>SMALL(SimData1000!$C$9:$C$1008,456)</f>
        <v>0.44447717693947197</v>
      </c>
      <c r="M1465">
        <f>1/(COUNT(SimData1000!$C$9:$C$1008)-1)+$M$1464</f>
        <v>0.45545545545545169</v>
      </c>
    </row>
    <row r="1466" spans="10:13">
      <c r="J1466">
        <f>SMALL(SimData1000!$B$9:$B$1008,457)</f>
        <v>0.45658407982429117</v>
      </c>
      <c r="K1466">
        <f>1/(COUNT(SimData1000!$B$9:$B$1008)-1)+$K$1465</f>
        <v>0.45645645645645266</v>
      </c>
      <c r="L1466">
        <f>SMALL(SimData1000!$C$9:$C$1008,457)</f>
        <v>0.44496200746289105</v>
      </c>
      <c r="M1466">
        <f>1/(COUNT(SimData1000!$C$9:$C$1008)-1)+$M$1465</f>
        <v>0.45645645645645266</v>
      </c>
    </row>
    <row r="1467" spans="10:13">
      <c r="J1467">
        <f>SMALL(SimData1000!$B$9:$B$1008,458)</f>
        <v>0.45767704452403751</v>
      </c>
      <c r="K1467">
        <f>1/(COUNT(SimData1000!$B$9:$B$1008)-1)+$K$1466</f>
        <v>0.45745745745745364</v>
      </c>
      <c r="L1467">
        <f>SMALL(SimData1000!$C$9:$C$1008,458)</f>
        <v>0.44625646310669254</v>
      </c>
      <c r="M1467">
        <f>1/(COUNT(SimData1000!$C$9:$C$1008)-1)+$M$1466</f>
        <v>0.45745745745745364</v>
      </c>
    </row>
    <row r="1468" spans="10:13">
      <c r="J1468">
        <f>SMALL(SimData1000!$B$9:$B$1008,459)</f>
        <v>0.45846896316401403</v>
      </c>
      <c r="K1468">
        <f>1/(COUNT(SimData1000!$B$9:$B$1008)-1)+$K$1467</f>
        <v>0.45845845845845462</v>
      </c>
      <c r="L1468">
        <f>SMALL(SimData1000!$C$9:$C$1008,459)</f>
        <v>0.44631403383755242</v>
      </c>
      <c r="M1468">
        <f>1/(COUNT(SimData1000!$C$9:$C$1008)-1)+$M$1467</f>
        <v>0.45845845845845462</v>
      </c>
    </row>
    <row r="1469" spans="10:13">
      <c r="J1469">
        <f>SMALL(SimData1000!$B$9:$B$1008,460)</f>
        <v>0.45946440989232257</v>
      </c>
      <c r="K1469">
        <f>1/(COUNT(SimData1000!$B$9:$B$1008)-1)+$K$1468</f>
        <v>0.4594594594594556</v>
      </c>
      <c r="L1469">
        <f>SMALL(SimData1000!$C$9:$C$1008,460)</f>
        <v>0.4466651147849916</v>
      </c>
      <c r="M1469">
        <f>1/(COUNT(SimData1000!$C$9:$C$1008)-1)+$M$1468</f>
        <v>0.4594594594594556</v>
      </c>
    </row>
    <row r="1470" spans="10:13">
      <c r="J1470">
        <f>SMALL(SimData1000!$B$9:$B$1008,461)</f>
        <v>0.46048951807815802</v>
      </c>
      <c r="K1470">
        <f>1/(COUNT(SimData1000!$B$9:$B$1008)-1)+$K$1469</f>
        <v>0.46046046046045658</v>
      </c>
      <c r="L1470">
        <f>SMALL(SimData1000!$C$9:$C$1008,461)</f>
        <v>0.44880466156337206</v>
      </c>
      <c r="M1470">
        <f>1/(COUNT(SimData1000!$C$9:$C$1008)-1)+$M$1469</f>
        <v>0.46046046046045658</v>
      </c>
    </row>
    <row r="1471" spans="10:13">
      <c r="J1471">
        <f>SMALL(SimData1000!$B$9:$B$1008,462)</f>
        <v>0.46165074783159665</v>
      </c>
      <c r="K1471">
        <f>1/(COUNT(SimData1000!$B$9:$B$1008)-1)+$K$1470</f>
        <v>0.46146146146145756</v>
      </c>
      <c r="L1471">
        <f>SMALL(SimData1000!$C$9:$C$1008,462)</f>
        <v>0.44914011639775708</v>
      </c>
      <c r="M1471">
        <f>1/(COUNT(SimData1000!$C$9:$C$1008)-1)+$M$1470</f>
        <v>0.46146146146145756</v>
      </c>
    </row>
    <row r="1472" spans="10:13">
      <c r="J1472">
        <f>SMALL(SimData1000!$B$9:$B$1008,463)</f>
        <v>0.462271943597652</v>
      </c>
      <c r="K1472">
        <f>1/(COUNT(SimData1000!$B$9:$B$1008)-1)+$K$1471</f>
        <v>0.46246246246245853</v>
      </c>
      <c r="L1472">
        <f>SMALL(SimData1000!$C$9:$C$1008,463)</f>
        <v>0.4493603659366272</v>
      </c>
      <c r="M1472">
        <f>1/(COUNT(SimData1000!$C$9:$C$1008)-1)+$M$1471</f>
        <v>0.46246246246245853</v>
      </c>
    </row>
    <row r="1473" spans="10:13">
      <c r="J1473">
        <f>SMALL(SimData1000!$B$9:$B$1008,464)</f>
        <v>0.46373448800172989</v>
      </c>
      <c r="K1473">
        <f>1/(COUNT(SimData1000!$B$9:$B$1008)-1)+$K$1472</f>
        <v>0.46346346346345951</v>
      </c>
      <c r="L1473">
        <f>SMALL(SimData1000!$C$9:$C$1008,464)</f>
        <v>0.45061256986264198</v>
      </c>
      <c r="M1473">
        <f>1/(COUNT(SimData1000!$C$9:$C$1008)-1)+$M$1472</f>
        <v>0.46346346346345951</v>
      </c>
    </row>
    <row r="1474" spans="10:13">
      <c r="J1474">
        <f>SMALL(SimData1000!$B$9:$B$1008,465)</f>
        <v>0.46466908643992366</v>
      </c>
      <c r="K1474">
        <f>1/(COUNT(SimData1000!$B$9:$B$1008)-1)+$K$1473</f>
        <v>0.46446446446446049</v>
      </c>
      <c r="L1474">
        <f>SMALL(SimData1000!$C$9:$C$1008,465)</f>
        <v>0.45119489521493961</v>
      </c>
      <c r="M1474">
        <f>1/(COUNT(SimData1000!$C$9:$C$1008)-1)+$M$1473</f>
        <v>0.46446446446446049</v>
      </c>
    </row>
    <row r="1475" spans="10:13">
      <c r="J1475">
        <f>SMALL(SimData1000!$B$9:$B$1008,466)</f>
        <v>0.4659519981513619</v>
      </c>
      <c r="K1475">
        <f>1/(COUNT(SimData1000!$B$9:$B$1008)-1)+$K$1474</f>
        <v>0.46546546546546147</v>
      </c>
      <c r="L1475">
        <f>SMALL(SimData1000!$C$9:$C$1008,466)</f>
        <v>0.45320939898738288</v>
      </c>
      <c r="M1475">
        <f>1/(COUNT(SimData1000!$C$9:$C$1008)-1)+$M$1474</f>
        <v>0.46546546546546147</v>
      </c>
    </row>
    <row r="1476" spans="10:13">
      <c r="J1476">
        <f>SMALL(SimData1000!$B$9:$B$1008,467)</f>
        <v>0.46673748238332047</v>
      </c>
      <c r="K1476">
        <f>1/(COUNT(SimData1000!$B$9:$B$1008)-1)+$K$1475</f>
        <v>0.46646646646646245</v>
      </c>
      <c r="L1476">
        <f>SMALL(SimData1000!$C$9:$C$1008,467)</f>
        <v>0.45339209054873209</v>
      </c>
      <c r="M1476">
        <f>1/(COUNT(SimData1000!$C$9:$C$1008)-1)+$M$1475</f>
        <v>0.46646646646646245</v>
      </c>
    </row>
    <row r="1477" spans="10:13">
      <c r="J1477">
        <f>SMALL(SimData1000!$B$9:$B$1008,468)</f>
        <v>0.46724133874458296</v>
      </c>
      <c r="K1477">
        <f>1/(COUNT(SimData1000!$B$9:$B$1008)-1)+$K$1476</f>
        <v>0.46746746746746343</v>
      </c>
      <c r="L1477">
        <f>SMALL(SimData1000!$C$9:$C$1008,468)</f>
        <v>0.45451538192264707</v>
      </c>
      <c r="M1477">
        <f>1/(COUNT(SimData1000!$C$9:$C$1008)-1)+$M$1476</f>
        <v>0.46746746746746343</v>
      </c>
    </row>
    <row r="1478" spans="10:13">
      <c r="J1478">
        <f>SMALL(SimData1000!$B$9:$B$1008,469)</f>
        <v>0.4684275375577685</v>
      </c>
      <c r="K1478">
        <f>1/(COUNT(SimData1000!$B$9:$B$1008)-1)+$K$1477</f>
        <v>0.46846846846846441</v>
      </c>
      <c r="L1478">
        <f>SMALL(SimData1000!$C$9:$C$1008,469)</f>
        <v>0.4550469560745114</v>
      </c>
      <c r="M1478">
        <f>1/(COUNT(SimData1000!$C$9:$C$1008)-1)+$M$1477</f>
        <v>0.46846846846846441</v>
      </c>
    </row>
    <row r="1479" spans="10:13">
      <c r="J1479">
        <f>SMALL(SimData1000!$B$9:$B$1008,470)</f>
        <v>0.46961132687111651</v>
      </c>
      <c r="K1479">
        <f>1/(COUNT(SimData1000!$B$9:$B$1008)-1)+$K$1478</f>
        <v>0.46946946946946538</v>
      </c>
      <c r="L1479">
        <f>SMALL(SimData1000!$C$9:$C$1008,470)</f>
        <v>0.45542064315577591</v>
      </c>
      <c r="M1479">
        <f>1/(COUNT(SimData1000!$C$9:$C$1008)-1)+$M$1478</f>
        <v>0.46946946946946538</v>
      </c>
    </row>
    <row r="1480" spans="10:13">
      <c r="J1480">
        <f>SMALL(SimData1000!$B$9:$B$1008,471)</f>
        <v>0.47006384281512908</v>
      </c>
      <c r="K1480">
        <f>1/(COUNT(SimData1000!$B$9:$B$1008)-1)+$K$1479</f>
        <v>0.47047047047046636</v>
      </c>
      <c r="L1480">
        <f>SMALL(SimData1000!$C$9:$C$1008,471)</f>
        <v>0.45641041712769947</v>
      </c>
      <c r="M1480">
        <f>1/(COUNT(SimData1000!$C$9:$C$1008)-1)+$M$1479</f>
        <v>0.47047047047046636</v>
      </c>
    </row>
    <row r="1481" spans="10:13">
      <c r="J1481">
        <f>SMALL(SimData1000!$B$9:$B$1008,472)</f>
        <v>0.4719120436103344</v>
      </c>
      <c r="K1481">
        <f>1/(COUNT(SimData1000!$B$9:$B$1008)-1)+$K$1480</f>
        <v>0.47147147147146734</v>
      </c>
      <c r="L1481">
        <f>SMALL(SimData1000!$C$9:$C$1008,472)</f>
        <v>0.45755011645360355</v>
      </c>
      <c r="M1481">
        <f>1/(COUNT(SimData1000!$C$9:$C$1008)-1)+$M$1480</f>
        <v>0.47147147147146734</v>
      </c>
    </row>
    <row r="1482" spans="10:13">
      <c r="J1482">
        <f>SMALL(SimData1000!$B$9:$B$1008,473)</f>
        <v>0.47285718047755237</v>
      </c>
      <c r="K1482">
        <f>1/(COUNT(SimData1000!$B$9:$B$1008)-1)+$K$1481</f>
        <v>0.47247247247246832</v>
      </c>
      <c r="L1482">
        <f>SMALL(SimData1000!$C$9:$C$1008,473)</f>
        <v>0.45877320046110981</v>
      </c>
      <c r="M1482">
        <f>1/(COUNT(SimData1000!$C$9:$C$1008)-1)+$M$1481</f>
        <v>0.47247247247246832</v>
      </c>
    </row>
    <row r="1483" spans="10:13">
      <c r="J1483">
        <f>SMALL(SimData1000!$B$9:$B$1008,474)</f>
        <v>0.47370801357615461</v>
      </c>
      <c r="K1483">
        <f>1/(COUNT(SimData1000!$B$9:$B$1008)-1)+$K$1482</f>
        <v>0.4734734734734693</v>
      </c>
      <c r="L1483">
        <f>SMALL(SimData1000!$C$9:$C$1008,474)</f>
        <v>0.45916846963973512</v>
      </c>
      <c r="M1483">
        <f>1/(COUNT(SimData1000!$C$9:$C$1008)-1)+$M$1482</f>
        <v>0.4734734734734693</v>
      </c>
    </row>
    <row r="1484" spans="10:13">
      <c r="J1484">
        <f>SMALL(SimData1000!$B$9:$B$1008,475)</f>
        <v>0.47457798002184787</v>
      </c>
      <c r="K1484">
        <f>1/(COUNT(SimData1000!$B$9:$B$1008)-1)+$K$1483</f>
        <v>0.47447447447447028</v>
      </c>
      <c r="L1484">
        <f>SMALL(SimData1000!$C$9:$C$1008,475)</f>
        <v>0.45940595020238106</v>
      </c>
      <c r="M1484">
        <f>1/(COUNT(SimData1000!$C$9:$C$1008)-1)+$M$1483</f>
        <v>0.47447447447447028</v>
      </c>
    </row>
    <row r="1485" spans="10:13">
      <c r="J1485">
        <f>SMALL(SimData1000!$B$9:$B$1008,476)</f>
        <v>0.47542603540779699</v>
      </c>
      <c r="K1485">
        <f>1/(COUNT(SimData1000!$B$9:$B$1008)-1)+$K$1484</f>
        <v>0.47547547547547125</v>
      </c>
      <c r="L1485">
        <f>SMALL(SimData1000!$C$9:$C$1008,476)</f>
        <v>0.46047418450143596</v>
      </c>
      <c r="M1485">
        <f>1/(COUNT(SimData1000!$C$9:$C$1008)-1)+$M$1484</f>
        <v>0.47547547547547125</v>
      </c>
    </row>
    <row r="1486" spans="10:13">
      <c r="J1486">
        <f>SMALL(SimData1000!$B$9:$B$1008,477)</f>
        <v>0.47690974410923886</v>
      </c>
      <c r="K1486">
        <f>1/(COUNT(SimData1000!$B$9:$B$1008)-1)+$K$1485</f>
        <v>0.47647647647647223</v>
      </c>
      <c r="L1486">
        <f>SMALL(SimData1000!$C$9:$C$1008,477)</f>
        <v>0.46147826164906292</v>
      </c>
      <c r="M1486">
        <f>1/(COUNT(SimData1000!$C$9:$C$1008)-1)+$M$1485</f>
        <v>0.47647647647647223</v>
      </c>
    </row>
    <row r="1487" spans="10:13">
      <c r="J1487">
        <f>SMALL(SimData1000!$B$9:$B$1008,478)</f>
        <v>0.47726900955528695</v>
      </c>
      <c r="K1487">
        <f>1/(COUNT(SimData1000!$B$9:$B$1008)-1)+$K$1486</f>
        <v>0.47747747747747321</v>
      </c>
      <c r="L1487">
        <f>SMALL(SimData1000!$C$9:$C$1008,478)</f>
        <v>0.4617304579460324</v>
      </c>
      <c r="M1487">
        <f>1/(COUNT(SimData1000!$C$9:$C$1008)-1)+$M$1486</f>
        <v>0.47747747747747321</v>
      </c>
    </row>
    <row r="1488" spans="10:13">
      <c r="J1488">
        <f>SMALL(SimData1000!$B$9:$B$1008,479)</f>
        <v>0.47859306969973098</v>
      </c>
      <c r="K1488">
        <f>1/(COUNT(SimData1000!$B$9:$B$1008)-1)+$K$1487</f>
        <v>0.47847847847847419</v>
      </c>
      <c r="L1488">
        <f>SMALL(SimData1000!$C$9:$C$1008,479)</f>
        <v>0.46257940633677208</v>
      </c>
      <c r="M1488">
        <f>1/(COUNT(SimData1000!$C$9:$C$1008)-1)+$M$1487</f>
        <v>0.47847847847847419</v>
      </c>
    </row>
    <row r="1489" spans="10:13">
      <c r="J1489">
        <f>SMALL(SimData1000!$B$9:$B$1008,480)</f>
        <v>0.47963010302829329</v>
      </c>
      <c r="K1489">
        <f>1/(COUNT(SimData1000!$B$9:$B$1008)-1)+$K$1488</f>
        <v>0.47947947947947517</v>
      </c>
      <c r="L1489">
        <f>SMALL(SimData1000!$C$9:$C$1008,480)</f>
        <v>0.46261683718785207</v>
      </c>
      <c r="M1489">
        <f>1/(COUNT(SimData1000!$C$9:$C$1008)-1)+$M$1488</f>
        <v>0.47947947947947517</v>
      </c>
    </row>
    <row r="1490" spans="10:13">
      <c r="J1490">
        <f>SMALL(SimData1000!$B$9:$B$1008,481)</f>
        <v>0.4805405589748501</v>
      </c>
      <c r="K1490">
        <f>1/(COUNT(SimData1000!$B$9:$B$1008)-1)+$K$1489</f>
        <v>0.48048048048047615</v>
      </c>
      <c r="L1490">
        <f>SMALL(SimData1000!$C$9:$C$1008,481)</f>
        <v>0.46433187934417219</v>
      </c>
      <c r="M1490">
        <f>1/(COUNT(SimData1000!$C$9:$C$1008)-1)+$M$1489</f>
        <v>0.48048048048047615</v>
      </c>
    </row>
    <row r="1491" spans="10:13">
      <c r="J1491">
        <f>SMALL(SimData1000!$B$9:$B$1008,482)</f>
        <v>0.48131060087338801</v>
      </c>
      <c r="K1491">
        <f>1/(COUNT(SimData1000!$B$9:$B$1008)-1)+$K$1490</f>
        <v>0.48148148148147712</v>
      </c>
      <c r="L1491">
        <f>SMALL(SimData1000!$C$9:$C$1008,482)</f>
        <v>0.46454386447021534</v>
      </c>
      <c r="M1491">
        <f>1/(COUNT(SimData1000!$C$9:$C$1008)-1)+$M$1490</f>
        <v>0.48148148148147712</v>
      </c>
    </row>
    <row r="1492" spans="10:13">
      <c r="J1492">
        <f>SMALL(SimData1000!$B$9:$B$1008,483)</f>
        <v>0.48255424356357057</v>
      </c>
      <c r="K1492">
        <f>1/(COUNT(SimData1000!$B$9:$B$1008)-1)+$K$1491</f>
        <v>0.4824824824824781</v>
      </c>
      <c r="L1492">
        <f>SMALL(SimData1000!$C$9:$C$1008,483)</f>
        <v>0.46681812162569258</v>
      </c>
      <c r="M1492">
        <f>1/(COUNT(SimData1000!$C$9:$C$1008)-1)+$M$1491</f>
        <v>0.4824824824824781</v>
      </c>
    </row>
    <row r="1493" spans="10:13">
      <c r="J1493">
        <f>SMALL(SimData1000!$B$9:$B$1008,484)</f>
        <v>0.48303055816400575</v>
      </c>
      <c r="K1493">
        <f>1/(COUNT(SimData1000!$B$9:$B$1008)-1)+$K$1492</f>
        <v>0.48348348348347908</v>
      </c>
      <c r="L1493">
        <f>SMALL(SimData1000!$C$9:$C$1008,484)</f>
        <v>0.46905111758496787</v>
      </c>
      <c r="M1493">
        <f>1/(COUNT(SimData1000!$C$9:$C$1008)-1)+$M$1492</f>
        <v>0.48348348348347908</v>
      </c>
    </row>
    <row r="1494" spans="10:13">
      <c r="J1494">
        <f>SMALL(SimData1000!$B$9:$B$1008,485)</f>
        <v>0.48479557462078415</v>
      </c>
      <c r="K1494">
        <f>1/(COUNT(SimData1000!$B$9:$B$1008)-1)+$K$1493</f>
        <v>0.48448448448448006</v>
      </c>
      <c r="L1494">
        <f>SMALL(SimData1000!$C$9:$C$1008,485)</f>
        <v>0.46911401085162652</v>
      </c>
      <c r="M1494">
        <f>1/(COUNT(SimData1000!$C$9:$C$1008)-1)+$M$1493</f>
        <v>0.48448448448448006</v>
      </c>
    </row>
    <row r="1495" spans="10:13">
      <c r="J1495">
        <f>SMALL(SimData1000!$B$9:$B$1008,486)</f>
        <v>0.48523697217722356</v>
      </c>
      <c r="K1495">
        <f>1/(COUNT(SimData1000!$B$9:$B$1008)-1)+$K$1494</f>
        <v>0.48548548548548104</v>
      </c>
      <c r="L1495">
        <f>SMALL(SimData1000!$C$9:$C$1008,486)</f>
        <v>0.47133709723402717</v>
      </c>
      <c r="M1495">
        <f>1/(COUNT(SimData1000!$C$9:$C$1008)-1)+$M$1494</f>
        <v>0.48548548548548104</v>
      </c>
    </row>
    <row r="1496" spans="10:13">
      <c r="J1496">
        <f>SMALL(SimData1000!$B$9:$B$1008,487)</f>
        <v>0.48625887555914438</v>
      </c>
      <c r="K1496">
        <f>1/(COUNT(SimData1000!$B$9:$B$1008)-1)+$K$1495</f>
        <v>0.48648648648648202</v>
      </c>
      <c r="L1496">
        <f>SMALL(SimData1000!$C$9:$C$1008,487)</f>
        <v>0.47134103033931751</v>
      </c>
      <c r="M1496">
        <f>1/(COUNT(SimData1000!$C$9:$C$1008)-1)+$M$1495</f>
        <v>0.48648648648648202</v>
      </c>
    </row>
    <row r="1497" spans="10:13">
      <c r="J1497">
        <f>SMALL(SimData1000!$B$9:$B$1008,488)</f>
        <v>0.48722237085672615</v>
      </c>
      <c r="K1497">
        <f>1/(COUNT(SimData1000!$B$9:$B$1008)-1)+$K$1496</f>
        <v>0.487487487487483</v>
      </c>
      <c r="L1497">
        <f>SMALL(SimData1000!$C$9:$C$1008,488)</f>
        <v>0.47140877932361036</v>
      </c>
      <c r="M1497">
        <f>1/(COUNT(SimData1000!$C$9:$C$1008)-1)+$M$1496</f>
        <v>0.487487487487483</v>
      </c>
    </row>
    <row r="1498" spans="10:13">
      <c r="J1498">
        <f>SMALL(SimData1000!$B$9:$B$1008,489)</f>
        <v>0.48817275789104703</v>
      </c>
      <c r="K1498">
        <f>1/(COUNT(SimData1000!$B$9:$B$1008)-1)+$K$1497</f>
        <v>0.48848848848848397</v>
      </c>
      <c r="L1498">
        <f>SMALL(SimData1000!$C$9:$C$1008,489)</f>
        <v>0.47147042195592803</v>
      </c>
      <c r="M1498">
        <f>1/(COUNT(SimData1000!$C$9:$C$1008)-1)+$M$1497</f>
        <v>0.48848848848848397</v>
      </c>
    </row>
    <row r="1499" spans="10:13">
      <c r="J1499">
        <f>SMALL(SimData1000!$B$9:$B$1008,490)</f>
        <v>0.48938416065796841</v>
      </c>
      <c r="K1499">
        <f>1/(COUNT(SimData1000!$B$9:$B$1008)-1)+$K$1498</f>
        <v>0.48948948948948495</v>
      </c>
      <c r="L1499">
        <f>SMALL(SimData1000!$C$9:$C$1008,490)</f>
        <v>0.47178048574552633</v>
      </c>
      <c r="M1499">
        <f>1/(COUNT(SimData1000!$C$9:$C$1008)-1)+$M$1498</f>
        <v>0.48948948948948495</v>
      </c>
    </row>
    <row r="1500" spans="10:13">
      <c r="J1500">
        <f>SMALL(SimData1000!$B$9:$B$1008,491)</f>
        <v>0.49009899825348957</v>
      </c>
      <c r="K1500">
        <f>1/(COUNT(SimData1000!$B$9:$B$1008)-1)+$K$1499</f>
        <v>0.49049049049048593</v>
      </c>
      <c r="L1500">
        <f>SMALL(SimData1000!$C$9:$C$1008,491)</f>
        <v>0.47336113527217094</v>
      </c>
      <c r="M1500">
        <f>1/(COUNT(SimData1000!$C$9:$C$1008)-1)+$M$1499</f>
        <v>0.49049049049048593</v>
      </c>
    </row>
    <row r="1501" spans="10:13">
      <c r="J1501">
        <f>SMALL(SimData1000!$B$9:$B$1008,492)</f>
        <v>0.49181218709466334</v>
      </c>
      <c r="K1501">
        <f>1/(COUNT(SimData1000!$B$9:$B$1008)-1)+$K$1500</f>
        <v>0.49149149149148691</v>
      </c>
      <c r="L1501">
        <f>SMALL(SimData1000!$C$9:$C$1008,492)</f>
        <v>0.47770883753764792</v>
      </c>
      <c r="M1501">
        <f>1/(COUNT(SimData1000!$C$9:$C$1008)-1)+$M$1500</f>
        <v>0.49149149149148691</v>
      </c>
    </row>
    <row r="1502" spans="10:13">
      <c r="J1502">
        <f>SMALL(SimData1000!$B$9:$B$1008,493)</f>
        <v>0.49295477739790333</v>
      </c>
      <c r="K1502">
        <f>1/(COUNT(SimData1000!$B$9:$B$1008)-1)+$K$1501</f>
        <v>0.49249249249248789</v>
      </c>
      <c r="L1502">
        <f>SMALL(SimData1000!$C$9:$C$1008,493)</f>
        <v>0.47775459673721343</v>
      </c>
      <c r="M1502">
        <f>1/(COUNT(SimData1000!$C$9:$C$1008)-1)+$M$1501</f>
        <v>0.49249249249248789</v>
      </c>
    </row>
    <row r="1503" spans="10:13">
      <c r="J1503">
        <f>SMALL(SimData1000!$B$9:$B$1008,494)</f>
        <v>0.49304188624770429</v>
      </c>
      <c r="K1503">
        <f>1/(COUNT(SimData1000!$B$9:$B$1008)-1)+$K$1502</f>
        <v>0.49349349349348887</v>
      </c>
      <c r="L1503">
        <f>SMALL(SimData1000!$C$9:$C$1008,494)</f>
        <v>0.47865455654391553</v>
      </c>
      <c r="M1503">
        <f>1/(COUNT(SimData1000!$C$9:$C$1008)-1)+$M$1502</f>
        <v>0.49349349349348887</v>
      </c>
    </row>
    <row r="1504" spans="10:13">
      <c r="J1504">
        <f>SMALL(SimData1000!$B$9:$B$1008,495)</f>
        <v>0.4941591752779575</v>
      </c>
      <c r="K1504">
        <f>1/(COUNT(SimData1000!$B$9:$B$1008)-1)+$K$1503</f>
        <v>0.49449449449448984</v>
      </c>
      <c r="L1504">
        <f>SMALL(SimData1000!$C$9:$C$1008,495)</f>
        <v>0.48169186532962271</v>
      </c>
      <c r="M1504">
        <f>1/(COUNT(SimData1000!$C$9:$C$1008)-1)+$M$1503</f>
        <v>0.49449449449448984</v>
      </c>
    </row>
    <row r="1505" spans="10:13">
      <c r="J1505">
        <f>SMALL(SimData1000!$B$9:$B$1008,496)</f>
        <v>0.49599217648687588</v>
      </c>
      <c r="K1505">
        <f>1/(COUNT(SimData1000!$B$9:$B$1008)-1)+$K$1504</f>
        <v>0.49549549549549082</v>
      </c>
      <c r="L1505">
        <f>SMALL(SimData1000!$C$9:$C$1008,496)</f>
        <v>0.48709744000916544</v>
      </c>
      <c r="M1505">
        <f>1/(COUNT(SimData1000!$C$9:$C$1008)-1)+$M$1504</f>
        <v>0.49549549549549082</v>
      </c>
    </row>
    <row r="1506" spans="10:13">
      <c r="J1506">
        <f>SMALL(SimData1000!$B$9:$B$1008,497)</f>
        <v>0.49613532299621388</v>
      </c>
      <c r="K1506">
        <f>1/(COUNT(SimData1000!$B$9:$B$1008)-1)+$K$1505</f>
        <v>0.4964964964964918</v>
      </c>
      <c r="L1506">
        <f>SMALL(SimData1000!$C$9:$C$1008,497)</f>
        <v>0.49077417528042133</v>
      </c>
      <c r="M1506">
        <f>1/(COUNT(SimData1000!$C$9:$C$1008)-1)+$M$1505</f>
        <v>0.4964964964964918</v>
      </c>
    </row>
    <row r="1507" spans="10:13">
      <c r="J1507">
        <f>SMALL(SimData1000!$B$9:$B$1008,498)</f>
        <v>0.49732772812511017</v>
      </c>
      <c r="K1507">
        <f>1/(COUNT(SimData1000!$B$9:$B$1008)-1)+$K$1506</f>
        <v>0.49749749749749278</v>
      </c>
      <c r="L1507">
        <f>SMALL(SimData1000!$C$9:$C$1008,498)</f>
        <v>0.49156780534394784</v>
      </c>
      <c r="M1507">
        <f>1/(COUNT(SimData1000!$C$9:$C$1008)-1)+$M$1506</f>
        <v>0.49749749749749278</v>
      </c>
    </row>
    <row r="1508" spans="10:13">
      <c r="J1508">
        <f>SMALL(SimData1000!$B$9:$B$1008,499)</f>
        <v>0.49852036256401805</v>
      </c>
      <c r="K1508">
        <f>1/(COUNT(SimData1000!$B$9:$B$1008)-1)+$K$1507</f>
        <v>0.49849849849849376</v>
      </c>
      <c r="L1508">
        <f>SMALL(SimData1000!$C$9:$C$1008,499)</f>
        <v>0.49219854564034904</v>
      </c>
      <c r="M1508">
        <f>1/(COUNT(SimData1000!$C$9:$C$1008)-1)+$M$1507</f>
        <v>0.49849849849849376</v>
      </c>
    </row>
    <row r="1509" spans="10:13">
      <c r="J1509">
        <f>SMALL(SimData1000!$B$9:$B$1008,500)</f>
        <v>0.49999613799340931</v>
      </c>
      <c r="K1509">
        <f>1/(COUNT(SimData1000!$B$9:$B$1008)-1)+$K$1508</f>
        <v>0.49949949949949474</v>
      </c>
      <c r="L1509">
        <f>SMALL(SimData1000!$C$9:$C$1008,500)</f>
        <v>0.49250627188939688</v>
      </c>
      <c r="M1509">
        <f>1/(COUNT(SimData1000!$C$9:$C$1008)-1)+$M$1508</f>
        <v>0.49949949949949474</v>
      </c>
    </row>
    <row r="1510" spans="10:13">
      <c r="J1510">
        <f>SMALL(SimData1000!$B$9:$B$1008,501)</f>
        <v>0.50073817680676891</v>
      </c>
      <c r="K1510">
        <f>1/(COUNT(SimData1000!$B$9:$B$1008)-1)+$K$1509</f>
        <v>0.50050050050049577</v>
      </c>
      <c r="L1510">
        <f>SMALL(SimData1000!$C$9:$C$1008,501)</f>
        <v>0.49704976888824604</v>
      </c>
      <c r="M1510">
        <f>1/(COUNT(SimData1000!$C$9:$C$1008)-1)+$M$1509</f>
        <v>0.50050050050049577</v>
      </c>
    </row>
    <row r="1511" spans="10:13">
      <c r="J1511">
        <f>SMALL(SimData1000!$B$9:$B$1008,502)</f>
        <v>0.50156572108845354</v>
      </c>
      <c r="K1511">
        <f>1/(COUNT(SimData1000!$B$9:$B$1008)-1)+$K$1510</f>
        <v>0.50150150150149675</v>
      </c>
      <c r="L1511">
        <f>SMALL(SimData1000!$C$9:$C$1008,502)</f>
        <v>0.49858657817276253</v>
      </c>
      <c r="M1511">
        <f>1/(COUNT(SimData1000!$C$9:$C$1008)-1)+$M$1510</f>
        <v>0.50150150150149675</v>
      </c>
    </row>
    <row r="1512" spans="10:13">
      <c r="J1512">
        <f>SMALL(SimData1000!$B$9:$B$1008,503)</f>
        <v>0.50269244229390575</v>
      </c>
      <c r="K1512">
        <f>1/(COUNT(SimData1000!$B$9:$B$1008)-1)+$K$1511</f>
        <v>0.50250250250249773</v>
      </c>
      <c r="L1512">
        <f>SMALL(SimData1000!$C$9:$C$1008,503)</f>
        <v>0.49865074897570594</v>
      </c>
      <c r="M1512">
        <f>1/(COUNT(SimData1000!$C$9:$C$1008)-1)+$M$1511</f>
        <v>0.50250250250249773</v>
      </c>
    </row>
    <row r="1513" spans="10:13">
      <c r="J1513">
        <f>SMALL(SimData1000!$B$9:$B$1008,504)</f>
        <v>0.50321025376376005</v>
      </c>
      <c r="K1513">
        <f>1/(COUNT(SimData1000!$B$9:$B$1008)-1)+$K$1512</f>
        <v>0.50350350350349871</v>
      </c>
      <c r="L1513">
        <f>SMALL(SimData1000!$C$9:$C$1008,504)</f>
        <v>0.49991818451781</v>
      </c>
      <c r="M1513">
        <f>1/(COUNT(SimData1000!$C$9:$C$1008)-1)+$M$1512</f>
        <v>0.50350350350349871</v>
      </c>
    </row>
    <row r="1514" spans="10:13">
      <c r="J1514">
        <f>SMALL(SimData1000!$B$9:$B$1008,505)</f>
        <v>0.50496104161463695</v>
      </c>
      <c r="K1514">
        <f>1/(COUNT(SimData1000!$B$9:$B$1008)-1)+$K$1513</f>
        <v>0.50450450450449968</v>
      </c>
      <c r="L1514">
        <f>SMALL(SimData1000!$C$9:$C$1008,505)</f>
        <v>0.49992359939005837</v>
      </c>
      <c r="M1514">
        <f>1/(COUNT(SimData1000!$C$9:$C$1008)-1)+$M$1513</f>
        <v>0.50450450450449968</v>
      </c>
    </row>
    <row r="1515" spans="10:13">
      <c r="J1515">
        <f>SMALL(SimData1000!$B$9:$B$1008,506)</f>
        <v>0.50546919010474101</v>
      </c>
      <c r="K1515">
        <f>1/(COUNT(SimData1000!$B$9:$B$1008)-1)+$K$1514</f>
        <v>0.50550550550550066</v>
      </c>
      <c r="L1515">
        <f>SMALL(SimData1000!$C$9:$C$1008,506)</f>
        <v>0.5027734619243347</v>
      </c>
      <c r="M1515">
        <f>1/(COUNT(SimData1000!$C$9:$C$1008)-1)+$M$1514</f>
        <v>0.50550550550550066</v>
      </c>
    </row>
    <row r="1516" spans="10:13">
      <c r="J1516">
        <f>SMALL(SimData1000!$B$9:$B$1008,507)</f>
        <v>0.50626524104160842</v>
      </c>
      <c r="K1516">
        <f>1/(COUNT(SimData1000!$B$9:$B$1008)-1)+$K$1515</f>
        <v>0.50650650650650164</v>
      </c>
      <c r="L1516">
        <f>SMALL(SimData1000!$C$9:$C$1008,507)</f>
        <v>0.50310082804026024</v>
      </c>
      <c r="M1516">
        <f>1/(COUNT(SimData1000!$C$9:$C$1008)-1)+$M$1515</f>
        <v>0.50650650650650164</v>
      </c>
    </row>
    <row r="1517" spans="10:13">
      <c r="J1517">
        <f>SMALL(SimData1000!$B$9:$B$1008,508)</f>
        <v>0.50743946378432203</v>
      </c>
      <c r="K1517">
        <f>1/(COUNT(SimData1000!$B$9:$B$1008)-1)+$K$1516</f>
        <v>0.50750750750750262</v>
      </c>
      <c r="L1517">
        <f>SMALL(SimData1000!$C$9:$C$1008,508)</f>
        <v>0.50769233861865359</v>
      </c>
      <c r="M1517">
        <f>1/(COUNT(SimData1000!$C$9:$C$1008)-1)+$M$1516</f>
        <v>0.50750750750750262</v>
      </c>
    </row>
    <row r="1518" spans="10:13">
      <c r="J1518">
        <f>SMALL(SimData1000!$B$9:$B$1008,509)</f>
        <v>0.50885591038266564</v>
      </c>
      <c r="K1518">
        <f>1/(COUNT(SimData1000!$B$9:$B$1008)-1)+$K$1517</f>
        <v>0.5085085085085036</v>
      </c>
      <c r="L1518">
        <f>SMALL(SimData1000!$C$9:$C$1008,509)</f>
        <v>0.50808111994228966</v>
      </c>
      <c r="M1518">
        <f>1/(COUNT(SimData1000!$C$9:$C$1008)-1)+$M$1517</f>
        <v>0.5085085085085036</v>
      </c>
    </row>
    <row r="1519" spans="10:13">
      <c r="J1519">
        <f>SMALL(SimData1000!$B$9:$B$1008,510)</f>
        <v>0.50951165629050499</v>
      </c>
      <c r="K1519">
        <f>1/(COUNT(SimData1000!$B$9:$B$1008)-1)+$K$1518</f>
        <v>0.50950950950950458</v>
      </c>
      <c r="L1519">
        <f>SMALL(SimData1000!$C$9:$C$1008,510)</f>
        <v>0.50864953247128142</v>
      </c>
      <c r="M1519">
        <f>1/(COUNT(SimData1000!$C$9:$C$1008)-1)+$M$1518</f>
        <v>0.50950950950950458</v>
      </c>
    </row>
    <row r="1520" spans="10:13">
      <c r="J1520">
        <f>SMALL(SimData1000!$B$9:$B$1008,511)</f>
        <v>0.51073541939787925</v>
      </c>
      <c r="K1520">
        <f>1/(COUNT(SimData1000!$B$9:$B$1008)-1)+$K$1519</f>
        <v>0.51051051051050556</v>
      </c>
      <c r="L1520">
        <f>SMALL(SimData1000!$C$9:$C$1008,511)</f>
        <v>0.50965588690814911</v>
      </c>
      <c r="M1520">
        <f>1/(COUNT(SimData1000!$C$9:$C$1008)-1)+$M$1519</f>
        <v>0.51051051051050556</v>
      </c>
    </row>
    <row r="1521" spans="10:13">
      <c r="J1521">
        <f>SMALL(SimData1000!$B$9:$B$1008,512)</f>
        <v>0.51193306812060368</v>
      </c>
      <c r="K1521">
        <f>1/(COUNT(SimData1000!$B$9:$B$1008)-1)+$K$1520</f>
        <v>0.51151151151150653</v>
      </c>
      <c r="L1521">
        <f>SMALL(SimData1000!$C$9:$C$1008,512)</f>
        <v>0.51010528751066886</v>
      </c>
      <c r="M1521">
        <f>1/(COUNT(SimData1000!$C$9:$C$1008)-1)+$M$1520</f>
        <v>0.51151151151150653</v>
      </c>
    </row>
    <row r="1522" spans="10:13">
      <c r="J1522">
        <f>SMALL(SimData1000!$B$9:$B$1008,513)</f>
        <v>0.51230176855421206</v>
      </c>
      <c r="K1522">
        <f>1/(COUNT(SimData1000!$B$9:$B$1008)-1)+$K$1521</f>
        <v>0.51251251251250751</v>
      </c>
      <c r="L1522">
        <f>SMALL(SimData1000!$C$9:$C$1008,513)</f>
        <v>0.510470550259015</v>
      </c>
      <c r="M1522">
        <f>1/(COUNT(SimData1000!$C$9:$C$1008)-1)+$M$1521</f>
        <v>0.51251251251250751</v>
      </c>
    </row>
    <row r="1523" spans="10:13">
      <c r="J1523">
        <f>SMALL(SimData1000!$B$9:$B$1008,514)</f>
        <v>0.51359460433539816</v>
      </c>
      <c r="K1523">
        <f>1/(COUNT(SimData1000!$B$9:$B$1008)-1)+$K$1522</f>
        <v>0.51351351351350849</v>
      </c>
      <c r="L1523">
        <f>SMALL(SimData1000!$C$9:$C$1008,514)</f>
        <v>0.51145803640793019</v>
      </c>
      <c r="M1523">
        <f>1/(COUNT(SimData1000!$C$9:$C$1008)-1)+$M$1522</f>
        <v>0.51351351351350849</v>
      </c>
    </row>
    <row r="1524" spans="10:13">
      <c r="J1524">
        <f>SMALL(SimData1000!$B$9:$B$1008,515)</f>
        <v>0.51480257274834507</v>
      </c>
      <c r="K1524">
        <f>1/(COUNT(SimData1000!$B$9:$B$1008)-1)+$K$1523</f>
        <v>0.51451451451450947</v>
      </c>
      <c r="L1524">
        <f>SMALL(SimData1000!$C$9:$C$1008,515)</f>
        <v>0.51164029142273648</v>
      </c>
      <c r="M1524">
        <f>1/(COUNT(SimData1000!$C$9:$C$1008)-1)+$M$1523</f>
        <v>0.51451451451450947</v>
      </c>
    </row>
    <row r="1525" spans="10:13">
      <c r="J1525">
        <f>SMALL(SimData1000!$B$9:$B$1008,516)</f>
        <v>0.5154490075163658</v>
      </c>
      <c r="K1525">
        <f>1/(COUNT(SimData1000!$B$9:$B$1008)-1)+$K$1524</f>
        <v>0.51551551551551045</v>
      </c>
      <c r="L1525">
        <f>SMALL(SimData1000!$C$9:$C$1008,516)</f>
        <v>0.51322914557931654</v>
      </c>
      <c r="M1525">
        <f>1/(COUNT(SimData1000!$C$9:$C$1008)-1)+$M$1524</f>
        <v>0.51551551551551045</v>
      </c>
    </row>
    <row r="1526" spans="10:13">
      <c r="J1526">
        <f>SMALL(SimData1000!$B$9:$B$1008,517)</f>
        <v>0.51665905335560891</v>
      </c>
      <c r="K1526">
        <f>1/(COUNT(SimData1000!$B$9:$B$1008)-1)+$K$1525</f>
        <v>0.51651651651651143</v>
      </c>
      <c r="L1526">
        <f>SMALL(SimData1000!$C$9:$C$1008,517)</f>
        <v>0.51340569598232833</v>
      </c>
      <c r="M1526">
        <f>1/(COUNT(SimData1000!$C$9:$C$1008)-1)+$M$1525</f>
        <v>0.51651651651651143</v>
      </c>
    </row>
    <row r="1527" spans="10:13">
      <c r="J1527">
        <f>SMALL(SimData1000!$B$9:$B$1008,518)</f>
        <v>0.51760880743633231</v>
      </c>
      <c r="K1527">
        <f>1/(COUNT(SimData1000!$B$9:$B$1008)-1)+$K$1526</f>
        <v>0.5175175175175124</v>
      </c>
      <c r="L1527">
        <f>SMALL(SimData1000!$C$9:$C$1008,518)</f>
        <v>0.51915665349315532</v>
      </c>
      <c r="M1527">
        <f>1/(COUNT(SimData1000!$C$9:$C$1008)-1)+$M$1526</f>
        <v>0.5175175175175124</v>
      </c>
    </row>
    <row r="1528" spans="10:13">
      <c r="J1528">
        <f>SMALL(SimData1000!$B$9:$B$1008,519)</f>
        <v>0.51873070405021549</v>
      </c>
      <c r="K1528">
        <f>1/(COUNT(SimData1000!$B$9:$B$1008)-1)+$K$1527</f>
        <v>0.51851851851851338</v>
      </c>
      <c r="L1528">
        <f>SMALL(SimData1000!$C$9:$C$1008,519)</f>
        <v>0.52123970360844396</v>
      </c>
      <c r="M1528">
        <f>1/(COUNT(SimData1000!$C$9:$C$1008)-1)+$M$1527</f>
        <v>0.51851851851851338</v>
      </c>
    </row>
    <row r="1529" spans="10:13">
      <c r="J1529">
        <f>SMALL(SimData1000!$B$9:$B$1008,520)</f>
        <v>0.51979745773873232</v>
      </c>
      <c r="K1529">
        <f>1/(COUNT(SimData1000!$B$9:$B$1008)-1)+$K$1528</f>
        <v>0.51951951951951436</v>
      </c>
      <c r="L1529">
        <f>SMALL(SimData1000!$C$9:$C$1008,520)</f>
        <v>0.52159520527038694</v>
      </c>
      <c r="M1529">
        <f>1/(COUNT(SimData1000!$C$9:$C$1008)-1)+$M$1528</f>
        <v>0.51951951951951436</v>
      </c>
    </row>
    <row r="1530" spans="10:13">
      <c r="J1530">
        <f>SMALL(SimData1000!$B$9:$B$1008,521)</f>
        <v>0.52097414985228663</v>
      </c>
      <c r="K1530">
        <f>1/(COUNT(SimData1000!$B$9:$B$1008)-1)+$K$1529</f>
        <v>0.52052052052051534</v>
      </c>
      <c r="L1530">
        <f>SMALL(SimData1000!$C$9:$C$1008,521)</f>
        <v>0.52255323241843143</v>
      </c>
      <c r="M1530">
        <f>1/(COUNT(SimData1000!$C$9:$C$1008)-1)+$M$1529</f>
        <v>0.52052052052051534</v>
      </c>
    </row>
    <row r="1531" spans="10:13">
      <c r="J1531">
        <f>SMALL(SimData1000!$B$9:$B$1008,522)</f>
        <v>0.52131617308089429</v>
      </c>
      <c r="K1531">
        <f>1/(COUNT(SimData1000!$B$9:$B$1008)-1)+$K$1530</f>
        <v>0.52152152152151632</v>
      </c>
      <c r="L1531">
        <f>SMALL(SimData1000!$C$9:$C$1008,522)</f>
        <v>0.52365239494156413</v>
      </c>
      <c r="M1531">
        <f>1/(COUNT(SimData1000!$C$9:$C$1008)-1)+$M$1530</f>
        <v>0.52152152152151632</v>
      </c>
    </row>
    <row r="1532" spans="10:13">
      <c r="J1532">
        <f>SMALL(SimData1000!$B$9:$B$1008,523)</f>
        <v>0.52243743160726441</v>
      </c>
      <c r="K1532">
        <f>1/(COUNT(SimData1000!$B$9:$B$1008)-1)+$K$1531</f>
        <v>0.5225225225225173</v>
      </c>
      <c r="L1532">
        <f>SMALL(SimData1000!$C$9:$C$1008,523)</f>
        <v>0.52450521691207541</v>
      </c>
      <c r="M1532">
        <f>1/(COUNT(SimData1000!$C$9:$C$1008)-1)+$M$1531</f>
        <v>0.5225225225225173</v>
      </c>
    </row>
    <row r="1533" spans="10:13">
      <c r="J1533">
        <f>SMALL(SimData1000!$B$9:$B$1008,524)</f>
        <v>0.52348281570372235</v>
      </c>
      <c r="K1533">
        <f>1/(COUNT(SimData1000!$B$9:$B$1008)-1)+$K$1532</f>
        <v>0.52352352352351827</v>
      </c>
      <c r="L1533">
        <f>SMALL(SimData1000!$C$9:$C$1008,524)</f>
        <v>0.52540664642674528</v>
      </c>
      <c r="M1533">
        <f>1/(COUNT(SimData1000!$C$9:$C$1008)-1)+$M$1532</f>
        <v>0.52352352352351827</v>
      </c>
    </row>
    <row r="1534" spans="10:13">
      <c r="J1534">
        <f>SMALL(SimData1000!$B$9:$B$1008,525)</f>
        <v>0.52450907206523911</v>
      </c>
      <c r="K1534">
        <f>1/(COUNT(SimData1000!$B$9:$B$1008)-1)+$K$1533</f>
        <v>0.52452452452451925</v>
      </c>
      <c r="L1534">
        <f>SMALL(SimData1000!$C$9:$C$1008,525)</f>
        <v>0.52679271468696243</v>
      </c>
      <c r="M1534">
        <f>1/(COUNT(SimData1000!$C$9:$C$1008)-1)+$M$1533</f>
        <v>0.52452452452451925</v>
      </c>
    </row>
    <row r="1535" spans="10:13">
      <c r="J1535">
        <f>SMALL(SimData1000!$B$9:$B$1008,526)</f>
        <v>0.52548775741329601</v>
      </c>
      <c r="K1535">
        <f>1/(COUNT(SimData1000!$B$9:$B$1008)-1)+$K$1534</f>
        <v>0.52552552552552023</v>
      </c>
      <c r="L1535">
        <f>SMALL(SimData1000!$C$9:$C$1008,526)</f>
        <v>0.52716208330366499</v>
      </c>
      <c r="M1535">
        <f>1/(COUNT(SimData1000!$C$9:$C$1008)-1)+$M$1534</f>
        <v>0.52552552552552023</v>
      </c>
    </row>
    <row r="1536" spans="10:13">
      <c r="J1536">
        <f>SMALL(SimData1000!$B$9:$B$1008,527)</f>
        <v>0.52649988915014545</v>
      </c>
      <c r="K1536">
        <f>1/(COUNT(SimData1000!$B$9:$B$1008)-1)+$K$1535</f>
        <v>0.52652652652652121</v>
      </c>
      <c r="L1536">
        <f>SMALL(SimData1000!$C$9:$C$1008,527)</f>
        <v>0.52890887514513452</v>
      </c>
      <c r="M1536">
        <f>1/(COUNT(SimData1000!$C$9:$C$1008)-1)+$M$1535</f>
        <v>0.52652652652652121</v>
      </c>
    </row>
    <row r="1537" spans="10:13">
      <c r="J1537">
        <f>SMALL(SimData1000!$B$9:$B$1008,528)</f>
        <v>0.52763794334014835</v>
      </c>
      <c r="K1537">
        <f>1/(COUNT(SimData1000!$B$9:$B$1008)-1)+$K$1536</f>
        <v>0.52752752752752219</v>
      </c>
      <c r="L1537">
        <f>SMALL(SimData1000!$C$9:$C$1008,528)</f>
        <v>0.52972662807587767</v>
      </c>
      <c r="M1537">
        <f>1/(COUNT(SimData1000!$C$9:$C$1008)-1)+$M$1536</f>
        <v>0.52752752752752219</v>
      </c>
    </row>
    <row r="1538" spans="10:13">
      <c r="J1538">
        <f>SMALL(SimData1000!$B$9:$B$1008,529)</f>
        <v>0.52853468004533433</v>
      </c>
      <c r="K1538">
        <f>1/(COUNT(SimData1000!$B$9:$B$1008)-1)+$K$1537</f>
        <v>0.52852852852852317</v>
      </c>
      <c r="L1538">
        <f>SMALL(SimData1000!$C$9:$C$1008,529)</f>
        <v>0.53271457556729729</v>
      </c>
      <c r="M1538">
        <f>1/(COUNT(SimData1000!$C$9:$C$1008)-1)+$M$1537</f>
        <v>0.52852852852852317</v>
      </c>
    </row>
    <row r="1539" spans="10:13">
      <c r="J1539">
        <f>SMALL(SimData1000!$B$9:$B$1008,530)</f>
        <v>0.5292533032622313</v>
      </c>
      <c r="K1539">
        <f>1/(COUNT(SimData1000!$B$9:$B$1008)-1)+$K$1538</f>
        <v>0.52952952952952415</v>
      </c>
      <c r="L1539">
        <f>SMALL(SimData1000!$C$9:$C$1008,530)</f>
        <v>0.53305991800607444</v>
      </c>
      <c r="M1539">
        <f>1/(COUNT(SimData1000!$C$9:$C$1008)-1)+$M$1538</f>
        <v>0.52952952952952415</v>
      </c>
    </row>
    <row r="1540" spans="10:13">
      <c r="J1540">
        <f>SMALL(SimData1000!$B$9:$B$1008,531)</f>
        <v>0.53065183290644824</v>
      </c>
      <c r="K1540">
        <f>1/(COUNT(SimData1000!$B$9:$B$1008)-1)+$K$1539</f>
        <v>0.53053053053052512</v>
      </c>
      <c r="L1540">
        <f>SMALL(SimData1000!$C$9:$C$1008,531)</f>
        <v>0.53364984019754047</v>
      </c>
      <c r="M1540">
        <f>1/(COUNT(SimData1000!$C$9:$C$1008)-1)+$M$1539</f>
        <v>0.53053053053052512</v>
      </c>
    </row>
    <row r="1541" spans="10:13">
      <c r="J1541">
        <f>SMALL(SimData1000!$B$9:$B$1008,532)</f>
        <v>0.53199311246629644</v>
      </c>
      <c r="K1541">
        <f>1/(COUNT(SimData1000!$B$9:$B$1008)-1)+$K$1540</f>
        <v>0.5315315315315261</v>
      </c>
      <c r="L1541">
        <f>SMALL(SimData1000!$C$9:$C$1008,532)</f>
        <v>0.53416618586834375</v>
      </c>
      <c r="M1541">
        <f>1/(COUNT(SimData1000!$C$9:$C$1008)-1)+$M$1540</f>
        <v>0.5315315315315261</v>
      </c>
    </row>
    <row r="1542" spans="10:13">
      <c r="J1542">
        <f>SMALL(SimData1000!$B$9:$B$1008,533)</f>
        <v>0.53299414382572152</v>
      </c>
      <c r="K1542">
        <f>1/(COUNT(SimData1000!$B$9:$B$1008)-1)+$K$1541</f>
        <v>0.53253253253252708</v>
      </c>
      <c r="L1542">
        <f>SMALL(SimData1000!$C$9:$C$1008,533)</f>
        <v>0.53470918527909816</v>
      </c>
      <c r="M1542">
        <f>1/(COUNT(SimData1000!$C$9:$C$1008)-1)+$M$1541</f>
        <v>0.53253253253252708</v>
      </c>
    </row>
    <row r="1543" spans="10:13">
      <c r="J1543">
        <f>SMALL(SimData1000!$B$9:$B$1008,534)</f>
        <v>0.53383198562376943</v>
      </c>
      <c r="K1543">
        <f>1/(COUNT(SimData1000!$B$9:$B$1008)-1)+$K$1542</f>
        <v>0.53353353353352806</v>
      </c>
      <c r="L1543">
        <f>SMALL(SimData1000!$C$9:$C$1008,534)</f>
        <v>0.53508545986642275</v>
      </c>
      <c r="M1543">
        <f>1/(COUNT(SimData1000!$C$9:$C$1008)-1)+$M$1542</f>
        <v>0.53353353353352806</v>
      </c>
    </row>
    <row r="1544" spans="10:13">
      <c r="J1544">
        <f>SMALL(SimData1000!$B$9:$B$1008,535)</f>
        <v>0.53465395703833873</v>
      </c>
      <c r="K1544">
        <f>1/(COUNT(SimData1000!$B$9:$B$1008)-1)+$K$1543</f>
        <v>0.53453453453452904</v>
      </c>
      <c r="L1544">
        <f>SMALL(SimData1000!$C$9:$C$1008,535)</f>
        <v>0.53998343915043279</v>
      </c>
      <c r="M1544">
        <f>1/(COUNT(SimData1000!$C$9:$C$1008)-1)+$M$1543</f>
        <v>0.53453453453452904</v>
      </c>
    </row>
    <row r="1545" spans="10:13">
      <c r="J1545">
        <f>SMALL(SimData1000!$B$9:$B$1008,536)</f>
        <v>0.53584200148792982</v>
      </c>
      <c r="K1545">
        <f>1/(COUNT(SimData1000!$B$9:$B$1008)-1)+$K$1544</f>
        <v>0.53553553553553002</v>
      </c>
      <c r="L1545">
        <f>SMALL(SimData1000!$C$9:$C$1008,536)</f>
        <v>0.54060405989730498</v>
      </c>
      <c r="M1545">
        <f>1/(COUNT(SimData1000!$C$9:$C$1008)-1)+$M$1544</f>
        <v>0.53553553553553002</v>
      </c>
    </row>
    <row r="1546" spans="10:13">
      <c r="J1546">
        <f>SMALL(SimData1000!$B$9:$B$1008,537)</f>
        <v>0.53604388697632677</v>
      </c>
      <c r="K1546">
        <f>1/(COUNT(SimData1000!$B$9:$B$1008)-1)+$K$1545</f>
        <v>0.53653653653653099</v>
      </c>
      <c r="L1546">
        <f>SMALL(SimData1000!$C$9:$C$1008,537)</f>
        <v>0.54261405585839384</v>
      </c>
      <c r="M1546">
        <f>1/(COUNT(SimData1000!$C$9:$C$1008)-1)+$M$1545</f>
        <v>0.53653653653653099</v>
      </c>
    </row>
    <row r="1547" spans="10:13">
      <c r="J1547">
        <f>SMALL(SimData1000!$B$9:$B$1008,538)</f>
        <v>0.5372279139238475</v>
      </c>
      <c r="K1547">
        <f>1/(COUNT(SimData1000!$B$9:$B$1008)-1)+$K$1546</f>
        <v>0.53753753753753197</v>
      </c>
      <c r="L1547">
        <f>SMALL(SimData1000!$C$9:$C$1008,538)</f>
        <v>0.54409159986698796</v>
      </c>
      <c r="M1547">
        <f>1/(COUNT(SimData1000!$C$9:$C$1008)-1)+$M$1546</f>
        <v>0.53753753753753197</v>
      </c>
    </row>
    <row r="1548" spans="10:13">
      <c r="J1548">
        <f>SMALL(SimData1000!$B$9:$B$1008,539)</f>
        <v>0.53825630653911649</v>
      </c>
      <c r="K1548">
        <f>1/(COUNT(SimData1000!$B$9:$B$1008)-1)+$K$1547</f>
        <v>0.53853853853853295</v>
      </c>
      <c r="L1548">
        <f>SMALL(SimData1000!$C$9:$C$1008,539)</f>
        <v>0.54674145863555168</v>
      </c>
      <c r="M1548">
        <f>1/(COUNT(SimData1000!$C$9:$C$1008)-1)+$M$1547</f>
        <v>0.53853853853853295</v>
      </c>
    </row>
    <row r="1549" spans="10:13">
      <c r="J1549">
        <f>SMALL(SimData1000!$B$9:$B$1008,540)</f>
        <v>0.53991741731015908</v>
      </c>
      <c r="K1549">
        <f>1/(COUNT(SimData1000!$B$9:$B$1008)-1)+$K$1548</f>
        <v>0.53953953953953393</v>
      </c>
      <c r="L1549">
        <f>SMALL(SimData1000!$C$9:$C$1008,540)</f>
        <v>0.5471812419964408</v>
      </c>
      <c r="M1549">
        <f>1/(COUNT(SimData1000!$C$9:$C$1008)-1)+$M$1548</f>
        <v>0.53953953953953393</v>
      </c>
    </row>
    <row r="1550" spans="10:13">
      <c r="J1550">
        <f>SMALL(SimData1000!$B$9:$B$1008,541)</f>
        <v>0.54036415749540656</v>
      </c>
      <c r="K1550">
        <f>1/(COUNT(SimData1000!$B$9:$B$1008)-1)+$K$1549</f>
        <v>0.54054054054053491</v>
      </c>
      <c r="L1550">
        <f>SMALL(SimData1000!$C$9:$C$1008,541)</f>
        <v>0.551465212201947</v>
      </c>
      <c r="M1550">
        <f>1/(COUNT(SimData1000!$C$9:$C$1008)-1)+$M$1549</f>
        <v>0.54054054054053491</v>
      </c>
    </row>
    <row r="1551" spans="10:13">
      <c r="J1551">
        <f>SMALL(SimData1000!$B$9:$B$1008,542)</f>
        <v>0.54163639281146136</v>
      </c>
      <c r="K1551">
        <f>1/(COUNT(SimData1000!$B$9:$B$1008)-1)+$K$1550</f>
        <v>0.54154154154153589</v>
      </c>
      <c r="L1551">
        <f>SMALL(SimData1000!$C$9:$C$1008,542)</f>
        <v>0.55347261179122142</v>
      </c>
      <c r="M1551">
        <f>1/(COUNT(SimData1000!$C$9:$C$1008)-1)+$M$1550</f>
        <v>0.54154154154153589</v>
      </c>
    </row>
    <row r="1552" spans="10:13">
      <c r="J1552">
        <f>SMALL(SimData1000!$B$9:$B$1008,543)</f>
        <v>0.54248362479556433</v>
      </c>
      <c r="K1552">
        <f>1/(COUNT(SimData1000!$B$9:$B$1008)-1)+$K$1551</f>
        <v>0.54254254254253687</v>
      </c>
      <c r="L1552">
        <f>SMALL(SimData1000!$C$9:$C$1008,543)</f>
        <v>0.55431157408656873</v>
      </c>
      <c r="M1552">
        <f>1/(COUNT(SimData1000!$C$9:$C$1008)-1)+$M$1551</f>
        <v>0.54254254254253687</v>
      </c>
    </row>
    <row r="1553" spans="10:13">
      <c r="J1553">
        <f>SMALL(SimData1000!$B$9:$B$1008,544)</f>
        <v>0.54360677434983828</v>
      </c>
      <c r="K1553">
        <f>1/(COUNT(SimData1000!$B$9:$B$1008)-1)+$K$1552</f>
        <v>0.54354354354353784</v>
      </c>
      <c r="L1553">
        <f>SMALL(SimData1000!$C$9:$C$1008,544)</f>
        <v>0.55453297369695065</v>
      </c>
      <c r="M1553">
        <f>1/(COUNT(SimData1000!$C$9:$C$1008)-1)+$M$1552</f>
        <v>0.54354354354353784</v>
      </c>
    </row>
    <row r="1554" spans="10:13">
      <c r="J1554">
        <f>SMALL(SimData1000!$B$9:$B$1008,545)</f>
        <v>0.54453692620097127</v>
      </c>
      <c r="K1554">
        <f>1/(COUNT(SimData1000!$B$9:$B$1008)-1)+$K$1553</f>
        <v>0.54454454454453882</v>
      </c>
      <c r="L1554">
        <f>SMALL(SimData1000!$C$9:$C$1008,545)</f>
        <v>0.55597912781831837</v>
      </c>
      <c r="M1554">
        <f>1/(COUNT(SimData1000!$C$9:$C$1008)-1)+$M$1553</f>
        <v>0.54454454454453882</v>
      </c>
    </row>
    <row r="1555" spans="10:13">
      <c r="J1555">
        <f>SMALL(SimData1000!$B$9:$B$1008,546)</f>
        <v>0.54545389929354515</v>
      </c>
      <c r="K1555">
        <f>1/(COUNT(SimData1000!$B$9:$B$1008)-1)+$K$1554</f>
        <v>0.5455455455455398</v>
      </c>
      <c r="L1555">
        <f>SMALL(SimData1000!$C$9:$C$1008,546)</f>
        <v>0.5582450150832301</v>
      </c>
      <c r="M1555">
        <f>1/(COUNT(SimData1000!$C$9:$C$1008)-1)+$M$1554</f>
        <v>0.5455455455455398</v>
      </c>
    </row>
    <row r="1556" spans="10:13">
      <c r="J1556">
        <f>SMALL(SimData1000!$B$9:$B$1008,547)</f>
        <v>0.54635824032485447</v>
      </c>
      <c r="K1556">
        <f>1/(COUNT(SimData1000!$B$9:$B$1008)-1)+$K$1555</f>
        <v>0.54654654654654078</v>
      </c>
      <c r="L1556">
        <f>SMALL(SimData1000!$C$9:$C$1008,547)</f>
        <v>0.55910674265942362</v>
      </c>
      <c r="M1556">
        <f>1/(COUNT(SimData1000!$C$9:$C$1008)-1)+$M$1555</f>
        <v>0.54654654654654078</v>
      </c>
    </row>
    <row r="1557" spans="10:13">
      <c r="J1557">
        <f>SMALL(SimData1000!$B$9:$B$1008,548)</f>
        <v>0.54721573773054777</v>
      </c>
      <c r="K1557">
        <f>1/(COUNT(SimData1000!$B$9:$B$1008)-1)+$K$1556</f>
        <v>0.54754754754754176</v>
      </c>
      <c r="L1557">
        <f>SMALL(SimData1000!$C$9:$C$1008,548)</f>
        <v>0.56012341007044597</v>
      </c>
      <c r="M1557">
        <f>1/(COUNT(SimData1000!$C$9:$C$1008)-1)+$M$1556</f>
        <v>0.54754754754754176</v>
      </c>
    </row>
    <row r="1558" spans="10:13">
      <c r="J1558">
        <f>SMALL(SimData1000!$B$9:$B$1008,549)</f>
        <v>0.54842207063534809</v>
      </c>
      <c r="K1558">
        <f>1/(COUNT(SimData1000!$B$9:$B$1008)-1)+$K$1557</f>
        <v>0.54854854854854274</v>
      </c>
      <c r="L1558">
        <f>SMALL(SimData1000!$C$9:$C$1008,549)</f>
        <v>0.56063955483205064</v>
      </c>
      <c r="M1558">
        <f>1/(COUNT(SimData1000!$C$9:$C$1008)-1)+$M$1557</f>
        <v>0.54854854854854274</v>
      </c>
    </row>
    <row r="1559" spans="10:13">
      <c r="J1559">
        <f>SMALL(SimData1000!$B$9:$B$1008,550)</f>
        <v>0.54996142703503403</v>
      </c>
      <c r="K1559">
        <f>1/(COUNT(SimData1000!$B$9:$B$1008)-1)+$K$1558</f>
        <v>0.54954954954954371</v>
      </c>
      <c r="L1559">
        <f>SMALL(SimData1000!$C$9:$C$1008,550)</f>
        <v>0.56113429449489516</v>
      </c>
      <c r="M1559">
        <f>1/(COUNT(SimData1000!$C$9:$C$1008)-1)+$M$1558</f>
        <v>0.54954954954954371</v>
      </c>
    </row>
    <row r="1560" spans="10:13">
      <c r="J1560">
        <f>SMALL(SimData1000!$B$9:$B$1008,551)</f>
        <v>0.55089248718924178</v>
      </c>
      <c r="K1560">
        <f>1/(COUNT(SimData1000!$B$9:$B$1008)-1)+$K$1559</f>
        <v>0.55055055055054469</v>
      </c>
      <c r="L1560">
        <f>SMALL(SimData1000!$C$9:$C$1008,551)</f>
        <v>0.56182312865712447</v>
      </c>
      <c r="M1560">
        <f>1/(COUNT(SimData1000!$C$9:$C$1008)-1)+$M$1559</f>
        <v>0.55055055055054469</v>
      </c>
    </row>
    <row r="1561" spans="10:13">
      <c r="J1561">
        <f>SMALL(SimData1000!$B$9:$B$1008,552)</f>
        <v>0.55160625303434363</v>
      </c>
      <c r="K1561">
        <f>1/(COUNT(SimData1000!$B$9:$B$1008)-1)+$K$1560</f>
        <v>0.55155155155154567</v>
      </c>
      <c r="L1561">
        <f>SMALL(SimData1000!$C$9:$C$1008,552)</f>
        <v>0.56195408446637884</v>
      </c>
      <c r="M1561">
        <f>1/(COUNT(SimData1000!$C$9:$C$1008)-1)+$M$1560</f>
        <v>0.55155155155154567</v>
      </c>
    </row>
    <row r="1562" spans="10:13">
      <c r="J1562">
        <f>SMALL(SimData1000!$B$9:$B$1008,553)</f>
        <v>0.55261738871634403</v>
      </c>
      <c r="K1562">
        <f>1/(COUNT(SimData1000!$B$9:$B$1008)-1)+$K$1561</f>
        <v>0.55255255255254665</v>
      </c>
      <c r="L1562">
        <f>SMALL(SimData1000!$C$9:$C$1008,553)</f>
        <v>0.5630778193117294</v>
      </c>
      <c r="M1562">
        <f>1/(COUNT(SimData1000!$C$9:$C$1008)-1)+$M$1561</f>
        <v>0.55255255255254665</v>
      </c>
    </row>
    <row r="1563" spans="10:13">
      <c r="J1563">
        <f>SMALL(SimData1000!$B$9:$B$1008,554)</f>
        <v>0.55318695940477469</v>
      </c>
      <c r="K1563">
        <f>1/(COUNT(SimData1000!$B$9:$B$1008)-1)+$K$1562</f>
        <v>0.55355355355354763</v>
      </c>
      <c r="L1563">
        <f>SMALL(SimData1000!$C$9:$C$1008,554)</f>
        <v>0.56311813146749046</v>
      </c>
      <c r="M1563">
        <f>1/(COUNT(SimData1000!$C$9:$C$1008)-1)+$M$1562</f>
        <v>0.55355355355354763</v>
      </c>
    </row>
    <row r="1564" spans="10:13">
      <c r="J1564">
        <f>SMALL(SimData1000!$B$9:$B$1008,555)</f>
        <v>0.55403481754591566</v>
      </c>
      <c r="K1564">
        <f>1/(COUNT(SimData1000!$B$9:$B$1008)-1)+$K$1563</f>
        <v>0.55455455455454861</v>
      </c>
      <c r="L1564">
        <f>SMALL(SimData1000!$C$9:$C$1008,555)</f>
        <v>0.56370157947276311</v>
      </c>
      <c r="M1564">
        <f>1/(COUNT(SimData1000!$C$9:$C$1008)-1)+$M$1563</f>
        <v>0.55455455455454861</v>
      </c>
    </row>
    <row r="1565" spans="10:13">
      <c r="J1565">
        <f>SMALL(SimData1000!$B$9:$B$1008,556)</f>
        <v>0.55592359093272214</v>
      </c>
      <c r="K1565">
        <f>1/(COUNT(SimData1000!$B$9:$B$1008)-1)+$K$1564</f>
        <v>0.55555555555554959</v>
      </c>
      <c r="L1565">
        <f>SMALL(SimData1000!$C$9:$C$1008,556)</f>
        <v>0.56436818185102311</v>
      </c>
      <c r="M1565">
        <f>1/(COUNT(SimData1000!$C$9:$C$1008)-1)+$M$1564</f>
        <v>0.55555555555554959</v>
      </c>
    </row>
    <row r="1566" spans="10:13">
      <c r="J1566">
        <f>SMALL(SimData1000!$B$9:$B$1008,557)</f>
        <v>0.5564184021119537</v>
      </c>
      <c r="K1566">
        <f>1/(COUNT(SimData1000!$B$9:$B$1008)-1)+$K$1565</f>
        <v>0.55655655655655056</v>
      </c>
      <c r="L1566">
        <f>SMALL(SimData1000!$C$9:$C$1008,557)</f>
        <v>0.56646349930815632</v>
      </c>
      <c r="M1566">
        <f>1/(COUNT(SimData1000!$C$9:$C$1008)-1)+$M$1565</f>
        <v>0.55655655655655056</v>
      </c>
    </row>
    <row r="1567" spans="10:13">
      <c r="J1567">
        <f>SMALL(SimData1000!$B$9:$B$1008,558)</f>
        <v>0.55786791684172765</v>
      </c>
      <c r="K1567">
        <f>1/(COUNT(SimData1000!$B$9:$B$1008)-1)+$K$1566</f>
        <v>0.55755755755755154</v>
      </c>
      <c r="L1567">
        <f>SMALL(SimData1000!$C$9:$C$1008,558)</f>
        <v>0.56706229439350864</v>
      </c>
      <c r="M1567">
        <f>1/(COUNT(SimData1000!$C$9:$C$1008)-1)+$M$1566</f>
        <v>0.55755755755755154</v>
      </c>
    </row>
    <row r="1568" spans="10:13">
      <c r="J1568">
        <f>SMALL(SimData1000!$B$9:$B$1008,559)</f>
        <v>0.55839159251875048</v>
      </c>
      <c r="K1568">
        <f>1/(COUNT(SimData1000!$B$9:$B$1008)-1)+$K$1567</f>
        <v>0.55855855855855252</v>
      </c>
      <c r="L1568">
        <f>SMALL(SimData1000!$C$9:$C$1008,559)</f>
        <v>0.56777245890771155</v>
      </c>
      <c r="M1568">
        <f>1/(COUNT(SimData1000!$C$9:$C$1008)-1)+$M$1567</f>
        <v>0.55855855855855252</v>
      </c>
    </row>
    <row r="1569" spans="10:13">
      <c r="J1569">
        <f>SMALL(SimData1000!$B$9:$B$1008,560)</f>
        <v>0.55940073109404209</v>
      </c>
      <c r="K1569">
        <f>1/(COUNT(SimData1000!$B$9:$B$1008)-1)+$K$1568</f>
        <v>0.5595595595595535</v>
      </c>
      <c r="L1569">
        <f>SMALL(SimData1000!$C$9:$C$1008,560)</f>
        <v>0.56848995892596577</v>
      </c>
      <c r="M1569">
        <f>1/(COUNT(SimData1000!$C$9:$C$1008)-1)+$M$1568</f>
        <v>0.5595595595595535</v>
      </c>
    </row>
    <row r="1570" spans="10:13">
      <c r="J1570">
        <f>SMALL(SimData1000!$B$9:$B$1008,561)</f>
        <v>0.56023705605213459</v>
      </c>
      <c r="K1570">
        <f>1/(COUNT(SimData1000!$B$9:$B$1008)-1)+$K$1569</f>
        <v>0.56056056056055448</v>
      </c>
      <c r="L1570">
        <f>SMALL(SimData1000!$C$9:$C$1008,561)</f>
        <v>0.57012569429025461</v>
      </c>
      <c r="M1570">
        <f>1/(COUNT(SimData1000!$C$9:$C$1008)-1)+$M$1569</f>
        <v>0.56056056056055448</v>
      </c>
    </row>
    <row r="1571" spans="10:13">
      <c r="J1571">
        <f>SMALL(SimData1000!$B$9:$B$1008,562)</f>
        <v>0.56141647810568485</v>
      </c>
      <c r="K1571">
        <f>1/(COUNT(SimData1000!$B$9:$B$1008)-1)+$K$1570</f>
        <v>0.56156156156155546</v>
      </c>
      <c r="L1571">
        <f>SMALL(SimData1000!$C$9:$C$1008,562)</f>
        <v>0.57036920544487657</v>
      </c>
      <c r="M1571">
        <f>1/(COUNT(SimData1000!$C$9:$C$1008)-1)+$M$1570</f>
        <v>0.56156156156155546</v>
      </c>
    </row>
    <row r="1572" spans="10:13">
      <c r="J1572">
        <f>SMALL(SimData1000!$B$9:$B$1008,563)</f>
        <v>0.56221633575489194</v>
      </c>
      <c r="K1572">
        <f>1/(COUNT(SimData1000!$B$9:$B$1008)-1)+$K$1571</f>
        <v>0.56256256256255643</v>
      </c>
      <c r="L1572">
        <f>SMALL(SimData1000!$C$9:$C$1008,563)</f>
        <v>0.57081296183787344</v>
      </c>
      <c r="M1572">
        <f>1/(COUNT(SimData1000!$C$9:$C$1008)-1)+$M$1571</f>
        <v>0.56256256256255643</v>
      </c>
    </row>
    <row r="1573" spans="10:13">
      <c r="J1573">
        <f>SMALL(SimData1000!$B$9:$B$1008,564)</f>
        <v>0.56351561320701515</v>
      </c>
      <c r="K1573">
        <f>1/(COUNT(SimData1000!$B$9:$B$1008)-1)+$K$1572</f>
        <v>0.56356356356355741</v>
      </c>
      <c r="L1573">
        <f>SMALL(SimData1000!$C$9:$C$1008,564)</f>
        <v>0.57145845329432632</v>
      </c>
      <c r="M1573">
        <f>1/(COUNT(SimData1000!$C$9:$C$1008)-1)+$M$1572</f>
        <v>0.56356356356355741</v>
      </c>
    </row>
    <row r="1574" spans="10:13">
      <c r="J1574">
        <f>SMALL(SimData1000!$B$9:$B$1008,565)</f>
        <v>0.56402485654643386</v>
      </c>
      <c r="K1574">
        <f>1/(COUNT(SimData1000!$B$9:$B$1008)-1)+$K$1573</f>
        <v>0.56456456456455839</v>
      </c>
      <c r="L1574">
        <f>SMALL(SimData1000!$C$9:$C$1008,565)</f>
        <v>0.57192242628752865</v>
      </c>
      <c r="M1574">
        <f>1/(COUNT(SimData1000!$C$9:$C$1008)-1)+$M$1573</f>
        <v>0.56456456456455839</v>
      </c>
    </row>
    <row r="1575" spans="10:13">
      <c r="J1575">
        <f>SMALL(SimData1000!$B$9:$B$1008,566)</f>
        <v>0.56536826359675452</v>
      </c>
      <c r="K1575">
        <f>1/(COUNT(SimData1000!$B$9:$B$1008)-1)+$K$1574</f>
        <v>0.56556556556555937</v>
      </c>
      <c r="L1575">
        <f>SMALL(SimData1000!$C$9:$C$1008,566)</f>
        <v>0.5722961044875774</v>
      </c>
      <c r="M1575">
        <f>1/(COUNT(SimData1000!$C$9:$C$1008)-1)+$M$1574</f>
        <v>0.56556556556555937</v>
      </c>
    </row>
    <row r="1576" spans="10:13">
      <c r="J1576">
        <f>SMALL(SimData1000!$B$9:$B$1008,567)</f>
        <v>0.56681743277302421</v>
      </c>
      <c r="K1576">
        <f>1/(COUNT(SimData1000!$B$9:$B$1008)-1)+$K$1575</f>
        <v>0.56656656656656035</v>
      </c>
      <c r="L1576">
        <f>SMALL(SimData1000!$C$9:$C$1008,567)</f>
        <v>0.57246812096855137</v>
      </c>
      <c r="M1576">
        <f>1/(COUNT(SimData1000!$C$9:$C$1008)-1)+$M$1575</f>
        <v>0.56656656656656035</v>
      </c>
    </row>
    <row r="1577" spans="10:13">
      <c r="J1577">
        <f>SMALL(SimData1000!$B$9:$B$1008,568)</f>
        <v>0.56743302251408645</v>
      </c>
      <c r="K1577">
        <f>1/(COUNT(SimData1000!$B$9:$B$1008)-1)+$K$1576</f>
        <v>0.56756756756756133</v>
      </c>
      <c r="L1577">
        <f>SMALL(SimData1000!$C$9:$C$1008,568)</f>
        <v>0.5728932345055</v>
      </c>
      <c r="M1577">
        <f>1/(COUNT(SimData1000!$C$9:$C$1008)-1)+$M$1576</f>
        <v>0.56756756756756133</v>
      </c>
    </row>
    <row r="1578" spans="10:13">
      <c r="J1578">
        <f>SMALL(SimData1000!$B$9:$B$1008,569)</f>
        <v>0.5685457772110929</v>
      </c>
      <c r="K1578">
        <f>1/(COUNT(SimData1000!$B$9:$B$1008)-1)+$K$1577</f>
        <v>0.5685685685685623</v>
      </c>
      <c r="L1578">
        <f>SMALL(SimData1000!$C$9:$C$1008,569)</f>
        <v>0.57480201749240223</v>
      </c>
      <c r="M1578">
        <f>1/(COUNT(SimData1000!$C$9:$C$1008)-1)+$M$1577</f>
        <v>0.5685685685685623</v>
      </c>
    </row>
    <row r="1579" spans="10:13">
      <c r="J1579">
        <f>SMALL(SimData1000!$B$9:$B$1008,570)</f>
        <v>0.56953546161170476</v>
      </c>
      <c r="K1579">
        <f>1/(COUNT(SimData1000!$B$9:$B$1008)-1)+$K$1578</f>
        <v>0.56956956956956328</v>
      </c>
      <c r="L1579">
        <f>SMALL(SimData1000!$C$9:$C$1008,570)</f>
        <v>0.57528032375466864</v>
      </c>
      <c r="M1579">
        <f>1/(COUNT(SimData1000!$C$9:$C$1008)-1)+$M$1578</f>
        <v>0.56956956956956328</v>
      </c>
    </row>
    <row r="1580" spans="10:13">
      <c r="J1580">
        <f>SMALL(SimData1000!$B$9:$B$1008,571)</f>
        <v>0.5706523795960593</v>
      </c>
      <c r="K1580">
        <f>1/(COUNT(SimData1000!$B$9:$B$1008)-1)+$K$1579</f>
        <v>0.57057057057056426</v>
      </c>
      <c r="L1580">
        <f>SMALL(SimData1000!$C$9:$C$1008,571)</f>
        <v>0.57602915501593088</v>
      </c>
      <c r="M1580">
        <f>1/(COUNT(SimData1000!$C$9:$C$1008)-1)+$M$1579</f>
        <v>0.57057057057056426</v>
      </c>
    </row>
    <row r="1581" spans="10:13">
      <c r="J1581">
        <f>SMALL(SimData1000!$B$9:$B$1008,572)</f>
        <v>0.57142774988744127</v>
      </c>
      <c r="K1581">
        <f>1/(COUNT(SimData1000!$B$9:$B$1008)-1)+$K$1580</f>
        <v>0.57157157157156524</v>
      </c>
      <c r="L1581">
        <f>SMALL(SimData1000!$C$9:$C$1008,572)</f>
        <v>0.57619874127067305</v>
      </c>
      <c r="M1581">
        <f>1/(COUNT(SimData1000!$C$9:$C$1008)-1)+$M$1580</f>
        <v>0.57157157157156524</v>
      </c>
    </row>
    <row r="1582" spans="10:13">
      <c r="J1582">
        <f>SMALL(SimData1000!$B$9:$B$1008,573)</f>
        <v>0.57202402085997717</v>
      </c>
      <c r="K1582">
        <f>1/(COUNT(SimData1000!$B$9:$B$1008)-1)+$K$1581</f>
        <v>0.57257257257256622</v>
      </c>
      <c r="L1582">
        <f>SMALL(SimData1000!$C$9:$C$1008,573)</f>
        <v>0.57727785606493853</v>
      </c>
      <c r="M1582">
        <f>1/(COUNT(SimData1000!$C$9:$C$1008)-1)+$M$1581</f>
        <v>0.57257257257256622</v>
      </c>
    </row>
    <row r="1583" spans="10:13">
      <c r="J1583">
        <f>SMALL(SimData1000!$B$9:$B$1008,574)</f>
        <v>0.57351506653626338</v>
      </c>
      <c r="K1583">
        <f>1/(COUNT(SimData1000!$B$9:$B$1008)-1)+$K$1582</f>
        <v>0.5735735735735672</v>
      </c>
      <c r="L1583">
        <f>SMALL(SimData1000!$C$9:$C$1008,574)</f>
        <v>0.57900371583127708</v>
      </c>
      <c r="M1583">
        <f>1/(COUNT(SimData1000!$C$9:$C$1008)-1)+$M$1582</f>
        <v>0.5735735735735672</v>
      </c>
    </row>
    <row r="1584" spans="10:13">
      <c r="J1584">
        <f>SMALL(SimData1000!$B$9:$B$1008,575)</f>
        <v>0.57451352681278101</v>
      </c>
      <c r="K1584">
        <f>1/(COUNT(SimData1000!$B$9:$B$1008)-1)+$K$1583</f>
        <v>0.57457457457456818</v>
      </c>
      <c r="L1584">
        <f>SMALL(SimData1000!$C$9:$C$1008,575)</f>
        <v>0.58098772387802455</v>
      </c>
      <c r="M1584">
        <f>1/(COUNT(SimData1000!$C$9:$C$1008)-1)+$M$1583</f>
        <v>0.57457457457456818</v>
      </c>
    </row>
    <row r="1585" spans="10:13">
      <c r="J1585">
        <f>SMALL(SimData1000!$B$9:$B$1008,576)</f>
        <v>0.5753383775181925</v>
      </c>
      <c r="K1585">
        <f>1/(COUNT(SimData1000!$B$9:$B$1008)-1)+$K$1584</f>
        <v>0.57557557557556915</v>
      </c>
      <c r="L1585">
        <f>SMALL(SimData1000!$C$9:$C$1008,576)</f>
        <v>0.58326307818606438</v>
      </c>
      <c r="M1585">
        <f>1/(COUNT(SimData1000!$C$9:$C$1008)-1)+$M$1584</f>
        <v>0.57557557557556915</v>
      </c>
    </row>
    <row r="1586" spans="10:13">
      <c r="J1586">
        <f>SMALL(SimData1000!$B$9:$B$1008,577)</f>
        <v>0.57621156683312991</v>
      </c>
      <c r="K1586">
        <f>1/(COUNT(SimData1000!$B$9:$B$1008)-1)+$K$1585</f>
        <v>0.57657657657657013</v>
      </c>
      <c r="L1586">
        <f>SMALL(SimData1000!$C$9:$C$1008,577)</f>
        <v>0.5838281658179767</v>
      </c>
      <c r="M1586">
        <f>1/(COUNT(SimData1000!$C$9:$C$1008)-1)+$M$1585</f>
        <v>0.57657657657657013</v>
      </c>
    </row>
    <row r="1587" spans="10:13">
      <c r="J1587">
        <f>SMALL(SimData1000!$B$9:$B$1008,578)</f>
        <v>0.57756538069773589</v>
      </c>
      <c r="K1587">
        <f>1/(COUNT(SimData1000!$B$9:$B$1008)-1)+$K$1586</f>
        <v>0.57757757757757111</v>
      </c>
      <c r="L1587">
        <f>SMALL(SimData1000!$C$9:$C$1008,578)</f>
        <v>0.58455546535788017</v>
      </c>
      <c r="M1587">
        <f>1/(COUNT(SimData1000!$C$9:$C$1008)-1)+$M$1586</f>
        <v>0.57757757757757111</v>
      </c>
    </row>
    <row r="1588" spans="10:13">
      <c r="J1588">
        <f>SMALL(SimData1000!$B$9:$B$1008,579)</f>
        <v>0.57896439024875046</v>
      </c>
      <c r="K1588">
        <f>1/(COUNT(SimData1000!$B$9:$B$1008)-1)+$K$1587</f>
        <v>0.57857857857857209</v>
      </c>
      <c r="L1588">
        <f>SMALL(SimData1000!$C$9:$C$1008,579)</f>
        <v>0.5848307823007417</v>
      </c>
      <c r="M1588">
        <f>1/(COUNT(SimData1000!$C$9:$C$1008)-1)+$M$1587</f>
        <v>0.57857857857857209</v>
      </c>
    </row>
    <row r="1589" spans="10:13">
      <c r="J1589">
        <f>SMALL(SimData1000!$B$9:$B$1008,580)</f>
        <v>0.57950076314189958</v>
      </c>
      <c r="K1589">
        <f>1/(COUNT(SimData1000!$B$9:$B$1008)-1)+$K$1588</f>
        <v>0.57957957957957307</v>
      </c>
      <c r="L1589">
        <f>SMALL(SimData1000!$C$9:$C$1008,580)</f>
        <v>0.58537743740271253</v>
      </c>
      <c r="M1589">
        <f>1/(COUNT(SimData1000!$C$9:$C$1008)-1)+$M$1588</f>
        <v>0.57957957957957307</v>
      </c>
    </row>
    <row r="1590" spans="10:13">
      <c r="J1590">
        <f>SMALL(SimData1000!$B$9:$B$1008,581)</f>
        <v>0.58019229061812916</v>
      </c>
      <c r="K1590">
        <f>1/(COUNT(SimData1000!$B$9:$B$1008)-1)+$K$1589</f>
        <v>0.58058058058057405</v>
      </c>
      <c r="L1590">
        <f>SMALL(SimData1000!$C$9:$C$1008,581)</f>
        <v>0.58632247265086335</v>
      </c>
      <c r="M1590">
        <f>1/(COUNT(SimData1000!$C$9:$C$1008)-1)+$M$1589</f>
        <v>0.58058058058057405</v>
      </c>
    </row>
    <row r="1591" spans="10:13">
      <c r="J1591">
        <f>SMALL(SimData1000!$B$9:$B$1008,582)</f>
        <v>0.58143177621658693</v>
      </c>
      <c r="K1591">
        <f>1/(COUNT(SimData1000!$B$9:$B$1008)-1)+$K$1590</f>
        <v>0.58158158158157502</v>
      </c>
      <c r="L1591">
        <f>SMALL(SimData1000!$C$9:$C$1008,582)</f>
        <v>0.58635464338840393</v>
      </c>
      <c r="M1591">
        <f>1/(COUNT(SimData1000!$C$9:$C$1008)-1)+$M$1590</f>
        <v>0.58158158158157502</v>
      </c>
    </row>
    <row r="1592" spans="10:13">
      <c r="J1592">
        <f>SMALL(SimData1000!$B$9:$B$1008,583)</f>
        <v>0.58205879345537592</v>
      </c>
      <c r="K1592">
        <f>1/(COUNT(SimData1000!$B$9:$B$1008)-1)+$K$1591</f>
        <v>0.582582582582576</v>
      </c>
      <c r="L1592">
        <f>SMALL(SimData1000!$C$9:$C$1008,583)</f>
        <v>0.5865219197485203</v>
      </c>
      <c r="M1592">
        <f>1/(COUNT(SimData1000!$C$9:$C$1008)-1)+$M$1591</f>
        <v>0.582582582582576</v>
      </c>
    </row>
    <row r="1593" spans="10:13">
      <c r="J1593">
        <f>SMALL(SimData1000!$B$9:$B$1008,584)</f>
        <v>0.5834529260435265</v>
      </c>
      <c r="K1593">
        <f>1/(COUNT(SimData1000!$B$9:$B$1008)-1)+$K$1592</f>
        <v>0.58358358358357698</v>
      </c>
      <c r="L1593">
        <f>SMALL(SimData1000!$C$9:$C$1008,584)</f>
        <v>0.58761710794897226</v>
      </c>
      <c r="M1593">
        <f>1/(COUNT(SimData1000!$C$9:$C$1008)-1)+$M$1592</f>
        <v>0.58358358358357698</v>
      </c>
    </row>
    <row r="1594" spans="10:13">
      <c r="J1594">
        <f>SMALL(SimData1000!$B$9:$B$1008,585)</f>
        <v>0.58464061326921002</v>
      </c>
      <c r="K1594">
        <f>1/(COUNT(SimData1000!$B$9:$B$1008)-1)+$K$1593</f>
        <v>0.58458458458457796</v>
      </c>
      <c r="L1594">
        <f>SMALL(SimData1000!$C$9:$C$1008,585)</f>
        <v>0.58895861602559307</v>
      </c>
      <c r="M1594">
        <f>1/(COUNT(SimData1000!$C$9:$C$1008)-1)+$M$1593</f>
        <v>0.58458458458457796</v>
      </c>
    </row>
    <row r="1595" spans="10:13">
      <c r="J1595">
        <f>SMALL(SimData1000!$B$9:$B$1008,586)</f>
        <v>0.58532209036064387</v>
      </c>
      <c r="K1595">
        <f>1/(COUNT(SimData1000!$B$9:$B$1008)-1)+$K$1594</f>
        <v>0.58558558558557894</v>
      </c>
      <c r="L1595">
        <f>SMALL(SimData1000!$C$9:$C$1008,586)</f>
        <v>0.59135970350689604</v>
      </c>
      <c r="M1595">
        <f>1/(COUNT(SimData1000!$C$9:$C$1008)-1)+$M$1594</f>
        <v>0.58558558558557894</v>
      </c>
    </row>
    <row r="1596" spans="10:13">
      <c r="J1596">
        <f>SMALL(SimData1000!$B$9:$B$1008,587)</f>
        <v>0.58654153365607875</v>
      </c>
      <c r="K1596">
        <f>1/(COUNT(SimData1000!$B$9:$B$1008)-1)+$K$1595</f>
        <v>0.58658658658657992</v>
      </c>
      <c r="L1596">
        <f>SMALL(SimData1000!$C$9:$C$1008,587)</f>
        <v>0.59165008011586906</v>
      </c>
      <c r="M1596">
        <f>1/(COUNT(SimData1000!$C$9:$C$1008)-1)+$M$1595</f>
        <v>0.58658658658657992</v>
      </c>
    </row>
    <row r="1597" spans="10:13">
      <c r="J1597">
        <f>SMALL(SimData1000!$B$9:$B$1008,588)</f>
        <v>0.5873507040062339</v>
      </c>
      <c r="K1597">
        <f>1/(COUNT(SimData1000!$B$9:$B$1008)-1)+$K$1596</f>
        <v>0.5875875875875809</v>
      </c>
      <c r="L1597">
        <f>SMALL(SimData1000!$C$9:$C$1008,588)</f>
        <v>0.59192875300141168</v>
      </c>
      <c r="M1597">
        <f>1/(COUNT(SimData1000!$C$9:$C$1008)-1)+$M$1596</f>
        <v>0.5875875875875809</v>
      </c>
    </row>
    <row r="1598" spans="10:13">
      <c r="J1598">
        <f>SMALL(SimData1000!$B$9:$B$1008,589)</f>
        <v>0.58849552452366227</v>
      </c>
      <c r="K1598">
        <f>1/(COUNT(SimData1000!$B$9:$B$1008)-1)+$K$1597</f>
        <v>0.58858858858858187</v>
      </c>
      <c r="L1598">
        <f>SMALL(SimData1000!$C$9:$C$1008,589)</f>
        <v>0.59643778062218189</v>
      </c>
      <c r="M1598">
        <f>1/(COUNT(SimData1000!$C$9:$C$1008)-1)+$M$1597</f>
        <v>0.58858858858858187</v>
      </c>
    </row>
    <row r="1599" spans="10:13">
      <c r="J1599">
        <f>SMALL(SimData1000!$B$9:$B$1008,590)</f>
        <v>0.58971601485943326</v>
      </c>
      <c r="K1599">
        <f>1/(COUNT(SimData1000!$B$9:$B$1008)-1)+$K$1598</f>
        <v>0.58958958958958285</v>
      </c>
      <c r="L1599">
        <f>SMALL(SimData1000!$C$9:$C$1008,590)</f>
        <v>0.59728584724871325</v>
      </c>
      <c r="M1599">
        <f>1/(COUNT(SimData1000!$C$9:$C$1008)-1)+$M$1598</f>
        <v>0.58958958958958285</v>
      </c>
    </row>
    <row r="1600" spans="10:13">
      <c r="J1600">
        <f>SMALL(SimData1000!$B$9:$B$1008,591)</f>
        <v>0.59083375837114505</v>
      </c>
      <c r="K1600">
        <f>1/(COUNT(SimData1000!$B$9:$B$1008)-1)+$K$1599</f>
        <v>0.59059059059058383</v>
      </c>
      <c r="L1600">
        <f>SMALL(SimData1000!$C$9:$C$1008,591)</f>
        <v>0.59741750183366094</v>
      </c>
      <c r="M1600">
        <f>1/(COUNT(SimData1000!$C$9:$C$1008)-1)+$M$1599</f>
        <v>0.59059059059058383</v>
      </c>
    </row>
    <row r="1601" spans="10:13">
      <c r="J1601">
        <f>SMALL(SimData1000!$B$9:$B$1008,592)</f>
        <v>0.59117009312849722</v>
      </c>
      <c r="K1601">
        <f>1/(COUNT(SimData1000!$B$9:$B$1008)-1)+$K$1600</f>
        <v>0.59159159159158481</v>
      </c>
      <c r="L1601">
        <f>SMALL(SimData1000!$C$9:$C$1008,592)</f>
        <v>0.59748586817568139</v>
      </c>
      <c r="M1601">
        <f>1/(COUNT(SimData1000!$C$9:$C$1008)-1)+$M$1600</f>
        <v>0.59159159159158481</v>
      </c>
    </row>
    <row r="1602" spans="10:13">
      <c r="J1602">
        <f>SMALL(SimData1000!$B$9:$B$1008,593)</f>
        <v>0.59236007777772837</v>
      </c>
      <c r="K1602">
        <f>1/(COUNT(SimData1000!$B$9:$B$1008)-1)+$K$1601</f>
        <v>0.59259259259258579</v>
      </c>
      <c r="L1602">
        <f>SMALL(SimData1000!$C$9:$C$1008,593)</f>
        <v>0.59756132953407359</v>
      </c>
      <c r="M1602">
        <f>1/(COUNT(SimData1000!$C$9:$C$1008)-1)+$M$1601</f>
        <v>0.59259259259258579</v>
      </c>
    </row>
    <row r="1603" spans="10:13">
      <c r="J1603">
        <f>SMALL(SimData1000!$B$9:$B$1008,594)</f>
        <v>0.59349537690484333</v>
      </c>
      <c r="K1603">
        <f>1/(COUNT(SimData1000!$B$9:$B$1008)-1)+$K$1602</f>
        <v>0.59359359359358677</v>
      </c>
      <c r="L1603">
        <f>SMALL(SimData1000!$C$9:$C$1008,594)</f>
        <v>0.59791619012412411</v>
      </c>
      <c r="M1603">
        <f>1/(COUNT(SimData1000!$C$9:$C$1008)-1)+$M$1602</f>
        <v>0.59359359359358677</v>
      </c>
    </row>
    <row r="1604" spans="10:13">
      <c r="J1604">
        <f>SMALL(SimData1000!$B$9:$B$1008,595)</f>
        <v>0.59482191514126537</v>
      </c>
      <c r="K1604">
        <f>1/(COUNT(SimData1000!$B$9:$B$1008)-1)+$K$1603</f>
        <v>0.59459459459458774</v>
      </c>
      <c r="L1604">
        <f>SMALL(SimData1000!$C$9:$C$1008,595)</f>
        <v>0.59818941653793445</v>
      </c>
      <c r="M1604">
        <f>1/(COUNT(SimData1000!$C$9:$C$1008)-1)+$M$1603</f>
        <v>0.59459459459458774</v>
      </c>
    </row>
    <row r="1605" spans="10:13">
      <c r="J1605">
        <f>SMALL(SimData1000!$B$9:$B$1008,596)</f>
        <v>0.59504314551806148</v>
      </c>
      <c r="K1605">
        <f>1/(COUNT(SimData1000!$B$9:$B$1008)-1)+$K$1604</f>
        <v>0.59559559559558872</v>
      </c>
      <c r="L1605">
        <f>SMALL(SimData1000!$C$9:$C$1008,596)</f>
        <v>0.59848882553887961</v>
      </c>
      <c r="M1605">
        <f>1/(COUNT(SimData1000!$C$9:$C$1008)-1)+$M$1604</f>
        <v>0.59559559559558872</v>
      </c>
    </row>
    <row r="1606" spans="10:13">
      <c r="J1606">
        <f>SMALL(SimData1000!$B$9:$B$1008,597)</f>
        <v>0.59659002529028571</v>
      </c>
      <c r="K1606">
        <f>1/(COUNT(SimData1000!$B$9:$B$1008)-1)+$K$1605</f>
        <v>0.5965965965965897</v>
      </c>
      <c r="L1606">
        <f>SMALL(SimData1000!$C$9:$C$1008,597)</f>
        <v>0.59991843751686247</v>
      </c>
      <c r="M1606">
        <f>1/(COUNT(SimData1000!$C$9:$C$1008)-1)+$M$1605</f>
        <v>0.5965965965965897</v>
      </c>
    </row>
    <row r="1607" spans="10:13">
      <c r="J1607">
        <f>SMALL(SimData1000!$B$9:$B$1008,598)</f>
        <v>0.59738173130652439</v>
      </c>
      <c r="K1607">
        <f>1/(COUNT(SimData1000!$B$9:$B$1008)-1)+$K$1606</f>
        <v>0.59759759759759068</v>
      </c>
      <c r="L1607">
        <f>SMALL(SimData1000!$C$9:$C$1008,598)</f>
        <v>0.60021050975410617</v>
      </c>
      <c r="M1607">
        <f>1/(COUNT(SimData1000!$C$9:$C$1008)-1)+$M$1606</f>
        <v>0.59759759759759068</v>
      </c>
    </row>
    <row r="1608" spans="10:13">
      <c r="J1608">
        <f>SMALL(SimData1000!$B$9:$B$1008,599)</f>
        <v>0.59806608765317726</v>
      </c>
      <c r="K1608">
        <f>1/(COUNT(SimData1000!$B$9:$B$1008)-1)+$K$1607</f>
        <v>0.59859859859859166</v>
      </c>
      <c r="L1608">
        <f>SMALL(SimData1000!$C$9:$C$1008,599)</f>
        <v>0.60188635486156272</v>
      </c>
      <c r="M1608">
        <f>1/(COUNT(SimData1000!$C$9:$C$1008)-1)+$M$1607</f>
        <v>0.59859859859859166</v>
      </c>
    </row>
    <row r="1609" spans="10:13">
      <c r="J1609">
        <f>SMALL(SimData1000!$B$9:$B$1008,600)</f>
        <v>0.5992769205407884</v>
      </c>
      <c r="K1609">
        <f>1/(COUNT(SimData1000!$B$9:$B$1008)-1)+$K$1608</f>
        <v>0.59959959959959264</v>
      </c>
      <c r="L1609">
        <f>SMALL(SimData1000!$C$9:$C$1008,600)</f>
        <v>0.60352132406296732</v>
      </c>
      <c r="M1609">
        <f>1/(COUNT(SimData1000!$C$9:$C$1008)-1)+$M$1608</f>
        <v>0.59959959959959264</v>
      </c>
    </row>
    <row r="1610" spans="10:13">
      <c r="J1610">
        <f>SMALL(SimData1000!$B$9:$B$1008,601)</f>
        <v>0.60052584623371386</v>
      </c>
      <c r="K1610">
        <f>1/(COUNT(SimData1000!$B$9:$B$1008)-1)+$K$1609</f>
        <v>0.60060060060059361</v>
      </c>
      <c r="L1610">
        <f>SMALL(SimData1000!$C$9:$C$1008,601)</f>
        <v>0.60414894976747746</v>
      </c>
      <c r="M1610">
        <f>1/(COUNT(SimData1000!$C$9:$C$1008)-1)+$M$1609</f>
        <v>0.60060060060059361</v>
      </c>
    </row>
    <row r="1611" spans="10:13">
      <c r="J1611">
        <f>SMALL(SimData1000!$B$9:$B$1008,602)</f>
        <v>0.60146020346518136</v>
      </c>
      <c r="K1611">
        <f>1/(COUNT(SimData1000!$B$9:$B$1008)-1)+$K$1610</f>
        <v>0.60160160160159459</v>
      </c>
      <c r="L1611">
        <f>SMALL(SimData1000!$C$9:$C$1008,602)</f>
        <v>0.60716215781212668</v>
      </c>
      <c r="M1611">
        <f>1/(COUNT(SimData1000!$C$9:$C$1008)-1)+$M$1610</f>
        <v>0.60160160160159459</v>
      </c>
    </row>
    <row r="1612" spans="10:13">
      <c r="J1612">
        <f>SMALL(SimData1000!$B$9:$B$1008,603)</f>
        <v>0.60245549849664226</v>
      </c>
      <c r="K1612">
        <f>1/(COUNT(SimData1000!$B$9:$B$1008)-1)+$K$1611</f>
        <v>0.60260260260259557</v>
      </c>
      <c r="L1612">
        <f>SMALL(SimData1000!$C$9:$C$1008,603)</f>
        <v>0.60716668420445785</v>
      </c>
      <c r="M1612">
        <f>1/(COUNT(SimData1000!$C$9:$C$1008)-1)+$M$1611</f>
        <v>0.60260260260259557</v>
      </c>
    </row>
    <row r="1613" spans="10:13">
      <c r="J1613">
        <f>SMALL(SimData1000!$B$9:$B$1008,604)</f>
        <v>0.60340682580005534</v>
      </c>
      <c r="K1613">
        <f>1/(COUNT(SimData1000!$B$9:$B$1008)-1)+$K$1612</f>
        <v>0.60360360360359655</v>
      </c>
      <c r="L1613">
        <f>SMALL(SimData1000!$C$9:$C$1008,604)</f>
        <v>0.60761428138630436</v>
      </c>
      <c r="M1613">
        <f>1/(COUNT(SimData1000!$C$9:$C$1008)-1)+$M$1612</f>
        <v>0.60360360360359655</v>
      </c>
    </row>
    <row r="1614" spans="10:13">
      <c r="J1614">
        <f>SMALL(SimData1000!$B$9:$B$1008,605)</f>
        <v>0.6041163222431476</v>
      </c>
      <c r="K1614">
        <f>1/(COUNT(SimData1000!$B$9:$B$1008)-1)+$K$1613</f>
        <v>0.60460460460459753</v>
      </c>
      <c r="L1614">
        <f>SMALL(SimData1000!$C$9:$C$1008,605)</f>
        <v>0.60818402490531298</v>
      </c>
      <c r="M1614">
        <f>1/(COUNT(SimData1000!$C$9:$C$1008)-1)+$M$1613</f>
        <v>0.60460460460459753</v>
      </c>
    </row>
    <row r="1615" spans="10:13">
      <c r="J1615">
        <f>SMALL(SimData1000!$B$9:$B$1008,606)</f>
        <v>0.60584932441074613</v>
      </c>
      <c r="K1615">
        <f>1/(COUNT(SimData1000!$B$9:$B$1008)-1)+$K$1614</f>
        <v>0.60560560560559851</v>
      </c>
      <c r="L1615">
        <f>SMALL(SimData1000!$C$9:$C$1008,606)</f>
        <v>0.61268728870710731</v>
      </c>
      <c r="M1615">
        <f>1/(COUNT(SimData1000!$C$9:$C$1008)-1)+$M$1614</f>
        <v>0.60560560560559851</v>
      </c>
    </row>
    <row r="1616" spans="10:13">
      <c r="J1616">
        <f>SMALL(SimData1000!$B$9:$B$1008,607)</f>
        <v>0.60614461671913611</v>
      </c>
      <c r="K1616">
        <f>1/(COUNT(SimData1000!$B$9:$B$1008)-1)+$K$1615</f>
        <v>0.60660660660659949</v>
      </c>
      <c r="L1616">
        <f>SMALL(SimData1000!$C$9:$C$1008,607)</f>
        <v>0.61321152800701384</v>
      </c>
      <c r="M1616">
        <f>1/(COUNT(SimData1000!$C$9:$C$1008)-1)+$M$1615</f>
        <v>0.60660660660659949</v>
      </c>
    </row>
    <row r="1617" spans="10:13">
      <c r="J1617">
        <f>SMALL(SimData1000!$B$9:$B$1008,608)</f>
        <v>0.60720788272870896</v>
      </c>
      <c r="K1617">
        <f>1/(COUNT(SimData1000!$B$9:$B$1008)-1)+$K$1616</f>
        <v>0.60760760760760046</v>
      </c>
      <c r="L1617">
        <f>SMALL(SimData1000!$C$9:$C$1008,608)</f>
        <v>0.61384718891713419</v>
      </c>
      <c r="M1617">
        <f>1/(COUNT(SimData1000!$C$9:$C$1008)-1)+$M$1616</f>
        <v>0.60760760760760046</v>
      </c>
    </row>
    <row r="1618" spans="10:13">
      <c r="J1618">
        <f>SMALL(SimData1000!$B$9:$B$1008,609)</f>
        <v>0.60861392837218331</v>
      </c>
      <c r="K1618">
        <f>1/(COUNT(SimData1000!$B$9:$B$1008)-1)+$K$1617</f>
        <v>0.60860860860860144</v>
      </c>
      <c r="L1618">
        <f>SMALL(SimData1000!$C$9:$C$1008,609)</f>
        <v>0.61624676004430512</v>
      </c>
      <c r="M1618">
        <f>1/(COUNT(SimData1000!$C$9:$C$1008)-1)+$M$1617</f>
        <v>0.60860860860860144</v>
      </c>
    </row>
    <row r="1619" spans="10:13">
      <c r="J1619">
        <f>SMALL(SimData1000!$B$9:$B$1008,610)</f>
        <v>0.60950128998013708</v>
      </c>
      <c r="K1619">
        <f>1/(COUNT(SimData1000!$B$9:$B$1008)-1)+$K$1618</f>
        <v>0.60960960960960242</v>
      </c>
      <c r="L1619">
        <f>SMALL(SimData1000!$C$9:$C$1008,610)</f>
        <v>0.61647728255775291</v>
      </c>
      <c r="M1619">
        <f>1/(COUNT(SimData1000!$C$9:$C$1008)-1)+$M$1618</f>
        <v>0.60960960960960242</v>
      </c>
    </row>
    <row r="1620" spans="10:13">
      <c r="J1620">
        <f>SMALL(SimData1000!$B$9:$B$1008,611)</f>
        <v>0.6109479853340769</v>
      </c>
      <c r="K1620">
        <f>1/(COUNT(SimData1000!$B$9:$B$1008)-1)+$K$1619</f>
        <v>0.6106106106106034</v>
      </c>
      <c r="L1620">
        <f>SMALL(SimData1000!$C$9:$C$1008,611)</f>
        <v>0.61918620299456961</v>
      </c>
      <c r="M1620">
        <f>1/(COUNT(SimData1000!$C$9:$C$1008)-1)+$M$1619</f>
        <v>0.6106106106106034</v>
      </c>
    </row>
    <row r="1621" spans="10:13">
      <c r="J1621">
        <f>SMALL(SimData1000!$B$9:$B$1008,612)</f>
        <v>0.61140211010151602</v>
      </c>
      <c r="K1621">
        <f>1/(COUNT(SimData1000!$B$9:$B$1008)-1)+$K$1620</f>
        <v>0.61161161161160438</v>
      </c>
      <c r="L1621">
        <f>SMALL(SimData1000!$C$9:$C$1008,612)</f>
        <v>0.61924316611839458</v>
      </c>
      <c r="M1621">
        <f>1/(COUNT(SimData1000!$C$9:$C$1008)-1)+$M$1620</f>
        <v>0.61161161161160438</v>
      </c>
    </row>
    <row r="1622" spans="10:13">
      <c r="J1622">
        <f>SMALL(SimData1000!$B$9:$B$1008,613)</f>
        <v>0.61224191001668615</v>
      </c>
      <c r="K1622">
        <f>1/(COUNT(SimData1000!$B$9:$B$1008)-1)+$K$1621</f>
        <v>0.61261261261260536</v>
      </c>
      <c r="L1622">
        <f>SMALL(SimData1000!$C$9:$C$1008,613)</f>
        <v>0.62177289581359219</v>
      </c>
      <c r="M1622">
        <f>1/(COUNT(SimData1000!$C$9:$C$1008)-1)+$M$1621</f>
        <v>0.61261261261260536</v>
      </c>
    </row>
    <row r="1623" spans="10:13">
      <c r="J1623">
        <f>SMALL(SimData1000!$B$9:$B$1008,614)</f>
        <v>0.61394530584894713</v>
      </c>
      <c r="K1623">
        <f>1/(COUNT(SimData1000!$B$9:$B$1008)-1)+$K$1622</f>
        <v>0.61361361361360633</v>
      </c>
      <c r="L1623">
        <f>SMALL(SimData1000!$C$9:$C$1008,614)</f>
        <v>0.62285364005947486</v>
      </c>
      <c r="M1623">
        <f>1/(COUNT(SimData1000!$C$9:$C$1008)-1)+$M$1622</f>
        <v>0.61361361361360633</v>
      </c>
    </row>
    <row r="1624" spans="10:13">
      <c r="J1624">
        <f>SMALL(SimData1000!$B$9:$B$1008,615)</f>
        <v>0.61426329413947256</v>
      </c>
      <c r="K1624">
        <f>1/(COUNT(SimData1000!$B$9:$B$1008)-1)+$K$1623</f>
        <v>0.61461461461460731</v>
      </c>
      <c r="L1624">
        <f>SMALL(SimData1000!$C$9:$C$1008,615)</f>
        <v>0.62411452308970183</v>
      </c>
      <c r="M1624">
        <f>1/(COUNT(SimData1000!$C$9:$C$1008)-1)+$M$1623</f>
        <v>0.61461461461460731</v>
      </c>
    </row>
    <row r="1625" spans="10:13">
      <c r="J1625">
        <f>SMALL(SimData1000!$B$9:$B$1008,616)</f>
        <v>0.61555577215053037</v>
      </c>
      <c r="K1625">
        <f>1/(COUNT(SimData1000!$B$9:$B$1008)-1)+$K$1624</f>
        <v>0.61561561561560829</v>
      </c>
      <c r="L1625">
        <f>SMALL(SimData1000!$C$9:$C$1008,616)</f>
        <v>0.62413702898811607</v>
      </c>
      <c r="M1625">
        <f>1/(COUNT(SimData1000!$C$9:$C$1008)-1)+$M$1624</f>
        <v>0.61561561561560829</v>
      </c>
    </row>
    <row r="1626" spans="10:13">
      <c r="J1626">
        <f>SMALL(SimData1000!$B$9:$B$1008,617)</f>
        <v>0.61680973298703545</v>
      </c>
      <c r="K1626">
        <f>1/(COUNT(SimData1000!$B$9:$B$1008)-1)+$K$1625</f>
        <v>0.61661661661660927</v>
      </c>
      <c r="L1626">
        <f>SMALL(SimData1000!$C$9:$C$1008,617)</f>
        <v>0.62517656488398643</v>
      </c>
      <c r="M1626">
        <f>1/(COUNT(SimData1000!$C$9:$C$1008)-1)+$M$1625</f>
        <v>0.61661661661660927</v>
      </c>
    </row>
    <row r="1627" spans="10:13">
      <c r="J1627">
        <f>SMALL(SimData1000!$B$9:$B$1008,618)</f>
        <v>0.61740059112953027</v>
      </c>
      <c r="K1627">
        <f>1/(COUNT(SimData1000!$B$9:$B$1008)-1)+$K$1626</f>
        <v>0.61761761761761025</v>
      </c>
      <c r="L1627">
        <f>SMALL(SimData1000!$C$9:$C$1008,618)</f>
        <v>0.62534255293849128</v>
      </c>
      <c r="M1627">
        <f>1/(COUNT(SimData1000!$C$9:$C$1008)-1)+$M$1626</f>
        <v>0.61761761761761025</v>
      </c>
    </row>
    <row r="1628" spans="10:13">
      <c r="J1628">
        <f>SMALL(SimData1000!$B$9:$B$1008,619)</f>
        <v>0.61895696837291048</v>
      </c>
      <c r="K1628">
        <f>1/(COUNT(SimData1000!$B$9:$B$1008)-1)+$K$1627</f>
        <v>0.61861861861861123</v>
      </c>
      <c r="L1628">
        <f>SMALL(SimData1000!$C$9:$C$1008,619)</f>
        <v>0.62585863891581539</v>
      </c>
      <c r="M1628">
        <f>1/(COUNT(SimData1000!$C$9:$C$1008)-1)+$M$1627</f>
        <v>0.61861861861861123</v>
      </c>
    </row>
    <row r="1629" spans="10:13">
      <c r="J1629">
        <f>SMALL(SimData1000!$B$9:$B$1008,620)</f>
        <v>0.61938021709662405</v>
      </c>
      <c r="K1629">
        <f>1/(COUNT(SimData1000!$B$9:$B$1008)-1)+$K$1628</f>
        <v>0.61961961961961221</v>
      </c>
      <c r="L1629">
        <f>SMALL(SimData1000!$C$9:$C$1008,620)</f>
        <v>0.62630863142021553</v>
      </c>
      <c r="M1629">
        <f>1/(COUNT(SimData1000!$C$9:$C$1008)-1)+$M$1628</f>
        <v>0.61961961961961221</v>
      </c>
    </row>
    <row r="1630" spans="10:13">
      <c r="J1630">
        <f>SMALL(SimData1000!$B$9:$B$1008,621)</f>
        <v>0.62092664181020263</v>
      </c>
      <c r="K1630">
        <f>1/(COUNT(SimData1000!$B$9:$B$1008)-1)+$K$1629</f>
        <v>0.62062062062061318</v>
      </c>
      <c r="L1630">
        <f>SMALL(SimData1000!$C$9:$C$1008,621)</f>
        <v>0.62941049054279574</v>
      </c>
      <c r="M1630">
        <f>1/(COUNT(SimData1000!$C$9:$C$1008)-1)+$M$1629</f>
        <v>0.62062062062061318</v>
      </c>
    </row>
    <row r="1631" spans="10:13">
      <c r="J1631">
        <f>SMALL(SimData1000!$B$9:$B$1008,622)</f>
        <v>0.62134051421641845</v>
      </c>
      <c r="K1631">
        <f>1/(COUNT(SimData1000!$B$9:$B$1008)-1)+$K$1630</f>
        <v>0.62162162162161416</v>
      </c>
      <c r="L1631">
        <f>SMALL(SimData1000!$C$9:$C$1008,622)</f>
        <v>0.63058535879918054</v>
      </c>
      <c r="M1631">
        <f>1/(COUNT(SimData1000!$C$9:$C$1008)-1)+$M$1630</f>
        <v>0.62162162162161416</v>
      </c>
    </row>
    <row r="1632" spans="10:13">
      <c r="J1632">
        <f>SMALL(SimData1000!$B$9:$B$1008,623)</f>
        <v>0.62207104347135656</v>
      </c>
      <c r="K1632">
        <f>1/(COUNT(SimData1000!$B$9:$B$1008)-1)+$K$1631</f>
        <v>0.62262262262261514</v>
      </c>
      <c r="L1632">
        <f>SMALL(SimData1000!$C$9:$C$1008,623)</f>
        <v>0.63085004297681735</v>
      </c>
      <c r="M1632">
        <f>1/(COUNT(SimData1000!$C$9:$C$1008)-1)+$M$1631</f>
        <v>0.62262262262261514</v>
      </c>
    </row>
    <row r="1633" spans="10:13">
      <c r="J1633">
        <f>SMALL(SimData1000!$B$9:$B$1008,624)</f>
        <v>0.62379329558363961</v>
      </c>
      <c r="K1633">
        <f>1/(COUNT(SimData1000!$B$9:$B$1008)-1)+$K$1632</f>
        <v>0.62362362362361612</v>
      </c>
      <c r="L1633">
        <f>SMALL(SimData1000!$C$9:$C$1008,624)</f>
        <v>0.63198150013977283</v>
      </c>
      <c r="M1633">
        <f>1/(COUNT(SimData1000!$C$9:$C$1008)-1)+$M$1632</f>
        <v>0.62362362362361612</v>
      </c>
    </row>
    <row r="1634" spans="10:13">
      <c r="J1634">
        <f>SMALL(SimData1000!$B$9:$B$1008,625)</f>
        <v>0.62463829697497142</v>
      </c>
      <c r="K1634">
        <f>1/(COUNT(SimData1000!$B$9:$B$1008)-1)+$K$1633</f>
        <v>0.6246246246246171</v>
      </c>
      <c r="L1634">
        <f>SMALL(SimData1000!$C$9:$C$1008,625)</f>
        <v>0.6337790408224464</v>
      </c>
      <c r="M1634">
        <f>1/(COUNT(SimData1000!$C$9:$C$1008)-1)+$M$1633</f>
        <v>0.6246246246246171</v>
      </c>
    </row>
    <row r="1635" spans="10:13">
      <c r="J1635">
        <f>SMALL(SimData1000!$B$9:$B$1008,626)</f>
        <v>0.62548283561144091</v>
      </c>
      <c r="K1635">
        <f>1/(COUNT(SimData1000!$B$9:$B$1008)-1)+$K$1634</f>
        <v>0.62562562562561808</v>
      </c>
      <c r="L1635">
        <f>SMALL(SimData1000!$C$9:$C$1008,626)</f>
        <v>0.63868898534110485</v>
      </c>
      <c r="M1635">
        <f>1/(COUNT(SimData1000!$C$9:$C$1008)-1)+$M$1634</f>
        <v>0.62562562562561808</v>
      </c>
    </row>
    <row r="1636" spans="10:13">
      <c r="J1636">
        <f>SMALL(SimData1000!$B$9:$B$1008,627)</f>
        <v>0.62685085876911206</v>
      </c>
      <c r="K1636">
        <f>1/(COUNT(SimData1000!$B$9:$B$1008)-1)+$K$1635</f>
        <v>0.62662662662661905</v>
      </c>
      <c r="L1636">
        <f>SMALL(SimData1000!$C$9:$C$1008,627)</f>
        <v>0.64002171792074591</v>
      </c>
      <c r="M1636">
        <f>1/(COUNT(SimData1000!$C$9:$C$1008)-1)+$M$1635</f>
        <v>0.62662662662661905</v>
      </c>
    </row>
    <row r="1637" spans="10:13">
      <c r="J1637">
        <f>SMALL(SimData1000!$B$9:$B$1008,628)</f>
        <v>0.62782284184913684</v>
      </c>
      <c r="K1637">
        <f>1/(COUNT(SimData1000!$B$9:$B$1008)-1)+$K$1636</f>
        <v>0.62762762762762003</v>
      </c>
      <c r="L1637">
        <f>SMALL(SimData1000!$C$9:$C$1008,628)</f>
        <v>0.64048786663988722</v>
      </c>
      <c r="M1637">
        <f>1/(COUNT(SimData1000!$C$9:$C$1008)-1)+$M$1636</f>
        <v>0.62762762762762003</v>
      </c>
    </row>
    <row r="1638" spans="10:13">
      <c r="J1638">
        <f>SMALL(SimData1000!$B$9:$B$1008,629)</f>
        <v>0.62811191780495268</v>
      </c>
      <c r="K1638">
        <f>1/(COUNT(SimData1000!$B$9:$B$1008)-1)+$K$1637</f>
        <v>0.62862862862862101</v>
      </c>
      <c r="L1638">
        <f>SMALL(SimData1000!$C$9:$C$1008,629)</f>
        <v>0.64149573272698035</v>
      </c>
      <c r="M1638">
        <f>1/(COUNT(SimData1000!$C$9:$C$1008)-1)+$M$1637</f>
        <v>0.62862862862862101</v>
      </c>
    </row>
    <row r="1639" spans="10:13">
      <c r="J1639">
        <f>SMALL(SimData1000!$B$9:$B$1008,630)</f>
        <v>0.62990913574651564</v>
      </c>
      <c r="K1639">
        <f>1/(COUNT(SimData1000!$B$9:$B$1008)-1)+$K$1638</f>
        <v>0.62962962962962199</v>
      </c>
      <c r="L1639">
        <f>SMALL(SimData1000!$C$9:$C$1008,630)</f>
        <v>0.64338315172608418</v>
      </c>
      <c r="M1639">
        <f>1/(COUNT(SimData1000!$C$9:$C$1008)-1)+$M$1638</f>
        <v>0.62962962962962199</v>
      </c>
    </row>
    <row r="1640" spans="10:13">
      <c r="J1640">
        <f>SMALL(SimData1000!$B$9:$B$1008,631)</f>
        <v>0.63050967909780098</v>
      </c>
      <c r="K1640">
        <f>1/(COUNT(SimData1000!$B$9:$B$1008)-1)+$K$1639</f>
        <v>0.63063063063062297</v>
      </c>
      <c r="L1640">
        <f>SMALL(SimData1000!$C$9:$C$1008,631)</f>
        <v>0.64403687044159597</v>
      </c>
      <c r="M1640">
        <f>1/(COUNT(SimData1000!$C$9:$C$1008)-1)+$M$1639</f>
        <v>0.63063063063062297</v>
      </c>
    </row>
    <row r="1641" spans="10:13">
      <c r="J1641">
        <f>SMALL(SimData1000!$B$9:$B$1008,632)</f>
        <v>0.63134029011855375</v>
      </c>
      <c r="K1641">
        <f>1/(COUNT(SimData1000!$B$9:$B$1008)-1)+$K$1640</f>
        <v>0.63163163163162395</v>
      </c>
      <c r="L1641">
        <f>SMALL(SimData1000!$C$9:$C$1008,632)</f>
        <v>0.64499929159501335</v>
      </c>
      <c r="M1641">
        <f>1/(COUNT(SimData1000!$C$9:$C$1008)-1)+$M$1640</f>
        <v>0.63163163163162395</v>
      </c>
    </row>
    <row r="1642" spans="10:13">
      <c r="J1642">
        <f>SMALL(SimData1000!$B$9:$B$1008,633)</f>
        <v>0.63252004068240519</v>
      </c>
      <c r="K1642">
        <f>1/(COUNT(SimData1000!$B$9:$B$1008)-1)+$K$1641</f>
        <v>0.63263263263262492</v>
      </c>
      <c r="L1642">
        <f>SMALL(SimData1000!$C$9:$C$1008,633)</f>
        <v>0.64560729834556696</v>
      </c>
      <c r="M1642">
        <f>1/(COUNT(SimData1000!$C$9:$C$1008)-1)+$M$1641</f>
        <v>0.63263263263262492</v>
      </c>
    </row>
    <row r="1643" spans="10:13">
      <c r="J1643">
        <f>SMALL(SimData1000!$B$9:$B$1008,634)</f>
        <v>0.63345253286917058</v>
      </c>
      <c r="K1643">
        <f>1/(COUNT(SimData1000!$B$9:$B$1008)-1)+$K$1642</f>
        <v>0.6336336336336259</v>
      </c>
      <c r="L1643">
        <f>SMALL(SimData1000!$C$9:$C$1008,634)</f>
        <v>0.64597992667768267</v>
      </c>
      <c r="M1643">
        <f>1/(COUNT(SimData1000!$C$9:$C$1008)-1)+$M$1642</f>
        <v>0.6336336336336259</v>
      </c>
    </row>
    <row r="1644" spans="10:13">
      <c r="J1644">
        <f>SMALL(SimData1000!$B$9:$B$1008,635)</f>
        <v>0.63433001038928749</v>
      </c>
      <c r="K1644">
        <f>1/(COUNT(SimData1000!$B$9:$B$1008)-1)+$K$1643</f>
        <v>0.63463463463462688</v>
      </c>
      <c r="L1644">
        <f>SMALL(SimData1000!$C$9:$C$1008,635)</f>
        <v>0.64643109775897756</v>
      </c>
      <c r="M1644">
        <f>1/(COUNT(SimData1000!$C$9:$C$1008)-1)+$M$1643</f>
        <v>0.63463463463462688</v>
      </c>
    </row>
    <row r="1645" spans="10:13">
      <c r="J1645">
        <f>SMALL(SimData1000!$B$9:$B$1008,636)</f>
        <v>0.63531568091859014</v>
      </c>
      <c r="K1645">
        <f>1/(COUNT(SimData1000!$B$9:$B$1008)-1)+$K$1644</f>
        <v>0.63563563563562786</v>
      </c>
      <c r="L1645">
        <f>SMALL(SimData1000!$C$9:$C$1008,636)</f>
        <v>0.64657923258346273</v>
      </c>
      <c r="M1645">
        <f>1/(COUNT(SimData1000!$C$9:$C$1008)-1)+$M$1644</f>
        <v>0.63563563563562786</v>
      </c>
    </row>
    <row r="1646" spans="10:13">
      <c r="J1646">
        <f>SMALL(SimData1000!$B$9:$B$1008,637)</f>
        <v>0.63619499046709271</v>
      </c>
      <c r="K1646">
        <f>1/(COUNT(SimData1000!$B$9:$B$1008)-1)+$K$1645</f>
        <v>0.63663663663662884</v>
      </c>
      <c r="L1646">
        <f>SMALL(SimData1000!$C$9:$C$1008,637)</f>
        <v>0.65164229952006281</v>
      </c>
      <c r="M1646">
        <f>1/(COUNT(SimData1000!$C$9:$C$1008)-1)+$M$1645</f>
        <v>0.63663663663662884</v>
      </c>
    </row>
    <row r="1647" spans="10:13">
      <c r="J1647">
        <f>SMALL(SimData1000!$B$9:$B$1008,638)</f>
        <v>0.63734473766278121</v>
      </c>
      <c r="K1647">
        <f>1/(COUNT(SimData1000!$B$9:$B$1008)-1)+$K$1646</f>
        <v>0.63763763763762982</v>
      </c>
      <c r="L1647">
        <f>SMALL(SimData1000!$C$9:$C$1008,638)</f>
        <v>0.65295221809810755</v>
      </c>
      <c r="M1647">
        <f>1/(COUNT(SimData1000!$C$9:$C$1008)-1)+$M$1646</f>
        <v>0.63763763763762982</v>
      </c>
    </row>
    <row r="1648" spans="10:13">
      <c r="J1648">
        <f>SMALL(SimData1000!$B$9:$B$1008,639)</f>
        <v>0.63864561889358928</v>
      </c>
      <c r="K1648">
        <f>1/(COUNT(SimData1000!$B$9:$B$1008)-1)+$K$1647</f>
        <v>0.6386386386386308</v>
      </c>
      <c r="L1648">
        <f>SMALL(SimData1000!$C$9:$C$1008,639)</f>
        <v>0.65324215922373696</v>
      </c>
      <c r="M1648">
        <f>1/(COUNT(SimData1000!$C$9:$C$1008)-1)+$M$1647</f>
        <v>0.6386386386386308</v>
      </c>
    </row>
    <row r="1649" spans="10:13">
      <c r="J1649">
        <f>SMALL(SimData1000!$B$9:$B$1008,640)</f>
        <v>0.63908446266247998</v>
      </c>
      <c r="K1649">
        <f>1/(COUNT(SimData1000!$B$9:$B$1008)-1)+$K$1648</f>
        <v>0.63963963963963177</v>
      </c>
      <c r="L1649">
        <f>SMALL(SimData1000!$C$9:$C$1008,640)</f>
        <v>0.65387954883408383</v>
      </c>
      <c r="M1649">
        <f>1/(COUNT(SimData1000!$C$9:$C$1008)-1)+$M$1648</f>
        <v>0.63963963963963177</v>
      </c>
    </row>
    <row r="1650" spans="10:13">
      <c r="J1650">
        <f>SMALL(SimData1000!$B$9:$B$1008,641)</f>
        <v>0.64065018397445106</v>
      </c>
      <c r="K1650">
        <f>1/(COUNT(SimData1000!$B$9:$B$1008)-1)+$K$1649</f>
        <v>0.64064064064063275</v>
      </c>
      <c r="L1650">
        <f>SMALL(SimData1000!$C$9:$C$1008,641)</f>
        <v>0.65467555821669521</v>
      </c>
      <c r="M1650">
        <f>1/(COUNT(SimData1000!$C$9:$C$1008)-1)+$M$1649</f>
        <v>0.64064064064063275</v>
      </c>
    </row>
    <row r="1651" spans="10:13">
      <c r="J1651">
        <f>SMALL(SimData1000!$B$9:$B$1008,642)</f>
        <v>0.64191702175487697</v>
      </c>
      <c r="K1651">
        <f>1/(COUNT(SimData1000!$B$9:$B$1008)-1)+$K$1650</f>
        <v>0.64164164164163373</v>
      </c>
      <c r="L1651">
        <f>SMALL(SimData1000!$C$9:$C$1008,642)</f>
        <v>0.65582397986781871</v>
      </c>
      <c r="M1651">
        <f>1/(COUNT(SimData1000!$C$9:$C$1008)-1)+$M$1650</f>
        <v>0.64164164164163373</v>
      </c>
    </row>
    <row r="1652" spans="10:13">
      <c r="J1652">
        <f>SMALL(SimData1000!$B$9:$B$1008,643)</f>
        <v>0.64227261121274726</v>
      </c>
      <c r="K1652">
        <f>1/(COUNT(SimData1000!$B$9:$B$1008)-1)+$K$1651</f>
        <v>0.64264264264263471</v>
      </c>
      <c r="L1652">
        <f>SMALL(SimData1000!$C$9:$C$1008,643)</f>
        <v>0.65646080310671096</v>
      </c>
      <c r="M1652">
        <f>1/(COUNT(SimData1000!$C$9:$C$1008)-1)+$M$1651</f>
        <v>0.64264264264263471</v>
      </c>
    </row>
    <row r="1653" spans="10:13">
      <c r="J1653">
        <f>SMALL(SimData1000!$B$9:$B$1008,644)</f>
        <v>0.64354806337681314</v>
      </c>
      <c r="K1653">
        <f>1/(COUNT(SimData1000!$B$9:$B$1008)-1)+$K$1652</f>
        <v>0.64364364364363569</v>
      </c>
      <c r="L1653">
        <f>SMALL(SimData1000!$C$9:$C$1008,644)</f>
        <v>0.65684751647404482</v>
      </c>
      <c r="M1653">
        <f>1/(COUNT(SimData1000!$C$9:$C$1008)-1)+$M$1652</f>
        <v>0.64364364364363569</v>
      </c>
    </row>
    <row r="1654" spans="10:13">
      <c r="J1654">
        <f>SMALL(SimData1000!$B$9:$B$1008,645)</f>
        <v>0.64479045985517802</v>
      </c>
      <c r="K1654">
        <f>1/(COUNT(SimData1000!$B$9:$B$1008)-1)+$K$1653</f>
        <v>0.64464464464463667</v>
      </c>
      <c r="L1654">
        <f>SMALL(SimData1000!$C$9:$C$1008,645)</f>
        <v>0.66069327099012298</v>
      </c>
      <c r="M1654">
        <f>1/(COUNT(SimData1000!$C$9:$C$1008)-1)+$M$1653</f>
        <v>0.64464464464463667</v>
      </c>
    </row>
    <row r="1655" spans="10:13">
      <c r="J1655">
        <f>SMALL(SimData1000!$B$9:$B$1008,646)</f>
        <v>0.64560039632478738</v>
      </c>
      <c r="K1655">
        <f>1/(COUNT(SimData1000!$B$9:$B$1008)-1)+$K$1654</f>
        <v>0.64564564564563764</v>
      </c>
      <c r="L1655">
        <f>SMALL(SimData1000!$C$9:$C$1008,646)</f>
        <v>0.66252409821026959</v>
      </c>
      <c r="M1655">
        <f>1/(COUNT(SimData1000!$C$9:$C$1008)-1)+$M$1654</f>
        <v>0.64564564564563764</v>
      </c>
    </row>
    <row r="1656" spans="10:13">
      <c r="J1656">
        <f>SMALL(SimData1000!$B$9:$B$1008,647)</f>
        <v>0.64676797017053889</v>
      </c>
      <c r="K1656">
        <f>1/(COUNT(SimData1000!$B$9:$B$1008)-1)+$K$1655</f>
        <v>0.64664664664663862</v>
      </c>
      <c r="L1656">
        <f>SMALL(SimData1000!$C$9:$C$1008,647)</f>
        <v>0.66457336329949612</v>
      </c>
      <c r="M1656">
        <f>1/(COUNT(SimData1000!$C$9:$C$1008)-1)+$M$1655</f>
        <v>0.64664664664663862</v>
      </c>
    </row>
    <row r="1657" spans="10:13">
      <c r="J1657">
        <f>SMALL(SimData1000!$B$9:$B$1008,648)</f>
        <v>0.64799107128591071</v>
      </c>
      <c r="K1657">
        <f>1/(COUNT(SimData1000!$B$9:$B$1008)-1)+$K$1656</f>
        <v>0.6476476476476396</v>
      </c>
      <c r="L1657">
        <f>SMALL(SimData1000!$C$9:$C$1008,648)</f>
        <v>0.66480672298894206</v>
      </c>
      <c r="M1657">
        <f>1/(COUNT(SimData1000!$C$9:$C$1008)-1)+$M$1656</f>
        <v>0.6476476476476396</v>
      </c>
    </row>
    <row r="1658" spans="10:13">
      <c r="J1658">
        <f>SMALL(SimData1000!$B$9:$B$1008,649)</f>
        <v>0.64825094982149334</v>
      </c>
      <c r="K1658">
        <f>1/(COUNT(SimData1000!$B$9:$B$1008)-1)+$K$1657</f>
        <v>0.64864864864864058</v>
      </c>
      <c r="L1658">
        <f>SMALL(SimData1000!$C$9:$C$1008,649)</f>
        <v>0.6649478843878569</v>
      </c>
      <c r="M1658">
        <f>1/(COUNT(SimData1000!$C$9:$C$1008)-1)+$M$1657</f>
        <v>0.64864864864864058</v>
      </c>
    </row>
    <row r="1659" spans="10:13">
      <c r="J1659">
        <f>SMALL(SimData1000!$B$9:$B$1008,650)</f>
        <v>0.64900028793280951</v>
      </c>
      <c r="K1659">
        <f>1/(COUNT(SimData1000!$B$9:$B$1008)-1)+$K$1658</f>
        <v>0.64964964964964156</v>
      </c>
      <c r="L1659">
        <f>SMALL(SimData1000!$C$9:$C$1008,650)</f>
        <v>0.66544606825209485</v>
      </c>
      <c r="M1659">
        <f>1/(COUNT(SimData1000!$C$9:$C$1008)-1)+$M$1658</f>
        <v>0.64964964964964156</v>
      </c>
    </row>
    <row r="1660" spans="10:13">
      <c r="J1660">
        <f>SMALL(SimData1000!$B$9:$B$1008,651)</f>
        <v>0.65098696901416098</v>
      </c>
      <c r="K1660">
        <f>1/(COUNT(SimData1000!$B$9:$B$1008)-1)+$K$1659</f>
        <v>0.65065065065064254</v>
      </c>
      <c r="L1660">
        <f>SMALL(SimData1000!$C$9:$C$1008,651)</f>
        <v>0.66846964420255972</v>
      </c>
      <c r="M1660">
        <f>1/(COUNT(SimData1000!$C$9:$C$1008)-1)+$M$1659</f>
        <v>0.65065065065064254</v>
      </c>
    </row>
    <row r="1661" spans="10:13">
      <c r="J1661">
        <f>SMALL(SimData1000!$B$9:$B$1008,652)</f>
        <v>0.65178886104533196</v>
      </c>
      <c r="K1661">
        <f>1/(COUNT(SimData1000!$B$9:$B$1008)-1)+$K$1660</f>
        <v>0.65165165165164352</v>
      </c>
      <c r="L1661">
        <f>SMALL(SimData1000!$C$9:$C$1008,652)</f>
        <v>0.6685809960390543</v>
      </c>
      <c r="M1661">
        <f>1/(COUNT(SimData1000!$C$9:$C$1008)-1)+$M$1660</f>
        <v>0.65165165165164352</v>
      </c>
    </row>
    <row r="1662" spans="10:13">
      <c r="J1662">
        <f>SMALL(SimData1000!$B$9:$B$1008,653)</f>
        <v>0.65292833722264698</v>
      </c>
      <c r="K1662">
        <f>1/(COUNT(SimData1000!$B$9:$B$1008)-1)+$K$1661</f>
        <v>0.65265265265264449</v>
      </c>
      <c r="L1662">
        <f>SMALL(SimData1000!$C$9:$C$1008,653)</f>
        <v>0.66953612393808726</v>
      </c>
      <c r="M1662">
        <f>1/(COUNT(SimData1000!$C$9:$C$1008)-1)+$M$1661</f>
        <v>0.65265265265264449</v>
      </c>
    </row>
    <row r="1663" spans="10:13">
      <c r="J1663">
        <f>SMALL(SimData1000!$B$9:$B$1008,654)</f>
        <v>0.65337175646689061</v>
      </c>
      <c r="K1663">
        <f>1/(COUNT(SimData1000!$B$9:$B$1008)-1)+$K$1662</f>
        <v>0.65365365365364547</v>
      </c>
      <c r="L1663">
        <f>SMALL(SimData1000!$C$9:$C$1008,654)</f>
        <v>0.67082098672835855</v>
      </c>
      <c r="M1663">
        <f>1/(COUNT(SimData1000!$C$9:$C$1008)-1)+$M$1662</f>
        <v>0.65365365365364547</v>
      </c>
    </row>
    <row r="1664" spans="10:13">
      <c r="J1664">
        <f>SMALL(SimData1000!$B$9:$B$1008,655)</f>
        <v>0.65432760138863877</v>
      </c>
      <c r="K1664">
        <f>1/(COUNT(SimData1000!$B$9:$B$1008)-1)+$K$1663</f>
        <v>0.65465465465464645</v>
      </c>
      <c r="L1664">
        <f>SMALL(SimData1000!$C$9:$C$1008,655)</f>
        <v>0.67089675309489394</v>
      </c>
      <c r="M1664">
        <f>1/(COUNT(SimData1000!$C$9:$C$1008)-1)+$M$1663</f>
        <v>0.65465465465464645</v>
      </c>
    </row>
    <row r="1665" spans="10:13">
      <c r="J1665">
        <f>SMALL(SimData1000!$B$9:$B$1008,656)</f>
        <v>0.65515526483141706</v>
      </c>
      <c r="K1665">
        <f>1/(COUNT(SimData1000!$B$9:$B$1008)-1)+$K$1664</f>
        <v>0.65565565565564743</v>
      </c>
      <c r="L1665">
        <f>SMALL(SimData1000!$C$9:$C$1008,656)</f>
        <v>0.6722677920561182</v>
      </c>
      <c r="M1665">
        <f>1/(COUNT(SimData1000!$C$9:$C$1008)-1)+$M$1664</f>
        <v>0.65565565565564743</v>
      </c>
    </row>
    <row r="1666" spans="10:13">
      <c r="J1666">
        <f>SMALL(SimData1000!$B$9:$B$1008,657)</f>
        <v>0.65606604706567384</v>
      </c>
      <c r="K1666">
        <f>1/(COUNT(SimData1000!$B$9:$B$1008)-1)+$K$1665</f>
        <v>0.65665665665664841</v>
      </c>
      <c r="L1666">
        <f>SMALL(SimData1000!$C$9:$C$1008,657)</f>
        <v>0.67314432911553013</v>
      </c>
      <c r="M1666">
        <f>1/(COUNT(SimData1000!$C$9:$C$1008)-1)+$M$1665</f>
        <v>0.65665665665664841</v>
      </c>
    </row>
    <row r="1667" spans="10:13">
      <c r="J1667">
        <f>SMALL(SimData1000!$B$9:$B$1008,658)</f>
        <v>0.65732231051133072</v>
      </c>
      <c r="K1667">
        <f>1/(COUNT(SimData1000!$B$9:$B$1008)-1)+$K$1666</f>
        <v>0.65765765765764939</v>
      </c>
      <c r="L1667">
        <f>SMALL(SimData1000!$C$9:$C$1008,658)</f>
        <v>0.67413370506983483</v>
      </c>
      <c r="M1667">
        <f>1/(COUNT(SimData1000!$C$9:$C$1008)-1)+$M$1666</f>
        <v>0.65765765765764939</v>
      </c>
    </row>
    <row r="1668" spans="10:13">
      <c r="J1668">
        <f>SMALL(SimData1000!$B$9:$B$1008,659)</f>
        <v>0.65880165445893113</v>
      </c>
      <c r="K1668">
        <f>1/(COUNT(SimData1000!$B$9:$B$1008)-1)+$K$1667</f>
        <v>0.65865865865865036</v>
      </c>
      <c r="L1668">
        <f>SMALL(SimData1000!$C$9:$C$1008,659)</f>
        <v>0.67636473949278297</v>
      </c>
      <c r="M1668">
        <f>1/(COUNT(SimData1000!$C$9:$C$1008)-1)+$M$1667</f>
        <v>0.65865865865865036</v>
      </c>
    </row>
    <row r="1669" spans="10:13">
      <c r="J1669">
        <f>SMALL(SimData1000!$B$9:$B$1008,660)</f>
        <v>0.65964371594522231</v>
      </c>
      <c r="K1669">
        <f>1/(COUNT(SimData1000!$B$9:$B$1008)-1)+$K$1668</f>
        <v>0.65965965965965134</v>
      </c>
      <c r="L1669">
        <f>SMALL(SimData1000!$C$9:$C$1008,660)</f>
        <v>0.67801829313430062</v>
      </c>
      <c r="M1669">
        <f>1/(COUNT(SimData1000!$C$9:$C$1008)-1)+$M$1668</f>
        <v>0.65965965965965134</v>
      </c>
    </row>
    <row r="1670" spans="10:13">
      <c r="J1670">
        <f>SMALL(SimData1000!$B$9:$B$1008,661)</f>
        <v>0.66057253043553155</v>
      </c>
      <c r="K1670">
        <f>1/(COUNT(SimData1000!$B$9:$B$1008)-1)+$K$1669</f>
        <v>0.66066066066065232</v>
      </c>
      <c r="L1670">
        <f>SMALL(SimData1000!$C$9:$C$1008,661)</f>
        <v>0.67852694802786573</v>
      </c>
      <c r="M1670">
        <f>1/(COUNT(SimData1000!$C$9:$C$1008)-1)+$M$1669</f>
        <v>0.66066066066065232</v>
      </c>
    </row>
    <row r="1671" spans="10:13">
      <c r="J1671">
        <f>SMALL(SimData1000!$B$9:$B$1008,662)</f>
        <v>0.66147497925708887</v>
      </c>
      <c r="K1671">
        <f>1/(COUNT(SimData1000!$B$9:$B$1008)-1)+$K$1670</f>
        <v>0.6616616616616533</v>
      </c>
      <c r="L1671">
        <f>SMALL(SimData1000!$C$9:$C$1008,662)</f>
        <v>0.67880071351191873</v>
      </c>
      <c r="M1671">
        <f>1/(COUNT(SimData1000!$C$9:$C$1008)-1)+$M$1670</f>
        <v>0.6616616616616533</v>
      </c>
    </row>
    <row r="1672" spans="10:13">
      <c r="J1672">
        <f>SMALL(SimData1000!$B$9:$B$1008,663)</f>
        <v>0.66260503802788562</v>
      </c>
      <c r="K1672">
        <f>1/(COUNT(SimData1000!$B$9:$B$1008)-1)+$K$1671</f>
        <v>0.66266266266265428</v>
      </c>
      <c r="L1672">
        <f>SMALL(SimData1000!$C$9:$C$1008,663)</f>
        <v>0.67905947210965678</v>
      </c>
      <c r="M1672">
        <f>1/(COUNT(SimData1000!$C$9:$C$1008)-1)+$M$1671</f>
        <v>0.66266266266265428</v>
      </c>
    </row>
    <row r="1673" spans="10:13">
      <c r="J1673">
        <f>SMALL(SimData1000!$B$9:$B$1008,664)</f>
        <v>0.66387820673242171</v>
      </c>
      <c r="K1673">
        <f>1/(COUNT(SimData1000!$B$9:$B$1008)-1)+$K$1672</f>
        <v>0.66366366366365526</v>
      </c>
      <c r="L1673">
        <f>SMALL(SimData1000!$C$9:$C$1008,664)</f>
        <v>0.67922662035380199</v>
      </c>
      <c r="M1673">
        <f>1/(COUNT(SimData1000!$C$9:$C$1008)-1)+$M$1672</f>
        <v>0.66366366366365526</v>
      </c>
    </row>
    <row r="1674" spans="10:13">
      <c r="J1674">
        <f>SMALL(SimData1000!$B$9:$B$1008,665)</f>
        <v>0.66447436564496598</v>
      </c>
      <c r="K1674">
        <f>1/(COUNT(SimData1000!$B$9:$B$1008)-1)+$K$1673</f>
        <v>0.66466466466465624</v>
      </c>
      <c r="L1674">
        <f>SMALL(SimData1000!$C$9:$C$1008,665)</f>
        <v>0.67937099904156639</v>
      </c>
      <c r="M1674">
        <f>1/(COUNT(SimData1000!$C$9:$C$1008)-1)+$M$1673</f>
        <v>0.66466466466465624</v>
      </c>
    </row>
    <row r="1675" spans="10:13">
      <c r="J1675">
        <f>SMALL(SimData1000!$B$9:$B$1008,666)</f>
        <v>0.66568037825955084</v>
      </c>
      <c r="K1675">
        <f>1/(COUNT(SimData1000!$B$9:$B$1008)-1)+$K$1674</f>
        <v>0.66566566566565721</v>
      </c>
      <c r="L1675">
        <f>SMALL(SimData1000!$C$9:$C$1008,666)</f>
        <v>0.68421274418869871</v>
      </c>
      <c r="M1675">
        <f>1/(COUNT(SimData1000!$C$9:$C$1008)-1)+$M$1674</f>
        <v>0.66566566566565721</v>
      </c>
    </row>
    <row r="1676" spans="10:13">
      <c r="J1676">
        <f>SMALL(SimData1000!$B$9:$B$1008,667)</f>
        <v>0.66635221450155413</v>
      </c>
      <c r="K1676">
        <f>1/(COUNT(SimData1000!$B$9:$B$1008)-1)+$K$1675</f>
        <v>0.66666666666665819</v>
      </c>
      <c r="L1676">
        <f>SMALL(SimData1000!$C$9:$C$1008,667)</f>
        <v>0.68590618699454353</v>
      </c>
      <c r="M1676">
        <f>1/(COUNT(SimData1000!$C$9:$C$1008)-1)+$M$1675</f>
        <v>0.66666666666665819</v>
      </c>
    </row>
    <row r="1677" spans="10:13">
      <c r="J1677">
        <f>SMALL(SimData1000!$B$9:$B$1008,668)</f>
        <v>0.66741905403379786</v>
      </c>
      <c r="K1677">
        <f>1/(COUNT(SimData1000!$B$9:$B$1008)-1)+$K$1676</f>
        <v>0.66766766766765917</v>
      </c>
      <c r="L1677">
        <f>SMALL(SimData1000!$C$9:$C$1008,668)</f>
        <v>0.68653343366349873</v>
      </c>
      <c r="M1677">
        <f>1/(COUNT(SimData1000!$C$9:$C$1008)-1)+$M$1676</f>
        <v>0.66766766766765917</v>
      </c>
    </row>
    <row r="1678" spans="10:13">
      <c r="J1678">
        <f>SMALL(SimData1000!$B$9:$B$1008,669)</f>
        <v>0.66889917363433615</v>
      </c>
      <c r="K1678">
        <f>1/(COUNT(SimData1000!$B$9:$B$1008)-1)+$K$1677</f>
        <v>0.66866866866866015</v>
      </c>
      <c r="L1678">
        <f>SMALL(SimData1000!$C$9:$C$1008,669)</f>
        <v>0.68764020429534867</v>
      </c>
      <c r="M1678">
        <f>1/(COUNT(SimData1000!$C$9:$C$1008)-1)+$M$1677</f>
        <v>0.66866866866866015</v>
      </c>
    </row>
    <row r="1679" spans="10:13">
      <c r="J1679">
        <f>SMALL(SimData1000!$B$9:$B$1008,670)</f>
        <v>0.669511791220054</v>
      </c>
      <c r="K1679">
        <f>1/(COUNT(SimData1000!$B$9:$B$1008)-1)+$K$1678</f>
        <v>0.66966966966966113</v>
      </c>
      <c r="L1679">
        <f>SMALL(SimData1000!$C$9:$C$1008,670)</f>
        <v>0.68818907093827875</v>
      </c>
      <c r="M1679">
        <f>1/(COUNT(SimData1000!$C$9:$C$1008)-1)+$M$1678</f>
        <v>0.66966966966966113</v>
      </c>
    </row>
    <row r="1680" spans="10:13">
      <c r="J1680">
        <f>SMALL(SimData1000!$B$9:$B$1008,671)</f>
        <v>0.67046618997945129</v>
      </c>
      <c r="K1680">
        <f>1/(COUNT(SimData1000!$B$9:$B$1008)-1)+$K$1679</f>
        <v>0.67067067067066211</v>
      </c>
      <c r="L1680">
        <f>SMALL(SimData1000!$C$9:$C$1008,671)</f>
        <v>0.68852516524657403</v>
      </c>
      <c r="M1680">
        <f>1/(COUNT(SimData1000!$C$9:$C$1008)-1)+$M$1679</f>
        <v>0.67067067067066211</v>
      </c>
    </row>
    <row r="1681" spans="10:13">
      <c r="J1681">
        <f>SMALL(SimData1000!$B$9:$B$1008,672)</f>
        <v>0.67158575133201337</v>
      </c>
      <c r="K1681">
        <f>1/(COUNT(SimData1000!$B$9:$B$1008)-1)+$K$1680</f>
        <v>0.67167167167166308</v>
      </c>
      <c r="L1681">
        <f>SMALL(SimData1000!$C$9:$C$1008,672)</f>
        <v>0.68987581660712749</v>
      </c>
      <c r="M1681">
        <f>1/(COUNT(SimData1000!$C$9:$C$1008)-1)+$M$1680</f>
        <v>0.67167167167166308</v>
      </c>
    </row>
    <row r="1682" spans="10:13">
      <c r="J1682">
        <f>SMALL(SimData1000!$B$9:$B$1008,673)</f>
        <v>0.67247402031171932</v>
      </c>
      <c r="K1682">
        <f>1/(COUNT(SimData1000!$B$9:$B$1008)-1)+$K$1681</f>
        <v>0.67267267267266406</v>
      </c>
      <c r="L1682">
        <f>SMALL(SimData1000!$C$9:$C$1008,673)</f>
        <v>0.690007689057893</v>
      </c>
      <c r="M1682">
        <f>1/(COUNT(SimData1000!$C$9:$C$1008)-1)+$M$1681</f>
        <v>0.67267267267266406</v>
      </c>
    </row>
    <row r="1683" spans="10:13">
      <c r="J1683">
        <f>SMALL(SimData1000!$B$9:$B$1008,674)</f>
        <v>0.67394932188092482</v>
      </c>
      <c r="K1683">
        <f>1/(COUNT(SimData1000!$B$9:$B$1008)-1)+$K$1682</f>
        <v>0.67367367367366504</v>
      </c>
      <c r="L1683">
        <f>SMALL(SimData1000!$C$9:$C$1008,674)</f>
        <v>0.69022376991779311</v>
      </c>
      <c r="M1683">
        <f>1/(COUNT(SimData1000!$C$9:$C$1008)-1)+$M$1682</f>
        <v>0.67367367367366504</v>
      </c>
    </row>
    <row r="1684" spans="10:13">
      <c r="J1684">
        <f>SMALL(SimData1000!$B$9:$B$1008,675)</f>
        <v>0.6743753094599525</v>
      </c>
      <c r="K1684">
        <f>1/(COUNT(SimData1000!$B$9:$B$1008)-1)+$K$1683</f>
        <v>0.67467467467466602</v>
      </c>
      <c r="L1684">
        <f>SMALL(SimData1000!$C$9:$C$1008,675)</f>
        <v>0.69070904248565057</v>
      </c>
      <c r="M1684">
        <f>1/(COUNT(SimData1000!$C$9:$C$1008)-1)+$M$1683</f>
        <v>0.67467467467466602</v>
      </c>
    </row>
    <row r="1685" spans="10:13">
      <c r="J1685">
        <f>SMALL(SimData1000!$B$9:$B$1008,676)</f>
        <v>0.67580757903582589</v>
      </c>
      <c r="K1685">
        <f>1/(COUNT(SimData1000!$B$9:$B$1008)-1)+$K$1684</f>
        <v>0.675675675675667</v>
      </c>
      <c r="L1685">
        <f>SMALL(SimData1000!$C$9:$C$1008,676)</f>
        <v>0.69249590341314615</v>
      </c>
      <c r="M1685">
        <f>1/(COUNT(SimData1000!$C$9:$C$1008)-1)+$M$1684</f>
        <v>0.675675675675667</v>
      </c>
    </row>
    <row r="1686" spans="10:13">
      <c r="J1686">
        <f>SMALL(SimData1000!$B$9:$B$1008,677)</f>
        <v>0.67681139472308838</v>
      </c>
      <c r="K1686">
        <f>1/(COUNT(SimData1000!$B$9:$B$1008)-1)+$K$1685</f>
        <v>0.67667667667666798</v>
      </c>
      <c r="L1686">
        <f>SMALL(SimData1000!$C$9:$C$1008,677)</f>
        <v>0.6925228079298904</v>
      </c>
      <c r="M1686">
        <f>1/(COUNT(SimData1000!$C$9:$C$1008)-1)+$M$1685</f>
        <v>0.67667667667666798</v>
      </c>
    </row>
    <row r="1687" spans="10:13">
      <c r="J1687">
        <f>SMALL(SimData1000!$B$9:$B$1008,678)</f>
        <v>0.67780637529813825</v>
      </c>
      <c r="K1687">
        <f>1/(COUNT(SimData1000!$B$9:$B$1008)-1)+$K$1686</f>
        <v>0.67767767767766895</v>
      </c>
      <c r="L1687">
        <f>SMALL(SimData1000!$C$9:$C$1008,678)</f>
        <v>0.69284044241067022</v>
      </c>
      <c r="M1687">
        <f>1/(COUNT(SimData1000!$C$9:$C$1008)-1)+$M$1686</f>
        <v>0.67767767767766895</v>
      </c>
    </row>
    <row r="1688" spans="10:13">
      <c r="J1688">
        <f>SMALL(SimData1000!$B$9:$B$1008,679)</f>
        <v>0.67855154233461989</v>
      </c>
      <c r="K1688">
        <f>1/(COUNT(SimData1000!$B$9:$B$1008)-1)+$K$1687</f>
        <v>0.67867867867866993</v>
      </c>
      <c r="L1688">
        <f>SMALL(SimData1000!$C$9:$C$1008,679)</f>
        <v>0.69342594569570792</v>
      </c>
      <c r="M1688">
        <f>1/(COUNT(SimData1000!$C$9:$C$1008)-1)+$M$1687</f>
        <v>0.67867867867866993</v>
      </c>
    </row>
    <row r="1689" spans="10:13">
      <c r="J1689">
        <f>SMALL(SimData1000!$B$9:$B$1008,680)</f>
        <v>0.67949631604191285</v>
      </c>
      <c r="K1689">
        <f>1/(COUNT(SimData1000!$B$9:$B$1008)-1)+$K$1688</f>
        <v>0.67967967967967091</v>
      </c>
      <c r="L1689">
        <f>SMALL(SimData1000!$C$9:$C$1008,680)</f>
        <v>0.69400051659067685</v>
      </c>
      <c r="M1689">
        <f>1/(COUNT(SimData1000!$C$9:$C$1008)-1)+$M$1688</f>
        <v>0.67967967967967091</v>
      </c>
    </row>
    <row r="1690" spans="10:13">
      <c r="J1690">
        <f>SMALL(SimData1000!$B$9:$B$1008,681)</f>
        <v>0.680585979581947</v>
      </c>
      <c r="K1690">
        <f>1/(COUNT(SimData1000!$B$9:$B$1008)-1)+$K$1689</f>
        <v>0.68068068068067189</v>
      </c>
      <c r="L1690">
        <f>SMALL(SimData1000!$C$9:$C$1008,681)</f>
        <v>0.69414146704275481</v>
      </c>
      <c r="M1690">
        <f>1/(COUNT(SimData1000!$C$9:$C$1008)-1)+$M$1689</f>
        <v>0.68068068068067189</v>
      </c>
    </row>
    <row r="1691" spans="10:13">
      <c r="J1691">
        <f>SMALL(SimData1000!$B$9:$B$1008,682)</f>
        <v>0.68194801292357687</v>
      </c>
      <c r="K1691">
        <f>1/(COUNT(SimData1000!$B$9:$B$1008)-1)+$K$1690</f>
        <v>0.68168168168167287</v>
      </c>
      <c r="L1691">
        <f>SMALL(SimData1000!$C$9:$C$1008,682)</f>
        <v>0.69557953748426371</v>
      </c>
      <c r="M1691">
        <f>1/(COUNT(SimData1000!$C$9:$C$1008)-1)+$M$1690</f>
        <v>0.68168168168167287</v>
      </c>
    </row>
    <row r="1692" spans="10:13">
      <c r="J1692">
        <f>SMALL(SimData1000!$B$9:$B$1008,683)</f>
        <v>0.68248081467102306</v>
      </c>
      <c r="K1692">
        <f>1/(COUNT(SimData1000!$B$9:$B$1008)-1)+$K$1691</f>
        <v>0.68268268268267385</v>
      </c>
      <c r="L1692">
        <f>SMALL(SimData1000!$C$9:$C$1008,683)</f>
        <v>0.69669109199230661</v>
      </c>
      <c r="M1692">
        <f>1/(COUNT(SimData1000!$C$9:$C$1008)-1)+$M$1691</f>
        <v>0.68268268268267385</v>
      </c>
    </row>
    <row r="1693" spans="10:13">
      <c r="J1693">
        <f>SMALL(SimData1000!$B$9:$B$1008,684)</f>
        <v>0.68347802547981917</v>
      </c>
      <c r="K1693">
        <f>1/(COUNT(SimData1000!$B$9:$B$1008)-1)+$K$1692</f>
        <v>0.68368368368367483</v>
      </c>
      <c r="L1693">
        <f>SMALL(SimData1000!$C$9:$C$1008,684)</f>
        <v>0.69702433614565962</v>
      </c>
      <c r="M1693">
        <f>1/(COUNT(SimData1000!$C$9:$C$1008)-1)+$M$1692</f>
        <v>0.68368368368367483</v>
      </c>
    </row>
    <row r="1694" spans="10:13">
      <c r="J1694">
        <f>SMALL(SimData1000!$B$9:$B$1008,685)</f>
        <v>0.68429324831541005</v>
      </c>
      <c r="K1694">
        <f>1/(COUNT(SimData1000!$B$9:$B$1008)-1)+$K$1693</f>
        <v>0.6846846846846758</v>
      </c>
      <c r="L1694">
        <f>SMALL(SimData1000!$C$9:$C$1008,685)</f>
        <v>0.69720927547587053</v>
      </c>
      <c r="M1694">
        <f>1/(COUNT(SimData1000!$C$9:$C$1008)-1)+$M$1693</f>
        <v>0.6846846846846758</v>
      </c>
    </row>
    <row r="1695" spans="10:13">
      <c r="J1695">
        <f>SMALL(SimData1000!$B$9:$B$1008,686)</f>
        <v>0.68595605034845786</v>
      </c>
      <c r="K1695">
        <f>1/(COUNT(SimData1000!$B$9:$B$1008)-1)+$K$1694</f>
        <v>0.68568568568567678</v>
      </c>
      <c r="L1695">
        <f>SMALL(SimData1000!$C$9:$C$1008,686)</f>
        <v>0.69762991147035791</v>
      </c>
      <c r="M1695">
        <f>1/(COUNT(SimData1000!$C$9:$C$1008)-1)+$M$1694</f>
        <v>0.68568568568567678</v>
      </c>
    </row>
    <row r="1696" spans="10:13">
      <c r="J1696">
        <f>SMALL(SimData1000!$B$9:$B$1008,687)</f>
        <v>0.6867196421159244</v>
      </c>
      <c r="K1696">
        <f>1/(COUNT(SimData1000!$B$9:$B$1008)-1)+$K$1695</f>
        <v>0.68668668668667776</v>
      </c>
      <c r="L1696">
        <f>SMALL(SimData1000!$C$9:$C$1008,687)</f>
        <v>0.69767062781284039</v>
      </c>
      <c r="M1696">
        <f>1/(COUNT(SimData1000!$C$9:$C$1008)-1)+$M$1695</f>
        <v>0.68668668668667776</v>
      </c>
    </row>
    <row r="1697" spans="10:13">
      <c r="J1697">
        <f>SMALL(SimData1000!$B$9:$B$1008,688)</f>
        <v>0.68712936498902955</v>
      </c>
      <c r="K1697">
        <f>1/(COUNT(SimData1000!$B$9:$B$1008)-1)+$K$1696</f>
        <v>0.68768768768767874</v>
      </c>
      <c r="L1697">
        <f>SMALL(SimData1000!$C$9:$C$1008,688)</f>
        <v>0.69961061000049085</v>
      </c>
      <c r="M1697">
        <f>1/(COUNT(SimData1000!$C$9:$C$1008)-1)+$M$1696</f>
        <v>0.68768768768767874</v>
      </c>
    </row>
    <row r="1698" spans="10:13">
      <c r="J1698">
        <f>SMALL(SimData1000!$B$9:$B$1008,689)</f>
        <v>0.68800179843767595</v>
      </c>
      <c r="K1698">
        <f>1/(COUNT(SimData1000!$B$9:$B$1008)-1)+$K$1697</f>
        <v>0.68868868868867972</v>
      </c>
      <c r="L1698">
        <f>SMALL(SimData1000!$C$9:$C$1008,689)</f>
        <v>0.70535655036383105</v>
      </c>
      <c r="M1698">
        <f>1/(COUNT(SimData1000!$C$9:$C$1008)-1)+$M$1697</f>
        <v>0.68868868868867972</v>
      </c>
    </row>
    <row r="1699" spans="10:13">
      <c r="J1699">
        <f>SMALL(SimData1000!$B$9:$B$1008,690)</f>
        <v>0.68973236722423048</v>
      </c>
      <c r="K1699">
        <f>1/(COUNT(SimData1000!$B$9:$B$1008)-1)+$K$1698</f>
        <v>0.6896896896896807</v>
      </c>
      <c r="L1699">
        <f>SMALL(SimData1000!$C$9:$C$1008,690)</f>
        <v>0.71065048013042542</v>
      </c>
      <c r="M1699">
        <f>1/(COUNT(SimData1000!$C$9:$C$1008)-1)+$M$1698</f>
        <v>0.6896896896896807</v>
      </c>
    </row>
    <row r="1700" spans="10:13">
      <c r="J1700">
        <f>SMALL(SimData1000!$B$9:$B$1008,691)</f>
        <v>0.69008797973768965</v>
      </c>
      <c r="K1700">
        <f>1/(COUNT(SimData1000!$B$9:$B$1008)-1)+$K$1699</f>
        <v>0.69069069069068167</v>
      </c>
      <c r="L1700">
        <f>SMALL(SimData1000!$C$9:$C$1008,691)</f>
        <v>0.71099291746304516</v>
      </c>
      <c r="M1700">
        <f>1/(COUNT(SimData1000!$C$9:$C$1008)-1)+$M$1699</f>
        <v>0.69069069069068167</v>
      </c>
    </row>
    <row r="1701" spans="10:13">
      <c r="J1701">
        <f>SMALL(SimData1000!$B$9:$B$1008,692)</f>
        <v>0.69130169345119541</v>
      </c>
      <c r="K1701">
        <f>1/(COUNT(SimData1000!$B$9:$B$1008)-1)+$K$1700</f>
        <v>0.69169169169168265</v>
      </c>
      <c r="L1701">
        <f>SMALL(SimData1000!$C$9:$C$1008,692)</f>
        <v>0.71163366854125343</v>
      </c>
      <c r="M1701">
        <f>1/(COUNT(SimData1000!$C$9:$C$1008)-1)+$M$1700</f>
        <v>0.69169169169168265</v>
      </c>
    </row>
    <row r="1702" spans="10:13">
      <c r="J1702">
        <f>SMALL(SimData1000!$B$9:$B$1008,693)</f>
        <v>0.69278313670930991</v>
      </c>
      <c r="K1702">
        <f>1/(COUNT(SimData1000!$B$9:$B$1008)-1)+$K$1701</f>
        <v>0.69269269269268363</v>
      </c>
      <c r="L1702">
        <f>SMALL(SimData1000!$C$9:$C$1008,693)</f>
        <v>0.71198228797857155</v>
      </c>
      <c r="M1702">
        <f>1/(COUNT(SimData1000!$C$9:$C$1008)-1)+$M$1701</f>
        <v>0.69269269269268363</v>
      </c>
    </row>
    <row r="1703" spans="10:13">
      <c r="J1703">
        <f>SMALL(SimData1000!$B$9:$B$1008,694)</f>
        <v>0.69338796205827691</v>
      </c>
      <c r="K1703">
        <f>1/(COUNT(SimData1000!$B$9:$B$1008)-1)+$K$1702</f>
        <v>0.69369369369368461</v>
      </c>
      <c r="L1703">
        <f>SMALL(SimData1000!$C$9:$C$1008,694)</f>
        <v>0.7126099371471355</v>
      </c>
      <c r="M1703">
        <f>1/(COUNT(SimData1000!$C$9:$C$1008)-1)+$M$1702</f>
        <v>0.69369369369368461</v>
      </c>
    </row>
    <row r="1704" spans="10:13">
      <c r="J1704">
        <f>SMALL(SimData1000!$B$9:$B$1008,695)</f>
        <v>0.69413582251177541</v>
      </c>
      <c r="K1704">
        <f>1/(COUNT(SimData1000!$B$9:$B$1008)-1)+$K$1703</f>
        <v>0.69469469469468559</v>
      </c>
      <c r="L1704">
        <f>SMALL(SimData1000!$C$9:$C$1008,695)</f>
        <v>0.71271031523428974</v>
      </c>
      <c r="M1704">
        <f>1/(COUNT(SimData1000!$C$9:$C$1008)-1)+$M$1703</f>
        <v>0.69469469469468559</v>
      </c>
    </row>
    <row r="1705" spans="10:13">
      <c r="J1705">
        <f>SMALL(SimData1000!$B$9:$B$1008,696)</f>
        <v>0.69540792558188724</v>
      </c>
      <c r="K1705">
        <f>1/(COUNT(SimData1000!$B$9:$B$1008)-1)+$K$1704</f>
        <v>0.69569569569568657</v>
      </c>
      <c r="L1705">
        <f>SMALL(SimData1000!$C$9:$C$1008,696)</f>
        <v>0.71312437234064419</v>
      </c>
      <c r="M1705">
        <f>1/(COUNT(SimData1000!$C$9:$C$1008)-1)+$M$1704</f>
        <v>0.69569569569568657</v>
      </c>
    </row>
    <row r="1706" spans="10:13">
      <c r="J1706">
        <f>SMALL(SimData1000!$B$9:$B$1008,697)</f>
        <v>0.69602667575562993</v>
      </c>
      <c r="K1706">
        <f>1/(COUNT(SimData1000!$B$9:$B$1008)-1)+$K$1705</f>
        <v>0.69669669669668755</v>
      </c>
      <c r="L1706">
        <f>SMALL(SimData1000!$C$9:$C$1008,697)</f>
        <v>0.71353758498571551</v>
      </c>
      <c r="M1706">
        <f>1/(COUNT(SimData1000!$C$9:$C$1008)-1)+$M$1705</f>
        <v>0.69669669669668755</v>
      </c>
    </row>
    <row r="1707" spans="10:13">
      <c r="J1707">
        <f>SMALL(SimData1000!$B$9:$B$1008,698)</f>
        <v>0.69783508557170515</v>
      </c>
      <c r="K1707">
        <f>1/(COUNT(SimData1000!$B$9:$B$1008)-1)+$K$1706</f>
        <v>0.69769769769768852</v>
      </c>
      <c r="L1707">
        <f>SMALL(SimData1000!$C$9:$C$1008,698)</f>
        <v>0.71355373226288066</v>
      </c>
      <c r="M1707">
        <f>1/(COUNT(SimData1000!$C$9:$C$1008)-1)+$M$1706</f>
        <v>0.69769769769768852</v>
      </c>
    </row>
    <row r="1708" spans="10:13">
      <c r="J1708">
        <f>SMALL(SimData1000!$B$9:$B$1008,699)</f>
        <v>0.69873486128373419</v>
      </c>
      <c r="K1708">
        <f>1/(COUNT(SimData1000!$B$9:$B$1008)-1)+$K$1707</f>
        <v>0.6986986986986895</v>
      </c>
      <c r="L1708">
        <f>SMALL(SimData1000!$C$9:$C$1008,699)</f>
        <v>0.7146033065746451</v>
      </c>
      <c r="M1708">
        <f>1/(COUNT(SimData1000!$C$9:$C$1008)-1)+$M$1707</f>
        <v>0.6986986986986895</v>
      </c>
    </row>
    <row r="1709" spans="10:13">
      <c r="J1709">
        <f>SMALL(SimData1000!$B$9:$B$1008,700)</f>
        <v>0.69971439227408594</v>
      </c>
      <c r="K1709">
        <f>1/(COUNT(SimData1000!$B$9:$B$1008)-1)+$K$1708</f>
        <v>0.69969969969969048</v>
      </c>
      <c r="L1709">
        <f>SMALL(SimData1000!$C$9:$C$1008,700)</f>
        <v>0.71499903698349954</v>
      </c>
      <c r="M1709">
        <f>1/(COUNT(SimData1000!$C$9:$C$1008)-1)+$M$1708</f>
        <v>0.69969969969969048</v>
      </c>
    </row>
    <row r="1710" spans="10:13">
      <c r="J1710">
        <f>SMALL(SimData1000!$B$9:$B$1008,701)</f>
        <v>0.70052556866768878</v>
      </c>
      <c r="K1710">
        <f>1/(COUNT(SimData1000!$B$9:$B$1008)-1)+$K$1709</f>
        <v>0.70070070070069146</v>
      </c>
      <c r="L1710">
        <f>SMALL(SimData1000!$C$9:$C$1008,701)</f>
        <v>0.71584233395151387</v>
      </c>
      <c r="M1710">
        <f>1/(COUNT(SimData1000!$C$9:$C$1008)-1)+$M$1709</f>
        <v>0.70070070070069146</v>
      </c>
    </row>
    <row r="1711" spans="10:13">
      <c r="J1711">
        <f>SMALL(SimData1000!$B$9:$B$1008,702)</f>
        <v>0.70192657699527372</v>
      </c>
      <c r="K1711">
        <f>1/(COUNT(SimData1000!$B$9:$B$1008)-1)+$K$1710</f>
        <v>0.70170170170169244</v>
      </c>
      <c r="L1711">
        <f>SMALL(SimData1000!$C$9:$C$1008,702)</f>
        <v>0.71665390675298113</v>
      </c>
      <c r="M1711">
        <f>1/(COUNT(SimData1000!$C$9:$C$1008)-1)+$M$1710</f>
        <v>0.70170170170169244</v>
      </c>
    </row>
    <row r="1712" spans="10:13">
      <c r="J1712">
        <f>SMALL(SimData1000!$B$9:$B$1008,703)</f>
        <v>0.70248326176672327</v>
      </c>
      <c r="K1712">
        <f>1/(COUNT(SimData1000!$B$9:$B$1008)-1)+$K$1711</f>
        <v>0.70270270270269342</v>
      </c>
      <c r="L1712">
        <f>SMALL(SimData1000!$C$9:$C$1008,703)</f>
        <v>0.71863126572316105</v>
      </c>
      <c r="M1712">
        <f>1/(COUNT(SimData1000!$C$9:$C$1008)-1)+$M$1711</f>
        <v>0.70270270270269342</v>
      </c>
    </row>
    <row r="1713" spans="10:13">
      <c r="J1713">
        <f>SMALL(SimData1000!$B$9:$B$1008,704)</f>
        <v>0.70342193400124597</v>
      </c>
      <c r="K1713">
        <f>1/(COUNT(SimData1000!$B$9:$B$1008)-1)+$K$1712</f>
        <v>0.70370370370369439</v>
      </c>
      <c r="L1713">
        <f>SMALL(SimData1000!$C$9:$C$1008,704)</f>
        <v>0.7187320198127054</v>
      </c>
      <c r="M1713">
        <f>1/(COUNT(SimData1000!$C$9:$C$1008)-1)+$M$1712</f>
        <v>0.70370370370369439</v>
      </c>
    </row>
    <row r="1714" spans="10:13">
      <c r="J1714">
        <f>SMALL(SimData1000!$B$9:$B$1008,705)</f>
        <v>0.70459161757482025</v>
      </c>
      <c r="K1714">
        <f>1/(COUNT(SimData1000!$B$9:$B$1008)-1)+$K$1713</f>
        <v>0.70470470470469537</v>
      </c>
      <c r="L1714">
        <f>SMALL(SimData1000!$C$9:$C$1008,705)</f>
        <v>0.7196576632304641</v>
      </c>
      <c r="M1714">
        <f>1/(COUNT(SimData1000!$C$9:$C$1008)-1)+$M$1713</f>
        <v>0.70470470470469537</v>
      </c>
    </row>
    <row r="1715" spans="10:13">
      <c r="J1715">
        <f>SMALL(SimData1000!$B$9:$B$1008,706)</f>
        <v>0.70502290916629673</v>
      </c>
      <c r="K1715">
        <f>1/(COUNT(SimData1000!$B$9:$B$1008)-1)+$K$1714</f>
        <v>0.70570570570569635</v>
      </c>
      <c r="L1715">
        <f>SMALL(SimData1000!$C$9:$C$1008,706)</f>
        <v>0.72039382176717481</v>
      </c>
      <c r="M1715">
        <f>1/(COUNT(SimData1000!$C$9:$C$1008)-1)+$M$1714</f>
        <v>0.70570570570569635</v>
      </c>
    </row>
    <row r="1716" spans="10:13">
      <c r="J1716">
        <f>SMALL(SimData1000!$B$9:$B$1008,707)</f>
        <v>0.70640304386299169</v>
      </c>
      <c r="K1716">
        <f>1/(COUNT(SimData1000!$B$9:$B$1008)-1)+$K$1715</f>
        <v>0.70670670670669733</v>
      </c>
      <c r="L1716">
        <f>SMALL(SimData1000!$C$9:$C$1008,707)</f>
        <v>0.72162215921434836</v>
      </c>
      <c r="M1716">
        <f>1/(COUNT(SimData1000!$C$9:$C$1008)-1)+$M$1715</f>
        <v>0.70670670670669733</v>
      </c>
    </row>
    <row r="1717" spans="10:13">
      <c r="J1717">
        <f>SMALL(SimData1000!$B$9:$B$1008,708)</f>
        <v>0.70745807428668672</v>
      </c>
      <c r="K1717">
        <f>1/(COUNT(SimData1000!$B$9:$B$1008)-1)+$K$1716</f>
        <v>0.70770770770769831</v>
      </c>
      <c r="L1717">
        <f>SMALL(SimData1000!$C$9:$C$1008,708)</f>
        <v>0.72167692540278949</v>
      </c>
      <c r="M1717">
        <f>1/(COUNT(SimData1000!$C$9:$C$1008)-1)+$M$1716</f>
        <v>0.70770770770769831</v>
      </c>
    </row>
    <row r="1718" spans="10:13">
      <c r="J1718">
        <f>SMALL(SimData1000!$B$9:$B$1008,709)</f>
        <v>0.70859959479784584</v>
      </c>
      <c r="K1718">
        <f>1/(COUNT(SimData1000!$B$9:$B$1008)-1)+$K$1717</f>
        <v>0.70870870870869929</v>
      </c>
      <c r="L1718">
        <f>SMALL(SimData1000!$C$9:$C$1008,709)</f>
        <v>0.72346077570455236</v>
      </c>
      <c r="M1718">
        <f>1/(COUNT(SimData1000!$C$9:$C$1008)-1)+$M$1717</f>
        <v>0.70870870870869929</v>
      </c>
    </row>
    <row r="1719" spans="10:13">
      <c r="J1719">
        <f>SMALL(SimData1000!$B$9:$B$1008,710)</f>
        <v>0.70975182601989995</v>
      </c>
      <c r="K1719">
        <f>1/(COUNT(SimData1000!$B$9:$B$1008)-1)+$K$1718</f>
        <v>0.70970970970970026</v>
      </c>
      <c r="L1719">
        <f>SMALL(SimData1000!$C$9:$C$1008,710)</f>
        <v>0.72359124665126728</v>
      </c>
      <c r="M1719">
        <f>1/(COUNT(SimData1000!$C$9:$C$1008)-1)+$M$1718</f>
        <v>0.70970970970970026</v>
      </c>
    </row>
    <row r="1720" spans="10:13">
      <c r="J1720">
        <f>SMALL(SimData1000!$B$9:$B$1008,711)</f>
        <v>0.71037153716836399</v>
      </c>
      <c r="K1720">
        <f>1/(COUNT(SimData1000!$B$9:$B$1008)-1)+$K$1719</f>
        <v>0.71071071071070124</v>
      </c>
      <c r="L1720">
        <f>SMALL(SimData1000!$C$9:$C$1008,711)</f>
        <v>0.72379080694099684</v>
      </c>
      <c r="M1720">
        <f>1/(COUNT(SimData1000!$C$9:$C$1008)-1)+$M$1719</f>
        <v>0.71071071071070124</v>
      </c>
    </row>
    <row r="1721" spans="10:13">
      <c r="J1721">
        <f>SMALL(SimData1000!$B$9:$B$1008,712)</f>
        <v>0.71137894101589427</v>
      </c>
      <c r="K1721">
        <f>1/(COUNT(SimData1000!$B$9:$B$1008)-1)+$K$1720</f>
        <v>0.71171171171170222</v>
      </c>
      <c r="L1721">
        <f>SMALL(SimData1000!$C$9:$C$1008,712)</f>
        <v>0.72410950141147623</v>
      </c>
      <c r="M1721">
        <f>1/(COUNT(SimData1000!$C$9:$C$1008)-1)+$M$1720</f>
        <v>0.71171171171170222</v>
      </c>
    </row>
    <row r="1722" spans="10:13">
      <c r="J1722">
        <f>SMALL(SimData1000!$B$9:$B$1008,713)</f>
        <v>0.71250398601021248</v>
      </c>
      <c r="K1722">
        <f>1/(COUNT(SimData1000!$B$9:$B$1008)-1)+$K$1721</f>
        <v>0.7127127127127032</v>
      </c>
      <c r="L1722">
        <f>SMALL(SimData1000!$C$9:$C$1008,713)</f>
        <v>0.72499969336968206</v>
      </c>
      <c r="M1722">
        <f>1/(COUNT(SimData1000!$C$9:$C$1008)-1)+$M$1721</f>
        <v>0.7127127127127032</v>
      </c>
    </row>
    <row r="1723" spans="10:13">
      <c r="J1723">
        <f>SMALL(SimData1000!$B$9:$B$1008,714)</f>
        <v>0.71365105712987731</v>
      </c>
      <c r="K1723">
        <f>1/(COUNT(SimData1000!$B$9:$B$1008)-1)+$K$1722</f>
        <v>0.71371371371370418</v>
      </c>
      <c r="L1723">
        <f>SMALL(SimData1000!$C$9:$C$1008,714)</f>
        <v>0.72526797954742506</v>
      </c>
      <c r="M1723">
        <f>1/(COUNT(SimData1000!$C$9:$C$1008)-1)+$M$1722</f>
        <v>0.71371371371370418</v>
      </c>
    </row>
    <row r="1724" spans="10:13">
      <c r="J1724">
        <f>SMALL(SimData1000!$B$9:$B$1008,715)</f>
        <v>0.71464276142829153</v>
      </c>
      <c r="K1724">
        <f>1/(COUNT(SimData1000!$B$9:$B$1008)-1)+$K$1723</f>
        <v>0.71471471471470516</v>
      </c>
      <c r="L1724">
        <f>SMALL(SimData1000!$C$9:$C$1008,715)</f>
        <v>0.72572060326729115</v>
      </c>
      <c r="M1724">
        <f>1/(COUNT(SimData1000!$C$9:$C$1008)-1)+$M$1723</f>
        <v>0.71471471471470516</v>
      </c>
    </row>
    <row r="1725" spans="10:13">
      <c r="J1725">
        <f>SMALL(SimData1000!$B$9:$B$1008,716)</f>
        <v>0.71581769282739094</v>
      </c>
      <c r="K1725">
        <f>1/(COUNT(SimData1000!$B$9:$B$1008)-1)+$K$1724</f>
        <v>0.71571571571570614</v>
      </c>
      <c r="L1725">
        <f>SMALL(SimData1000!$C$9:$C$1008,716)</f>
        <v>0.72596872136637103</v>
      </c>
      <c r="M1725">
        <f>1/(COUNT(SimData1000!$C$9:$C$1008)-1)+$M$1724</f>
        <v>0.71571571571570614</v>
      </c>
    </row>
    <row r="1726" spans="10:13">
      <c r="J1726">
        <f>SMALL(SimData1000!$B$9:$B$1008,717)</f>
        <v>0.71621738197473284</v>
      </c>
      <c r="K1726">
        <f>1/(COUNT(SimData1000!$B$9:$B$1008)-1)+$K$1725</f>
        <v>0.71671671671670711</v>
      </c>
      <c r="L1726">
        <f>SMALL(SimData1000!$C$9:$C$1008,717)</f>
        <v>0.72599417171022651</v>
      </c>
      <c r="M1726">
        <f>1/(COUNT(SimData1000!$C$9:$C$1008)-1)+$M$1725</f>
        <v>0.71671671671670711</v>
      </c>
    </row>
    <row r="1727" spans="10:13">
      <c r="J1727">
        <f>SMALL(SimData1000!$B$9:$B$1008,718)</f>
        <v>0.71784743619450542</v>
      </c>
      <c r="K1727">
        <f>1/(COUNT(SimData1000!$B$9:$B$1008)-1)+$K$1726</f>
        <v>0.71771771771770809</v>
      </c>
      <c r="L1727">
        <f>SMALL(SimData1000!$C$9:$C$1008,718)</f>
        <v>0.72609421212018788</v>
      </c>
      <c r="M1727">
        <f>1/(COUNT(SimData1000!$C$9:$C$1008)-1)+$M$1726</f>
        <v>0.71771771771770809</v>
      </c>
    </row>
    <row r="1728" spans="10:13">
      <c r="J1728">
        <f>SMALL(SimData1000!$B$9:$B$1008,719)</f>
        <v>0.71884240389192533</v>
      </c>
      <c r="K1728">
        <f>1/(COUNT(SimData1000!$B$9:$B$1008)-1)+$K$1727</f>
        <v>0.71871871871870907</v>
      </c>
      <c r="L1728">
        <f>SMALL(SimData1000!$C$9:$C$1008,719)</f>
        <v>0.72669901884000865</v>
      </c>
      <c r="M1728">
        <f>1/(COUNT(SimData1000!$C$9:$C$1008)-1)+$M$1727</f>
        <v>0.71871871871870907</v>
      </c>
    </row>
    <row r="1729" spans="10:13">
      <c r="J1729">
        <f>SMALL(SimData1000!$B$9:$B$1008,720)</f>
        <v>0.7194509712540198</v>
      </c>
      <c r="K1729">
        <f>1/(COUNT(SimData1000!$B$9:$B$1008)-1)+$K$1728</f>
        <v>0.71971971971971005</v>
      </c>
      <c r="L1729">
        <f>SMALL(SimData1000!$C$9:$C$1008,720)</f>
        <v>0.72740181364315504</v>
      </c>
      <c r="M1729">
        <f>1/(COUNT(SimData1000!$C$9:$C$1008)-1)+$M$1728</f>
        <v>0.71971971971971005</v>
      </c>
    </row>
    <row r="1730" spans="10:13">
      <c r="J1730">
        <f>SMALL(SimData1000!$B$9:$B$1008,721)</f>
        <v>0.72039349873792236</v>
      </c>
      <c r="K1730">
        <f>1/(COUNT(SimData1000!$B$9:$B$1008)-1)+$K$1729</f>
        <v>0.72072072072071103</v>
      </c>
      <c r="L1730">
        <f>SMALL(SimData1000!$C$9:$C$1008,721)</f>
        <v>0.72755115150175698</v>
      </c>
      <c r="M1730">
        <f>1/(COUNT(SimData1000!$C$9:$C$1008)-1)+$M$1729</f>
        <v>0.72072072072071103</v>
      </c>
    </row>
    <row r="1731" spans="10:13">
      <c r="J1731">
        <f>SMALL(SimData1000!$B$9:$B$1008,722)</f>
        <v>0.72105866109557881</v>
      </c>
      <c r="K1731">
        <f>1/(COUNT(SimData1000!$B$9:$B$1008)-1)+$K$1730</f>
        <v>0.72172172172171201</v>
      </c>
      <c r="L1731">
        <f>SMALL(SimData1000!$C$9:$C$1008,722)</f>
        <v>0.72757546508910309</v>
      </c>
      <c r="M1731">
        <f>1/(COUNT(SimData1000!$C$9:$C$1008)-1)+$M$1730</f>
        <v>0.72172172172171201</v>
      </c>
    </row>
    <row r="1732" spans="10:13">
      <c r="J1732">
        <f>SMALL(SimData1000!$B$9:$B$1008,723)</f>
        <v>0.72269891416903087</v>
      </c>
      <c r="K1732">
        <f>1/(COUNT(SimData1000!$B$9:$B$1008)-1)+$K$1731</f>
        <v>0.72272272272271298</v>
      </c>
      <c r="L1732">
        <f>SMALL(SimData1000!$C$9:$C$1008,723)</f>
        <v>0.72896554950420978</v>
      </c>
      <c r="M1732">
        <f>1/(COUNT(SimData1000!$C$9:$C$1008)-1)+$M$1731</f>
        <v>0.72272272272271298</v>
      </c>
    </row>
    <row r="1733" spans="10:13">
      <c r="J1733">
        <f>SMALL(SimData1000!$B$9:$B$1008,724)</f>
        <v>0.72305673465902376</v>
      </c>
      <c r="K1733">
        <f>1/(COUNT(SimData1000!$B$9:$B$1008)-1)+$K$1732</f>
        <v>0.72372372372371396</v>
      </c>
      <c r="L1733">
        <f>SMALL(SimData1000!$C$9:$C$1008,724)</f>
        <v>0.72974117471312638</v>
      </c>
      <c r="M1733">
        <f>1/(COUNT(SimData1000!$C$9:$C$1008)-1)+$M$1732</f>
        <v>0.72372372372371396</v>
      </c>
    </row>
    <row r="1734" spans="10:13">
      <c r="J1734">
        <f>SMALL(SimData1000!$B$9:$B$1008,725)</f>
        <v>0.72467237871714685</v>
      </c>
      <c r="K1734">
        <f>1/(COUNT(SimData1000!$B$9:$B$1008)-1)+$K$1733</f>
        <v>0.72472472472471494</v>
      </c>
      <c r="L1734">
        <f>SMALL(SimData1000!$C$9:$C$1008,725)</f>
        <v>0.73065162816419615</v>
      </c>
      <c r="M1734">
        <f>1/(COUNT(SimData1000!$C$9:$C$1008)-1)+$M$1733</f>
        <v>0.72472472472471494</v>
      </c>
    </row>
    <row r="1735" spans="10:13">
      <c r="J1735">
        <f>SMALL(SimData1000!$B$9:$B$1008,726)</f>
        <v>0.72599796122731597</v>
      </c>
      <c r="K1735">
        <f>1/(COUNT(SimData1000!$B$9:$B$1008)-1)+$K$1734</f>
        <v>0.72572572572571592</v>
      </c>
      <c r="L1735">
        <f>SMALL(SimData1000!$C$9:$C$1008,726)</f>
        <v>0.73115578150191141</v>
      </c>
      <c r="M1735">
        <f>1/(COUNT(SimData1000!$C$9:$C$1008)-1)+$M$1734</f>
        <v>0.72572572572571592</v>
      </c>
    </row>
    <row r="1736" spans="10:13">
      <c r="J1736">
        <f>SMALL(SimData1000!$B$9:$B$1008,727)</f>
        <v>0.72662804654255231</v>
      </c>
      <c r="K1736">
        <f>1/(COUNT(SimData1000!$B$9:$B$1008)-1)+$K$1735</f>
        <v>0.7267267267267169</v>
      </c>
      <c r="L1736">
        <f>SMALL(SimData1000!$C$9:$C$1008,727)</f>
        <v>0.7322390755662127</v>
      </c>
      <c r="M1736">
        <f>1/(COUNT(SimData1000!$C$9:$C$1008)-1)+$M$1735</f>
        <v>0.7267267267267169</v>
      </c>
    </row>
    <row r="1737" spans="10:13">
      <c r="J1737">
        <f>SMALL(SimData1000!$B$9:$B$1008,728)</f>
        <v>0.72731274312043392</v>
      </c>
      <c r="K1737">
        <f>1/(COUNT(SimData1000!$B$9:$B$1008)-1)+$K$1736</f>
        <v>0.72772772772771788</v>
      </c>
      <c r="L1737">
        <f>SMALL(SimData1000!$C$9:$C$1008,728)</f>
        <v>0.73270541633246467</v>
      </c>
      <c r="M1737">
        <f>1/(COUNT(SimData1000!$C$9:$C$1008)-1)+$M$1736</f>
        <v>0.72772772772771788</v>
      </c>
    </row>
    <row r="1738" spans="10:13">
      <c r="J1738">
        <f>SMALL(SimData1000!$B$9:$B$1008,729)</f>
        <v>0.72838230362729695</v>
      </c>
      <c r="K1738">
        <f>1/(COUNT(SimData1000!$B$9:$B$1008)-1)+$K$1737</f>
        <v>0.72872872872871886</v>
      </c>
      <c r="L1738">
        <f>SMALL(SimData1000!$C$9:$C$1008,729)</f>
        <v>0.73276416439512104</v>
      </c>
      <c r="M1738">
        <f>1/(COUNT(SimData1000!$C$9:$C$1008)-1)+$M$1737</f>
        <v>0.72872872872871886</v>
      </c>
    </row>
    <row r="1739" spans="10:13">
      <c r="J1739">
        <f>SMALL(SimData1000!$B$9:$B$1008,730)</f>
        <v>0.72968081272386032</v>
      </c>
      <c r="K1739">
        <f>1/(COUNT(SimData1000!$B$9:$B$1008)-1)+$K$1738</f>
        <v>0.72972972972971983</v>
      </c>
      <c r="L1739">
        <f>SMALL(SimData1000!$C$9:$C$1008,730)</f>
        <v>0.73370020669153746</v>
      </c>
      <c r="M1739">
        <f>1/(COUNT(SimData1000!$C$9:$C$1008)-1)+$M$1738</f>
        <v>0.72972972972971983</v>
      </c>
    </row>
    <row r="1740" spans="10:13">
      <c r="J1740">
        <f>SMALL(SimData1000!$B$9:$B$1008,731)</f>
        <v>0.73082960387524909</v>
      </c>
      <c r="K1740">
        <f>1/(COUNT(SimData1000!$B$9:$B$1008)-1)+$K$1739</f>
        <v>0.73073073073072081</v>
      </c>
      <c r="L1740">
        <f>SMALL(SimData1000!$C$9:$C$1008,731)</f>
        <v>0.73389185857013217</v>
      </c>
      <c r="M1740">
        <f>1/(COUNT(SimData1000!$C$9:$C$1008)-1)+$M$1739</f>
        <v>0.73073073073072081</v>
      </c>
    </row>
    <row r="1741" spans="10:13">
      <c r="J1741">
        <f>SMALL(SimData1000!$B$9:$B$1008,732)</f>
        <v>0.73193374309896808</v>
      </c>
      <c r="K1741">
        <f>1/(COUNT(SimData1000!$B$9:$B$1008)-1)+$K$1740</f>
        <v>0.73173173173172179</v>
      </c>
      <c r="L1741">
        <f>SMALL(SimData1000!$C$9:$C$1008,732)</f>
        <v>0.73637939480613568</v>
      </c>
      <c r="M1741">
        <f>1/(COUNT(SimData1000!$C$9:$C$1008)-1)+$M$1740</f>
        <v>0.73173173173172179</v>
      </c>
    </row>
    <row r="1742" spans="10:13">
      <c r="J1742">
        <f>SMALL(SimData1000!$B$9:$B$1008,733)</f>
        <v>0.73206958601695249</v>
      </c>
      <c r="K1742">
        <f>1/(COUNT(SimData1000!$B$9:$B$1008)-1)+$K$1741</f>
        <v>0.73273273273272277</v>
      </c>
      <c r="L1742">
        <f>SMALL(SimData1000!$C$9:$C$1008,733)</f>
        <v>0.73749485772623302</v>
      </c>
      <c r="M1742">
        <f>1/(COUNT(SimData1000!$C$9:$C$1008)-1)+$M$1741</f>
        <v>0.73273273273272277</v>
      </c>
    </row>
    <row r="1743" spans="10:13">
      <c r="J1743">
        <f>SMALL(SimData1000!$B$9:$B$1008,734)</f>
        <v>0.7339665488391105</v>
      </c>
      <c r="K1743">
        <f>1/(COUNT(SimData1000!$B$9:$B$1008)-1)+$K$1742</f>
        <v>0.73373373373372375</v>
      </c>
      <c r="L1743">
        <f>SMALL(SimData1000!$C$9:$C$1008,734)</f>
        <v>0.73785113313988404</v>
      </c>
      <c r="M1743">
        <f>1/(COUNT(SimData1000!$C$9:$C$1008)-1)+$M$1742</f>
        <v>0.73373373373372375</v>
      </c>
    </row>
    <row r="1744" spans="10:13">
      <c r="J1744">
        <f>SMALL(SimData1000!$B$9:$B$1008,735)</f>
        <v>0.73420667840219256</v>
      </c>
      <c r="K1744">
        <f>1/(COUNT(SimData1000!$B$9:$B$1008)-1)+$K$1743</f>
        <v>0.73473473473472473</v>
      </c>
      <c r="L1744">
        <f>SMALL(SimData1000!$C$9:$C$1008,735)</f>
        <v>0.73789562923138874</v>
      </c>
      <c r="M1744">
        <f>1/(COUNT(SimData1000!$C$9:$C$1008)-1)+$M$1743</f>
        <v>0.73473473473472473</v>
      </c>
    </row>
    <row r="1745" spans="10:13">
      <c r="J1745">
        <f>SMALL(SimData1000!$B$9:$B$1008,736)</f>
        <v>0.73517991522866755</v>
      </c>
      <c r="K1745">
        <f>1/(COUNT(SimData1000!$B$9:$B$1008)-1)+$K$1744</f>
        <v>0.7357357357357257</v>
      </c>
      <c r="L1745">
        <f>SMALL(SimData1000!$C$9:$C$1008,736)</f>
        <v>0.74005953161031357</v>
      </c>
      <c r="M1745">
        <f>1/(COUNT(SimData1000!$C$9:$C$1008)-1)+$M$1744</f>
        <v>0.7357357357357257</v>
      </c>
    </row>
    <row r="1746" spans="10:13">
      <c r="J1746">
        <f>SMALL(SimData1000!$B$9:$B$1008,737)</f>
        <v>0.73640068397982994</v>
      </c>
      <c r="K1746">
        <f>1/(COUNT(SimData1000!$B$9:$B$1008)-1)+$K$1745</f>
        <v>0.73673673673672668</v>
      </c>
      <c r="L1746">
        <f>SMALL(SimData1000!$C$9:$C$1008,737)</f>
        <v>0.7438303721801276</v>
      </c>
      <c r="M1746">
        <f>1/(COUNT(SimData1000!$C$9:$C$1008)-1)+$M$1745</f>
        <v>0.73673673673672668</v>
      </c>
    </row>
    <row r="1747" spans="10:13">
      <c r="J1747">
        <f>SMALL(SimData1000!$B$9:$B$1008,738)</f>
        <v>0.73753466783034027</v>
      </c>
      <c r="K1747">
        <f>1/(COUNT(SimData1000!$B$9:$B$1008)-1)+$K$1746</f>
        <v>0.73773773773772766</v>
      </c>
      <c r="L1747">
        <f>SMALL(SimData1000!$C$9:$C$1008,738)</f>
        <v>0.74523847288584477</v>
      </c>
      <c r="M1747">
        <f>1/(COUNT(SimData1000!$C$9:$C$1008)-1)+$M$1746</f>
        <v>0.73773773773772766</v>
      </c>
    </row>
    <row r="1748" spans="10:13">
      <c r="J1748">
        <f>SMALL(SimData1000!$B$9:$B$1008,739)</f>
        <v>0.73899151047901057</v>
      </c>
      <c r="K1748">
        <f>1/(COUNT(SimData1000!$B$9:$B$1008)-1)+$K$1747</f>
        <v>0.73873873873872864</v>
      </c>
      <c r="L1748">
        <f>SMALL(SimData1000!$C$9:$C$1008,739)</f>
        <v>0.74648158603213233</v>
      </c>
      <c r="M1748">
        <f>1/(COUNT(SimData1000!$C$9:$C$1008)-1)+$M$1747</f>
        <v>0.73873873873872864</v>
      </c>
    </row>
    <row r="1749" spans="10:13">
      <c r="J1749">
        <f>SMALL(SimData1000!$B$9:$B$1008,740)</f>
        <v>0.73961829638518817</v>
      </c>
      <c r="K1749">
        <f>1/(COUNT(SimData1000!$B$9:$B$1008)-1)+$K$1748</f>
        <v>0.73973973973972962</v>
      </c>
      <c r="L1749">
        <f>SMALL(SimData1000!$C$9:$C$1008,740)</f>
        <v>0.74953925657337095</v>
      </c>
      <c r="M1749">
        <f>1/(COUNT(SimData1000!$C$9:$C$1008)-1)+$M$1748</f>
        <v>0.73973973973972962</v>
      </c>
    </row>
    <row r="1750" spans="10:13">
      <c r="J1750">
        <f>SMALL(SimData1000!$B$9:$B$1008,741)</f>
        <v>0.74026366808248301</v>
      </c>
      <c r="K1750">
        <f>1/(COUNT(SimData1000!$B$9:$B$1008)-1)+$K$1749</f>
        <v>0.7407407407407306</v>
      </c>
      <c r="L1750">
        <f>SMALL(SimData1000!$C$9:$C$1008,741)</f>
        <v>0.75086136362642719</v>
      </c>
      <c r="M1750">
        <f>1/(COUNT(SimData1000!$C$9:$C$1008)-1)+$M$1749</f>
        <v>0.7407407407407306</v>
      </c>
    </row>
    <row r="1751" spans="10:13">
      <c r="J1751">
        <f>SMALL(SimData1000!$B$9:$B$1008,742)</f>
        <v>0.74147834784315869</v>
      </c>
      <c r="K1751">
        <f>1/(COUNT(SimData1000!$B$9:$B$1008)-1)+$K$1750</f>
        <v>0.74174174174173158</v>
      </c>
      <c r="L1751">
        <f>SMALL(SimData1000!$C$9:$C$1008,742)</f>
        <v>0.75257298714768694</v>
      </c>
      <c r="M1751">
        <f>1/(COUNT(SimData1000!$C$9:$C$1008)-1)+$M$1750</f>
        <v>0.74174174174173158</v>
      </c>
    </row>
    <row r="1752" spans="10:13">
      <c r="J1752">
        <f>SMALL(SimData1000!$B$9:$B$1008,743)</f>
        <v>0.74203770657466672</v>
      </c>
      <c r="K1752">
        <f>1/(COUNT(SimData1000!$B$9:$B$1008)-1)+$K$1751</f>
        <v>0.74274274274273255</v>
      </c>
      <c r="L1752">
        <f>SMALL(SimData1000!$C$9:$C$1008,743)</f>
        <v>0.75272891046824952</v>
      </c>
      <c r="M1752">
        <f>1/(COUNT(SimData1000!$C$9:$C$1008)-1)+$M$1751</f>
        <v>0.74274274274273255</v>
      </c>
    </row>
    <row r="1753" spans="10:13">
      <c r="J1753">
        <f>SMALL(SimData1000!$B$9:$B$1008,744)</f>
        <v>0.74329195626622346</v>
      </c>
      <c r="K1753">
        <f>1/(COUNT(SimData1000!$B$9:$B$1008)-1)+$K$1752</f>
        <v>0.74374374374373353</v>
      </c>
      <c r="L1753">
        <f>SMALL(SimData1000!$C$9:$C$1008,744)</f>
        <v>0.75601721350631124</v>
      </c>
      <c r="M1753">
        <f>1/(COUNT(SimData1000!$C$9:$C$1008)-1)+$M$1752</f>
        <v>0.74374374374373353</v>
      </c>
    </row>
    <row r="1754" spans="10:13">
      <c r="J1754">
        <f>SMALL(SimData1000!$B$9:$B$1008,745)</f>
        <v>0.74490896739529189</v>
      </c>
      <c r="K1754">
        <f>1/(COUNT(SimData1000!$B$9:$B$1008)-1)+$K$1753</f>
        <v>0.74474474474473451</v>
      </c>
      <c r="L1754">
        <f>SMALL(SimData1000!$C$9:$C$1008,745)</f>
        <v>0.7572515536321589</v>
      </c>
      <c r="M1754">
        <f>1/(COUNT(SimData1000!$C$9:$C$1008)-1)+$M$1753</f>
        <v>0.74474474474473451</v>
      </c>
    </row>
    <row r="1755" spans="10:13">
      <c r="J1755">
        <f>SMALL(SimData1000!$B$9:$B$1008,746)</f>
        <v>0.74529846140702682</v>
      </c>
      <c r="K1755">
        <f>1/(COUNT(SimData1000!$B$9:$B$1008)-1)+$K$1754</f>
        <v>0.74574574574573549</v>
      </c>
      <c r="L1755">
        <f>SMALL(SimData1000!$C$9:$C$1008,746)</f>
        <v>0.75875065598938818</v>
      </c>
      <c r="M1755">
        <f>1/(COUNT(SimData1000!$C$9:$C$1008)-1)+$M$1754</f>
        <v>0.74574574574573549</v>
      </c>
    </row>
    <row r="1756" spans="10:13">
      <c r="J1756">
        <f>SMALL(SimData1000!$B$9:$B$1008,747)</f>
        <v>0.74607660881361848</v>
      </c>
      <c r="K1756">
        <f>1/(COUNT(SimData1000!$B$9:$B$1008)-1)+$K$1755</f>
        <v>0.74674674674673647</v>
      </c>
      <c r="L1756">
        <f>SMALL(SimData1000!$C$9:$C$1008,747)</f>
        <v>0.76004762084266986</v>
      </c>
      <c r="M1756">
        <f>1/(COUNT(SimData1000!$C$9:$C$1008)-1)+$M$1755</f>
        <v>0.74674674674673647</v>
      </c>
    </row>
    <row r="1757" spans="10:13">
      <c r="J1757">
        <f>SMALL(SimData1000!$B$9:$B$1008,748)</f>
        <v>0.74768782723338534</v>
      </c>
      <c r="K1757">
        <f>1/(COUNT(SimData1000!$B$9:$B$1008)-1)+$K$1756</f>
        <v>0.74774774774773745</v>
      </c>
      <c r="L1757">
        <f>SMALL(SimData1000!$C$9:$C$1008,748)</f>
        <v>0.7602289505139197</v>
      </c>
      <c r="M1757">
        <f>1/(COUNT(SimData1000!$C$9:$C$1008)-1)+$M$1756</f>
        <v>0.74774774774773745</v>
      </c>
    </row>
    <row r="1758" spans="10:13">
      <c r="J1758">
        <f>SMALL(SimData1000!$B$9:$B$1008,749)</f>
        <v>0.7489633674900894</v>
      </c>
      <c r="K1758">
        <f>1/(COUNT(SimData1000!$B$9:$B$1008)-1)+$K$1757</f>
        <v>0.74874874874873842</v>
      </c>
      <c r="L1758">
        <f>SMALL(SimData1000!$C$9:$C$1008,749)</f>
        <v>0.76072300502073631</v>
      </c>
      <c r="M1758">
        <f>1/(COUNT(SimData1000!$C$9:$C$1008)-1)+$M$1757</f>
        <v>0.74874874874873842</v>
      </c>
    </row>
    <row r="1759" spans="10:13">
      <c r="J1759">
        <f>SMALL(SimData1000!$B$9:$B$1008,750)</f>
        <v>0.74956816157735151</v>
      </c>
      <c r="K1759">
        <f>1/(COUNT(SimData1000!$B$9:$B$1008)-1)+$K$1758</f>
        <v>0.7497497497497394</v>
      </c>
      <c r="L1759">
        <f>SMALL(SimData1000!$C$9:$C$1008,750)</f>
        <v>0.76106156962305249</v>
      </c>
      <c r="M1759">
        <f>1/(COUNT(SimData1000!$C$9:$C$1008)-1)+$M$1758</f>
        <v>0.7497497497497394</v>
      </c>
    </row>
    <row r="1760" spans="10:13">
      <c r="J1760">
        <f>SMALL(SimData1000!$B$9:$B$1008,751)</f>
        <v>0.75053794298333532</v>
      </c>
      <c r="K1760">
        <f>1/(COUNT(SimData1000!$B$9:$B$1008)-1)+$K$1759</f>
        <v>0.75075075075074038</v>
      </c>
      <c r="L1760">
        <f>SMALL(SimData1000!$C$9:$C$1008,751)</f>
        <v>0.76149610074935481</v>
      </c>
      <c r="M1760">
        <f>1/(COUNT(SimData1000!$C$9:$C$1008)-1)+$M$1759</f>
        <v>0.75075075075074038</v>
      </c>
    </row>
    <row r="1761" spans="10:13">
      <c r="J1761">
        <f>SMALL(SimData1000!$B$9:$B$1008,752)</f>
        <v>0.75130439200119681</v>
      </c>
      <c r="K1761">
        <f>1/(COUNT(SimData1000!$B$9:$B$1008)-1)+$K$1760</f>
        <v>0.75175175175174136</v>
      </c>
      <c r="L1761">
        <f>SMALL(SimData1000!$C$9:$C$1008,752)</f>
        <v>0.76223185879553057</v>
      </c>
      <c r="M1761">
        <f>1/(COUNT(SimData1000!$C$9:$C$1008)-1)+$M$1760</f>
        <v>0.75175175175174136</v>
      </c>
    </row>
    <row r="1762" spans="10:13">
      <c r="J1762">
        <f>SMALL(SimData1000!$B$9:$B$1008,753)</f>
        <v>0.75236384698384529</v>
      </c>
      <c r="K1762">
        <f>1/(COUNT(SimData1000!$B$9:$B$1008)-1)+$K$1761</f>
        <v>0.75275275275274234</v>
      </c>
      <c r="L1762">
        <f>SMALL(SimData1000!$C$9:$C$1008,753)</f>
        <v>0.76271080060905661</v>
      </c>
      <c r="M1762">
        <f>1/(COUNT(SimData1000!$C$9:$C$1008)-1)+$M$1761</f>
        <v>0.75275275275274234</v>
      </c>
    </row>
    <row r="1763" spans="10:13">
      <c r="J1763">
        <f>SMALL(SimData1000!$B$9:$B$1008,754)</f>
        <v>0.75383664546693596</v>
      </c>
      <c r="K1763">
        <f>1/(COUNT(SimData1000!$B$9:$B$1008)-1)+$K$1762</f>
        <v>0.75375375375374332</v>
      </c>
      <c r="L1763">
        <f>SMALL(SimData1000!$C$9:$C$1008,754)</f>
        <v>0.76488259567122441</v>
      </c>
      <c r="M1763">
        <f>1/(COUNT(SimData1000!$C$9:$C$1008)-1)+$M$1762</f>
        <v>0.75375375375374332</v>
      </c>
    </row>
    <row r="1764" spans="10:13">
      <c r="J1764">
        <f>SMALL(SimData1000!$B$9:$B$1008,755)</f>
        <v>0.75419720723228467</v>
      </c>
      <c r="K1764">
        <f>1/(COUNT(SimData1000!$B$9:$B$1008)-1)+$K$1763</f>
        <v>0.75475475475474429</v>
      </c>
      <c r="L1764">
        <f>SMALL(SimData1000!$C$9:$C$1008,755)</f>
        <v>0.76497988029041153</v>
      </c>
      <c r="M1764">
        <f>1/(COUNT(SimData1000!$C$9:$C$1008)-1)+$M$1763</f>
        <v>0.75475475475474429</v>
      </c>
    </row>
    <row r="1765" spans="10:13">
      <c r="J1765">
        <f>SMALL(SimData1000!$B$9:$B$1008,756)</f>
        <v>0.75567440058818891</v>
      </c>
      <c r="K1765">
        <f>1/(COUNT(SimData1000!$B$9:$B$1008)-1)+$K$1764</f>
        <v>0.75575575575574527</v>
      </c>
      <c r="L1765">
        <f>SMALL(SimData1000!$C$9:$C$1008,756)</f>
        <v>0.765210472295621</v>
      </c>
      <c r="M1765">
        <f>1/(COUNT(SimData1000!$C$9:$C$1008)-1)+$M$1764</f>
        <v>0.75575575575574527</v>
      </c>
    </row>
    <row r="1766" spans="10:13">
      <c r="J1766">
        <f>SMALL(SimData1000!$B$9:$B$1008,757)</f>
        <v>0.75671571345480992</v>
      </c>
      <c r="K1766">
        <f>1/(COUNT(SimData1000!$B$9:$B$1008)-1)+$K$1765</f>
        <v>0.75675675675674625</v>
      </c>
      <c r="L1766">
        <f>SMALL(SimData1000!$C$9:$C$1008,757)</f>
        <v>0.76618895395495201</v>
      </c>
      <c r="M1766">
        <f>1/(COUNT(SimData1000!$C$9:$C$1008)-1)+$M$1765</f>
        <v>0.75675675675674625</v>
      </c>
    </row>
    <row r="1767" spans="10:13">
      <c r="J1767">
        <f>SMALL(SimData1000!$B$9:$B$1008,758)</f>
        <v>0.75761788709289801</v>
      </c>
      <c r="K1767">
        <f>1/(COUNT(SimData1000!$B$9:$B$1008)-1)+$K$1766</f>
        <v>0.75775775775774723</v>
      </c>
      <c r="L1767">
        <f>SMALL(SimData1000!$C$9:$C$1008,758)</f>
        <v>0.7667252253722836</v>
      </c>
      <c r="M1767">
        <f>1/(COUNT(SimData1000!$C$9:$C$1008)-1)+$M$1766</f>
        <v>0.75775775775774723</v>
      </c>
    </row>
    <row r="1768" spans="10:13">
      <c r="J1768">
        <f>SMALL(SimData1000!$B$9:$B$1008,759)</f>
        <v>0.75884368301691574</v>
      </c>
      <c r="K1768">
        <f>1/(COUNT(SimData1000!$B$9:$B$1008)-1)+$K$1767</f>
        <v>0.75875875875874821</v>
      </c>
      <c r="L1768">
        <f>SMALL(SimData1000!$C$9:$C$1008,759)</f>
        <v>0.76715316024728963</v>
      </c>
      <c r="M1768">
        <f>1/(COUNT(SimData1000!$C$9:$C$1008)-1)+$M$1767</f>
        <v>0.75875875875874821</v>
      </c>
    </row>
    <row r="1769" spans="10:13">
      <c r="J1769">
        <f>SMALL(SimData1000!$B$9:$B$1008,760)</f>
        <v>0.75990293873425174</v>
      </c>
      <c r="K1769">
        <f>1/(COUNT(SimData1000!$B$9:$B$1008)-1)+$K$1768</f>
        <v>0.75975975975974919</v>
      </c>
      <c r="L1769">
        <f>SMALL(SimData1000!$C$9:$C$1008,760)</f>
        <v>0.76759250475697627</v>
      </c>
      <c r="M1769">
        <f>1/(COUNT(SimData1000!$C$9:$C$1008)-1)+$M$1768</f>
        <v>0.75975975975974919</v>
      </c>
    </row>
    <row r="1770" spans="10:13">
      <c r="J1770">
        <f>SMALL(SimData1000!$B$9:$B$1008,761)</f>
        <v>0.76080618404452838</v>
      </c>
      <c r="K1770">
        <f>1/(COUNT(SimData1000!$B$9:$B$1008)-1)+$K$1769</f>
        <v>0.76076076076075017</v>
      </c>
      <c r="L1770">
        <f>SMALL(SimData1000!$C$9:$C$1008,761)</f>
        <v>0.7682400824405704</v>
      </c>
      <c r="M1770">
        <f>1/(COUNT(SimData1000!$C$9:$C$1008)-1)+$M$1769</f>
        <v>0.76076076076075017</v>
      </c>
    </row>
    <row r="1771" spans="10:13">
      <c r="J1771">
        <f>SMALL(SimData1000!$B$9:$B$1008,762)</f>
        <v>0.76106399469195496</v>
      </c>
      <c r="K1771">
        <f>1/(COUNT(SimData1000!$B$9:$B$1008)-1)+$K$1770</f>
        <v>0.76176176176175114</v>
      </c>
      <c r="L1771">
        <f>SMALL(SimData1000!$C$9:$C$1008,762)</f>
        <v>0.77027808194270619</v>
      </c>
      <c r="M1771">
        <f>1/(COUNT(SimData1000!$C$9:$C$1008)-1)+$M$1770</f>
        <v>0.76176176176175114</v>
      </c>
    </row>
    <row r="1772" spans="10:13">
      <c r="J1772">
        <f>SMALL(SimData1000!$B$9:$B$1008,763)</f>
        <v>0.76252625751088521</v>
      </c>
      <c r="K1772">
        <f>1/(COUNT(SimData1000!$B$9:$B$1008)-1)+$K$1771</f>
        <v>0.76276276276275212</v>
      </c>
      <c r="L1772">
        <f>SMALL(SimData1000!$C$9:$C$1008,763)</f>
        <v>0.77043876223615371</v>
      </c>
      <c r="M1772">
        <f>1/(COUNT(SimData1000!$C$9:$C$1008)-1)+$M$1771</f>
        <v>0.76276276276275212</v>
      </c>
    </row>
    <row r="1773" spans="10:13">
      <c r="J1773">
        <f>SMALL(SimData1000!$B$9:$B$1008,764)</f>
        <v>0.76300815905863617</v>
      </c>
      <c r="K1773">
        <f>1/(COUNT(SimData1000!$B$9:$B$1008)-1)+$K$1772</f>
        <v>0.7637637637637531</v>
      </c>
      <c r="L1773">
        <f>SMALL(SimData1000!$C$9:$C$1008,764)</f>
        <v>0.77057075981156231</v>
      </c>
      <c r="M1773">
        <f>1/(COUNT(SimData1000!$C$9:$C$1008)-1)+$M$1772</f>
        <v>0.7637637637637531</v>
      </c>
    </row>
    <row r="1774" spans="10:13">
      <c r="J1774">
        <f>SMALL(SimData1000!$B$9:$B$1008,765)</f>
        <v>0.76437676454926307</v>
      </c>
      <c r="K1774">
        <f>1/(COUNT(SimData1000!$B$9:$B$1008)-1)+$K$1773</f>
        <v>0.76476476476475408</v>
      </c>
      <c r="L1774">
        <f>SMALL(SimData1000!$C$9:$C$1008,765)</f>
        <v>0.77060163331680087</v>
      </c>
      <c r="M1774">
        <f>1/(COUNT(SimData1000!$C$9:$C$1008)-1)+$M$1773</f>
        <v>0.76476476476475408</v>
      </c>
    </row>
    <row r="1775" spans="10:13">
      <c r="J1775">
        <f>SMALL(SimData1000!$B$9:$B$1008,766)</f>
        <v>0.76519820112273984</v>
      </c>
      <c r="K1775">
        <f>1/(COUNT(SimData1000!$B$9:$B$1008)-1)+$K$1774</f>
        <v>0.76576576576575506</v>
      </c>
      <c r="L1775">
        <f>SMALL(SimData1000!$C$9:$C$1008,766)</f>
        <v>0.77238745451995783</v>
      </c>
      <c r="M1775">
        <f>1/(COUNT(SimData1000!$C$9:$C$1008)-1)+$M$1774</f>
        <v>0.76576576576575506</v>
      </c>
    </row>
    <row r="1776" spans="10:13">
      <c r="J1776">
        <f>SMALL(SimData1000!$B$9:$B$1008,767)</f>
        <v>0.7661004351158861</v>
      </c>
      <c r="K1776">
        <f>1/(COUNT(SimData1000!$B$9:$B$1008)-1)+$K$1775</f>
        <v>0.76676676676675604</v>
      </c>
      <c r="L1776">
        <f>SMALL(SimData1000!$C$9:$C$1008,767)</f>
        <v>0.77338045784381393</v>
      </c>
      <c r="M1776">
        <f>1/(COUNT(SimData1000!$C$9:$C$1008)-1)+$M$1775</f>
        <v>0.76676676676675604</v>
      </c>
    </row>
    <row r="1777" spans="10:13">
      <c r="J1777">
        <f>SMALL(SimData1000!$B$9:$B$1008,768)</f>
        <v>0.76752234955772813</v>
      </c>
      <c r="K1777">
        <f>1/(COUNT(SimData1000!$B$9:$B$1008)-1)+$K$1776</f>
        <v>0.76776776776775701</v>
      </c>
      <c r="L1777">
        <f>SMALL(SimData1000!$C$9:$C$1008,768)</f>
        <v>0.77345089123627986</v>
      </c>
      <c r="M1777">
        <f>1/(COUNT(SimData1000!$C$9:$C$1008)-1)+$M$1776</f>
        <v>0.76776776776775701</v>
      </c>
    </row>
    <row r="1778" spans="10:13">
      <c r="J1778">
        <f>SMALL(SimData1000!$B$9:$B$1008,769)</f>
        <v>0.76852807794523614</v>
      </c>
      <c r="K1778">
        <f>1/(COUNT(SimData1000!$B$9:$B$1008)-1)+$K$1777</f>
        <v>0.76876876876875799</v>
      </c>
      <c r="L1778">
        <f>SMALL(SimData1000!$C$9:$C$1008,769)</f>
        <v>0.77537238994500512</v>
      </c>
      <c r="M1778">
        <f>1/(COUNT(SimData1000!$C$9:$C$1008)-1)+$M$1777</f>
        <v>0.76876876876875799</v>
      </c>
    </row>
    <row r="1779" spans="10:13">
      <c r="J1779">
        <f>SMALL(SimData1000!$B$9:$B$1008,770)</f>
        <v>0.76988608452814777</v>
      </c>
      <c r="K1779">
        <f>1/(COUNT(SimData1000!$B$9:$B$1008)-1)+$K$1778</f>
        <v>0.76976976976975897</v>
      </c>
      <c r="L1779">
        <f>SMALL(SimData1000!$C$9:$C$1008,770)</f>
        <v>0.77572177884849225</v>
      </c>
      <c r="M1779">
        <f>1/(COUNT(SimData1000!$C$9:$C$1008)-1)+$M$1778</f>
        <v>0.76976976976975897</v>
      </c>
    </row>
    <row r="1780" spans="10:13">
      <c r="J1780">
        <f>SMALL(SimData1000!$B$9:$B$1008,771)</f>
        <v>0.77034229803279564</v>
      </c>
      <c r="K1780">
        <f>1/(COUNT(SimData1000!$B$9:$B$1008)-1)+$K$1779</f>
        <v>0.77077077077075995</v>
      </c>
      <c r="L1780">
        <f>SMALL(SimData1000!$C$9:$C$1008,771)</f>
        <v>0.77617174779061315</v>
      </c>
      <c r="M1780">
        <f>1/(COUNT(SimData1000!$C$9:$C$1008)-1)+$M$1779</f>
        <v>0.77077077077075995</v>
      </c>
    </row>
    <row r="1781" spans="10:13">
      <c r="J1781">
        <f>SMALL(SimData1000!$B$9:$B$1008,772)</f>
        <v>0.77179499048152822</v>
      </c>
      <c r="K1781">
        <f>1/(COUNT(SimData1000!$B$9:$B$1008)-1)+$K$1780</f>
        <v>0.77177177177176093</v>
      </c>
      <c r="L1781">
        <f>SMALL(SimData1000!$C$9:$C$1008,772)</f>
        <v>0.7765289766866772</v>
      </c>
      <c r="M1781">
        <f>1/(COUNT(SimData1000!$C$9:$C$1008)-1)+$M$1780</f>
        <v>0.77177177177176093</v>
      </c>
    </row>
    <row r="1782" spans="10:13">
      <c r="J1782">
        <f>SMALL(SimData1000!$B$9:$B$1008,773)</f>
        <v>0.77213725740931394</v>
      </c>
      <c r="K1782">
        <f>1/(COUNT(SimData1000!$B$9:$B$1008)-1)+$K$1781</f>
        <v>0.77277277277276191</v>
      </c>
      <c r="L1782">
        <f>SMALL(SimData1000!$C$9:$C$1008,773)</f>
        <v>0.77720025398684811</v>
      </c>
      <c r="M1782">
        <f>1/(COUNT(SimData1000!$C$9:$C$1008)-1)+$M$1781</f>
        <v>0.77277277277276191</v>
      </c>
    </row>
    <row r="1783" spans="10:13">
      <c r="J1783">
        <f>SMALL(SimData1000!$B$9:$B$1008,774)</f>
        <v>0.77386082158118041</v>
      </c>
      <c r="K1783">
        <f>1/(COUNT(SimData1000!$B$9:$B$1008)-1)+$K$1782</f>
        <v>0.77377377377376289</v>
      </c>
      <c r="L1783">
        <f>SMALL(SimData1000!$C$9:$C$1008,774)</f>
        <v>0.77780808137765689</v>
      </c>
      <c r="M1783">
        <f>1/(COUNT(SimData1000!$C$9:$C$1008)-1)+$M$1782</f>
        <v>0.77377377377376289</v>
      </c>
    </row>
    <row r="1784" spans="10:13">
      <c r="J1784">
        <f>SMALL(SimData1000!$B$9:$B$1008,775)</f>
        <v>0.77479486285517807</v>
      </c>
      <c r="K1784">
        <f>1/(COUNT(SimData1000!$B$9:$B$1008)-1)+$K$1783</f>
        <v>0.77477477477476386</v>
      </c>
      <c r="L1784">
        <f>SMALL(SimData1000!$C$9:$C$1008,775)</f>
        <v>0.77846895064885757</v>
      </c>
      <c r="M1784">
        <f>1/(COUNT(SimData1000!$C$9:$C$1008)-1)+$M$1783</f>
        <v>0.77477477477476386</v>
      </c>
    </row>
    <row r="1785" spans="10:13">
      <c r="J1785">
        <f>SMALL(SimData1000!$B$9:$B$1008,776)</f>
        <v>0.77561838634419678</v>
      </c>
      <c r="K1785">
        <f>1/(COUNT(SimData1000!$B$9:$B$1008)-1)+$K$1784</f>
        <v>0.77577577577576484</v>
      </c>
      <c r="L1785">
        <f>SMALL(SimData1000!$C$9:$C$1008,776)</f>
        <v>0.77849731734931993</v>
      </c>
      <c r="M1785">
        <f>1/(COUNT(SimData1000!$C$9:$C$1008)-1)+$M$1784</f>
        <v>0.77577577577576484</v>
      </c>
    </row>
    <row r="1786" spans="10:13">
      <c r="J1786">
        <f>SMALL(SimData1000!$B$9:$B$1008,777)</f>
        <v>0.77690709643808831</v>
      </c>
      <c r="K1786">
        <f>1/(COUNT(SimData1000!$B$9:$B$1008)-1)+$K$1785</f>
        <v>0.77677677677676582</v>
      </c>
      <c r="L1786">
        <f>SMALL(SimData1000!$C$9:$C$1008,777)</f>
        <v>0.77880237924910034</v>
      </c>
      <c r="M1786">
        <f>1/(COUNT(SimData1000!$C$9:$C$1008)-1)+$M$1785</f>
        <v>0.77677677677676582</v>
      </c>
    </row>
    <row r="1787" spans="10:13">
      <c r="J1787">
        <f>SMALL(SimData1000!$B$9:$B$1008,778)</f>
        <v>0.77723940084903487</v>
      </c>
      <c r="K1787">
        <f>1/(COUNT(SimData1000!$B$9:$B$1008)-1)+$K$1786</f>
        <v>0.7777777777777668</v>
      </c>
      <c r="L1787">
        <f>SMALL(SimData1000!$C$9:$C$1008,778)</f>
        <v>0.77992987184552476</v>
      </c>
      <c r="M1787">
        <f>1/(COUNT(SimData1000!$C$9:$C$1008)-1)+$M$1786</f>
        <v>0.7777777777777668</v>
      </c>
    </row>
    <row r="1788" spans="10:13">
      <c r="J1788">
        <f>SMALL(SimData1000!$B$9:$B$1008,779)</f>
        <v>0.77856703898463564</v>
      </c>
      <c r="K1788">
        <f>1/(COUNT(SimData1000!$B$9:$B$1008)-1)+$K$1787</f>
        <v>0.77877877877876778</v>
      </c>
      <c r="L1788">
        <f>SMALL(SimData1000!$C$9:$C$1008,779)</f>
        <v>0.78010737011572928</v>
      </c>
      <c r="M1788">
        <f>1/(COUNT(SimData1000!$C$9:$C$1008)-1)+$M$1787</f>
        <v>0.77877877877876778</v>
      </c>
    </row>
    <row r="1789" spans="10:13">
      <c r="J1789">
        <f>SMALL(SimData1000!$B$9:$B$1008,780)</f>
        <v>0.77932173075138633</v>
      </c>
      <c r="K1789">
        <f>1/(COUNT(SimData1000!$B$9:$B$1008)-1)+$K$1788</f>
        <v>0.77977977977976876</v>
      </c>
      <c r="L1789">
        <f>SMALL(SimData1000!$C$9:$C$1008,780)</f>
        <v>0.78090730154599441</v>
      </c>
      <c r="M1789">
        <f>1/(COUNT(SimData1000!$C$9:$C$1008)-1)+$M$1788</f>
        <v>0.77977977977976876</v>
      </c>
    </row>
    <row r="1790" spans="10:13">
      <c r="J1790">
        <f>SMALL(SimData1000!$B$9:$B$1008,781)</f>
        <v>0.78029967223557173</v>
      </c>
      <c r="K1790">
        <f>1/(COUNT(SimData1000!$B$9:$B$1008)-1)+$K$1789</f>
        <v>0.78078078078076973</v>
      </c>
      <c r="L1790">
        <f>SMALL(SimData1000!$C$9:$C$1008,781)</f>
        <v>0.78244427614299639</v>
      </c>
      <c r="M1790">
        <f>1/(COUNT(SimData1000!$C$9:$C$1008)-1)+$M$1789</f>
        <v>0.78078078078076973</v>
      </c>
    </row>
    <row r="1791" spans="10:13">
      <c r="J1791">
        <f>SMALL(SimData1000!$B$9:$B$1008,782)</f>
        <v>0.78130354973611038</v>
      </c>
      <c r="K1791">
        <f>1/(COUNT(SimData1000!$B$9:$B$1008)-1)+$K$1790</f>
        <v>0.78178178178177071</v>
      </c>
      <c r="L1791">
        <f>SMALL(SimData1000!$C$9:$C$1008,782)</f>
        <v>0.78684633772627421</v>
      </c>
      <c r="M1791">
        <f>1/(COUNT(SimData1000!$C$9:$C$1008)-1)+$M$1790</f>
        <v>0.78178178178177071</v>
      </c>
    </row>
    <row r="1792" spans="10:13">
      <c r="J1792">
        <f>SMALL(SimData1000!$B$9:$B$1008,783)</f>
        <v>0.7820571291379298</v>
      </c>
      <c r="K1792">
        <f>1/(COUNT(SimData1000!$B$9:$B$1008)-1)+$K$1791</f>
        <v>0.78278278278277169</v>
      </c>
      <c r="L1792">
        <f>SMALL(SimData1000!$C$9:$C$1008,783)</f>
        <v>0.78778476277693699</v>
      </c>
      <c r="M1792">
        <f>1/(COUNT(SimData1000!$C$9:$C$1008)-1)+$M$1791</f>
        <v>0.78278278278277169</v>
      </c>
    </row>
    <row r="1793" spans="10:13">
      <c r="J1793">
        <f>SMALL(SimData1000!$B$9:$B$1008,784)</f>
        <v>0.78384586247565358</v>
      </c>
      <c r="K1793">
        <f>1/(COUNT(SimData1000!$B$9:$B$1008)-1)+$K$1792</f>
        <v>0.78378378378377267</v>
      </c>
      <c r="L1793">
        <f>SMALL(SimData1000!$C$9:$C$1008,784)</f>
        <v>0.78839414218236925</v>
      </c>
      <c r="M1793">
        <f>1/(COUNT(SimData1000!$C$9:$C$1008)-1)+$M$1792</f>
        <v>0.78378378378377267</v>
      </c>
    </row>
    <row r="1794" spans="10:13">
      <c r="J1794">
        <f>SMALL(SimData1000!$B$9:$B$1008,785)</f>
        <v>0.78423998511099247</v>
      </c>
      <c r="K1794">
        <f>1/(COUNT(SimData1000!$B$9:$B$1008)-1)+$K$1793</f>
        <v>0.78478478478477365</v>
      </c>
      <c r="L1794">
        <f>SMALL(SimData1000!$C$9:$C$1008,785)</f>
        <v>0.79073019255883992</v>
      </c>
      <c r="M1794">
        <f>1/(COUNT(SimData1000!$C$9:$C$1008)-1)+$M$1793</f>
        <v>0.78478478478477365</v>
      </c>
    </row>
    <row r="1795" spans="10:13">
      <c r="J1795">
        <f>SMALL(SimData1000!$B$9:$B$1008,786)</f>
        <v>0.78504767644266782</v>
      </c>
      <c r="K1795">
        <f>1/(COUNT(SimData1000!$B$9:$B$1008)-1)+$K$1794</f>
        <v>0.78578578578577463</v>
      </c>
      <c r="L1795">
        <f>SMALL(SimData1000!$C$9:$C$1008,786)</f>
        <v>0.79139856009987852</v>
      </c>
      <c r="M1795">
        <f>1/(COUNT(SimData1000!$C$9:$C$1008)-1)+$M$1794</f>
        <v>0.78578578578577463</v>
      </c>
    </row>
    <row r="1796" spans="10:13">
      <c r="J1796">
        <f>SMALL(SimData1000!$B$9:$B$1008,787)</f>
        <v>0.7861393730903834</v>
      </c>
      <c r="K1796">
        <f>1/(COUNT(SimData1000!$B$9:$B$1008)-1)+$K$1795</f>
        <v>0.7867867867867756</v>
      </c>
      <c r="L1796">
        <f>SMALL(SimData1000!$C$9:$C$1008,787)</f>
        <v>0.79496954564274347</v>
      </c>
      <c r="M1796">
        <f>1/(COUNT(SimData1000!$C$9:$C$1008)-1)+$M$1795</f>
        <v>0.7867867867867756</v>
      </c>
    </row>
    <row r="1797" spans="10:13">
      <c r="J1797">
        <f>SMALL(SimData1000!$B$9:$B$1008,788)</f>
        <v>0.78712272461087507</v>
      </c>
      <c r="K1797">
        <f>1/(COUNT(SimData1000!$B$9:$B$1008)-1)+$K$1796</f>
        <v>0.78778778778777658</v>
      </c>
      <c r="L1797">
        <f>SMALL(SimData1000!$C$9:$C$1008,788)</f>
        <v>0.79558003371494124</v>
      </c>
      <c r="M1797">
        <f>1/(COUNT(SimData1000!$C$9:$C$1008)-1)+$M$1796</f>
        <v>0.78778778778777658</v>
      </c>
    </row>
    <row r="1798" spans="10:13">
      <c r="J1798">
        <f>SMALL(SimData1000!$B$9:$B$1008,789)</f>
        <v>0.78853385454428704</v>
      </c>
      <c r="K1798">
        <f>1/(COUNT(SimData1000!$B$9:$B$1008)-1)+$K$1797</f>
        <v>0.78878878878877756</v>
      </c>
      <c r="L1798">
        <f>SMALL(SimData1000!$C$9:$C$1008,789)</f>
        <v>0.79615195633959956</v>
      </c>
      <c r="M1798">
        <f>1/(COUNT(SimData1000!$C$9:$C$1008)-1)+$M$1797</f>
        <v>0.78878878878877756</v>
      </c>
    </row>
    <row r="1799" spans="10:13">
      <c r="J1799">
        <f>SMALL(SimData1000!$B$9:$B$1008,790)</f>
        <v>0.78905478110445071</v>
      </c>
      <c r="K1799">
        <f>1/(COUNT(SimData1000!$B$9:$B$1008)-1)+$K$1798</f>
        <v>0.78978978978977854</v>
      </c>
      <c r="L1799">
        <f>SMALL(SimData1000!$C$9:$C$1008,790)</f>
        <v>0.79650574645165761</v>
      </c>
      <c r="M1799">
        <f>1/(COUNT(SimData1000!$C$9:$C$1008)-1)+$M$1798</f>
        <v>0.78978978978977854</v>
      </c>
    </row>
    <row r="1800" spans="10:13">
      <c r="J1800">
        <f>SMALL(SimData1000!$B$9:$B$1008,791)</f>
        <v>0.79004499460781108</v>
      </c>
      <c r="K1800">
        <f>1/(COUNT(SimData1000!$B$9:$B$1008)-1)+$K$1799</f>
        <v>0.79079079079077952</v>
      </c>
      <c r="L1800">
        <f>SMALL(SimData1000!$C$9:$C$1008,791)</f>
        <v>0.79679797752760351</v>
      </c>
      <c r="M1800">
        <f>1/(COUNT(SimData1000!$C$9:$C$1008)-1)+$M$1799</f>
        <v>0.79079079079077952</v>
      </c>
    </row>
    <row r="1801" spans="10:13">
      <c r="J1801">
        <f>SMALL(SimData1000!$B$9:$B$1008,792)</f>
        <v>0.79156896766684226</v>
      </c>
      <c r="K1801">
        <f>1/(COUNT(SimData1000!$B$9:$B$1008)-1)+$K$1800</f>
        <v>0.7917917917917805</v>
      </c>
      <c r="L1801">
        <f>SMALL(SimData1000!$C$9:$C$1008,792)</f>
        <v>0.80054947831922618</v>
      </c>
      <c r="M1801">
        <f>1/(COUNT(SimData1000!$C$9:$C$1008)-1)+$M$1800</f>
        <v>0.7917917917917805</v>
      </c>
    </row>
    <row r="1802" spans="10:13">
      <c r="J1802">
        <f>SMALL(SimData1000!$B$9:$B$1008,793)</f>
        <v>0.79294443937203485</v>
      </c>
      <c r="K1802">
        <f>1/(COUNT(SimData1000!$B$9:$B$1008)-1)+$K$1801</f>
        <v>0.79279279279278148</v>
      </c>
      <c r="L1802">
        <f>SMALL(SimData1000!$C$9:$C$1008,793)</f>
        <v>0.80076939302671235</v>
      </c>
      <c r="M1802">
        <f>1/(COUNT(SimData1000!$C$9:$C$1008)-1)+$M$1801</f>
        <v>0.79279279279278148</v>
      </c>
    </row>
    <row r="1803" spans="10:13">
      <c r="J1803">
        <f>SMALL(SimData1000!$B$9:$B$1008,794)</f>
        <v>0.79398011130652857</v>
      </c>
      <c r="K1803">
        <f>1/(COUNT(SimData1000!$B$9:$B$1008)-1)+$K$1802</f>
        <v>0.79379379379378245</v>
      </c>
      <c r="L1803">
        <f>SMALL(SimData1000!$C$9:$C$1008,794)</f>
        <v>0.80219974133251526</v>
      </c>
      <c r="M1803">
        <f>1/(COUNT(SimData1000!$C$9:$C$1008)-1)+$M$1802</f>
        <v>0.79379379379378245</v>
      </c>
    </row>
    <row r="1804" spans="10:13">
      <c r="J1804">
        <f>SMALL(SimData1000!$B$9:$B$1008,795)</f>
        <v>0.79458390560806358</v>
      </c>
      <c r="K1804">
        <f>1/(COUNT(SimData1000!$B$9:$B$1008)-1)+$K$1803</f>
        <v>0.79479479479478343</v>
      </c>
      <c r="L1804">
        <f>SMALL(SimData1000!$C$9:$C$1008,795)</f>
        <v>0.80304482507017383</v>
      </c>
      <c r="M1804">
        <f>1/(COUNT(SimData1000!$C$9:$C$1008)-1)+$M$1803</f>
        <v>0.79479479479478343</v>
      </c>
    </row>
    <row r="1805" spans="10:13">
      <c r="J1805">
        <f>SMALL(SimData1000!$B$9:$B$1008,796)</f>
        <v>0.79570019084115051</v>
      </c>
      <c r="K1805">
        <f>1/(COUNT(SimData1000!$B$9:$B$1008)-1)+$K$1804</f>
        <v>0.79579579579578441</v>
      </c>
      <c r="L1805">
        <f>SMALL(SimData1000!$C$9:$C$1008,796)</f>
        <v>0.80517359230179864</v>
      </c>
      <c r="M1805">
        <f>1/(COUNT(SimData1000!$C$9:$C$1008)-1)+$M$1804</f>
        <v>0.79579579579578441</v>
      </c>
    </row>
    <row r="1806" spans="10:13">
      <c r="J1806">
        <f>SMALL(SimData1000!$B$9:$B$1008,797)</f>
        <v>0.79690081931811307</v>
      </c>
      <c r="K1806">
        <f>1/(COUNT(SimData1000!$B$9:$B$1008)-1)+$K$1805</f>
        <v>0.79679679679678539</v>
      </c>
      <c r="L1806">
        <f>SMALL(SimData1000!$C$9:$C$1008,797)</f>
        <v>0.80799527003910043</v>
      </c>
      <c r="M1806">
        <f>1/(COUNT(SimData1000!$C$9:$C$1008)-1)+$M$1805</f>
        <v>0.79679679679678539</v>
      </c>
    </row>
    <row r="1807" spans="10:13">
      <c r="J1807">
        <f>SMALL(SimData1000!$B$9:$B$1008,798)</f>
        <v>0.797973428751103</v>
      </c>
      <c r="K1807">
        <f>1/(COUNT(SimData1000!$B$9:$B$1008)-1)+$K$1806</f>
        <v>0.79779779779778637</v>
      </c>
      <c r="L1807">
        <f>SMALL(SimData1000!$C$9:$C$1008,798)</f>
        <v>0.80859353302548698</v>
      </c>
      <c r="M1807">
        <f>1/(COUNT(SimData1000!$C$9:$C$1008)-1)+$M$1806</f>
        <v>0.79779779779778637</v>
      </c>
    </row>
    <row r="1808" spans="10:13">
      <c r="J1808">
        <f>SMALL(SimData1000!$B$9:$B$1008,799)</f>
        <v>0.79878780607897504</v>
      </c>
      <c r="K1808">
        <f>1/(COUNT(SimData1000!$B$9:$B$1008)-1)+$K$1807</f>
        <v>0.79879879879878735</v>
      </c>
      <c r="L1808">
        <f>SMALL(SimData1000!$C$9:$C$1008,799)</f>
        <v>0.80948647834884468</v>
      </c>
      <c r="M1808">
        <f>1/(COUNT(SimData1000!$C$9:$C$1008)-1)+$M$1807</f>
        <v>0.79879879879878735</v>
      </c>
    </row>
    <row r="1809" spans="10:13">
      <c r="J1809">
        <f>SMALL(SimData1000!$B$9:$B$1008,800)</f>
        <v>0.79940450556608944</v>
      </c>
      <c r="K1809">
        <f>1/(COUNT(SimData1000!$B$9:$B$1008)-1)+$K$1808</f>
        <v>0.79979979979978832</v>
      </c>
      <c r="L1809">
        <f>SMALL(SimData1000!$C$9:$C$1008,800)</f>
        <v>0.8095872410958691</v>
      </c>
      <c r="M1809">
        <f>1/(COUNT(SimData1000!$C$9:$C$1008)-1)+$M$1808</f>
        <v>0.79979979979978832</v>
      </c>
    </row>
    <row r="1810" spans="10:13">
      <c r="J1810">
        <f>SMALL(SimData1000!$B$9:$B$1008,801)</f>
        <v>0.80090316801213268</v>
      </c>
      <c r="K1810">
        <f>1/(COUNT(SimData1000!$B$9:$B$1008)-1)+$K$1809</f>
        <v>0.8008008008007893</v>
      </c>
      <c r="L1810">
        <f>SMALL(SimData1000!$C$9:$C$1008,801)</f>
        <v>0.8098844990336147</v>
      </c>
      <c r="M1810">
        <f>1/(COUNT(SimData1000!$C$9:$C$1008)-1)+$M$1809</f>
        <v>0.8008008008007893</v>
      </c>
    </row>
    <row r="1811" spans="10:13">
      <c r="J1811">
        <f>SMALL(SimData1000!$B$9:$B$1008,802)</f>
        <v>0.80162534071473068</v>
      </c>
      <c r="K1811">
        <f>1/(COUNT(SimData1000!$B$9:$B$1008)-1)+$K$1810</f>
        <v>0.80180180180179028</v>
      </c>
      <c r="L1811">
        <f>SMALL(SimData1000!$C$9:$C$1008,802)</f>
        <v>0.8117268876549133</v>
      </c>
      <c r="M1811">
        <f>1/(COUNT(SimData1000!$C$9:$C$1008)-1)+$M$1810</f>
        <v>0.80180180180179028</v>
      </c>
    </row>
    <row r="1812" spans="10:13">
      <c r="J1812">
        <f>SMALL(SimData1000!$B$9:$B$1008,803)</f>
        <v>0.80219729587766275</v>
      </c>
      <c r="K1812">
        <f>1/(COUNT(SimData1000!$B$9:$B$1008)-1)+$K$1811</f>
        <v>0.80280280280279126</v>
      </c>
      <c r="L1812">
        <f>SMALL(SimData1000!$C$9:$C$1008,803)</f>
        <v>0.81190988582056889</v>
      </c>
      <c r="M1812">
        <f>1/(COUNT(SimData1000!$C$9:$C$1008)-1)+$M$1811</f>
        <v>0.80280280280279126</v>
      </c>
    </row>
    <row r="1813" spans="10:13">
      <c r="J1813">
        <f>SMALL(SimData1000!$B$9:$B$1008,804)</f>
        <v>0.80370066847598665</v>
      </c>
      <c r="K1813">
        <f>1/(COUNT(SimData1000!$B$9:$B$1008)-1)+$K$1812</f>
        <v>0.80380380380379224</v>
      </c>
      <c r="L1813">
        <f>SMALL(SimData1000!$C$9:$C$1008,804)</f>
        <v>0.81255155289909453</v>
      </c>
      <c r="M1813">
        <f>1/(COUNT(SimData1000!$C$9:$C$1008)-1)+$M$1812</f>
        <v>0.80380380380379224</v>
      </c>
    </row>
    <row r="1814" spans="10:13">
      <c r="J1814">
        <f>SMALL(SimData1000!$B$9:$B$1008,805)</f>
        <v>0.80424438417731881</v>
      </c>
      <c r="K1814">
        <f>1/(COUNT(SimData1000!$B$9:$B$1008)-1)+$K$1813</f>
        <v>0.80480480480479322</v>
      </c>
      <c r="L1814">
        <f>SMALL(SimData1000!$C$9:$C$1008,805)</f>
        <v>0.81316905278799823</v>
      </c>
      <c r="M1814">
        <f>1/(COUNT(SimData1000!$C$9:$C$1008)-1)+$M$1813</f>
        <v>0.80480480480479322</v>
      </c>
    </row>
    <row r="1815" spans="10:13">
      <c r="J1815">
        <f>SMALL(SimData1000!$B$9:$B$1008,806)</f>
        <v>0.80599260605918077</v>
      </c>
      <c r="K1815">
        <f>1/(COUNT(SimData1000!$B$9:$B$1008)-1)+$K$1814</f>
        <v>0.8058058058057942</v>
      </c>
      <c r="L1815">
        <f>SMALL(SimData1000!$C$9:$C$1008,806)</f>
        <v>0.81468572247740667</v>
      </c>
      <c r="M1815">
        <f>1/(COUNT(SimData1000!$C$9:$C$1008)-1)+$M$1814</f>
        <v>0.8058058058057942</v>
      </c>
    </row>
    <row r="1816" spans="10:13">
      <c r="J1816">
        <f>SMALL(SimData1000!$B$9:$B$1008,807)</f>
        <v>0.80671661451382493</v>
      </c>
      <c r="K1816">
        <f>1/(COUNT(SimData1000!$B$9:$B$1008)-1)+$K$1815</f>
        <v>0.80680680680679517</v>
      </c>
      <c r="L1816">
        <f>SMALL(SimData1000!$C$9:$C$1008,807)</f>
        <v>0.81613439558077516</v>
      </c>
      <c r="M1816">
        <f>1/(COUNT(SimData1000!$C$9:$C$1008)-1)+$M$1815</f>
        <v>0.80680680680679517</v>
      </c>
    </row>
    <row r="1817" spans="10:13">
      <c r="J1817">
        <f>SMALL(SimData1000!$B$9:$B$1008,808)</f>
        <v>0.80723243399714872</v>
      </c>
      <c r="K1817">
        <f>1/(COUNT(SimData1000!$B$9:$B$1008)-1)+$K$1816</f>
        <v>0.80780780780779615</v>
      </c>
      <c r="L1817">
        <f>SMALL(SimData1000!$C$9:$C$1008,808)</f>
        <v>0.81685195036970981</v>
      </c>
      <c r="M1817">
        <f>1/(COUNT(SimData1000!$C$9:$C$1008)-1)+$M$1816</f>
        <v>0.80780780780779615</v>
      </c>
    </row>
    <row r="1818" spans="10:13">
      <c r="J1818">
        <f>SMALL(SimData1000!$B$9:$B$1008,809)</f>
        <v>0.80884301831266914</v>
      </c>
      <c r="K1818">
        <f>1/(COUNT(SimData1000!$B$9:$B$1008)-1)+$K$1817</f>
        <v>0.80880880880879713</v>
      </c>
      <c r="L1818">
        <f>SMALL(SimData1000!$C$9:$C$1008,809)</f>
        <v>0.81922624388971599</v>
      </c>
      <c r="M1818">
        <f>1/(COUNT(SimData1000!$C$9:$C$1008)-1)+$M$1817</f>
        <v>0.80880880880879713</v>
      </c>
    </row>
    <row r="1819" spans="10:13">
      <c r="J1819">
        <f>SMALL(SimData1000!$B$9:$B$1008,810)</f>
        <v>0.80976839755586549</v>
      </c>
      <c r="K1819">
        <f>1/(COUNT(SimData1000!$B$9:$B$1008)-1)+$K$1818</f>
        <v>0.80980980980979811</v>
      </c>
      <c r="L1819">
        <f>SMALL(SimData1000!$C$9:$C$1008,810)</f>
        <v>0.81984975390150794</v>
      </c>
      <c r="M1819">
        <f>1/(COUNT(SimData1000!$C$9:$C$1008)-1)+$M$1818</f>
        <v>0.80980980980979811</v>
      </c>
    </row>
    <row r="1820" spans="10:13">
      <c r="J1820">
        <f>SMALL(SimData1000!$B$9:$B$1008,811)</f>
        <v>0.81079361179605902</v>
      </c>
      <c r="K1820">
        <f>1/(COUNT(SimData1000!$B$9:$B$1008)-1)+$K$1819</f>
        <v>0.81081081081079909</v>
      </c>
      <c r="L1820">
        <f>SMALL(SimData1000!$C$9:$C$1008,811)</f>
        <v>0.82014801379682467</v>
      </c>
      <c r="M1820">
        <f>1/(COUNT(SimData1000!$C$9:$C$1008)-1)+$M$1819</f>
        <v>0.81081081081079909</v>
      </c>
    </row>
    <row r="1821" spans="10:13">
      <c r="J1821">
        <f>SMALL(SimData1000!$B$9:$B$1008,812)</f>
        <v>0.81142427718486276</v>
      </c>
      <c r="K1821">
        <f>1/(COUNT(SimData1000!$B$9:$B$1008)-1)+$K$1820</f>
        <v>0.81181181181180007</v>
      </c>
      <c r="L1821">
        <f>SMALL(SimData1000!$C$9:$C$1008,812)</f>
        <v>0.82021759657709481</v>
      </c>
      <c r="M1821">
        <f>1/(COUNT(SimData1000!$C$9:$C$1008)-1)+$M$1820</f>
        <v>0.81181181181180007</v>
      </c>
    </row>
    <row r="1822" spans="10:13">
      <c r="J1822">
        <f>SMALL(SimData1000!$B$9:$B$1008,813)</f>
        <v>0.8128006701706445</v>
      </c>
      <c r="K1822">
        <f>1/(COUNT(SimData1000!$B$9:$B$1008)-1)+$K$1821</f>
        <v>0.81281281281280104</v>
      </c>
      <c r="L1822">
        <f>SMALL(SimData1000!$C$9:$C$1008,813)</f>
        <v>0.82153051697241608</v>
      </c>
      <c r="M1822">
        <f>1/(COUNT(SimData1000!$C$9:$C$1008)-1)+$M$1821</f>
        <v>0.81281281281280104</v>
      </c>
    </row>
    <row r="1823" spans="10:13">
      <c r="J1823">
        <f>SMALL(SimData1000!$B$9:$B$1008,814)</f>
        <v>0.81329051150085652</v>
      </c>
      <c r="K1823">
        <f>1/(COUNT(SimData1000!$B$9:$B$1008)-1)+$K$1822</f>
        <v>0.81381381381380202</v>
      </c>
      <c r="L1823">
        <f>SMALL(SimData1000!$C$9:$C$1008,814)</f>
        <v>0.82215299775270978</v>
      </c>
      <c r="M1823">
        <f>1/(COUNT(SimData1000!$C$9:$C$1008)-1)+$M$1822</f>
        <v>0.81381381381380202</v>
      </c>
    </row>
    <row r="1824" spans="10:13">
      <c r="J1824">
        <f>SMALL(SimData1000!$B$9:$B$1008,815)</f>
        <v>0.8140072457133809</v>
      </c>
      <c r="K1824">
        <f>1/(COUNT(SimData1000!$B$9:$B$1008)-1)+$K$1823</f>
        <v>0.814814814814803</v>
      </c>
      <c r="L1824">
        <f>SMALL(SimData1000!$C$9:$C$1008,815)</f>
        <v>0.82225276733333885</v>
      </c>
      <c r="M1824">
        <f>1/(COUNT(SimData1000!$C$9:$C$1008)-1)+$M$1823</f>
        <v>0.814814814814803</v>
      </c>
    </row>
    <row r="1825" spans="10:13">
      <c r="J1825">
        <f>SMALL(SimData1000!$B$9:$B$1008,816)</f>
        <v>0.815377174692549</v>
      </c>
      <c r="K1825">
        <f>1/(COUNT(SimData1000!$B$9:$B$1008)-1)+$K$1824</f>
        <v>0.81581581581580398</v>
      </c>
      <c r="L1825">
        <f>SMALL(SimData1000!$C$9:$C$1008,816)</f>
        <v>0.82268778862271574</v>
      </c>
      <c r="M1825">
        <f>1/(COUNT(SimData1000!$C$9:$C$1008)-1)+$M$1824</f>
        <v>0.81581581581580398</v>
      </c>
    </row>
    <row r="1826" spans="10:13">
      <c r="J1826">
        <f>SMALL(SimData1000!$B$9:$B$1008,817)</f>
        <v>0.81630017578003466</v>
      </c>
      <c r="K1826">
        <f>1/(COUNT(SimData1000!$B$9:$B$1008)-1)+$K$1825</f>
        <v>0.81681681681680496</v>
      </c>
      <c r="L1826">
        <f>SMALL(SimData1000!$C$9:$C$1008,817)</f>
        <v>0.82277865856576682</v>
      </c>
      <c r="M1826">
        <f>1/(COUNT(SimData1000!$C$9:$C$1008)-1)+$M$1825</f>
        <v>0.81681681681680496</v>
      </c>
    </row>
    <row r="1827" spans="10:13">
      <c r="J1827">
        <f>SMALL(SimData1000!$B$9:$B$1008,818)</f>
        <v>0.81768407012794264</v>
      </c>
      <c r="K1827">
        <f>1/(COUNT(SimData1000!$B$9:$B$1008)-1)+$K$1826</f>
        <v>0.81781781781780594</v>
      </c>
      <c r="L1827">
        <f>SMALL(SimData1000!$C$9:$C$1008,818)</f>
        <v>0.8258204758994907</v>
      </c>
      <c r="M1827">
        <f>1/(COUNT(SimData1000!$C$9:$C$1008)-1)+$M$1826</f>
        <v>0.81781781781780594</v>
      </c>
    </row>
    <row r="1828" spans="10:13">
      <c r="J1828">
        <f>SMALL(SimData1000!$B$9:$B$1008,819)</f>
        <v>0.8183560606074417</v>
      </c>
      <c r="K1828">
        <f>1/(COUNT(SimData1000!$B$9:$B$1008)-1)+$K$1827</f>
        <v>0.81881881881880691</v>
      </c>
      <c r="L1828">
        <f>SMALL(SimData1000!$C$9:$C$1008,819)</f>
        <v>0.82673560678995273</v>
      </c>
      <c r="M1828">
        <f>1/(COUNT(SimData1000!$C$9:$C$1008)-1)+$M$1827</f>
        <v>0.81881881881880691</v>
      </c>
    </row>
    <row r="1829" spans="10:13">
      <c r="J1829">
        <f>SMALL(SimData1000!$B$9:$B$1008,820)</f>
        <v>0.81903209509258912</v>
      </c>
      <c r="K1829">
        <f>1/(COUNT(SimData1000!$B$9:$B$1008)-1)+$K$1828</f>
        <v>0.81981981981980789</v>
      </c>
      <c r="L1829">
        <f>SMALL(SimData1000!$C$9:$C$1008,820)</f>
        <v>0.82695138258441148</v>
      </c>
      <c r="M1829">
        <f>1/(COUNT(SimData1000!$C$9:$C$1008)-1)+$M$1828</f>
        <v>0.81981981981980789</v>
      </c>
    </row>
    <row r="1830" spans="10:13">
      <c r="J1830">
        <f>SMALL(SimData1000!$B$9:$B$1008,821)</f>
        <v>0.820460273954426</v>
      </c>
      <c r="K1830">
        <f>1/(COUNT(SimData1000!$B$9:$B$1008)-1)+$K$1829</f>
        <v>0.82082082082080887</v>
      </c>
      <c r="L1830">
        <f>SMALL(SimData1000!$C$9:$C$1008,821)</f>
        <v>0.82747371812001802</v>
      </c>
      <c r="M1830">
        <f>1/(COUNT(SimData1000!$C$9:$C$1008)-1)+$M$1829</f>
        <v>0.82082082082080887</v>
      </c>
    </row>
    <row r="1831" spans="10:13">
      <c r="J1831">
        <f>SMALL(SimData1000!$B$9:$B$1008,822)</f>
        <v>0.82173646049125504</v>
      </c>
      <c r="K1831">
        <f>1/(COUNT(SimData1000!$B$9:$B$1008)-1)+$K$1830</f>
        <v>0.82182182182180985</v>
      </c>
      <c r="L1831">
        <f>SMALL(SimData1000!$C$9:$C$1008,822)</f>
        <v>0.82919368332477461</v>
      </c>
      <c r="M1831">
        <f>1/(COUNT(SimData1000!$C$9:$C$1008)-1)+$M$1830</f>
        <v>0.82182182182180985</v>
      </c>
    </row>
    <row r="1832" spans="10:13">
      <c r="J1832">
        <f>SMALL(SimData1000!$B$9:$B$1008,823)</f>
        <v>0.8223835633661094</v>
      </c>
      <c r="K1832">
        <f>1/(COUNT(SimData1000!$B$9:$B$1008)-1)+$K$1831</f>
        <v>0.82282282282281083</v>
      </c>
      <c r="L1832">
        <f>SMALL(SimData1000!$C$9:$C$1008,823)</f>
        <v>0.83055945326306713</v>
      </c>
      <c r="M1832">
        <f>1/(COUNT(SimData1000!$C$9:$C$1008)-1)+$M$1831</f>
        <v>0.82282282282281083</v>
      </c>
    </row>
    <row r="1833" spans="10:13">
      <c r="J1833">
        <f>SMALL(SimData1000!$B$9:$B$1008,824)</f>
        <v>0.82306367658056867</v>
      </c>
      <c r="K1833">
        <f>1/(COUNT(SimData1000!$B$9:$B$1008)-1)+$K$1832</f>
        <v>0.82382382382381181</v>
      </c>
      <c r="L1833">
        <f>SMALL(SimData1000!$C$9:$C$1008,824)</f>
        <v>0.83062750261797191</v>
      </c>
      <c r="M1833">
        <f>1/(COUNT(SimData1000!$C$9:$C$1008)-1)+$M$1832</f>
        <v>0.82382382382381181</v>
      </c>
    </row>
    <row r="1834" spans="10:13">
      <c r="J1834">
        <f>SMALL(SimData1000!$B$9:$B$1008,825)</f>
        <v>0.82465082827504976</v>
      </c>
      <c r="K1834">
        <f>1/(COUNT(SimData1000!$B$9:$B$1008)-1)+$K$1833</f>
        <v>0.82482482482481279</v>
      </c>
      <c r="L1834">
        <f>SMALL(SimData1000!$C$9:$C$1008,825)</f>
        <v>0.83100903702688811</v>
      </c>
      <c r="M1834">
        <f>1/(COUNT(SimData1000!$C$9:$C$1008)-1)+$M$1833</f>
        <v>0.82482482482481279</v>
      </c>
    </row>
    <row r="1835" spans="10:13">
      <c r="J1835">
        <f>SMALL(SimData1000!$B$9:$B$1008,826)</f>
        <v>0.82547854607656568</v>
      </c>
      <c r="K1835">
        <f>1/(COUNT(SimData1000!$B$9:$B$1008)-1)+$K$1834</f>
        <v>0.82582582582581376</v>
      </c>
      <c r="L1835">
        <f>SMALL(SimData1000!$C$9:$C$1008,826)</f>
        <v>0.83105477192475519</v>
      </c>
      <c r="M1835">
        <f>1/(COUNT(SimData1000!$C$9:$C$1008)-1)+$M$1834</f>
        <v>0.82582582582581376</v>
      </c>
    </row>
    <row r="1836" spans="10:13">
      <c r="J1836">
        <f>SMALL(SimData1000!$B$9:$B$1008,827)</f>
        <v>0.82616658653695285</v>
      </c>
      <c r="K1836">
        <f>1/(COUNT(SimData1000!$B$9:$B$1008)-1)+$K$1835</f>
        <v>0.82682682682681474</v>
      </c>
      <c r="L1836">
        <f>SMALL(SimData1000!$C$9:$C$1008,827)</f>
        <v>0.83170917319330329</v>
      </c>
      <c r="M1836">
        <f>1/(COUNT(SimData1000!$C$9:$C$1008)-1)+$M$1835</f>
        <v>0.82682682682681474</v>
      </c>
    </row>
    <row r="1837" spans="10:13">
      <c r="J1837">
        <f>SMALL(SimData1000!$B$9:$B$1008,828)</f>
        <v>0.82744814914382259</v>
      </c>
      <c r="K1837">
        <f>1/(COUNT(SimData1000!$B$9:$B$1008)-1)+$K$1836</f>
        <v>0.82782782782781572</v>
      </c>
      <c r="L1837">
        <f>SMALL(SimData1000!$C$9:$C$1008,828)</f>
        <v>0.83228986097130075</v>
      </c>
      <c r="M1837">
        <f>1/(COUNT(SimData1000!$C$9:$C$1008)-1)+$M$1836</f>
        <v>0.82782782782781572</v>
      </c>
    </row>
    <row r="1838" spans="10:13">
      <c r="J1838">
        <f>SMALL(SimData1000!$B$9:$B$1008,829)</f>
        <v>0.82847187641506825</v>
      </c>
      <c r="K1838">
        <f>1/(COUNT(SimData1000!$B$9:$B$1008)-1)+$K$1837</f>
        <v>0.8288288288288167</v>
      </c>
      <c r="L1838">
        <f>SMALL(SimData1000!$C$9:$C$1008,829)</f>
        <v>0.83330718954312033</v>
      </c>
      <c r="M1838">
        <f>1/(COUNT(SimData1000!$C$9:$C$1008)-1)+$M$1837</f>
        <v>0.8288288288288167</v>
      </c>
    </row>
    <row r="1839" spans="10:13">
      <c r="J1839">
        <f>SMALL(SimData1000!$B$9:$B$1008,830)</f>
        <v>0.8294840507918233</v>
      </c>
      <c r="K1839">
        <f>1/(COUNT(SimData1000!$B$9:$B$1008)-1)+$K$1838</f>
        <v>0.82982982982981768</v>
      </c>
      <c r="L1839">
        <f>SMALL(SimData1000!$C$9:$C$1008,830)</f>
        <v>0.83458201761095552</v>
      </c>
      <c r="M1839">
        <f>1/(COUNT(SimData1000!$C$9:$C$1008)-1)+$M$1838</f>
        <v>0.82982982982981768</v>
      </c>
    </row>
    <row r="1840" spans="10:13">
      <c r="J1840">
        <f>SMALL(SimData1000!$B$9:$B$1008,831)</f>
        <v>0.83071599971542964</v>
      </c>
      <c r="K1840">
        <f>1/(COUNT(SimData1000!$B$9:$B$1008)-1)+$K$1839</f>
        <v>0.83083083083081866</v>
      </c>
      <c r="L1840">
        <f>SMALL(SimData1000!$C$9:$C$1008,831)</f>
        <v>0.83618771260080393</v>
      </c>
      <c r="M1840">
        <f>1/(COUNT(SimData1000!$C$9:$C$1008)-1)+$M$1839</f>
        <v>0.83083083083081866</v>
      </c>
    </row>
    <row r="1841" spans="10:13">
      <c r="J1841">
        <f>SMALL(SimData1000!$B$9:$B$1008,832)</f>
        <v>0.83117822658763696</v>
      </c>
      <c r="K1841">
        <f>1/(COUNT(SimData1000!$B$9:$B$1008)-1)+$K$1840</f>
        <v>0.83183183183181963</v>
      </c>
      <c r="L1841">
        <f>SMALL(SimData1000!$C$9:$C$1008,832)</f>
        <v>0.83640567773454677</v>
      </c>
      <c r="M1841">
        <f>1/(COUNT(SimData1000!$C$9:$C$1008)-1)+$M$1840</f>
        <v>0.83183183183181963</v>
      </c>
    </row>
    <row r="1842" spans="10:13">
      <c r="J1842">
        <f>SMALL(SimData1000!$B$9:$B$1008,833)</f>
        <v>0.8322705911223941</v>
      </c>
      <c r="K1842">
        <f>1/(COUNT(SimData1000!$B$9:$B$1008)-1)+$K$1841</f>
        <v>0.83283283283282061</v>
      </c>
      <c r="L1842">
        <f>SMALL(SimData1000!$C$9:$C$1008,833)</f>
        <v>0.83651759474105347</v>
      </c>
      <c r="M1842">
        <f>1/(COUNT(SimData1000!$C$9:$C$1008)-1)+$M$1841</f>
        <v>0.83283283283282061</v>
      </c>
    </row>
    <row r="1843" spans="10:13">
      <c r="J1843">
        <f>SMALL(SimData1000!$B$9:$B$1008,834)</f>
        <v>0.83310249808107095</v>
      </c>
      <c r="K1843">
        <f>1/(COUNT(SimData1000!$B$9:$B$1008)-1)+$K$1842</f>
        <v>0.83383383383382159</v>
      </c>
      <c r="L1843">
        <f>SMALL(SimData1000!$C$9:$C$1008,834)</f>
        <v>0.83680124634338426</v>
      </c>
      <c r="M1843">
        <f>1/(COUNT(SimData1000!$C$9:$C$1008)-1)+$M$1842</f>
        <v>0.83383383383382159</v>
      </c>
    </row>
    <row r="1844" spans="10:13">
      <c r="J1844">
        <f>SMALL(SimData1000!$B$9:$B$1008,835)</f>
        <v>0.8345044482856766</v>
      </c>
      <c r="K1844">
        <f>1/(COUNT(SimData1000!$B$9:$B$1008)-1)+$K$1843</f>
        <v>0.83483483483482257</v>
      </c>
      <c r="L1844">
        <f>SMALL(SimData1000!$C$9:$C$1008,835)</f>
        <v>0.83691953719699086</v>
      </c>
      <c r="M1844">
        <f>1/(COUNT(SimData1000!$C$9:$C$1008)-1)+$M$1843</f>
        <v>0.83483483483482257</v>
      </c>
    </row>
    <row r="1845" spans="10:13">
      <c r="J1845">
        <f>SMALL(SimData1000!$B$9:$B$1008,836)</f>
        <v>0.83549852856004114</v>
      </c>
      <c r="K1845">
        <f>1/(COUNT(SimData1000!$B$9:$B$1008)-1)+$K$1844</f>
        <v>0.83583583583582355</v>
      </c>
      <c r="L1845">
        <f>SMALL(SimData1000!$C$9:$C$1008,836)</f>
        <v>0.84175409339650287</v>
      </c>
      <c r="M1845">
        <f>1/(COUNT(SimData1000!$C$9:$C$1008)-1)+$M$1844</f>
        <v>0.83583583583582355</v>
      </c>
    </row>
    <row r="1846" spans="10:13">
      <c r="J1846">
        <f>SMALL(SimData1000!$B$9:$B$1008,837)</f>
        <v>0.83684335791292674</v>
      </c>
      <c r="K1846">
        <f>1/(COUNT(SimData1000!$B$9:$B$1008)-1)+$K$1845</f>
        <v>0.83683683683682453</v>
      </c>
      <c r="L1846">
        <f>SMALL(SimData1000!$C$9:$C$1008,837)</f>
        <v>0.84304602224801783</v>
      </c>
      <c r="M1846">
        <f>1/(COUNT(SimData1000!$C$9:$C$1008)-1)+$M$1845</f>
        <v>0.83683683683682453</v>
      </c>
    </row>
    <row r="1847" spans="10:13">
      <c r="J1847">
        <f>SMALL(SimData1000!$B$9:$B$1008,838)</f>
        <v>0.83773341216303721</v>
      </c>
      <c r="K1847">
        <f>1/(COUNT(SimData1000!$B$9:$B$1008)-1)+$K$1846</f>
        <v>0.83783783783782551</v>
      </c>
      <c r="L1847">
        <f>SMALL(SimData1000!$C$9:$C$1008,838)</f>
        <v>0.84471882810612442</v>
      </c>
      <c r="M1847">
        <f>1/(COUNT(SimData1000!$C$9:$C$1008)-1)+$M$1846</f>
        <v>0.83783783783782551</v>
      </c>
    </row>
    <row r="1848" spans="10:13">
      <c r="J1848">
        <f>SMALL(SimData1000!$B$9:$B$1008,839)</f>
        <v>0.8383281019777824</v>
      </c>
      <c r="K1848">
        <f>1/(COUNT(SimData1000!$B$9:$B$1008)-1)+$K$1847</f>
        <v>0.83883883883882648</v>
      </c>
      <c r="L1848">
        <f>SMALL(SimData1000!$C$9:$C$1008,839)</f>
        <v>0.8449904979834173</v>
      </c>
      <c r="M1848">
        <f>1/(COUNT(SimData1000!$C$9:$C$1008)-1)+$M$1847</f>
        <v>0.83883883883882648</v>
      </c>
    </row>
    <row r="1849" spans="10:13">
      <c r="J1849">
        <f>SMALL(SimData1000!$B$9:$B$1008,840)</f>
        <v>0.8396117284026956</v>
      </c>
      <c r="K1849">
        <f>1/(COUNT(SimData1000!$B$9:$B$1008)-1)+$K$1848</f>
        <v>0.83983983983982746</v>
      </c>
      <c r="L1849">
        <f>SMALL(SimData1000!$C$9:$C$1008,840)</f>
        <v>0.84625704393693013</v>
      </c>
      <c r="M1849">
        <f>1/(COUNT(SimData1000!$C$9:$C$1008)-1)+$M$1848</f>
        <v>0.83983983983982746</v>
      </c>
    </row>
    <row r="1850" spans="10:13">
      <c r="J1850">
        <f>SMALL(SimData1000!$B$9:$B$1008,841)</f>
        <v>0.84064736190197231</v>
      </c>
      <c r="K1850">
        <f>1/(COUNT(SimData1000!$B$9:$B$1008)-1)+$K$1849</f>
        <v>0.84084084084082844</v>
      </c>
      <c r="L1850">
        <f>SMALL(SimData1000!$C$9:$C$1008,841)</f>
        <v>0.84679934702035098</v>
      </c>
      <c r="M1850">
        <f>1/(COUNT(SimData1000!$C$9:$C$1008)-1)+$M$1849</f>
        <v>0.84084084084082844</v>
      </c>
    </row>
    <row r="1851" spans="10:13">
      <c r="J1851">
        <f>SMALL(SimData1000!$B$9:$B$1008,842)</f>
        <v>0.84110063018605596</v>
      </c>
      <c r="K1851">
        <f>1/(COUNT(SimData1000!$B$9:$B$1008)-1)+$K$1850</f>
        <v>0.84184184184182942</v>
      </c>
      <c r="L1851">
        <f>SMALL(SimData1000!$C$9:$C$1008,842)</f>
        <v>0.8475030132676693</v>
      </c>
      <c r="M1851">
        <f>1/(COUNT(SimData1000!$C$9:$C$1008)-1)+$M$1850</f>
        <v>0.84184184184182942</v>
      </c>
    </row>
    <row r="1852" spans="10:13">
      <c r="J1852">
        <f>SMALL(SimData1000!$B$9:$B$1008,843)</f>
        <v>0.84271620963483962</v>
      </c>
      <c r="K1852">
        <f>1/(COUNT(SimData1000!$B$9:$B$1008)-1)+$K$1851</f>
        <v>0.8428428428428304</v>
      </c>
      <c r="L1852">
        <f>SMALL(SimData1000!$C$9:$C$1008,843)</f>
        <v>0.84865515832552774</v>
      </c>
      <c r="M1852">
        <f>1/(COUNT(SimData1000!$C$9:$C$1008)-1)+$M$1851</f>
        <v>0.8428428428428304</v>
      </c>
    </row>
    <row r="1853" spans="10:13">
      <c r="J1853">
        <f>SMALL(SimData1000!$B$9:$B$1008,844)</f>
        <v>0.84357447832836185</v>
      </c>
      <c r="K1853">
        <f>1/(COUNT(SimData1000!$B$9:$B$1008)-1)+$K$1852</f>
        <v>0.84384384384383138</v>
      </c>
      <c r="L1853">
        <f>SMALL(SimData1000!$C$9:$C$1008,844)</f>
        <v>0.84949567095100065</v>
      </c>
      <c r="M1853">
        <f>1/(COUNT(SimData1000!$C$9:$C$1008)-1)+$M$1852</f>
        <v>0.84384384384383138</v>
      </c>
    </row>
    <row r="1854" spans="10:13">
      <c r="J1854">
        <f>SMALL(SimData1000!$B$9:$B$1008,845)</f>
        <v>0.84499831784726087</v>
      </c>
      <c r="K1854">
        <f>1/(COUNT(SimData1000!$B$9:$B$1008)-1)+$K$1853</f>
        <v>0.84484484484483235</v>
      </c>
      <c r="L1854">
        <f>SMALL(SimData1000!$C$9:$C$1008,845)</f>
        <v>0.85014557462318407</v>
      </c>
      <c r="M1854">
        <f>1/(COUNT(SimData1000!$C$9:$C$1008)-1)+$M$1853</f>
        <v>0.84484484484483235</v>
      </c>
    </row>
    <row r="1855" spans="10:13">
      <c r="J1855">
        <f>SMALL(SimData1000!$B$9:$B$1008,846)</f>
        <v>0.84543911404405692</v>
      </c>
      <c r="K1855">
        <f>1/(COUNT(SimData1000!$B$9:$B$1008)-1)+$K$1854</f>
        <v>0.84584584584583333</v>
      </c>
      <c r="L1855">
        <f>SMALL(SimData1000!$C$9:$C$1008,846)</f>
        <v>0.85026120443671971</v>
      </c>
      <c r="M1855">
        <f>1/(COUNT(SimData1000!$C$9:$C$1008)-1)+$M$1854</f>
        <v>0.84584584584583333</v>
      </c>
    </row>
    <row r="1856" spans="10:13">
      <c r="J1856">
        <f>SMALL(SimData1000!$B$9:$B$1008,847)</f>
        <v>0.84620181632675273</v>
      </c>
      <c r="K1856">
        <f>1/(COUNT(SimData1000!$B$9:$B$1008)-1)+$K$1855</f>
        <v>0.84684684684683431</v>
      </c>
      <c r="L1856">
        <f>SMALL(SimData1000!$C$9:$C$1008,847)</f>
        <v>0.85032806432539587</v>
      </c>
      <c r="M1856">
        <f>1/(COUNT(SimData1000!$C$9:$C$1008)-1)+$M$1855</f>
        <v>0.84684684684683431</v>
      </c>
    </row>
    <row r="1857" spans="10:13">
      <c r="J1857">
        <f>SMALL(SimData1000!$B$9:$B$1008,848)</f>
        <v>0.84731356619003073</v>
      </c>
      <c r="K1857">
        <f>1/(COUNT(SimData1000!$B$9:$B$1008)-1)+$K$1856</f>
        <v>0.84784784784783529</v>
      </c>
      <c r="L1857">
        <f>SMALL(SimData1000!$C$9:$C$1008,848)</f>
        <v>0.85039751319345669</v>
      </c>
      <c r="M1857">
        <f>1/(COUNT(SimData1000!$C$9:$C$1008)-1)+$M$1856</f>
        <v>0.84784784784783529</v>
      </c>
    </row>
    <row r="1858" spans="10:13">
      <c r="J1858">
        <f>SMALL(SimData1000!$B$9:$B$1008,849)</f>
        <v>0.84830035459653019</v>
      </c>
      <c r="K1858">
        <f>1/(COUNT(SimData1000!$B$9:$B$1008)-1)+$K$1857</f>
        <v>0.84884884884883627</v>
      </c>
      <c r="L1858">
        <f>SMALL(SimData1000!$C$9:$C$1008,849)</f>
        <v>0.8527877181822987</v>
      </c>
      <c r="M1858">
        <f>1/(COUNT(SimData1000!$C$9:$C$1008)-1)+$M$1857</f>
        <v>0.84884884884883627</v>
      </c>
    </row>
    <row r="1859" spans="10:13">
      <c r="J1859">
        <f>SMALL(SimData1000!$B$9:$B$1008,850)</f>
        <v>0.84901569791161824</v>
      </c>
      <c r="K1859">
        <f>1/(COUNT(SimData1000!$B$9:$B$1008)-1)+$K$1858</f>
        <v>0.84984984984983725</v>
      </c>
      <c r="L1859">
        <f>SMALL(SimData1000!$C$9:$C$1008,850)</f>
        <v>0.85373983755562222</v>
      </c>
      <c r="M1859">
        <f>1/(COUNT(SimData1000!$C$9:$C$1008)-1)+$M$1858</f>
        <v>0.84984984984983725</v>
      </c>
    </row>
    <row r="1860" spans="10:13">
      <c r="J1860">
        <f>SMALL(SimData1000!$B$9:$B$1008,851)</f>
        <v>0.85011595377165727</v>
      </c>
      <c r="K1860">
        <f>1/(COUNT(SimData1000!$B$9:$B$1008)-1)+$K$1859</f>
        <v>0.85085085085083823</v>
      </c>
      <c r="L1860">
        <f>SMALL(SimData1000!$C$9:$C$1008,851)</f>
        <v>0.85418413361003331</v>
      </c>
      <c r="M1860">
        <f>1/(COUNT(SimData1000!$C$9:$C$1008)-1)+$M$1859</f>
        <v>0.85085085085083823</v>
      </c>
    </row>
    <row r="1861" spans="10:13">
      <c r="J1861">
        <f>SMALL(SimData1000!$B$9:$B$1008,852)</f>
        <v>0.85171690261287536</v>
      </c>
      <c r="K1861">
        <f>1/(COUNT(SimData1000!$B$9:$B$1008)-1)+$K$1860</f>
        <v>0.8518518518518392</v>
      </c>
      <c r="L1861">
        <f>SMALL(SimData1000!$C$9:$C$1008,852)</f>
        <v>0.85488681614515372</v>
      </c>
      <c r="M1861">
        <f>1/(COUNT(SimData1000!$C$9:$C$1008)-1)+$M$1860</f>
        <v>0.8518518518518392</v>
      </c>
    </row>
    <row r="1862" spans="10:13">
      <c r="J1862">
        <f>SMALL(SimData1000!$B$9:$B$1008,853)</f>
        <v>0.85207374468587194</v>
      </c>
      <c r="K1862">
        <f>1/(COUNT(SimData1000!$B$9:$B$1008)-1)+$K$1861</f>
        <v>0.85285285285284018</v>
      </c>
      <c r="L1862">
        <f>SMALL(SimData1000!$C$9:$C$1008,853)</f>
        <v>0.85622485152180161</v>
      </c>
      <c r="M1862">
        <f>1/(COUNT(SimData1000!$C$9:$C$1008)-1)+$M$1861</f>
        <v>0.85285285285284018</v>
      </c>
    </row>
    <row r="1863" spans="10:13">
      <c r="J1863">
        <f>SMALL(SimData1000!$B$9:$B$1008,854)</f>
        <v>0.85370222476909452</v>
      </c>
      <c r="K1863">
        <f>1/(COUNT(SimData1000!$B$9:$B$1008)-1)+$K$1862</f>
        <v>0.85385385385384116</v>
      </c>
      <c r="L1863">
        <f>SMALL(SimData1000!$C$9:$C$1008,854)</f>
        <v>0.85767972178291529</v>
      </c>
      <c r="M1863">
        <f>1/(COUNT(SimData1000!$C$9:$C$1008)-1)+$M$1862</f>
        <v>0.85385385385384116</v>
      </c>
    </row>
    <row r="1864" spans="10:13">
      <c r="J1864">
        <f>SMALL(SimData1000!$B$9:$B$1008,855)</f>
        <v>0.85435474302767656</v>
      </c>
      <c r="K1864">
        <f>1/(COUNT(SimData1000!$B$9:$B$1008)-1)+$K$1863</f>
        <v>0.85485485485484214</v>
      </c>
      <c r="L1864">
        <f>SMALL(SimData1000!$C$9:$C$1008,855)</f>
        <v>0.85786455630477576</v>
      </c>
      <c r="M1864">
        <f>1/(COUNT(SimData1000!$C$9:$C$1008)-1)+$M$1863</f>
        <v>0.85485485485484214</v>
      </c>
    </row>
    <row r="1865" spans="10:13">
      <c r="J1865">
        <f>SMALL(SimData1000!$B$9:$B$1008,856)</f>
        <v>0.85560285874586628</v>
      </c>
      <c r="K1865">
        <f>1/(COUNT(SimData1000!$B$9:$B$1008)-1)+$K$1864</f>
        <v>0.85585585585584312</v>
      </c>
      <c r="L1865">
        <f>SMALL(SimData1000!$C$9:$C$1008,856)</f>
        <v>0.8580041649101986</v>
      </c>
      <c r="M1865">
        <f>1/(COUNT(SimData1000!$C$9:$C$1008)-1)+$M$1864</f>
        <v>0.85585585585584312</v>
      </c>
    </row>
    <row r="1866" spans="10:13">
      <c r="J1866">
        <f>SMALL(SimData1000!$B$9:$B$1008,857)</f>
        <v>0.85675043005560303</v>
      </c>
      <c r="K1866">
        <f>1/(COUNT(SimData1000!$B$9:$B$1008)-1)+$K$1865</f>
        <v>0.8568568568568441</v>
      </c>
      <c r="L1866">
        <f>SMALL(SimData1000!$C$9:$C$1008,857)</f>
        <v>0.85826560392797546</v>
      </c>
      <c r="M1866">
        <f>1/(COUNT(SimData1000!$C$9:$C$1008)-1)+$M$1865</f>
        <v>0.8568568568568441</v>
      </c>
    </row>
    <row r="1867" spans="10:13">
      <c r="J1867">
        <f>SMALL(SimData1000!$B$9:$B$1008,858)</f>
        <v>0.85744419244198233</v>
      </c>
      <c r="K1867">
        <f>1/(COUNT(SimData1000!$B$9:$B$1008)-1)+$K$1866</f>
        <v>0.85785785785784507</v>
      </c>
      <c r="L1867">
        <f>SMALL(SimData1000!$C$9:$C$1008,858)</f>
        <v>0.85884389926198423</v>
      </c>
      <c r="M1867">
        <f>1/(COUNT(SimData1000!$C$9:$C$1008)-1)+$M$1866</f>
        <v>0.85785785785784507</v>
      </c>
    </row>
    <row r="1868" spans="10:13">
      <c r="J1868">
        <f>SMALL(SimData1000!$B$9:$B$1008,859)</f>
        <v>0.85870760458328466</v>
      </c>
      <c r="K1868">
        <f>1/(COUNT(SimData1000!$B$9:$B$1008)-1)+$K$1867</f>
        <v>0.85885885885884605</v>
      </c>
      <c r="L1868">
        <f>SMALL(SimData1000!$C$9:$C$1008,859)</f>
        <v>0.85885128346581041</v>
      </c>
      <c r="M1868">
        <f>1/(COUNT(SimData1000!$C$9:$C$1008)-1)+$M$1867</f>
        <v>0.85885885885884605</v>
      </c>
    </row>
    <row r="1869" spans="10:13">
      <c r="J1869">
        <f>SMALL(SimData1000!$B$9:$B$1008,860)</f>
        <v>0.85956118509396007</v>
      </c>
      <c r="K1869">
        <f>1/(COUNT(SimData1000!$B$9:$B$1008)-1)+$K$1868</f>
        <v>0.85985985985984703</v>
      </c>
      <c r="L1869">
        <f>SMALL(SimData1000!$C$9:$C$1008,860)</f>
        <v>0.85897643282351055</v>
      </c>
      <c r="M1869">
        <f>1/(COUNT(SimData1000!$C$9:$C$1008)-1)+$M$1868</f>
        <v>0.85985985985984703</v>
      </c>
    </row>
    <row r="1870" spans="10:13">
      <c r="J1870">
        <f>SMALL(SimData1000!$B$9:$B$1008,861)</f>
        <v>0.86082291394235166</v>
      </c>
      <c r="K1870">
        <f>1/(COUNT(SimData1000!$B$9:$B$1008)-1)+$K$1869</f>
        <v>0.86086086086084801</v>
      </c>
      <c r="L1870">
        <f>SMALL(SimData1000!$C$9:$C$1008,861)</f>
        <v>0.8615948895112524</v>
      </c>
      <c r="M1870">
        <f>1/(COUNT(SimData1000!$C$9:$C$1008)-1)+$M$1869</f>
        <v>0.86086086086084801</v>
      </c>
    </row>
    <row r="1871" spans="10:13">
      <c r="J1871">
        <f>SMALL(SimData1000!$B$9:$B$1008,862)</f>
        <v>0.86189161052063379</v>
      </c>
      <c r="K1871">
        <f>1/(COUNT(SimData1000!$B$9:$B$1008)-1)+$K$1870</f>
        <v>0.86186186186184899</v>
      </c>
      <c r="L1871">
        <f>SMALL(SimData1000!$C$9:$C$1008,862)</f>
        <v>0.86438267019821069</v>
      </c>
      <c r="M1871">
        <f>1/(COUNT(SimData1000!$C$9:$C$1008)-1)+$M$1870</f>
        <v>0.86186186186184899</v>
      </c>
    </row>
    <row r="1872" spans="10:13">
      <c r="J1872">
        <f>SMALL(SimData1000!$B$9:$B$1008,863)</f>
        <v>0.86276208270149357</v>
      </c>
      <c r="K1872">
        <f>1/(COUNT(SimData1000!$B$9:$B$1008)-1)+$K$1871</f>
        <v>0.86286286286284997</v>
      </c>
      <c r="L1872">
        <f>SMALL(SimData1000!$C$9:$C$1008,863)</f>
        <v>0.86513249309155071</v>
      </c>
      <c r="M1872">
        <f>1/(COUNT(SimData1000!$C$9:$C$1008)-1)+$M$1871</f>
        <v>0.86286286286284997</v>
      </c>
    </row>
    <row r="1873" spans="10:13">
      <c r="J1873">
        <f>SMALL(SimData1000!$B$9:$B$1008,864)</f>
        <v>0.86398001508041755</v>
      </c>
      <c r="K1873">
        <f>1/(COUNT(SimData1000!$B$9:$B$1008)-1)+$K$1872</f>
        <v>0.86386386386385094</v>
      </c>
      <c r="L1873">
        <f>SMALL(SimData1000!$C$9:$C$1008,864)</f>
        <v>0.86665274431743455</v>
      </c>
      <c r="M1873">
        <f>1/(COUNT(SimData1000!$C$9:$C$1008)-1)+$M$1872</f>
        <v>0.86386386386385094</v>
      </c>
    </row>
    <row r="1874" spans="10:13">
      <c r="J1874">
        <f>SMALL(SimData1000!$B$9:$B$1008,865)</f>
        <v>0.86410529550702908</v>
      </c>
      <c r="K1874">
        <f>1/(COUNT(SimData1000!$B$9:$B$1008)-1)+$K$1873</f>
        <v>0.86486486486485192</v>
      </c>
      <c r="L1874">
        <f>SMALL(SimData1000!$C$9:$C$1008,865)</f>
        <v>0.86820171762155951</v>
      </c>
      <c r="M1874">
        <f>1/(COUNT(SimData1000!$C$9:$C$1008)-1)+$M$1873</f>
        <v>0.86486486486485192</v>
      </c>
    </row>
    <row r="1875" spans="10:13">
      <c r="J1875">
        <f>SMALL(SimData1000!$B$9:$B$1008,866)</f>
        <v>0.8651199074238819</v>
      </c>
      <c r="K1875">
        <f>1/(COUNT(SimData1000!$B$9:$B$1008)-1)+$K$1874</f>
        <v>0.8658658658658529</v>
      </c>
      <c r="L1875">
        <f>SMALL(SimData1000!$C$9:$C$1008,866)</f>
        <v>0.86853126696405525</v>
      </c>
      <c r="M1875">
        <f>1/(COUNT(SimData1000!$C$9:$C$1008)-1)+$M$1874</f>
        <v>0.8658658658658529</v>
      </c>
    </row>
    <row r="1876" spans="10:13">
      <c r="J1876">
        <f>SMALL(SimData1000!$B$9:$B$1008,867)</f>
        <v>0.86659760055262536</v>
      </c>
      <c r="K1876">
        <f>1/(COUNT(SimData1000!$B$9:$B$1008)-1)+$K$1875</f>
        <v>0.86686686686685388</v>
      </c>
      <c r="L1876">
        <f>SMALL(SimData1000!$C$9:$C$1008,867)</f>
        <v>0.87197915485376143</v>
      </c>
      <c r="M1876">
        <f>1/(COUNT(SimData1000!$C$9:$C$1008)-1)+$M$1875</f>
        <v>0.86686686686685388</v>
      </c>
    </row>
    <row r="1877" spans="10:13">
      <c r="J1877">
        <f>SMALL(SimData1000!$B$9:$B$1008,868)</f>
        <v>0.86741586837647855</v>
      </c>
      <c r="K1877">
        <f>1/(COUNT(SimData1000!$B$9:$B$1008)-1)+$K$1876</f>
        <v>0.86786786786785486</v>
      </c>
      <c r="L1877">
        <f>SMALL(SimData1000!$C$9:$C$1008,868)</f>
        <v>0.8722354996989452</v>
      </c>
      <c r="M1877">
        <f>1/(COUNT(SimData1000!$C$9:$C$1008)-1)+$M$1876</f>
        <v>0.86786786786785486</v>
      </c>
    </row>
    <row r="1878" spans="10:13">
      <c r="J1878">
        <f>SMALL(SimData1000!$B$9:$B$1008,869)</f>
        <v>0.86833335732862671</v>
      </c>
      <c r="K1878">
        <f>1/(COUNT(SimData1000!$B$9:$B$1008)-1)+$K$1877</f>
        <v>0.86886886886885584</v>
      </c>
      <c r="L1878">
        <f>SMALL(SimData1000!$C$9:$C$1008,869)</f>
        <v>0.87381883972011565</v>
      </c>
      <c r="M1878">
        <f>1/(COUNT(SimData1000!$C$9:$C$1008)-1)+$M$1877</f>
        <v>0.86886886886885584</v>
      </c>
    </row>
    <row r="1879" spans="10:13">
      <c r="J1879">
        <f>SMALL(SimData1000!$B$9:$B$1008,870)</f>
        <v>0.86906798845461286</v>
      </c>
      <c r="K1879">
        <f>1/(COUNT(SimData1000!$B$9:$B$1008)-1)+$K$1878</f>
        <v>0.86986986986985682</v>
      </c>
      <c r="L1879">
        <f>SMALL(SimData1000!$C$9:$C$1008,870)</f>
        <v>0.87525524830198265</v>
      </c>
      <c r="M1879">
        <f>1/(COUNT(SimData1000!$C$9:$C$1008)-1)+$M$1878</f>
        <v>0.86986986986985682</v>
      </c>
    </row>
    <row r="1880" spans="10:13">
      <c r="J1880">
        <f>SMALL(SimData1000!$B$9:$B$1008,871)</f>
        <v>0.87060643654936143</v>
      </c>
      <c r="K1880">
        <f>1/(COUNT(SimData1000!$B$9:$B$1008)-1)+$K$1879</f>
        <v>0.87087087087085779</v>
      </c>
      <c r="L1880">
        <f>SMALL(SimData1000!$C$9:$C$1008,871)</f>
        <v>0.87997934761187935</v>
      </c>
      <c r="M1880">
        <f>1/(COUNT(SimData1000!$C$9:$C$1008)-1)+$M$1879</f>
        <v>0.87087087087085779</v>
      </c>
    </row>
    <row r="1881" spans="10:13">
      <c r="J1881">
        <f>SMALL(SimData1000!$B$9:$B$1008,872)</f>
        <v>0.87157441650390954</v>
      </c>
      <c r="K1881">
        <f>1/(COUNT(SimData1000!$B$9:$B$1008)-1)+$K$1880</f>
        <v>0.87187187187185877</v>
      </c>
      <c r="L1881">
        <f>SMALL(SimData1000!$C$9:$C$1008,872)</f>
        <v>0.88030614219587733</v>
      </c>
      <c r="M1881">
        <f>1/(COUNT(SimData1000!$C$9:$C$1008)-1)+$M$1880</f>
        <v>0.87187187187185877</v>
      </c>
    </row>
    <row r="1882" spans="10:13">
      <c r="J1882">
        <f>SMALL(SimData1000!$B$9:$B$1008,873)</f>
        <v>0.87263901417880296</v>
      </c>
      <c r="K1882">
        <f>1/(COUNT(SimData1000!$B$9:$B$1008)-1)+$K$1881</f>
        <v>0.87287287287285975</v>
      </c>
      <c r="L1882">
        <f>SMALL(SimData1000!$C$9:$C$1008,873)</f>
        <v>0.88169139013552922</v>
      </c>
      <c r="M1882">
        <f>1/(COUNT(SimData1000!$C$9:$C$1008)-1)+$M$1881</f>
        <v>0.87287287287285975</v>
      </c>
    </row>
    <row r="1883" spans="10:13">
      <c r="J1883">
        <f>SMALL(SimData1000!$B$9:$B$1008,874)</f>
        <v>0.87308065155779024</v>
      </c>
      <c r="K1883">
        <f>1/(COUNT(SimData1000!$B$9:$B$1008)-1)+$K$1882</f>
        <v>0.87387387387386073</v>
      </c>
      <c r="L1883">
        <f>SMALL(SimData1000!$C$9:$C$1008,874)</f>
        <v>0.88202298518808675</v>
      </c>
      <c r="M1883">
        <f>1/(COUNT(SimData1000!$C$9:$C$1008)-1)+$M$1882</f>
        <v>0.87387387387386073</v>
      </c>
    </row>
    <row r="1884" spans="10:13">
      <c r="J1884">
        <f>SMALL(SimData1000!$B$9:$B$1008,875)</f>
        <v>0.8742492995500214</v>
      </c>
      <c r="K1884">
        <f>1/(COUNT(SimData1000!$B$9:$B$1008)-1)+$K$1883</f>
        <v>0.87487487487486171</v>
      </c>
      <c r="L1884">
        <f>SMALL(SimData1000!$C$9:$C$1008,875)</f>
        <v>0.88293652376978571</v>
      </c>
      <c r="M1884">
        <f>1/(COUNT(SimData1000!$C$9:$C$1008)-1)+$M$1883</f>
        <v>0.87487487487486171</v>
      </c>
    </row>
    <row r="1885" spans="10:13">
      <c r="J1885">
        <f>SMALL(SimData1000!$B$9:$B$1008,876)</f>
        <v>0.87597736925258707</v>
      </c>
      <c r="K1885">
        <f>1/(COUNT(SimData1000!$B$9:$B$1008)-1)+$K$1884</f>
        <v>0.87587587587586269</v>
      </c>
      <c r="L1885">
        <f>SMALL(SimData1000!$C$9:$C$1008,876)</f>
        <v>0.88317118227132596</v>
      </c>
      <c r="M1885">
        <f>1/(COUNT(SimData1000!$C$9:$C$1008)-1)+$M$1884</f>
        <v>0.87587587587586269</v>
      </c>
    </row>
    <row r="1886" spans="10:13">
      <c r="J1886">
        <f>SMALL(SimData1000!$B$9:$B$1008,877)</f>
        <v>0.87626313802699163</v>
      </c>
      <c r="K1886">
        <f>1/(COUNT(SimData1000!$B$9:$B$1008)-1)+$K$1885</f>
        <v>0.87687687687686366</v>
      </c>
      <c r="L1886">
        <f>SMALL(SimData1000!$C$9:$C$1008,877)</f>
        <v>0.88328667397036043</v>
      </c>
      <c r="M1886">
        <f>1/(COUNT(SimData1000!$C$9:$C$1008)-1)+$M$1885</f>
        <v>0.87687687687686366</v>
      </c>
    </row>
    <row r="1887" spans="10:13">
      <c r="J1887">
        <f>SMALL(SimData1000!$B$9:$B$1008,878)</f>
        <v>0.87729443292699161</v>
      </c>
      <c r="K1887">
        <f>1/(COUNT(SimData1000!$B$9:$B$1008)-1)+$K$1886</f>
        <v>0.87787787787786464</v>
      </c>
      <c r="L1887">
        <f>SMALL(SimData1000!$C$9:$C$1008,878)</f>
        <v>0.88408386593891919</v>
      </c>
      <c r="M1887">
        <f>1/(COUNT(SimData1000!$C$9:$C$1008)-1)+$M$1886</f>
        <v>0.87787787787786464</v>
      </c>
    </row>
    <row r="1888" spans="10:13">
      <c r="J1888">
        <f>SMALL(SimData1000!$B$9:$B$1008,879)</f>
        <v>0.87889156766396281</v>
      </c>
      <c r="K1888">
        <f>1/(COUNT(SimData1000!$B$9:$B$1008)-1)+$K$1887</f>
        <v>0.87887887887886562</v>
      </c>
      <c r="L1888">
        <f>SMALL(SimData1000!$C$9:$C$1008,879)</f>
        <v>0.88439864600877627</v>
      </c>
      <c r="M1888">
        <f>1/(COUNT(SimData1000!$C$9:$C$1008)-1)+$M$1887</f>
        <v>0.87887887887886562</v>
      </c>
    </row>
    <row r="1889" spans="10:13">
      <c r="J1889">
        <f>SMALL(SimData1000!$B$9:$B$1008,880)</f>
        <v>0.87986128003263409</v>
      </c>
      <c r="K1889">
        <f>1/(COUNT(SimData1000!$B$9:$B$1008)-1)+$K$1888</f>
        <v>0.8798798798798666</v>
      </c>
      <c r="L1889">
        <f>SMALL(SimData1000!$C$9:$C$1008,880)</f>
        <v>0.88720635695064232</v>
      </c>
      <c r="M1889">
        <f>1/(COUNT(SimData1000!$C$9:$C$1008)-1)+$M$1888</f>
        <v>0.8798798798798666</v>
      </c>
    </row>
    <row r="1890" spans="10:13">
      <c r="J1890">
        <f>SMALL(SimData1000!$B$9:$B$1008,881)</f>
        <v>0.88078132093692696</v>
      </c>
      <c r="K1890">
        <f>1/(COUNT(SimData1000!$B$9:$B$1008)-1)+$K$1889</f>
        <v>0.88088088088086758</v>
      </c>
      <c r="L1890">
        <f>SMALL(SimData1000!$C$9:$C$1008,881)</f>
        <v>0.88765662386867916</v>
      </c>
      <c r="M1890">
        <f>1/(COUNT(SimData1000!$C$9:$C$1008)-1)+$M$1889</f>
        <v>0.88088088088086758</v>
      </c>
    </row>
    <row r="1891" spans="10:13">
      <c r="J1891">
        <f>SMALL(SimData1000!$B$9:$B$1008,882)</f>
        <v>0.88115865055265807</v>
      </c>
      <c r="K1891">
        <f>1/(COUNT(SimData1000!$B$9:$B$1008)-1)+$K$1890</f>
        <v>0.88188188188186856</v>
      </c>
      <c r="L1891">
        <f>SMALL(SimData1000!$C$9:$C$1008,882)</f>
        <v>0.88886702168201737</v>
      </c>
      <c r="M1891">
        <f>1/(COUNT(SimData1000!$C$9:$C$1008)-1)+$M$1890</f>
        <v>0.88188188188186856</v>
      </c>
    </row>
    <row r="1892" spans="10:13">
      <c r="J1892">
        <f>SMALL(SimData1000!$B$9:$B$1008,883)</f>
        <v>0.88280747565576057</v>
      </c>
      <c r="K1892">
        <f>1/(COUNT(SimData1000!$B$9:$B$1008)-1)+$K$1891</f>
        <v>0.88288288288286954</v>
      </c>
      <c r="L1892">
        <f>SMALL(SimData1000!$C$9:$C$1008,883)</f>
        <v>0.89180758055863407</v>
      </c>
      <c r="M1892">
        <f>1/(COUNT(SimData1000!$C$9:$C$1008)-1)+$M$1891</f>
        <v>0.88288288288286954</v>
      </c>
    </row>
    <row r="1893" spans="10:13">
      <c r="J1893">
        <f>SMALL(SimData1000!$B$9:$B$1008,884)</f>
        <v>0.88332906835324343</v>
      </c>
      <c r="K1893">
        <f>1/(COUNT(SimData1000!$B$9:$B$1008)-1)+$K$1892</f>
        <v>0.88388388388387051</v>
      </c>
      <c r="L1893">
        <f>SMALL(SimData1000!$C$9:$C$1008,884)</f>
        <v>0.89231223170372687</v>
      </c>
      <c r="M1893">
        <f>1/(COUNT(SimData1000!$C$9:$C$1008)-1)+$M$1892</f>
        <v>0.88388388388387051</v>
      </c>
    </row>
    <row r="1894" spans="10:13">
      <c r="J1894">
        <f>SMALL(SimData1000!$B$9:$B$1008,885)</f>
        <v>0.88412489680855655</v>
      </c>
      <c r="K1894">
        <f>1/(COUNT(SimData1000!$B$9:$B$1008)-1)+$K$1893</f>
        <v>0.88488488488487149</v>
      </c>
      <c r="L1894">
        <f>SMALL(SimData1000!$C$9:$C$1008,885)</f>
        <v>0.89248467413020194</v>
      </c>
      <c r="M1894">
        <f>1/(COUNT(SimData1000!$C$9:$C$1008)-1)+$M$1893</f>
        <v>0.88488488488487149</v>
      </c>
    </row>
    <row r="1895" spans="10:13">
      <c r="J1895">
        <f>SMALL(SimData1000!$B$9:$B$1008,886)</f>
        <v>0.88590058611447464</v>
      </c>
      <c r="K1895">
        <f>1/(COUNT(SimData1000!$B$9:$B$1008)-1)+$K$1894</f>
        <v>0.88588588588587247</v>
      </c>
      <c r="L1895">
        <f>SMALL(SimData1000!$C$9:$C$1008,886)</f>
        <v>0.89289960372934729</v>
      </c>
      <c r="M1895">
        <f>1/(COUNT(SimData1000!$C$9:$C$1008)-1)+$M$1894</f>
        <v>0.88588588588587247</v>
      </c>
    </row>
    <row r="1896" spans="10:13">
      <c r="J1896">
        <f>SMALL(SimData1000!$B$9:$B$1008,887)</f>
        <v>0.88685385216163792</v>
      </c>
      <c r="K1896">
        <f>1/(COUNT(SimData1000!$B$9:$B$1008)-1)+$K$1895</f>
        <v>0.88688688688687345</v>
      </c>
      <c r="L1896">
        <f>SMALL(SimData1000!$C$9:$C$1008,887)</f>
        <v>0.89661515691386739</v>
      </c>
      <c r="M1896">
        <f>1/(COUNT(SimData1000!$C$9:$C$1008)-1)+$M$1895</f>
        <v>0.88688688688687345</v>
      </c>
    </row>
    <row r="1897" spans="10:13">
      <c r="J1897">
        <f>SMALL(SimData1000!$B$9:$B$1008,888)</f>
        <v>0.88748065270378262</v>
      </c>
      <c r="K1897">
        <f>1/(COUNT(SimData1000!$B$9:$B$1008)-1)+$K$1896</f>
        <v>0.88788788788787443</v>
      </c>
      <c r="L1897">
        <f>SMALL(SimData1000!$C$9:$C$1008,888)</f>
        <v>0.89744408755086624</v>
      </c>
      <c r="M1897">
        <f>1/(COUNT(SimData1000!$C$9:$C$1008)-1)+$M$1896</f>
        <v>0.88788788788787443</v>
      </c>
    </row>
    <row r="1898" spans="10:13">
      <c r="J1898">
        <f>SMALL(SimData1000!$B$9:$B$1008,889)</f>
        <v>0.88831848105842215</v>
      </c>
      <c r="K1898">
        <f>1/(COUNT(SimData1000!$B$9:$B$1008)-1)+$K$1897</f>
        <v>0.88888888888887541</v>
      </c>
      <c r="L1898">
        <f>SMALL(SimData1000!$C$9:$C$1008,889)</f>
        <v>0.89805918282854691</v>
      </c>
      <c r="M1898">
        <f>1/(COUNT(SimData1000!$C$9:$C$1008)-1)+$M$1897</f>
        <v>0.88888888888887541</v>
      </c>
    </row>
    <row r="1899" spans="10:13">
      <c r="J1899">
        <f>SMALL(SimData1000!$B$9:$B$1008,890)</f>
        <v>0.88935914510357184</v>
      </c>
      <c r="K1899">
        <f>1/(COUNT(SimData1000!$B$9:$B$1008)-1)+$K$1898</f>
        <v>0.88988988988987638</v>
      </c>
      <c r="L1899">
        <f>SMALL(SimData1000!$C$9:$C$1008,890)</f>
        <v>0.89938482189157298</v>
      </c>
      <c r="M1899">
        <f>1/(COUNT(SimData1000!$C$9:$C$1008)-1)+$M$1898</f>
        <v>0.88988988988987638</v>
      </c>
    </row>
    <row r="1900" spans="10:13">
      <c r="J1900">
        <f>SMALL(SimData1000!$B$9:$B$1008,891)</f>
        <v>0.89012003136289308</v>
      </c>
      <c r="K1900">
        <f>1/(COUNT(SimData1000!$B$9:$B$1008)-1)+$K$1899</f>
        <v>0.89089089089087736</v>
      </c>
      <c r="L1900">
        <f>SMALL(SimData1000!$C$9:$C$1008,891)</f>
        <v>0.8996989098859558</v>
      </c>
      <c r="M1900">
        <f>1/(COUNT(SimData1000!$C$9:$C$1008)-1)+$M$1899</f>
        <v>0.89089089089087736</v>
      </c>
    </row>
    <row r="1901" spans="10:13">
      <c r="J1901">
        <f>SMALL(SimData1000!$B$9:$B$1008,892)</f>
        <v>0.89192914482251029</v>
      </c>
      <c r="K1901">
        <f>1/(COUNT(SimData1000!$B$9:$B$1008)-1)+$K$1900</f>
        <v>0.89189189189187834</v>
      </c>
      <c r="L1901">
        <f>SMALL(SimData1000!$C$9:$C$1008,892)</f>
        <v>0.89977254776840709</v>
      </c>
      <c r="M1901">
        <f>1/(COUNT(SimData1000!$C$9:$C$1008)-1)+$M$1900</f>
        <v>0.89189189189187834</v>
      </c>
    </row>
    <row r="1902" spans="10:13">
      <c r="J1902">
        <f>SMALL(SimData1000!$B$9:$B$1008,893)</f>
        <v>0.89218994323890422</v>
      </c>
      <c r="K1902">
        <f>1/(COUNT(SimData1000!$B$9:$B$1008)-1)+$K$1901</f>
        <v>0.89289289289287932</v>
      </c>
      <c r="L1902">
        <f>SMALL(SimData1000!$C$9:$C$1008,893)</f>
        <v>0.90084247243339632</v>
      </c>
      <c r="M1902">
        <f>1/(COUNT(SimData1000!$C$9:$C$1008)-1)+$M$1901</f>
        <v>0.89289289289287932</v>
      </c>
    </row>
    <row r="1903" spans="10:13">
      <c r="J1903">
        <f>SMALL(SimData1000!$B$9:$B$1008,894)</f>
        <v>0.8930469482322333</v>
      </c>
      <c r="K1903">
        <f>1/(COUNT(SimData1000!$B$9:$B$1008)-1)+$K$1902</f>
        <v>0.8938938938938803</v>
      </c>
      <c r="L1903">
        <f>SMALL(SimData1000!$C$9:$C$1008,894)</f>
        <v>0.90118241113214026</v>
      </c>
      <c r="M1903">
        <f>1/(COUNT(SimData1000!$C$9:$C$1008)-1)+$M$1902</f>
        <v>0.8938938938938803</v>
      </c>
    </row>
    <row r="1904" spans="10:13">
      <c r="J1904">
        <f>SMALL(SimData1000!$B$9:$B$1008,895)</f>
        <v>0.89441709464355768</v>
      </c>
      <c r="K1904">
        <f>1/(COUNT(SimData1000!$B$9:$B$1008)-1)+$K$1903</f>
        <v>0.89489489489488128</v>
      </c>
      <c r="L1904">
        <f>SMALL(SimData1000!$C$9:$C$1008,895)</f>
        <v>0.90123890086670144</v>
      </c>
      <c r="M1904">
        <f>1/(COUNT(SimData1000!$C$9:$C$1008)-1)+$M$1903</f>
        <v>0.89489489489488128</v>
      </c>
    </row>
    <row r="1905" spans="10:13">
      <c r="J1905">
        <f>SMALL(SimData1000!$B$9:$B$1008,896)</f>
        <v>0.89542476597275233</v>
      </c>
      <c r="K1905">
        <f>1/(COUNT(SimData1000!$B$9:$B$1008)-1)+$K$1904</f>
        <v>0.89589589589588225</v>
      </c>
      <c r="L1905">
        <f>SMALL(SimData1000!$C$9:$C$1008,896)</f>
        <v>0.90346178428626445</v>
      </c>
      <c r="M1905">
        <f>1/(COUNT(SimData1000!$C$9:$C$1008)-1)+$M$1904</f>
        <v>0.89589589589588225</v>
      </c>
    </row>
    <row r="1906" spans="10:13">
      <c r="J1906">
        <f>SMALL(SimData1000!$B$9:$B$1008,897)</f>
        <v>0.89620578632182568</v>
      </c>
      <c r="K1906">
        <f>1/(COUNT(SimData1000!$B$9:$B$1008)-1)+$K$1905</f>
        <v>0.89689689689688323</v>
      </c>
      <c r="L1906">
        <f>SMALL(SimData1000!$C$9:$C$1008,897)</f>
        <v>0.90400538492667692</v>
      </c>
      <c r="M1906">
        <f>1/(COUNT(SimData1000!$C$9:$C$1008)-1)+$M$1905</f>
        <v>0.89689689689688323</v>
      </c>
    </row>
    <row r="1907" spans="10:13">
      <c r="J1907">
        <f>SMALL(SimData1000!$B$9:$B$1008,898)</f>
        <v>0.8973108298362491</v>
      </c>
      <c r="K1907">
        <f>1/(COUNT(SimData1000!$B$9:$B$1008)-1)+$K$1906</f>
        <v>0.89789789789788421</v>
      </c>
      <c r="L1907">
        <f>SMALL(SimData1000!$C$9:$C$1008,898)</f>
        <v>0.90498777965785848</v>
      </c>
      <c r="M1907">
        <f>1/(COUNT(SimData1000!$C$9:$C$1008)-1)+$M$1906</f>
        <v>0.89789789789788421</v>
      </c>
    </row>
    <row r="1908" spans="10:13">
      <c r="J1908">
        <f>SMALL(SimData1000!$B$9:$B$1008,899)</f>
        <v>0.89897588936425188</v>
      </c>
      <c r="K1908">
        <f>1/(COUNT(SimData1000!$B$9:$B$1008)-1)+$K$1907</f>
        <v>0.89889889889888519</v>
      </c>
      <c r="L1908">
        <f>SMALL(SimData1000!$C$9:$C$1008,899)</f>
        <v>0.90867303863433335</v>
      </c>
      <c r="M1908">
        <f>1/(COUNT(SimData1000!$C$9:$C$1008)-1)+$M$1907</f>
        <v>0.89889889889888519</v>
      </c>
    </row>
    <row r="1909" spans="10:13">
      <c r="J1909">
        <f>SMALL(SimData1000!$B$9:$B$1008,900)</f>
        <v>0.89999667956796392</v>
      </c>
      <c r="K1909">
        <f>1/(COUNT(SimData1000!$B$9:$B$1008)-1)+$K$1908</f>
        <v>0.89989989989988617</v>
      </c>
      <c r="L1909">
        <f>SMALL(SimData1000!$C$9:$C$1008,900)</f>
        <v>0.90959196527910535</v>
      </c>
      <c r="M1909">
        <f>1/(COUNT(SimData1000!$C$9:$C$1008)-1)+$M$1908</f>
        <v>0.89989989989988617</v>
      </c>
    </row>
    <row r="1910" spans="10:13">
      <c r="J1910">
        <f>SMALL(SimData1000!$B$9:$B$1008,901)</f>
        <v>0.9001432361519297</v>
      </c>
      <c r="K1910">
        <f>1/(COUNT(SimData1000!$B$9:$B$1008)-1)+$K$1909</f>
        <v>0.90090090090088715</v>
      </c>
      <c r="L1910">
        <f>SMALL(SimData1000!$C$9:$C$1008,901)</f>
        <v>0.91047418771813682</v>
      </c>
      <c r="M1910">
        <f>1/(COUNT(SimData1000!$C$9:$C$1008)-1)+$M$1909</f>
        <v>0.90090090090088715</v>
      </c>
    </row>
    <row r="1911" spans="10:13">
      <c r="J1911">
        <f>SMALL(SimData1000!$B$9:$B$1008,902)</f>
        <v>0.90117946190507614</v>
      </c>
      <c r="K1911">
        <f>1/(COUNT(SimData1000!$B$9:$B$1008)-1)+$K$1910</f>
        <v>0.90190190190188813</v>
      </c>
      <c r="L1911">
        <f>SMALL(SimData1000!$C$9:$C$1008,902)</f>
        <v>0.91130472509212268</v>
      </c>
      <c r="M1911">
        <f>1/(COUNT(SimData1000!$C$9:$C$1008)-1)+$M$1910</f>
        <v>0.90190190190188813</v>
      </c>
    </row>
    <row r="1912" spans="10:13">
      <c r="J1912">
        <f>SMALL(SimData1000!$B$9:$B$1008,903)</f>
        <v>0.90273447945544827</v>
      </c>
      <c r="K1912">
        <f>1/(COUNT(SimData1000!$B$9:$B$1008)-1)+$K$1911</f>
        <v>0.9029029029028891</v>
      </c>
      <c r="L1912">
        <f>SMALL(SimData1000!$C$9:$C$1008,903)</f>
        <v>0.91240697912780888</v>
      </c>
      <c r="M1912">
        <f>1/(COUNT(SimData1000!$C$9:$C$1008)-1)+$M$1911</f>
        <v>0.9029029029028891</v>
      </c>
    </row>
    <row r="1913" spans="10:13">
      <c r="J1913">
        <f>SMALL(SimData1000!$B$9:$B$1008,904)</f>
        <v>0.90375120426592204</v>
      </c>
      <c r="K1913">
        <f>1/(COUNT(SimData1000!$B$9:$B$1008)-1)+$K$1912</f>
        <v>0.90390390390389008</v>
      </c>
      <c r="L1913">
        <f>SMALL(SimData1000!$C$9:$C$1008,904)</f>
        <v>0.91251152165568783</v>
      </c>
      <c r="M1913">
        <f>1/(COUNT(SimData1000!$C$9:$C$1008)-1)+$M$1912</f>
        <v>0.90390390390389008</v>
      </c>
    </row>
    <row r="1914" spans="10:13">
      <c r="J1914">
        <f>SMALL(SimData1000!$B$9:$B$1008,905)</f>
        <v>0.90478681624000579</v>
      </c>
      <c r="K1914">
        <f>1/(COUNT(SimData1000!$B$9:$B$1008)-1)+$K$1913</f>
        <v>0.90490490490489106</v>
      </c>
      <c r="L1914">
        <f>SMALL(SimData1000!$C$9:$C$1008,905)</f>
        <v>0.91329601434608776</v>
      </c>
      <c r="M1914">
        <f>1/(COUNT(SimData1000!$C$9:$C$1008)-1)+$M$1913</f>
        <v>0.90490490490489106</v>
      </c>
    </row>
    <row r="1915" spans="10:13">
      <c r="J1915">
        <f>SMALL(SimData1000!$B$9:$B$1008,906)</f>
        <v>0.90512996772423615</v>
      </c>
      <c r="K1915">
        <f>1/(COUNT(SimData1000!$B$9:$B$1008)-1)+$K$1914</f>
        <v>0.90590590590589204</v>
      </c>
      <c r="L1915">
        <f>SMALL(SimData1000!$C$9:$C$1008,906)</f>
        <v>0.91389334499945107</v>
      </c>
      <c r="M1915">
        <f>1/(COUNT(SimData1000!$C$9:$C$1008)-1)+$M$1914</f>
        <v>0.90590590590589204</v>
      </c>
    </row>
    <row r="1916" spans="10:13">
      <c r="J1916">
        <f>SMALL(SimData1000!$B$9:$B$1008,907)</f>
        <v>0.90605772609800506</v>
      </c>
      <c r="K1916">
        <f>1/(COUNT(SimData1000!$B$9:$B$1008)-1)+$K$1915</f>
        <v>0.90690690690689302</v>
      </c>
      <c r="L1916">
        <f>SMALL(SimData1000!$C$9:$C$1008,907)</f>
        <v>0.91405702342945006</v>
      </c>
      <c r="M1916">
        <f>1/(COUNT(SimData1000!$C$9:$C$1008)-1)+$M$1915</f>
        <v>0.90690690690689302</v>
      </c>
    </row>
    <row r="1917" spans="10:13">
      <c r="J1917">
        <f>SMALL(SimData1000!$B$9:$B$1008,908)</f>
        <v>0.90791524923497691</v>
      </c>
      <c r="K1917">
        <f>1/(COUNT(SimData1000!$B$9:$B$1008)-1)+$K$1916</f>
        <v>0.907907907907894</v>
      </c>
      <c r="L1917">
        <f>SMALL(SimData1000!$C$9:$C$1008,908)</f>
        <v>0.91459075479269814</v>
      </c>
      <c r="M1917">
        <f>1/(COUNT(SimData1000!$C$9:$C$1008)-1)+$M$1916</f>
        <v>0.907907907907894</v>
      </c>
    </row>
    <row r="1918" spans="10:13">
      <c r="J1918">
        <f>SMALL(SimData1000!$B$9:$B$1008,909)</f>
        <v>0.90844841647740648</v>
      </c>
      <c r="K1918">
        <f>1/(COUNT(SimData1000!$B$9:$B$1008)-1)+$K$1917</f>
        <v>0.90890890890889497</v>
      </c>
      <c r="L1918">
        <f>SMALL(SimData1000!$C$9:$C$1008,909)</f>
        <v>0.91487911742660799</v>
      </c>
      <c r="M1918">
        <f>1/(COUNT(SimData1000!$C$9:$C$1008)-1)+$M$1917</f>
        <v>0.90890890890889497</v>
      </c>
    </row>
    <row r="1919" spans="10:13">
      <c r="J1919">
        <f>SMALL(SimData1000!$B$9:$B$1008,910)</f>
        <v>0.90910498747744251</v>
      </c>
      <c r="K1919">
        <f>1/(COUNT(SimData1000!$B$9:$B$1008)-1)+$K$1918</f>
        <v>0.90990990990989595</v>
      </c>
      <c r="L1919">
        <f>SMALL(SimData1000!$C$9:$C$1008,910)</f>
        <v>0.91588478277117247</v>
      </c>
      <c r="M1919">
        <f>1/(COUNT(SimData1000!$C$9:$C$1008)-1)+$M$1918</f>
        <v>0.90990990990989595</v>
      </c>
    </row>
    <row r="1920" spans="10:13">
      <c r="J1920">
        <f>SMALL(SimData1000!$B$9:$B$1008,911)</f>
        <v>0.91008454123886406</v>
      </c>
      <c r="K1920">
        <f>1/(COUNT(SimData1000!$B$9:$B$1008)-1)+$K$1919</f>
        <v>0.91091091091089693</v>
      </c>
      <c r="L1920">
        <f>SMALL(SimData1000!$C$9:$C$1008,911)</f>
        <v>0.91664060296352545</v>
      </c>
      <c r="M1920">
        <f>1/(COUNT(SimData1000!$C$9:$C$1008)-1)+$M$1919</f>
        <v>0.91091091091089693</v>
      </c>
    </row>
    <row r="1921" spans="10:13">
      <c r="J1921">
        <f>SMALL(SimData1000!$B$9:$B$1008,912)</f>
        <v>0.91115928947580027</v>
      </c>
      <c r="K1921">
        <f>1/(COUNT(SimData1000!$B$9:$B$1008)-1)+$K$1920</f>
        <v>0.91191191191189791</v>
      </c>
      <c r="L1921">
        <f>SMALL(SimData1000!$C$9:$C$1008,912)</f>
        <v>0.9183827348460909</v>
      </c>
      <c r="M1921">
        <f>1/(COUNT(SimData1000!$C$9:$C$1008)-1)+$M$1920</f>
        <v>0.91191191191189791</v>
      </c>
    </row>
    <row r="1922" spans="10:13">
      <c r="J1922">
        <f>SMALL(SimData1000!$B$9:$B$1008,913)</f>
        <v>0.91261043311460188</v>
      </c>
      <c r="K1922">
        <f>1/(COUNT(SimData1000!$B$9:$B$1008)-1)+$K$1921</f>
        <v>0.91291291291289889</v>
      </c>
      <c r="L1922">
        <f>SMALL(SimData1000!$C$9:$C$1008,913)</f>
        <v>0.91963829460564739</v>
      </c>
      <c r="M1922">
        <f>1/(COUNT(SimData1000!$C$9:$C$1008)-1)+$M$1921</f>
        <v>0.91291291291289889</v>
      </c>
    </row>
    <row r="1923" spans="10:13">
      <c r="J1923">
        <f>SMALL(SimData1000!$B$9:$B$1008,914)</f>
        <v>0.91398555681132365</v>
      </c>
      <c r="K1923">
        <f>1/(COUNT(SimData1000!$B$9:$B$1008)-1)+$K$1922</f>
        <v>0.91391391391389987</v>
      </c>
      <c r="L1923">
        <f>SMALL(SimData1000!$C$9:$C$1008,914)</f>
        <v>0.91994314602925442</v>
      </c>
      <c r="M1923">
        <f>1/(COUNT(SimData1000!$C$9:$C$1008)-1)+$M$1922</f>
        <v>0.91391391391389987</v>
      </c>
    </row>
    <row r="1924" spans="10:13">
      <c r="J1924">
        <f>SMALL(SimData1000!$B$9:$B$1008,915)</f>
        <v>0.91410997036847053</v>
      </c>
      <c r="K1924">
        <f>1/(COUNT(SimData1000!$B$9:$B$1008)-1)+$K$1923</f>
        <v>0.91491491491490085</v>
      </c>
      <c r="L1924">
        <f>SMALL(SimData1000!$C$9:$C$1008,915)</f>
        <v>0.9206113036516399</v>
      </c>
      <c r="M1924">
        <f>1/(COUNT(SimData1000!$C$9:$C$1008)-1)+$M$1923</f>
        <v>0.91491491491490085</v>
      </c>
    </row>
    <row r="1925" spans="10:13">
      <c r="J1925">
        <f>SMALL(SimData1000!$B$9:$B$1008,916)</f>
        <v>0.91571511542185102</v>
      </c>
      <c r="K1925">
        <f>1/(COUNT(SimData1000!$B$9:$B$1008)-1)+$K$1924</f>
        <v>0.91591591591590182</v>
      </c>
      <c r="L1925">
        <f>SMALL(SimData1000!$C$9:$C$1008,916)</f>
        <v>0.92124879492439504</v>
      </c>
      <c r="M1925">
        <f>1/(COUNT(SimData1000!$C$9:$C$1008)-1)+$M$1924</f>
        <v>0.91591591591590182</v>
      </c>
    </row>
    <row r="1926" spans="10:13">
      <c r="J1926">
        <f>SMALL(SimData1000!$B$9:$B$1008,917)</f>
        <v>0.91639138092621963</v>
      </c>
      <c r="K1926">
        <f>1/(COUNT(SimData1000!$B$9:$B$1008)-1)+$K$1925</f>
        <v>0.9169169169169028</v>
      </c>
      <c r="L1926">
        <f>SMALL(SimData1000!$C$9:$C$1008,917)</f>
        <v>0.92312180910630559</v>
      </c>
      <c r="M1926">
        <f>1/(COUNT(SimData1000!$C$9:$C$1008)-1)+$M$1925</f>
        <v>0.9169169169169028</v>
      </c>
    </row>
    <row r="1927" spans="10:13">
      <c r="J1927">
        <f>SMALL(SimData1000!$B$9:$B$1008,918)</f>
        <v>0.91741080067898395</v>
      </c>
      <c r="K1927">
        <f>1/(COUNT(SimData1000!$B$9:$B$1008)-1)+$K$1926</f>
        <v>0.91791791791790378</v>
      </c>
      <c r="L1927">
        <f>SMALL(SimData1000!$C$9:$C$1008,918)</f>
        <v>0.924019530753867</v>
      </c>
      <c r="M1927">
        <f>1/(COUNT(SimData1000!$C$9:$C$1008)-1)+$M$1926</f>
        <v>0.91791791791790378</v>
      </c>
    </row>
    <row r="1928" spans="10:13">
      <c r="J1928">
        <f>SMALL(SimData1000!$B$9:$B$1008,919)</f>
        <v>0.91810895554095251</v>
      </c>
      <c r="K1928">
        <f>1/(COUNT(SimData1000!$B$9:$B$1008)-1)+$K$1927</f>
        <v>0.91891891891890476</v>
      </c>
      <c r="L1928">
        <f>SMALL(SimData1000!$C$9:$C$1008,919)</f>
        <v>0.92510919519099843</v>
      </c>
      <c r="M1928">
        <f>1/(COUNT(SimData1000!$C$9:$C$1008)-1)+$M$1927</f>
        <v>0.91891891891890476</v>
      </c>
    </row>
    <row r="1929" spans="10:13">
      <c r="J1929">
        <f>SMALL(SimData1000!$B$9:$B$1008,920)</f>
        <v>0.91977886901022377</v>
      </c>
      <c r="K1929">
        <f>1/(COUNT(SimData1000!$B$9:$B$1008)-1)+$K$1928</f>
        <v>0.91991991991990574</v>
      </c>
      <c r="L1929">
        <f>SMALL(SimData1000!$C$9:$C$1008,920)</f>
        <v>0.92521802245209983</v>
      </c>
      <c r="M1929">
        <f>1/(COUNT(SimData1000!$C$9:$C$1008)-1)+$M$1928</f>
        <v>0.91991991991990574</v>
      </c>
    </row>
    <row r="1930" spans="10:13">
      <c r="J1930">
        <f>SMALL(SimData1000!$B$9:$B$1008,921)</f>
        <v>0.92005104769627821</v>
      </c>
      <c r="K1930">
        <f>1/(COUNT(SimData1000!$B$9:$B$1008)-1)+$K$1929</f>
        <v>0.92092092092090672</v>
      </c>
      <c r="L1930">
        <f>SMALL(SimData1000!$C$9:$C$1008,921)</f>
        <v>0.92769186428995454</v>
      </c>
      <c r="M1930">
        <f>1/(COUNT(SimData1000!$C$9:$C$1008)-1)+$M$1929</f>
        <v>0.92092092092090672</v>
      </c>
    </row>
    <row r="1931" spans="10:13">
      <c r="J1931">
        <f>SMALL(SimData1000!$B$9:$B$1008,922)</f>
        <v>0.92169251145345443</v>
      </c>
      <c r="K1931">
        <f>1/(COUNT(SimData1000!$B$9:$B$1008)-1)+$K$1930</f>
        <v>0.92192192192190769</v>
      </c>
      <c r="L1931">
        <f>SMALL(SimData1000!$C$9:$C$1008,922)</f>
        <v>0.92776442164904438</v>
      </c>
      <c r="M1931">
        <f>1/(COUNT(SimData1000!$C$9:$C$1008)-1)+$M$1930</f>
        <v>0.92192192192190769</v>
      </c>
    </row>
    <row r="1932" spans="10:13">
      <c r="J1932">
        <f>SMALL(SimData1000!$B$9:$B$1008,923)</f>
        <v>0.92294888782919127</v>
      </c>
      <c r="K1932">
        <f>1/(COUNT(SimData1000!$B$9:$B$1008)-1)+$K$1931</f>
        <v>0.92292292292290867</v>
      </c>
      <c r="L1932">
        <f>SMALL(SimData1000!$C$9:$C$1008,923)</f>
        <v>0.92984913565214811</v>
      </c>
      <c r="M1932">
        <f>1/(COUNT(SimData1000!$C$9:$C$1008)-1)+$M$1931</f>
        <v>0.92292292292290867</v>
      </c>
    </row>
    <row r="1933" spans="10:13">
      <c r="J1933">
        <f>SMALL(SimData1000!$B$9:$B$1008,924)</f>
        <v>0.9238945159786135</v>
      </c>
      <c r="K1933">
        <f>1/(COUNT(SimData1000!$B$9:$B$1008)-1)+$K$1932</f>
        <v>0.92392392392390965</v>
      </c>
      <c r="L1933">
        <f>SMALL(SimData1000!$C$9:$C$1008,924)</f>
        <v>0.93113263744817232</v>
      </c>
      <c r="M1933">
        <f>1/(COUNT(SimData1000!$C$9:$C$1008)-1)+$M$1932</f>
        <v>0.92392392392390965</v>
      </c>
    </row>
    <row r="1934" spans="10:13">
      <c r="J1934">
        <f>SMALL(SimData1000!$B$9:$B$1008,925)</f>
        <v>0.9242335997860025</v>
      </c>
      <c r="K1934">
        <f>1/(COUNT(SimData1000!$B$9:$B$1008)-1)+$K$1933</f>
        <v>0.92492492492491063</v>
      </c>
      <c r="L1934">
        <f>SMALL(SimData1000!$C$9:$C$1008,925)</f>
        <v>0.93519278509666037</v>
      </c>
      <c r="M1934">
        <f>1/(COUNT(SimData1000!$C$9:$C$1008)-1)+$M$1933</f>
        <v>0.92492492492491063</v>
      </c>
    </row>
    <row r="1935" spans="10:13">
      <c r="J1935">
        <f>SMALL(SimData1000!$B$9:$B$1008,926)</f>
        <v>0.92545862617284491</v>
      </c>
      <c r="K1935">
        <f>1/(COUNT(SimData1000!$B$9:$B$1008)-1)+$K$1934</f>
        <v>0.92592592592591161</v>
      </c>
      <c r="L1935">
        <f>SMALL(SimData1000!$C$9:$C$1008,926)</f>
        <v>0.93679421620345238</v>
      </c>
      <c r="M1935">
        <f>1/(COUNT(SimData1000!$C$9:$C$1008)-1)+$M$1934</f>
        <v>0.92592592592591161</v>
      </c>
    </row>
    <row r="1936" spans="10:13">
      <c r="J1936">
        <f>SMALL(SimData1000!$B$9:$B$1008,927)</f>
        <v>0.92655770591193753</v>
      </c>
      <c r="K1936">
        <f>1/(COUNT(SimData1000!$B$9:$B$1008)-1)+$K$1935</f>
        <v>0.92692692692691259</v>
      </c>
      <c r="L1936">
        <f>SMALL(SimData1000!$C$9:$C$1008,927)</f>
        <v>0.93836017726880527</v>
      </c>
      <c r="M1936">
        <f>1/(COUNT(SimData1000!$C$9:$C$1008)-1)+$M$1935</f>
        <v>0.92692692692691259</v>
      </c>
    </row>
    <row r="1937" spans="10:13">
      <c r="J1937">
        <f>SMALL(SimData1000!$B$9:$B$1008,928)</f>
        <v>0.92760484331883608</v>
      </c>
      <c r="K1937">
        <f>1/(COUNT(SimData1000!$B$9:$B$1008)-1)+$K$1936</f>
        <v>0.92792792792791357</v>
      </c>
      <c r="L1937">
        <f>SMALL(SimData1000!$C$9:$C$1008,928)</f>
        <v>0.94105559517083748</v>
      </c>
      <c r="M1937">
        <f>1/(COUNT(SimData1000!$C$9:$C$1008)-1)+$M$1936</f>
        <v>0.92792792792791357</v>
      </c>
    </row>
    <row r="1938" spans="10:13">
      <c r="J1938">
        <f>SMALL(SimData1000!$B$9:$B$1008,929)</f>
        <v>0.92879720554542666</v>
      </c>
      <c r="K1938">
        <f>1/(COUNT(SimData1000!$B$9:$B$1008)-1)+$K$1937</f>
        <v>0.92892892892891454</v>
      </c>
      <c r="L1938">
        <f>SMALL(SimData1000!$C$9:$C$1008,929)</f>
        <v>0.94295847858847992</v>
      </c>
      <c r="M1938">
        <f>1/(COUNT(SimData1000!$C$9:$C$1008)-1)+$M$1937</f>
        <v>0.92892892892891454</v>
      </c>
    </row>
    <row r="1939" spans="10:13">
      <c r="J1939">
        <f>SMALL(SimData1000!$B$9:$B$1008,930)</f>
        <v>0.92980692615541793</v>
      </c>
      <c r="K1939">
        <f>1/(COUNT(SimData1000!$B$9:$B$1008)-1)+$K$1938</f>
        <v>0.92992992992991552</v>
      </c>
      <c r="L1939">
        <f>SMALL(SimData1000!$C$9:$C$1008,930)</f>
        <v>0.94317393051642284</v>
      </c>
      <c r="M1939">
        <f>1/(COUNT(SimData1000!$C$9:$C$1008)-1)+$M$1938</f>
        <v>0.92992992992991552</v>
      </c>
    </row>
    <row r="1940" spans="10:13">
      <c r="J1940">
        <f>SMALL(SimData1000!$B$9:$B$1008,931)</f>
        <v>0.93035491572584839</v>
      </c>
      <c r="K1940">
        <f>1/(COUNT(SimData1000!$B$9:$B$1008)-1)+$K$1939</f>
        <v>0.9309309309309165</v>
      </c>
      <c r="L1940">
        <f>SMALL(SimData1000!$C$9:$C$1008,931)</f>
        <v>0.94566757253323885</v>
      </c>
      <c r="M1940">
        <f>1/(COUNT(SimData1000!$C$9:$C$1008)-1)+$M$1939</f>
        <v>0.9309309309309165</v>
      </c>
    </row>
    <row r="1941" spans="10:13">
      <c r="J1941">
        <f>SMALL(SimData1000!$B$9:$B$1008,932)</f>
        <v>0.93164567429028577</v>
      </c>
      <c r="K1941">
        <f>1/(COUNT(SimData1000!$B$9:$B$1008)-1)+$K$1940</f>
        <v>0.93193193193191748</v>
      </c>
      <c r="L1941">
        <f>SMALL(SimData1000!$C$9:$C$1008,932)</f>
        <v>0.94731755028533371</v>
      </c>
      <c r="M1941">
        <f>1/(COUNT(SimData1000!$C$9:$C$1008)-1)+$M$1940</f>
        <v>0.93193193193191748</v>
      </c>
    </row>
    <row r="1942" spans="10:13">
      <c r="J1942">
        <f>SMALL(SimData1000!$B$9:$B$1008,933)</f>
        <v>0.93233314097983133</v>
      </c>
      <c r="K1942">
        <f>1/(COUNT(SimData1000!$B$9:$B$1008)-1)+$K$1941</f>
        <v>0.93293293293291846</v>
      </c>
      <c r="L1942">
        <f>SMALL(SimData1000!$C$9:$C$1008,933)</f>
        <v>0.94849866640288383</v>
      </c>
      <c r="M1942">
        <f>1/(COUNT(SimData1000!$C$9:$C$1008)-1)+$M$1941</f>
        <v>0.93293293293291846</v>
      </c>
    </row>
    <row r="1943" spans="10:13">
      <c r="J1943">
        <f>SMALL(SimData1000!$B$9:$B$1008,934)</f>
        <v>0.93326099168887855</v>
      </c>
      <c r="K1943">
        <f>1/(COUNT(SimData1000!$B$9:$B$1008)-1)+$K$1942</f>
        <v>0.93393393393391944</v>
      </c>
      <c r="L1943">
        <f>SMALL(SimData1000!$C$9:$C$1008,934)</f>
        <v>0.95018477485336916</v>
      </c>
      <c r="M1943">
        <f>1/(COUNT(SimData1000!$C$9:$C$1008)-1)+$M$1942</f>
        <v>0.93393393393391944</v>
      </c>
    </row>
    <row r="1944" spans="10:13">
      <c r="J1944">
        <f>SMALL(SimData1000!$B$9:$B$1008,935)</f>
        <v>0.93423711366142081</v>
      </c>
      <c r="K1944">
        <f>1/(COUNT(SimData1000!$B$9:$B$1008)-1)+$K$1943</f>
        <v>0.93493493493492041</v>
      </c>
      <c r="L1944">
        <f>SMALL(SimData1000!$C$9:$C$1008,935)</f>
        <v>0.95018628761499713</v>
      </c>
      <c r="M1944">
        <f>1/(COUNT(SimData1000!$C$9:$C$1008)-1)+$M$1943</f>
        <v>0.93493493493492041</v>
      </c>
    </row>
    <row r="1945" spans="10:13">
      <c r="J1945">
        <f>SMALL(SimData1000!$B$9:$B$1008,936)</f>
        <v>0.93586352864905809</v>
      </c>
      <c r="K1945">
        <f>1/(COUNT(SimData1000!$B$9:$B$1008)-1)+$K$1944</f>
        <v>0.93593593593592139</v>
      </c>
      <c r="L1945">
        <f>SMALL(SimData1000!$C$9:$C$1008,936)</f>
        <v>0.95024298435509991</v>
      </c>
      <c r="M1945">
        <f>1/(COUNT(SimData1000!$C$9:$C$1008)-1)+$M$1944</f>
        <v>0.93593593593592139</v>
      </c>
    </row>
    <row r="1946" spans="10:13">
      <c r="J1946">
        <f>SMALL(SimData1000!$B$9:$B$1008,937)</f>
        <v>0.9369155523369358</v>
      </c>
      <c r="K1946">
        <f>1/(COUNT(SimData1000!$B$9:$B$1008)-1)+$K$1945</f>
        <v>0.93693693693692237</v>
      </c>
      <c r="L1946">
        <f>SMALL(SimData1000!$C$9:$C$1008,937)</f>
        <v>0.95083732684724964</v>
      </c>
      <c r="M1946">
        <f>1/(COUNT(SimData1000!$C$9:$C$1008)-1)+$M$1945</f>
        <v>0.93693693693692237</v>
      </c>
    </row>
    <row r="1947" spans="10:13">
      <c r="J1947">
        <f>SMALL(SimData1000!$B$9:$B$1008,938)</f>
        <v>0.93745348975142784</v>
      </c>
      <c r="K1947">
        <f>1/(COUNT(SimData1000!$B$9:$B$1008)-1)+$K$1946</f>
        <v>0.93793793793792335</v>
      </c>
      <c r="L1947">
        <f>SMALL(SimData1000!$C$9:$C$1008,938)</f>
        <v>0.95244945328704489</v>
      </c>
      <c r="M1947">
        <f>1/(COUNT(SimData1000!$C$9:$C$1008)-1)+$M$1946</f>
        <v>0.93793793793792335</v>
      </c>
    </row>
    <row r="1948" spans="10:13">
      <c r="J1948">
        <f>SMALL(SimData1000!$B$9:$B$1008,939)</f>
        <v>0.93853427916288701</v>
      </c>
      <c r="K1948">
        <f>1/(COUNT(SimData1000!$B$9:$B$1008)-1)+$K$1947</f>
        <v>0.93893893893892433</v>
      </c>
      <c r="L1948">
        <f>SMALL(SimData1000!$C$9:$C$1008,939)</f>
        <v>0.95330754346286994</v>
      </c>
      <c r="M1948">
        <f>1/(COUNT(SimData1000!$C$9:$C$1008)-1)+$M$1947</f>
        <v>0.93893893893892433</v>
      </c>
    </row>
    <row r="1949" spans="10:13">
      <c r="J1949">
        <f>SMALL(SimData1000!$B$9:$B$1008,940)</f>
        <v>0.93990513030134726</v>
      </c>
      <c r="K1949">
        <f>1/(COUNT(SimData1000!$B$9:$B$1008)-1)+$K$1948</f>
        <v>0.93993993993992531</v>
      </c>
      <c r="L1949">
        <f>SMALL(SimData1000!$C$9:$C$1008,940)</f>
        <v>0.95334774205275608</v>
      </c>
      <c r="M1949">
        <f>1/(COUNT(SimData1000!$C$9:$C$1008)-1)+$M$1948</f>
        <v>0.93993993993992531</v>
      </c>
    </row>
    <row r="1950" spans="10:13">
      <c r="J1950">
        <f>SMALL(SimData1000!$B$9:$B$1008,941)</f>
        <v>0.94014333103670356</v>
      </c>
      <c r="K1950">
        <f>1/(COUNT(SimData1000!$B$9:$B$1008)-1)+$K$1949</f>
        <v>0.94094094094092628</v>
      </c>
      <c r="L1950">
        <f>SMALL(SimData1000!$C$9:$C$1008,941)</f>
        <v>0.95613194783618383</v>
      </c>
      <c r="M1950">
        <f>1/(COUNT(SimData1000!$C$9:$C$1008)-1)+$M$1949</f>
        <v>0.94094094094092628</v>
      </c>
    </row>
    <row r="1951" spans="10:13">
      <c r="J1951">
        <f>SMALL(SimData1000!$B$9:$B$1008,942)</f>
        <v>0.94140063922954742</v>
      </c>
      <c r="K1951">
        <f>1/(COUNT(SimData1000!$B$9:$B$1008)-1)+$K$1950</f>
        <v>0.94194194194192726</v>
      </c>
      <c r="L1951">
        <f>SMALL(SimData1000!$C$9:$C$1008,942)</f>
        <v>0.9572123998468669</v>
      </c>
      <c r="M1951">
        <f>1/(COUNT(SimData1000!$C$9:$C$1008)-1)+$M$1950</f>
        <v>0.94194194194192726</v>
      </c>
    </row>
    <row r="1952" spans="10:13">
      <c r="J1952">
        <f>SMALL(SimData1000!$B$9:$B$1008,943)</f>
        <v>0.9429041619242412</v>
      </c>
      <c r="K1952">
        <f>1/(COUNT(SimData1000!$B$9:$B$1008)-1)+$K$1951</f>
        <v>0.94294294294292824</v>
      </c>
      <c r="L1952">
        <f>SMALL(SimData1000!$C$9:$C$1008,943)</f>
        <v>0.95796621223962575</v>
      </c>
      <c r="M1952">
        <f>1/(COUNT(SimData1000!$C$9:$C$1008)-1)+$M$1951</f>
        <v>0.94294294294292824</v>
      </c>
    </row>
    <row r="1953" spans="10:13">
      <c r="J1953">
        <f>SMALL(SimData1000!$B$9:$B$1008,944)</f>
        <v>0.94378911070287907</v>
      </c>
      <c r="K1953">
        <f>1/(COUNT(SimData1000!$B$9:$B$1008)-1)+$K$1952</f>
        <v>0.94394394394392922</v>
      </c>
      <c r="L1953">
        <f>SMALL(SimData1000!$C$9:$C$1008,944)</f>
        <v>0.95818970272648585</v>
      </c>
      <c r="M1953">
        <f>1/(COUNT(SimData1000!$C$9:$C$1008)-1)+$M$1952</f>
        <v>0.94394394394392922</v>
      </c>
    </row>
    <row r="1954" spans="10:13">
      <c r="J1954">
        <f>SMALL(SimData1000!$B$9:$B$1008,945)</f>
        <v>0.94432060084336455</v>
      </c>
      <c r="K1954">
        <f>1/(COUNT(SimData1000!$B$9:$B$1008)-1)+$K$1953</f>
        <v>0.9449449449449302</v>
      </c>
      <c r="L1954">
        <f>SMALL(SimData1000!$C$9:$C$1008,945)</f>
        <v>0.96165950185513793</v>
      </c>
      <c r="M1954">
        <f>1/(COUNT(SimData1000!$C$9:$C$1008)-1)+$M$1953</f>
        <v>0.9449449449449302</v>
      </c>
    </row>
    <row r="1955" spans="10:13">
      <c r="J1955">
        <f>SMALL(SimData1000!$B$9:$B$1008,946)</f>
        <v>0.94539801246076771</v>
      </c>
      <c r="K1955">
        <f>1/(COUNT(SimData1000!$B$9:$B$1008)-1)+$K$1954</f>
        <v>0.94594594594593118</v>
      </c>
      <c r="L1955">
        <f>SMALL(SimData1000!$C$9:$C$1008,946)</f>
        <v>0.96198868049577868</v>
      </c>
      <c r="M1955">
        <f>1/(COUNT(SimData1000!$C$9:$C$1008)-1)+$M$1954</f>
        <v>0.94594594594593118</v>
      </c>
    </row>
    <row r="1956" spans="10:13">
      <c r="J1956">
        <f>SMALL(SimData1000!$B$9:$B$1008,947)</f>
        <v>0.94669720846570504</v>
      </c>
      <c r="K1956">
        <f>1/(COUNT(SimData1000!$B$9:$B$1008)-1)+$K$1955</f>
        <v>0.94694694694693216</v>
      </c>
      <c r="L1956">
        <f>SMALL(SimData1000!$C$9:$C$1008,947)</f>
        <v>0.96234462529537268</v>
      </c>
      <c r="M1956">
        <f>1/(COUNT(SimData1000!$C$9:$C$1008)-1)+$M$1955</f>
        <v>0.94694694694693216</v>
      </c>
    </row>
    <row r="1957" spans="10:13">
      <c r="J1957">
        <f>SMALL(SimData1000!$B$9:$B$1008,948)</f>
        <v>0.94788390039417048</v>
      </c>
      <c r="K1957">
        <f>1/(COUNT(SimData1000!$B$9:$B$1008)-1)+$K$1956</f>
        <v>0.94794794794793313</v>
      </c>
      <c r="L1957">
        <f>SMALL(SimData1000!$C$9:$C$1008,948)</f>
        <v>0.96276238014161208</v>
      </c>
      <c r="M1957">
        <f>1/(COUNT(SimData1000!$C$9:$C$1008)-1)+$M$1956</f>
        <v>0.94794794794793313</v>
      </c>
    </row>
    <row r="1958" spans="10:13">
      <c r="J1958">
        <f>SMALL(SimData1000!$B$9:$B$1008,949)</f>
        <v>0.94855385381648172</v>
      </c>
      <c r="K1958">
        <f>1/(COUNT(SimData1000!$B$9:$B$1008)-1)+$K$1957</f>
        <v>0.94894894894893411</v>
      </c>
      <c r="L1958">
        <f>SMALL(SimData1000!$C$9:$C$1008,949)</f>
        <v>0.9635206690772975</v>
      </c>
      <c r="M1958">
        <f>1/(COUNT(SimData1000!$C$9:$C$1008)-1)+$M$1957</f>
        <v>0.94894894894893411</v>
      </c>
    </row>
    <row r="1959" spans="10:13">
      <c r="J1959">
        <f>SMALL(SimData1000!$B$9:$B$1008,950)</f>
        <v>0.94990759864284369</v>
      </c>
      <c r="K1959">
        <f>1/(COUNT(SimData1000!$B$9:$B$1008)-1)+$K$1958</f>
        <v>0.94994994994993509</v>
      </c>
      <c r="L1959">
        <f>SMALL(SimData1000!$C$9:$C$1008,950)</f>
        <v>0.96480680523382034</v>
      </c>
      <c r="M1959">
        <f>1/(COUNT(SimData1000!$C$9:$C$1008)-1)+$M$1958</f>
        <v>0.94994994994993509</v>
      </c>
    </row>
    <row r="1960" spans="10:13">
      <c r="J1960">
        <f>SMALL(SimData1000!$B$9:$B$1008,951)</f>
        <v>0.95007362911153437</v>
      </c>
      <c r="K1960">
        <f>1/(COUNT(SimData1000!$B$9:$B$1008)-1)+$K$1959</f>
        <v>0.95095095095093607</v>
      </c>
      <c r="L1960">
        <f>SMALL(SimData1000!$C$9:$C$1008,951)</f>
        <v>0.96486202681990108</v>
      </c>
      <c r="M1960">
        <f>1/(COUNT(SimData1000!$C$9:$C$1008)-1)+$M$1959</f>
        <v>0.95095095095093607</v>
      </c>
    </row>
    <row r="1961" spans="10:13">
      <c r="J1961">
        <f>SMALL(SimData1000!$B$9:$B$1008,952)</f>
        <v>0.95157364639932607</v>
      </c>
      <c r="K1961">
        <f>1/(COUNT(SimData1000!$B$9:$B$1008)-1)+$K$1960</f>
        <v>0.95195195195193705</v>
      </c>
      <c r="L1961">
        <f>SMALL(SimData1000!$C$9:$C$1008,952)</f>
        <v>0.96490225693105458</v>
      </c>
      <c r="M1961">
        <f>1/(COUNT(SimData1000!$C$9:$C$1008)-1)+$M$1960</f>
        <v>0.95195195195193705</v>
      </c>
    </row>
    <row r="1962" spans="10:13">
      <c r="J1962">
        <f>SMALL(SimData1000!$B$9:$B$1008,953)</f>
        <v>0.95215811259326488</v>
      </c>
      <c r="K1962">
        <f>1/(COUNT(SimData1000!$B$9:$B$1008)-1)+$K$1961</f>
        <v>0.95295295295293803</v>
      </c>
      <c r="L1962">
        <f>SMALL(SimData1000!$C$9:$C$1008,953)</f>
        <v>0.96649082482508675</v>
      </c>
      <c r="M1962">
        <f>1/(COUNT(SimData1000!$C$9:$C$1008)-1)+$M$1961</f>
        <v>0.95295295295293803</v>
      </c>
    </row>
    <row r="1963" spans="10:13">
      <c r="J1963">
        <f>SMALL(SimData1000!$B$9:$B$1008,954)</f>
        <v>0.95365965325098012</v>
      </c>
      <c r="K1963">
        <f>1/(COUNT(SimData1000!$B$9:$B$1008)-1)+$K$1962</f>
        <v>0.953953953953939</v>
      </c>
      <c r="L1963">
        <f>SMALL(SimData1000!$C$9:$C$1008,954)</f>
        <v>0.9667948026835802</v>
      </c>
      <c r="M1963">
        <f>1/(COUNT(SimData1000!$C$9:$C$1008)-1)+$M$1962</f>
        <v>0.953953953953939</v>
      </c>
    </row>
    <row r="1964" spans="10:13">
      <c r="J1964">
        <f>SMALL(SimData1000!$B$9:$B$1008,955)</f>
        <v>0.9549071504219685</v>
      </c>
      <c r="K1964">
        <f>1/(COUNT(SimData1000!$B$9:$B$1008)-1)+$K$1963</f>
        <v>0.95495495495493998</v>
      </c>
      <c r="L1964">
        <f>SMALL(SimData1000!$C$9:$C$1008,955)</f>
        <v>0.96707505643917102</v>
      </c>
      <c r="M1964">
        <f>1/(COUNT(SimData1000!$C$9:$C$1008)-1)+$M$1963</f>
        <v>0.95495495495493998</v>
      </c>
    </row>
    <row r="1965" spans="10:13">
      <c r="J1965">
        <f>SMALL(SimData1000!$B$9:$B$1008,956)</f>
        <v>0.95548976278665698</v>
      </c>
      <c r="K1965">
        <f>1/(COUNT(SimData1000!$B$9:$B$1008)-1)+$K$1964</f>
        <v>0.95595595595594096</v>
      </c>
      <c r="L1965">
        <f>SMALL(SimData1000!$C$9:$C$1008,956)</f>
        <v>0.9673346397385103</v>
      </c>
      <c r="M1965">
        <f>1/(COUNT(SimData1000!$C$9:$C$1008)-1)+$M$1964</f>
        <v>0.95595595595594096</v>
      </c>
    </row>
    <row r="1966" spans="10:13">
      <c r="J1966">
        <f>SMALL(SimData1000!$B$9:$B$1008,957)</f>
        <v>0.95698744586482354</v>
      </c>
      <c r="K1966">
        <f>1/(COUNT(SimData1000!$B$9:$B$1008)-1)+$K$1965</f>
        <v>0.95695695695694194</v>
      </c>
      <c r="L1966">
        <f>SMALL(SimData1000!$C$9:$C$1008,957)</f>
        <v>0.9675415677465935</v>
      </c>
      <c r="M1966">
        <f>1/(COUNT(SimData1000!$C$9:$C$1008)-1)+$M$1965</f>
        <v>0.95695695695694194</v>
      </c>
    </row>
    <row r="1967" spans="10:13">
      <c r="J1967">
        <f>SMALL(SimData1000!$B$9:$B$1008,958)</f>
        <v>0.95786246232429106</v>
      </c>
      <c r="K1967">
        <f>1/(COUNT(SimData1000!$B$9:$B$1008)-1)+$K$1966</f>
        <v>0.95795795795794292</v>
      </c>
      <c r="L1967">
        <f>SMALL(SimData1000!$C$9:$C$1008,958)</f>
        <v>0.96913666897580697</v>
      </c>
      <c r="M1967">
        <f>1/(COUNT(SimData1000!$C$9:$C$1008)-1)+$M$1966</f>
        <v>0.95795795795794292</v>
      </c>
    </row>
    <row r="1968" spans="10:13">
      <c r="J1968">
        <f>SMALL(SimData1000!$B$9:$B$1008,959)</f>
        <v>0.95828759770125327</v>
      </c>
      <c r="K1968">
        <f>1/(COUNT(SimData1000!$B$9:$B$1008)-1)+$K$1967</f>
        <v>0.9589589589589439</v>
      </c>
      <c r="L1968">
        <f>SMALL(SimData1000!$C$9:$C$1008,959)</f>
        <v>0.96918410968282842</v>
      </c>
      <c r="M1968">
        <f>1/(COUNT(SimData1000!$C$9:$C$1008)-1)+$M$1967</f>
        <v>0.9589589589589439</v>
      </c>
    </row>
    <row r="1969" spans="10:13">
      <c r="J1969">
        <f>SMALL(SimData1000!$B$9:$B$1008,960)</f>
        <v>0.95951640481816525</v>
      </c>
      <c r="K1969">
        <f>1/(COUNT(SimData1000!$B$9:$B$1008)-1)+$K$1968</f>
        <v>0.95995995995994488</v>
      </c>
      <c r="L1969">
        <f>SMALL(SimData1000!$C$9:$C$1008,960)</f>
        <v>0.97028151925042039</v>
      </c>
      <c r="M1969">
        <f>1/(COUNT(SimData1000!$C$9:$C$1008)-1)+$M$1968</f>
        <v>0.95995995995994488</v>
      </c>
    </row>
    <row r="1970" spans="10:13">
      <c r="J1970">
        <f>SMALL(SimData1000!$B$9:$B$1008,961)</f>
        <v>0.96088876504355314</v>
      </c>
      <c r="K1970">
        <f>1/(COUNT(SimData1000!$B$9:$B$1008)-1)+$K$1969</f>
        <v>0.96096096096094585</v>
      </c>
      <c r="L1970">
        <f>SMALL(SimData1000!$C$9:$C$1008,961)</f>
        <v>0.97148636771271413</v>
      </c>
      <c r="M1970">
        <f>1/(COUNT(SimData1000!$C$9:$C$1008)-1)+$M$1969</f>
        <v>0.96096096096094585</v>
      </c>
    </row>
    <row r="1971" spans="10:13">
      <c r="J1971">
        <f>SMALL(SimData1000!$B$9:$B$1008,962)</f>
        <v>0.96174547821975909</v>
      </c>
      <c r="K1971">
        <f>1/(COUNT(SimData1000!$B$9:$B$1008)-1)+$K$1970</f>
        <v>0.96196196196194683</v>
      </c>
      <c r="L1971">
        <f>SMALL(SimData1000!$C$9:$C$1008,962)</f>
        <v>0.9748420887372049</v>
      </c>
      <c r="M1971">
        <f>1/(COUNT(SimData1000!$C$9:$C$1008)-1)+$M$1970</f>
        <v>0.96196196196194683</v>
      </c>
    </row>
    <row r="1972" spans="10:13">
      <c r="J1972">
        <f>SMALL(SimData1000!$B$9:$B$1008,963)</f>
        <v>0.96273545766289703</v>
      </c>
      <c r="K1972">
        <f>1/(COUNT(SimData1000!$B$9:$B$1008)-1)+$K$1971</f>
        <v>0.96296296296294781</v>
      </c>
      <c r="L1972">
        <f>SMALL(SimData1000!$C$9:$C$1008,963)</f>
        <v>0.9768120458620615</v>
      </c>
      <c r="M1972">
        <f>1/(COUNT(SimData1000!$C$9:$C$1008)-1)+$M$1971</f>
        <v>0.96296296296294781</v>
      </c>
    </row>
    <row r="1973" spans="10:13">
      <c r="J1973">
        <f>SMALL(SimData1000!$B$9:$B$1008,964)</f>
        <v>0.96384080893193391</v>
      </c>
      <c r="K1973">
        <f>1/(COUNT(SimData1000!$B$9:$B$1008)-1)+$K$1972</f>
        <v>0.96396396396394879</v>
      </c>
      <c r="L1973">
        <f>SMALL(SimData1000!$C$9:$C$1008,964)</f>
        <v>0.97732044789154315</v>
      </c>
      <c r="M1973">
        <f>1/(COUNT(SimData1000!$C$9:$C$1008)-1)+$M$1972</f>
        <v>0.96396396396394879</v>
      </c>
    </row>
    <row r="1974" spans="10:13">
      <c r="J1974">
        <f>SMALL(SimData1000!$B$9:$B$1008,965)</f>
        <v>0.9647641644069842</v>
      </c>
      <c r="K1974">
        <f>1/(COUNT(SimData1000!$B$9:$B$1008)-1)+$K$1973</f>
        <v>0.96496496496494977</v>
      </c>
      <c r="L1974">
        <f>SMALL(SimData1000!$C$9:$C$1008,965)</f>
        <v>0.98022982498514466</v>
      </c>
      <c r="M1974">
        <f>1/(COUNT(SimData1000!$C$9:$C$1008)-1)+$M$1973</f>
        <v>0.96496496496494977</v>
      </c>
    </row>
    <row r="1975" spans="10:13">
      <c r="J1975">
        <f>SMALL(SimData1000!$B$9:$B$1008,966)</f>
        <v>0.96532180933824785</v>
      </c>
      <c r="K1975">
        <f>1/(COUNT(SimData1000!$B$9:$B$1008)-1)+$K$1974</f>
        <v>0.96596596596595075</v>
      </c>
      <c r="L1975">
        <f>SMALL(SimData1000!$C$9:$C$1008,966)</f>
        <v>0.98130023153589718</v>
      </c>
      <c r="M1975">
        <f>1/(COUNT(SimData1000!$C$9:$C$1008)-1)+$M$1974</f>
        <v>0.96596596596595075</v>
      </c>
    </row>
    <row r="1976" spans="10:13">
      <c r="J1976">
        <f>SMALL(SimData1000!$B$9:$B$1008,967)</f>
        <v>0.96685942368112954</v>
      </c>
      <c r="K1976">
        <f>1/(COUNT(SimData1000!$B$9:$B$1008)-1)+$K$1975</f>
        <v>0.96696696696695172</v>
      </c>
      <c r="L1976">
        <f>SMALL(SimData1000!$C$9:$C$1008,967)</f>
        <v>0.98152402967934904</v>
      </c>
      <c r="M1976">
        <f>1/(COUNT(SimData1000!$C$9:$C$1008)-1)+$M$1975</f>
        <v>0.96696696696695172</v>
      </c>
    </row>
    <row r="1977" spans="10:13">
      <c r="J1977">
        <f>SMALL(SimData1000!$B$9:$B$1008,968)</f>
        <v>0.96761715978002572</v>
      </c>
      <c r="K1977">
        <f>1/(COUNT(SimData1000!$B$9:$B$1008)-1)+$K$1976</f>
        <v>0.9679679679679527</v>
      </c>
      <c r="L1977">
        <f>SMALL(SimData1000!$C$9:$C$1008,968)</f>
        <v>0.98189988151716534</v>
      </c>
      <c r="M1977">
        <f>1/(COUNT(SimData1000!$C$9:$C$1008)-1)+$M$1976</f>
        <v>0.9679679679679527</v>
      </c>
    </row>
    <row r="1978" spans="10:13">
      <c r="J1978">
        <f>SMALL(SimData1000!$B$9:$B$1008,969)</f>
        <v>0.96869993598868598</v>
      </c>
      <c r="K1978">
        <f>1/(COUNT(SimData1000!$B$9:$B$1008)-1)+$K$1977</f>
        <v>0.96896896896895368</v>
      </c>
      <c r="L1978">
        <f>SMALL(SimData1000!$C$9:$C$1008,969)</f>
        <v>0.98224865262818639</v>
      </c>
      <c r="M1978">
        <f>1/(COUNT(SimData1000!$C$9:$C$1008)-1)+$M$1977</f>
        <v>0.96896896896895368</v>
      </c>
    </row>
    <row r="1979" spans="10:13">
      <c r="J1979">
        <f>SMALL(SimData1000!$B$9:$B$1008,970)</f>
        <v>0.96955565630680784</v>
      </c>
      <c r="K1979">
        <f>1/(COUNT(SimData1000!$B$9:$B$1008)-1)+$K$1978</f>
        <v>0.96996996996995466</v>
      </c>
      <c r="L1979">
        <f>SMALL(SimData1000!$C$9:$C$1008,970)</f>
        <v>0.98286481494869804</v>
      </c>
      <c r="M1979">
        <f>1/(COUNT(SimData1000!$C$9:$C$1008)-1)+$M$1978</f>
        <v>0.96996996996995466</v>
      </c>
    </row>
    <row r="1980" spans="10:13">
      <c r="J1980">
        <f>SMALL(SimData1000!$B$9:$B$1008,971)</f>
        <v>0.97012037654782657</v>
      </c>
      <c r="K1980">
        <f>1/(COUNT(SimData1000!$B$9:$B$1008)-1)+$K$1979</f>
        <v>0.97097097097095564</v>
      </c>
      <c r="L1980">
        <f>SMALL(SimData1000!$C$9:$C$1008,971)</f>
        <v>0.9857604806411473</v>
      </c>
      <c r="M1980">
        <f>1/(COUNT(SimData1000!$C$9:$C$1008)-1)+$M$1979</f>
        <v>0.97097097097095564</v>
      </c>
    </row>
    <row r="1981" spans="10:13">
      <c r="J1981">
        <f>SMALL(SimData1000!$B$9:$B$1008,972)</f>
        <v>0.97134662822176387</v>
      </c>
      <c r="K1981">
        <f>1/(COUNT(SimData1000!$B$9:$B$1008)-1)+$K$1980</f>
        <v>0.97197197197195662</v>
      </c>
      <c r="L1981">
        <f>SMALL(SimData1000!$C$9:$C$1008,972)</f>
        <v>0.98604902944134665</v>
      </c>
      <c r="M1981">
        <f>1/(COUNT(SimData1000!$C$9:$C$1008)-1)+$M$1980</f>
        <v>0.97197197197195662</v>
      </c>
    </row>
    <row r="1982" spans="10:13">
      <c r="J1982">
        <f>SMALL(SimData1000!$B$9:$B$1008,973)</f>
        <v>0.97236404912438346</v>
      </c>
      <c r="K1982">
        <f>1/(COUNT(SimData1000!$B$9:$B$1008)-1)+$K$1981</f>
        <v>0.97297297297295759</v>
      </c>
      <c r="L1982">
        <f>SMALL(SimData1000!$C$9:$C$1008,973)</f>
        <v>0.98646332476437237</v>
      </c>
      <c r="M1982">
        <f>1/(COUNT(SimData1000!$C$9:$C$1008)-1)+$M$1981</f>
        <v>0.97297297297295759</v>
      </c>
    </row>
    <row r="1983" spans="10:13">
      <c r="J1983">
        <f>SMALL(SimData1000!$B$9:$B$1008,974)</f>
        <v>0.97329933145486269</v>
      </c>
      <c r="K1983">
        <f>1/(COUNT(SimData1000!$B$9:$B$1008)-1)+$K$1982</f>
        <v>0.97397397397395857</v>
      </c>
      <c r="L1983">
        <f>SMALL(SimData1000!$C$9:$C$1008,974)</f>
        <v>0.98677218408920453</v>
      </c>
      <c r="M1983">
        <f>1/(COUNT(SimData1000!$C$9:$C$1008)-1)+$M$1982</f>
        <v>0.97397397397395857</v>
      </c>
    </row>
    <row r="1984" spans="10:13">
      <c r="J1984">
        <f>SMALL(SimData1000!$B$9:$B$1008,975)</f>
        <v>0.97419016211577458</v>
      </c>
      <c r="K1984">
        <f>1/(COUNT(SimData1000!$B$9:$B$1008)-1)+$K$1983</f>
        <v>0.97497497497495955</v>
      </c>
      <c r="L1984">
        <f>SMALL(SimData1000!$C$9:$C$1008,975)</f>
        <v>0.98702505354685854</v>
      </c>
      <c r="M1984">
        <f>1/(COUNT(SimData1000!$C$9:$C$1008)-1)+$M$1983</f>
        <v>0.97497497497495955</v>
      </c>
    </row>
    <row r="1985" spans="10:13">
      <c r="J1985">
        <f>SMALL(SimData1000!$B$9:$B$1008,976)</f>
        <v>0.97528916554718492</v>
      </c>
      <c r="K1985">
        <f>1/(COUNT(SimData1000!$B$9:$B$1008)-1)+$K$1984</f>
        <v>0.97597597597596053</v>
      </c>
      <c r="L1985">
        <f>SMALL(SimData1000!$C$9:$C$1008,976)</f>
        <v>0.98739930162344081</v>
      </c>
      <c r="M1985">
        <f>1/(COUNT(SimData1000!$C$9:$C$1008)-1)+$M$1984</f>
        <v>0.97597597597596053</v>
      </c>
    </row>
    <row r="1986" spans="10:13">
      <c r="J1986">
        <f>SMALL(SimData1000!$B$9:$B$1008,977)</f>
        <v>0.97631519453351279</v>
      </c>
      <c r="K1986">
        <f>1/(COUNT(SimData1000!$B$9:$B$1008)-1)+$K$1985</f>
        <v>0.97697697697696151</v>
      </c>
      <c r="L1986">
        <f>SMALL(SimData1000!$C$9:$C$1008,977)</f>
        <v>0.98861723686150071</v>
      </c>
      <c r="M1986">
        <f>1/(COUNT(SimData1000!$C$9:$C$1008)-1)+$M$1985</f>
        <v>0.97697697697696151</v>
      </c>
    </row>
    <row r="1987" spans="10:13">
      <c r="J1987">
        <f>SMALL(SimData1000!$B$9:$B$1008,978)</f>
        <v>0.97742334689093369</v>
      </c>
      <c r="K1987">
        <f>1/(COUNT(SimData1000!$B$9:$B$1008)-1)+$K$1986</f>
        <v>0.97797797797796249</v>
      </c>
      <c r="L1987">
        <f>SMALL(SimData1000!$C$9:$C$1008,978)</f>
        <v>0.98895069976242667</v>
      </c>
      <c r="M1987">
        <f>1/(COUNT(SimData1000!$C$9:$C$1008)-1)+$M$1986</f>
        <v>0.97797797797796249</v>
      </c>
    </row>
    <row r="1988" spans="10:13">
      <c r="J1988">
        <f>SMALL(SimData1000!$B$9:$B$1008,979)</f>
        <v>0.97804425992957422</v>
      </c>
      <c r="K1988">
        <f>1/(COUNT(SimData1000!$B$9:$B$1008)-1)+$K$1987</f>
        <v>0.97897897897896347</v>
      </c>
      <c r="L1988">
        <f>SMALL(SimData1000!$C$9:$C$1008,979)</f>
        <v>0.98910734637047426</v>
      </c>
      <c r="M1988">
        <f>1/(COUNT(SimData1000!$C$9:$C$1008)-1)+$M$1987</f>
        <v>0.97897897897896347</v>
      </c>
    </row>
    <row r="1989" spans="10:13">
      <c r="J1989">
        <f>SMALL(SimData1000!$B$9:$B$1008,980)</f>
        <v>0.97986814546256051</v>
      </c>
      <c r="K1989">
        <f>1/(COUNT(SimData1000!$B$9:$B$1008)-1)+$K$1988</f>
        <v>0.97997997997996444</v>
      </c>
      <c r="L1989">
        <f>SMALL(SimData1000!$C$9:$C$1008,980)</f>
        <v>0.98920447871296346</v>
      </c>
      <c r="M1989">
        <f>1/(COUNT(SimData1000!$C$9:$C$1008)-1)+$M$1988</f>
        <v>0.97997997997996444</v>
      </c>
    </row>
    <row r="1990" spans="10:13">
      <c r="J1990">
        <f>SMALL(SimData1000!$B$9:$B$1008,981)</f>
        <v>0.98089230723141041</v>
      </c>
      <c r="K1990">
        <f>1/(COUNT(SimData1000!$B$9:$B$1008)-1)+$K$1989</f>
        <v>0.98098098098096542</v>
      </c>
      <c r="L1990">
        <f>SMALL(SimData1000!$C$9:$C$1008,981)</f>
        <v>0.99034034953729133</v>
      </c>
      <c r="M1990">
        <f>1/(COUNT(SimData1000!$C$9:$C$1008)-1)+$M$1989</f>
        <v>0.98098098098096542</v>
      </c>
    </row>
    <row r="1991" spans="10:13">
      <c r="J1991">
        <f>SMALL(SimData1000!$B$9:$B$1008,982)</f>
        <v>0.98138794926749262</v>
      </c>
      <c r="K1991">
        <f>1/(COUNT(SimData1000!$B$9:$B$1008)-1)+$K$1990</f>
        <v>0.9819819819819664</v>
      </c>
      <c r="L1991">
        <f>SMALL(SimData1000!$C$9:$C$1008,982)</f>
        <v>0.99100932646706497</v>
      </c>
      <c r="M1991">
        <f>1/(COUNT(SimData1000!$C$9:$C$1008)-1)+$M$1990</f>
        <v>0.9819819819819664</v>
      </c>
    </row>
    <row r="1992" spans="10:13">
      <c r="J1992">
        <f>SMALL(SimData1000!$B$9:$B$1008,983)</f>
        <v>0.98262761752065908</v>
      </c>
      <c r="K1992">
        <f>1/(COUNT(SimData1000!$B$9:$B$1008)-1)+$K$1991</f>
        <v>0.98298298298296738</v>
      </c>
      <c r="L1992">
        <f>SMALL(SimData1000!$C$9:$C$1008,983)</f>
        <v>0.99193402930086449</v>
      </c>
      <c r="M1992">
        <f>1/(COUNT(SimData1000!$C$9:$C$1008)-1)+$M$1991</f>
        <v>0.98298298298296738</v>
      </c>
    </row>
    <row r="1993" spans="10:13">
      <c r="J1993">
        <f>SMALL(SimData1000!$B$9:$B$1008,984)</f>
        <v>0.98373729844874169</v>
      </c>
      <c r="K1993">
        <f>1/(COUNT(SimData1000!$B$9:$B$1008)-1)+$K$1992</f>
        <v>0.98398398398396836</v>
      </c>
      <c r="L1993">
        <f>SMALL(SimData1000!$C$9:$C$1008,984)</f>
        <v>0.99211602739433147</v>
      </c>
      <c r="M1993">
        <f>1/(COUNT(SimData1000!$C$9:$C$1008)-1)+$M$1992</f>
        <v>0.98398398398396836</v>
      </c>
    </row>
    <row r="1994" spans="10:13">
      <c r="J1994">
        <f>SMALL(SimData1000!$B$9:$B$1008,985)</f>
        <v>0.98481724508195589</v>
      </c>
      <c r="K1994">
        <f>1/(COUNT(SimData1000!$B$9:$B$1008)-1)+$K$1993</f>
        <v>0.98498498498496934</v>
      </c>
      <c r="L1994">
        <f>SMALL(SimData1000!$C$9:$C$1008,985)</f>
        <v>0.99245110388892499</v>
      </c>
      <c r="M1994">
        <f>1/(COUNT(SimData1000!$C$9:$C$1008)-1)+$M$1993</f>
        <v>0.98498498498496934</v>
      </c>
    </row>
    <row r="1995" spans="10:13">
      <c r="J1995">
        <f>SMALL(SimData1000!$B$9:$B$1008,986)</f>
        <v>0.98588334127442989</v>
      </c>
      <c r="K1995">
        <f>1/(COUNT(SimData1000!$B$9:$B$1008)-1)+$K$1994</f>
        <v>0.98598598598597031</v>
      </c>
      <c r="L1995">
        <f>SMALL(SimData1000!$C$9:$C$1008,986)</f>
        <v>0.99247562022810598</v>
      </c>
      <c r="M1995">
        <f>1/(COUNT(SimData1000!$C$9:$C$1008)-1)+$M$1994</f>
        <v>0.98598598598597031</v>
      </c>
    </row>
    <row r="1996" spans="10:13">
      <c r="J1996">
        <f>SMALL(SimData1000!$B$9:$B$1008,987)</f>
        <v>0.98686061418262794</v>
      </c>
      <c r="K1996">
        <f>1/(COUNT(SimData1000!$B$9:$B$1008)-1)+$K$1995</f>
        <v>0.98698698698697129</v>
      </c>
      <c r="L1996">
        <f>SMALL(SimData1000!$C$9:$C$1008,987)</f>
        <v>0.99271000548196753</v>
      </c>
      <c r="M1996">
        <f>1/(COUNT(SimData1000!$C$9:$C$1008)-1)+$M$1995</f>
        <v>0.98698698698697129</v>
      </c>
    </row>
    <row r="1997" spans="10:13">
      <c r="J1997">
        <f>SMALL(SimData1000!$B$9:$B$1008,988)</f>
        <v>0.98798087871376916</v>
      </c>
      <c r="K1997">
        <f>1/(COUNT(SimData1000!$B$9:$B$1008)-1)+$K$1996</f>
        <v>0.98798798798797227</v>
      </c>
      <c r="L1997">
        <f>SMALL(SimData1000!$C$9:$C$1008,988)</f>
        <v>0.99313408629677724</v>
      </c>
      <c r="M1997">
        <f>1/(COUNT(SimData1000!$C$9:$C$1008)-1)+$M$1996</f>
        <v>0.98798798798797227</v>
      </c>
    </row>
    <row r="1998" spans="10:13">
      <c r="J1998">
        <f>SMALL(SimData1000!$B$9:$B$1008,989)</f>
        <v>0.9886693699242709</v>
      </c>
      <c r="K1998">
        <f>1/(COUNT(SimData1000!$B$9:$B$1008)-1)+$K$1997</f>
        <v>0.98898898898897325</v>
      </c>
      <c r="L1998">
        <f>SMALL(SimData1000!$C$9:$C$1008,989)</f>
        <v>0.99355911416660092</v>
      </c>
      <c r="M1998">
        <f>1/(COUNT(SimData1000!$C$9:$C$1008)-1)+$M$1997</f>
        <v>0.98898898898897325</v>
      </c>
    </row>
    <row r="1999" spans="10:13">
      <c r="J1999">
        <f>SMALL(SimData1000!$B$9:$B$1008,990)</f>
        <v>0.98977246995823753</v>
      </c>
      <c r="K1999">
        <f>1/(COUNT(SimData1000!$B$9:$B$1008)-1)+$K$1998</f>
        <v>0.98998998998997423</v>
      </c>
      <c r="L1999">
        <f>SMALL(SimData1000!$C$9:$C$1008,990)</f>
        <v>0.99458213950856589</v>
      </c>
      <c r="M1999">
        <f>1/(COUNT(SimData1000!$C$9:$C$1008)-1)+$M$1998</f>
        <v>0.98998998998997423</v>
      </c>
    </row>
    <row r="2000" spans="10:13">
      <c r="J2000">
        <f>SMALL(SimData1000!$B$9:$B$1008,991)</f>
        <v>0.99086479185937548</v>
      </c>
      <c r="K2000">
        <f>1/(COUNT(SimData1000!$B$9:$B$1008)-1)+$K$1999</f>
        <v>0.99099099099097521</v>
      </c>
      <c r="L2000">
        <f>SMALL(SimData1000!$C$9:$C$1008,991)</f>
        <v>0.994636948959851</v>
      </c>
      <c r="M2000">
        <f>1/(COUNT(SimData1000!$C$9:$C$1008)-1)+$M$1999</f>
        <v>0.99099099099097521</v>
      </c>
    </row>
    <row r="2001" spans="10:13">
      <c r="J2001">
        <f>SMALL(SimData1000!$B$9:$B$1008,992)</f>
        <v>0.9918528222897679</v>
      </c>
      <c r="K2001">
        <f>1/(COUNT(SimData1000!$B$9:$B$1008)-1)+$K$2000</f>
        <v>0.99199199199197619</v>
      </c>
      <c r="L2001">
        <f>SMALL(SimData1000!$C$9:$C$1008,992)</f>
        <v>0.99619776215422462</v>
      </c>
      <c r="M2001">
        <f>1/(COUNT(SimData1000!$C$9:$C$1008)-1)+$M$2000</f>
        <v>0.99199199199197619</v>
      </c>
    </row>
    <row r="2002" spans="10:13">
      <c r="J2002">
        <f>SMALL(SimData1000!$B$9:$B$1008,993)</f>
        <v>0.99221283244928649</v>
      </c>
      <c r="K2002">
        <f>1/(COUNT(SimData1000!$B$9:$B$1008)-1)+$K$2001</f>
        <v>0.99299299299297716</v>
      </c>
      <c r="L2002">
        <f>SMALL(SimData1000!$C$9:$C$1008,993)</f>
        <v>0.99651625586375303</v>
      </c>
      <c r="M2002">
        <f>1/(COUNT(SimData1000!$C$9:$C$1008)-1)+$M$2001</f>
        <v>0.99299299299297716</v>
      </c>
    </row>
    <row r="2003" spans="10:13">
      <c r="J2003">
        <f>SMALL(SimData1000!$B$9:$B$1008,994)</f>
        <v>0.99327442482003814</v>
      </c>
      <c r="K2003">
        <f>1/(COUNT(SimData1000!$B$9:$B$1008)-1)+$K$2002</f>
        <v>0.99399399399397814</v>
      </c>
      <c r="L2003">
        <f>SMALL(SimData1000!$C$9:$C$1008,994)</f>
        <v>0.99736542394020944</v>
      </c>
      <c r="M2003">
        <f>1/(COUNT(SimData1000!$C$9:$C$1008)-1)+$M$2002</f>
        <v>0.99399399399397814</v>
      </c>
    </row>
    <row r="2004" spans="10:13">
      <c r="J2004">
        <f>SMALL(SimData1000!$B$9:$B$1008,995)</f>
        <v>0.99462880717442115</v>
      </c>
      <c r="K2004">
        <f>1/(COUNT(SimData1000!$B$9:$B$1008)-1)+$K$2003</f>
        <v>0.99499499499497912</v>
      </c>
      <c r="L2004">
        <f>SMALL(SimData1000!$C$9:$C$1008,995)</f>
        <v>0.99799577158501052</v>
      </c>
      <c r="M2004">
        <f>1/(COUNT(SimData1000!$C$9:$C$1008)-1)+$M$2003</f>
        <v>0.99499499499497912</v>
      </c>
    </row>
    <row r="2005" spans="10:13">
      <c r="J2005">
        <f>SMALL(SimData1000!$B$9:$B$1008,996)</f>
        <v>0.99563464679863178</v>
      </c>
      <c r="K2005">
        <f>1/(COUNT(SimData1000!$B$9:$B$1008)-1)+$K$2004</f>
        <v>0.9959959959959801</v>
      </c>
      <c r="L2005">
        <f>SMALL(SimData1000!$C$9:$C$1008,996)</f>
        <v>0.99942941137123853</v>
      </c>
      <c r="M2005">
        <f>1/(COUNT(SimData1000!$C$9:$C$1008)-1)+$M$2004</f>
        <v>0.9959959959959801</v>
      </c>
    </row>
    <row r="2006" spans="10:13">
      <c r="J2006">
        <f>SMALL(SimData1000!$B$9:$B$1008,997)</f>
        <v>0.99608633002547697</v>
      </c>
      <c r="K2006">
        <f>1/(COUNT(SimData1000!$B$9:$B$1008)-1)+$K$2005</f>
        <v>0.99699699699698108</v>
      </c>
      <c r="L2006">
        <f>SMALL(SimData1000!$C$9:$C$1008,997)</f>
        <v>0.99945853382178029</v>
      </c>
      <c r="M2006">
        <f>1/(COUNT(SimData1000!$C$9:$C$1008)-1)+$M$2005</f>
        <v>0.99699699699698108</v>
      </c>
    </row>
    <row r="2007" spans="10:13">
      <c r="J2007">
        <f>SMALL(SimData1000!$B$9:$B$1008,998)</f>
        <v>0.99774912523961368</v>
      </c>
      <c r="K2007">
        <f>1/(COUNT(SimData1000!$B$9:$B$1008)-1)+$K$2006</f>
        <v>0.99799799799798206</v>
      </c>
      <c r="L2007">
        <f>SMALL(SimData1000!$C$9:$C$1008,998)</f>
        <v>0.99950051948599139</v>
      </c>
      <c r="M2007">
        <f>1/(COUNT(SimData1000!$C$9:$C$1008)-1)+$M$2006</f>
        <v>0.99799799799798206</v>
      </c>
    </row>
    <row r="2008" spans="10:13">
      <c r="J2008">
        <f>SMALL(SimData1000!$B$9:$B$1008,999)</f>
        <v>0.99876549214701305</v>
      </c>
      <c r="K2008">
        <f>1/(COUNT(SimData1000!$B$9:$B$1008)-1)+$K$2007</f>
        <v>0.99899899899898303</v>
      </c>
      <c r="L2008">
        <f>SMALL(SimData1000!$C$9:$C$1008,999)</f>
        <v>0.99969829073233996</v>
      </c>
      <c r="M2008">
        <f>1/(COUNT(SimData1000!$C$9:$C$1008)-1)+$M$2007</f>
        <v>0.99899899899898303</v>
      </c>
    </row>
    <row r="2009" spans="10:13">
      <c r="J2009">
        <f>SMALL(SimData1000!$B$9:$B$1008,1000)</f>
        <v>0.99922706257184668</v>
      </c>
      <c r="K2009">
        <f>1/(COUNT(SimData1000!$B$9:$B$1008)-1)+$K$2008</f>
        <v>0.99999999999998401</v>
      </c>
      <c r="L2009">
        <f>SMALL(SimData1000!$C$9:$C$1008,1000)</f>
        <v>0.99997557083042921</v>
      </c>
      <c r="M2009">
        <f>1/(COUNT(SimData1000!$C$9:$C$1008)-1)+$M$2008</f>
        <v>0.99999999999998401</v>
      </c>
    </row>
  </sheetData>
  <sheetCalcPr fullCalcOnLoad="1"/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0008"/>
  <sheetViews>
    <sheetView workbookViewId="0">
      <selection activeCell="I26" sqref="I26"/>
    </sheetView>
  </sheetViews>
  <sheetFormatPr defaultRowHeight="12.75"/>
  <sheetData>
    <row r="1" spans="1:3">
      <c r="A1" t="s">
        <v>31</v>
      </c>
    </row>
    <row r="2" spans="1:3">
      <c r="A2" t="s">
        <v>0</v>
      </c>
      <c r="B2" t="str">
        <f ca="1">ADDRESS(ROW(Sheet1!$D$10),COLUMN(Sheet1!$D$10),4,,_xll.WSNAME(Sheet1!$D$10))</f>
        <v>Sheet1!D10</v>
      </c>
      <c r="C2" t="str">
        <f ca="1">ADDRESS(ROW(Sheet1!$B$10),COLUMN(Sheet1!$B$10),4,,_xll.WSNAME(Sheet1!$B$10))</f>
        <v>Sheet1!B10</v>
      </c>
    </row>
    <row r="3" spans="1:3">
      <c r="A3" t="s">
        <v>1</v>
      </c>
      <c r="B3">
        <f>AVERAGE(B9:B5008)</f>
        <v>0.50000067634085821</v>
      </c>
      <c r="C3">
        <f>AVERAGE(C9:C5008)</f>
        <v>0.49969155333128756</v>
      </c>
    </row>
    <row r="4" spans="1:3">
      <c r="A4" t="s">
        <v>2</v>
      </c>
      <c r="B4">
        <f>STDEV(B9:B5008)</f>
        <v>0.28870334016691057</v>
      </c>
      <c r="C4">
        <f>STDEV(C9:C5008)</f>
        <v>0.29159335072743758</v>
      </c>
    </row>
    <row r="5" spans="1:3">
      <c r="A5" t="s">
        <v>3</v>
      </c>
      <c r="B5">
        <f>100*B4/B3</f>
        <v>57.740589928741819</v>
      </c>
      <c r="C5">
        <f>100*C4/C3</f>
        <v>58.354668751848166</v>
      </c>
    </row>
    <row r="6" spans="1:3">
      <c r="A6" t="s">
        <v>4</v>
      </c>
      <c r="B6">
        <f>MIN(B9:B5008)</f>
        <v>1.2040462235929552E-4</v>
      </c>
      <c r="C6">
        <f>MIN(C9:C5008)</f>
        <v>9.1727842118416447E-5</v>
      </c>
    </row>
    <row r="7" spans="1:3">
      <c r="A7" t="s">
        <v>5</v>
      </c>
      <c r="B7">
        <f>MAX(B9:B5008)</f>
        <v>0.99984674193962642</v>
      </c>
      <c r="C7">
        <f>MAX(C9:C5008)</f>
        <v>0.99991806140951667</v>
      </c>
    </row>
    <row r="8" spans="1:3">
      <c r="A8" t="s">
        <v>6</v>
      </c>
      <c r="B8" t="str">
        <f>Sheet1!$C$10</f>
        <v>Latin</v>
      </c>
      <c r="C8" t="str">
        <f>Sheet1!$A$10</f>
        <v>Monte</v>
      </c>
    </row>
    <row r="9" spans="1:3">
      <c r="A9">
        <v>1</v>
      </c>
      <c r="B9">
        <v>0.51308344853233634</v>
      </c>
      <c r="C9">
        <v>0.64465555019978638</v>
      </c>
    </row>
    <row r="10" spans="1:3">
      <c r="A10">
        <v>2</v>
      </c>
      <c r="B10">
        <v>0.30577908448753394</v>
      </c>
      <c r="C10">
        <v>0.64344323333716602</v>
      </c>
    </row>
    <row r="11" spans="1:3">
      <c r="A11">
        <v>3</v>
      </c>
      <c r="B11">
        <v>0.57998692221268711</v>
      </c>
      <c r="C11">
        <v>0.25631359201361192</v>
      </c>
    </row>
    <row r="12" spans="1:3">
      <c r="A12">
        <v>4</v>
      </c>
      <c r="B12">
        <v>0.78488545279942579</v>
      </c>
      <c r="C12">
        <v>0.48386617053895975</v>
      </c>
    </row>
    <row r="13" spans="1:3">
      <c r="A13">
        <v>5</v>
      </c>
      <c r="B13">
        <v>0.94210237565937038</v>
      </c>
      <c r="C13">
        <v>0.16795692401228735</v>
      </c>
    </row>
    <row r="14" spans="1:3">
      <c r="A14">
        <v>6</v>
      </c>
      <c r="B14">
        <v>0.73343623452802098</v>
      </c>
      <c r="C14">
        <v>0.54603797065283288</v>
      </c>
    </row>
    <row r="15" spans="1:3">
      <c r="A15">
        <v>7</v>
      </c>
      <c r="B15">
        <v>3.8283428121005048E-2</v>
      </c>
      <c r="C15">
        <v>0.2281693514159997</v>
      </c>
    </row>
    <row r="16" spans="1:3">
      <c r="A16">
        <v>8</v>
      </c>
      <c r="B16">
        <v>0.22713443652850909</v>
      </c>
      <c r="C16">
        <v>0.6402969234432021</v>
      </c>
    </row>
    <row r="17" spans="1:3">
      <c r="A17">
        <v>9</v>
      </c>
      <c r="B17">
        <v>0.95371778346843039</v>
      </c>
      <c r="C17">
        <v>0.26937082180120342</v>
      </c>
    </row>
    <row r="18" spans="1:3">
      <c r="A18">
        <v>10</v>
      </c>
      <c r="B18">
        <v>0.62893960672573634</v>
      </c>
      <c r="C18">
        <v>0.69276381659165054</v>
      </c>
    </row>
    <row r="19" spans="1:3">
      <c r="A19">
        <v>11</v>
      </c>
      <c r="B19">
        <v>0.63497399991372927</v>
      </c>
      <c r="C19">
        <v>0.20692431980205583</v>
      </c>
    </row>
    <row r="20" spans="1:3">
      <c r="A20">
        <v>12</v>
      </c>
      <c r="B20">
        <v>0.15218185334647583</v>
      </c>
      <c r="C20">
        <v>0.67983927376826614</v>
      </c>
    </row>
    <row r="21" spans="1:3">
      <c r="A21">
        <v>13</v>
      </c>
      <c r="B21">
        <v>0.91391854796263361</v>
      </c>
      <c r="C21">
        <v>0.63491058751969831</v>
      </c>
    </row>
    <row r="22" spans="1:3">
      <c r="A22">
        <v>14</v>
      </c>
      <c r="B22">
        <v>2.0870340034475163E-2</v>
      </c>
      <c r="C22">
        <v>0.71120883173352922</v>
      </c>
    </row>
    <row r="23" spans="1:3">
      <c r="A23">
        <v>15</v>
      </c>
      <c r="B23">
        <v>0.18443308589505802</v>
      </c>
      <c r="C23">
        <v>0.28881979163270444</v>
      </c>
    </row>
    <row r="24" spans="1:3">
      <c r="A24">
        <v>16</v>
      </c>
      <c r="B24">
        <v>0.38292861025415559</v>
      </c>
      <c r="C24">
        <v>0.94541763962752157</v>
      </c>
    </row>
    <row r="25" spans="1:3">
      <c r="A25">
        <v>17</v>
      </c>
      <c r="B25">
        <v>0.78149859973711389</v>
      </c>
      <c r="C25">
        <v>0.33670828028152755</v>
      </c>
    </row>
    <row r="26" spans="1:3">
      <c r="A26">
        <v>18</v>
      </c>
      <c r="B26">
        <v>0.46334218729579407</v>
      </c>
      <c r="C26">
        <v>0.95870249490417336</v>
      </c>
    </row>
    <row r="27" spans="1:3">
      <c r="A27">
        <v>19</v>
      </c>
      <c r="B27">
        <v>0.72294775837663272</v>
      </c>
      <c r="C27">
        <v>0.53673375607831986</v>
      </c>
    </row>
    <row r="28" spans="1:3">
      <c r="A28">
        <v>20</v>
      </c>
      <c r="B28">
        <v>0.53710417243267972</v>
      </c>
      <c r="C28">
        <v>0.90658020792034222</v>
      </c>
    </row>
    <row r="29" spans="1:3">
      <c r="A29">
        <v>21</v>
      </c>
      <c r="B29">
        <v>0.15064777342147376</v>
      </c>
      <c r="C29">
        <v>0.76080733307298942</v>
      </c>
    </row>
    <row r="30" spans="1:3">
      <c r="A30">
        <v>22</v>
      </c>
      <c r="B30">
        <v>0.71558912059352475</v>
      </c>
      <c r="C30">
        <v>3.8463407126982929E-3</v>
      </c>
    </row>
    <row r="31" spans="1:3">
      <c r="A31">
        <v>23</v>
      </c>
      <c r="B31">
        <v>0.5351396236224425</v>
      </c>
      <c r="C31">
        <v>0.75533788320717576</v>
      </c>
    </row>
    <row r="32" spans="1:3">
      <c r="A32">
        <v>24</v>
      </c>
      <c r="B32">
        <v>8.9641183296274671E-2</v>
      </c>
      <c r="C32">
        <v>0.59721757601892023</v>
      </c>
    </row>
    <row r="33" spans="1:3">
      <c r="A33">
        <v>25</v>
      </c>
      <c r="B33">
        <v>0.83579014585711753</v>
      </c>
      <c r="C33">
        <v>0.26739194810943445</v>
      </c>
    </row>
    <row r="34" spans="1:3">
      <c r="A34">
        <v>26</v>
      </c>
      <c r="B34">
        <v>0.20620161142693869</v>
      </c>
      <c r="C34">
        <v>0.91164632181971683</v>
      </c>
    </row>
    <row r="35" spans="1:3">
      <c r="A35">
        <v>27</v>
      </c>
      <c r="B35">
        <v>0.33175065279527349</v>
      </c>
      <c r="C35">
        <v>0.4431318200795431</v>
      </c>
    </row>
    <row r="36" spans="1:3">
      <c r="A36">
        <v>28</v>
      </c>
      <c r="B36">
        <v>0.32213728973747635</v>
      </c>
      <c r="C36">
        <v>0.55783415031874029</v>
      </c>
    </row>
    <row r="37" spans="1:3">
      <c r="A37">
        <v>29</v>
      </c>
      <c r="B37">
        <v>0.77213936637633929</v>
      </c>
      <c r="C37">
        <v>0.68804411435939983</v>
      </c>
    </row>
    <row r="38" spans="1:3">
      <c r="A38">
        <v>30</v>
      </c>
      <c r="B38">
        <v>0.4007375860127475</v>
      </c>
      <c r="C38">
        <v>0.51717695407569408</v>
      </c>
    </row>
    <row r="39" spans="1:3">
      <c r="A39">
        <v>31</v>
      </c>
      <c r="B39">
        <v>0.27403558015377155</v>
      </c>
      <c r="C39">
        <v>0.1074262451766117</v>
      </c>
    </row>
    <row r="40" spans="1:3">
      <c r="A40">
        <v>32</v>
      </c>
      <c r="B40">
        <v>0.22841391121023658</v>
      </c>
      <c r="C40">
        <v>0.65098515291811054</v>
      </c>
    </row>
    <row r="41" spans="1:3">
      <c r="A41">
        <v>33</v>
      </c>
      <c r="B41">
        <v>0.1976605827151473</v>
      </c>
      <c r="C41">
        <v>0.93934744933903858</v>
      </c>
    </row>
    <row r="42" spans="1:3">
      <c r="A42">
        <v>34</v>
      </c>
      <c r="B42">
        <v>0.95354577080713265</v>
      </c>
      <c r="C42">
        <v>8.8249843925950699E-2</v>
      </c>
    </row>
    <row r="43" spans="1:3">
      <c r="A43">
        <v>35</v>
      </c>
      <c r="B43">
        <v>0.71362576256008492</v>
      </c>
      <c r="C43">
        <v>0.89065895716066734</v>
      </c>
    </row>
    <row r="44" spans="1:3">
      <c r="A44">
        <v>36</v>
      </c>
      <c r="B44">
        <v>0.31977045656292946</v>
      </c>
      <c r="C44">
        <v>0.56814106901947525</v>
      </c>
    </row>
    <row r="45" spans="1:3">
      <c r="A45">
        <v>37</v>
      </c>
      <c r="B45">
        <v>0.87291690587632298</v>
      </c>
      <c r="C45">
        <v>7.2555676196316199E-2</v>
      </c>
    </row>
    <row r="46" spans="1:3">
      <c r="A46">
        <v>38</v>
      </c>
      <c r="B46">
        <v>0.75911070421117133</v>
      </c>
      <c r="C46">
        <v>0.53301593129981484</v>
      </c>
    </row>
    <row r="47" spans="1:3">
      <c r="A47">
        <v>39</v>
      </c>
      <c r="B47">
        <v>0.3097587114419692</v>
      </c>
      <c r="C47">
        <v>0.73786543390542647</v>
      </c>
    </row>
    <row r="48" spans="1:3">
      <c r="A48">
        <v>40</v>
      </c>
      <c r="B48">
        <v>7.5128643833968944E-2</v>
      </c>
      <c r="C48">
        <v>0.34393213380099041</v>
      </c>
    </row>
    <row r="49" spans="1:3">
      <c r="A49">
        <v>41</v>
      </c>
      <c r="B49">
        <v>0.99957717811311064</v>
      </c>
      <c r="C49">
        <v>0.76008039494172408</v>
      </c>
    </row>
    <row r="50" spans="1:3">
      <c r="A50">
        <v>42</v>
      </c>
      <c r="B50">
        <v>0.47495922084286796</v>
      </c>
      <c r="C50">
        <v>0.79560353282613505</v>
      </c>
    </row>
    <row r="51" spans="1:3">
      <c r="A51">
        <v>43</v>
      </c>
      <c r="B51">
        <v>0.51807560351525339</v>
      </c>
      <c r="C51">
        <v>5.4746998079281184E-2</v>
      </c>
    </row>
    <row r="52" spans="1:3">
      <c r="A52">
        <v>44</v>
      </c>
      <c r="B52">
        <v>6.843895494501083E-2</v>
      </c>
      <c r="C52">
        <v>0.48442453334519087</v>
      </c>
    </row>
    <row r="53" spans="1:3">
      <c r="A53">
        <v>45</v>
      </c>
      <c r="B53">
        <v>0.33008564969624526</v>
      </c>
      <c r="C53">
        <v>0.86736198534345021</v>
      </c>
    </row>
    <row r="54" spans="1:3">
      <c r="A54">
        <v>46</v>
      </c>
      <c r="B54">
        <v>7.595352698922006E-2</v>
      </c>
      <c r="C54">
        <v>0.10707068262399844</v>
      </c>
    </row>
    <row r="55" spans="1:3">
      <c r="A55">
        <v>47</v>
      </c>
      <c r="B55">
        <v>0.83343438993716479</v>
      </c>
      <c r="C55">
        <v>0.26550565129036841</v>
      </c>
    </row>
    <row r="56" spans="1:3">
      <c r="A56">
        <v>48</v>
      </c>
      <c r="B56">
        <v>0.7244267284320729</v>
      </c>
      <c r="C56">
        <v>0.62789276915736991</v>
      </c>
    </row>
    <row r="57" spans="1:3">
      <c r="A57">
        <v>49</v>
      </c>
      <c r="B57">
        <v>0.37386208866067744</v>
      </c>
      <c r="C57">
        <v>0.66332798704024754</v>
      </c>
    </row>
    <row r="58" spans="1:3">
      <c r="A58">
        <v>50</v>
      </c>
      <c r="B58">
        <v>0.29122275137822673</v>
      </c>
      <c r="C58">
        <v>0.26598546157674718</v>
      </c>
    </row>
    <row r="59" spans="1:3">
      <c r="A59">
        <v>51</v>
      </c>
      <c r="B59">
        <v>0.76387773081568944</v>
      </c>
      <c r="C59">
        <v>0.26039790765753423</v>
      </c>
    </row>
    <row r="60" spans="1:3">
      <c r="A60">
        <v>52</v>
      </c>
      <c r="B60">
        <v>0.38801320751416807</v>
      </c>
      <c r="C60">
        <v>0.47847748780714028</v>
      </c>
    </row>
    <row r="61" spans="1:3">
      <c r="A61">
        <v>53</v>
      </c>
      <c r="B61">
        <v>0.38374543239016679</v>
      </c>
      <c r="C61">
        <v>6.0087867575930431E-2</v>
      </c>
    </row>
    <row r="62" spans="1:3">
      <c r="A62">
        <v>54</v>
      </c>
      <c r="B62">
        <v>0.1606031080654364</v>
      </c>
      <c r="C62">
        <v>0.42624603942749673</v>
      </c>
    </row>
    <row r="63" spans="1:3">
      <c r="A63">
        <v>55</v>
      </c>
      <c r="B63">
        <v>0.1632295176422292</v>
      </c>
      <c r="C63">
        <v>0.13458828467173589</v>
      </c>
    </row>
    <row r="64" spans="1:3">
      <c r="A64">
        <v>56</v>
      </c>
      <c r="B64">
        <v>0.82848382059267811</v>
      </c>
      <c r="C64">
        <v>0.75076856513442181</v>
      </c>
    </row>
    <row r="65" spans="1:3">
      <c r="A65">
        <v>57</v>
      </c>
      <c r="B65">
        <v>0.84751275124468661</v>
      </c>
      <c r="C65">
        <v>0.33479032797276886</v>
      </c>
    </row>
    <row r="66" spans="1:3">
      <c r="A66">
        <v>58</v>
      </c>
      <c r="B66">
        <v>0.66272518851075435</v>
      </c>
      <c r="C66">
        <v>0.58827879981981823</v>
      </c>
    </row>
    <row r="67" spans="1:3">
      <c r="A67">
        <v>59</v>
      </c>
      <c r="B67">
        <v>0.80520869914670679</v>
      </c>
      <c r="C67">
        <v>0.53550827463459427</v>
      </c>
    </row>
    <row r="68" spans="1:3">
      <c r="A68">
        <v>60</v>
      </c>
      <c r="B68">
        <v>0.34633471135379157</v>
      </c>
      <c r="C68">
        <v>0.50276182522247836</v>
      </c>
    </row>
    <row r="69" spans="1:3">
      <c r="A69">
        <v>61</v>
      </c>
      <c r="B69">
        <v>0.56780640277648486</v>
      </c>
      <c r="C69">
        <v>0.35229415807134501</v>
      </c>
    </row>
    <row r="70" spans="1:3">
      <c r="A70">
        <v>62</v>
      </c>
      <c r="B70">
        <v>0.4284050076210883</v>
      </c>
      <c r="C70">
        <v>0.51773637723454158</v>
      </c>
    </row>
    <row r="71" spans="1:3">
      <c r="A71">
        <v>63</v>
      </c>
      <c r="B71">
        <v>0.30010990104789614</v>
      </c>
      <c r="C71">
        <v>0.17364863905731909</v>
      </c>
    </row>
    <row r="72" spans="1:3">
      <c r="A72">
        <v>64</v>
      </c>
      <c r="B72">
        <v>0.89720748162400155</v>
      </c>
      <c r="C72">
        <v>0.80752379031582677</v>
      </c>
    </row>
    <row r="73" spans="1:3">
      <c r="A73">
        <v>65</v>
      </c>
      <c r="B73">
        <v>0.97582938861279511</v>
      </c>
      <c r="C73">
        <v>0.2360991839241251</v>
      </c>
    </row>
    <row r="74" spans="1:3">
      <c r="A74">
        <v>66</v>
      </c>
      <c r="B74">
        <v>0.80385926159165322</v>
      </c>
      <c r="C74">
        <v>0.99090584028454032</v>
      </c>
    </row>
    <row r="75" spans="1:3">
      <c r="A75">
        <v>67</v>
      </c>
      <c r="B75">
        <v>0.76088174928111996</v>
      </c>
      <c r="C75">
        <v>0.62952193232467835</v>
      </c>
    </row>
    <row r="76" spans="1:3">
      <c r="A76">
        <v>68</v>
      </c>
      <c r="B76">
        <v>0.6319247155699238</v>
      </c>
      <c r="C76">
        <v>0.66524021526311117</v>
      </c>
    </row>
    <row r="77" spans="1:3">
      <c r="A77">
        <v>69</v>
      </c>
      <c r="B77">
        <v>0.85927684256487447</v>
      </c>
      <c r="C77">
        <v>0.18321797621774749</v>
      </c>
    </row>
    <row r="78" spans="1:3">
      <c r="A78">
        <v>70</v>
      </c>
      <c r="B78">
        <v>0.61508580210867481</v>
      </c>
      <c r="C78">
        <v>0.69677916121509043</v>
      </c>
    </row>
    <row r="79" spans="1:3">
      <c r="A79">
        <v>71</v>
      </c>
      <c r="B79">
        <v>0.22199971078825179</v>
      </c>
      <c r="C79">
        <v>0.45511097912731202</v>
      </c>
    </row>
    <row r="80" spans="1:3">
      <c r="A80">
        <v>72</v>
      </c>
      <c r="B80">
        <v>0.38084115915900124</v>
      </c>
      <c r="C80">
        <v>0.53556127478077542</v>
      </c>
    </row>
    <row r="81" spans="1:3">
      <c r="A81">
        <v>73</v>
      </c>
      <c r="B81">
        <v>0.30021850621900953</v>
      </c>
      <c r="C81">
        <v>0.68343137837928225</v>
      </c>
    </row>
    <row r="82" spans="1:3">
      <c r="A82">
        <v>74</v>
      </c>
      <c r="B82">
        <v>0.55279526723497441</v>
      </c>
      <c r="C82">
        <v>0.89141240303797531</v>
      </c>
    </row>
    <row r="83" spans="1:3">
      <c r="A83">
        <v>75</v>
      </c>
      <c r="B83">
        <v>0.64283938992974332</v>
      </c>
      <c r="C83">
        <v>0.51477393097593449</v>
      </c>
    </row>
    <row r="84" spans="1:3">
      <c r="A84">
        <v>76</v>
      </c>
      <c r="B84">
        <v>0.79649439605634997</v>
      </c>
      <c r="C84">
        <v>0.85581957237718598</v>
      </c>
    </row>
    <row r="85" spans="1:3">
      <c r="A85">
        <v>77</v>
      </c>
      <c r="B85">
        <v>0.11139503120640176</v>
      </c>
      <c r="C85">
        <v>0.77875466294972284</v>
      </c>
    </row>
    <row r="86" spans="1:3">
      <c r="A86">
        <v>78</v>
      </c>
      <c r="B86">
        <v>0.29940720646586438</v>
      </c>
      <c r="C86">
        <v>0.49907084381720779</v>
      </c>
    </row>
    <row r="87" spans="1:3">
      <c r="A87">
        <v>79</v>
      </c>
      <c r="B87">
        <v>1.6261180164865493E-2</v>
      </c>
      <c r="C87">
        <v>0.53335899251760566</v>
      </c>
    </row>
    <row r="88" spans="1:3">
      <c r="A88">
        <v>80</v>
      </c>
      <c r="B88">
        <v>0.33267756020130534</v>
      </c>
      <c r="C88">
        <v>0.16051093991609378</v>
      </c>
    </row>
    <row r="89" spans="1:3">
      <c r="A89">
        <v>81</v>
      </c>
      <c r="B89">
        <v>0.38738773888018629</v>
      </c>
      <c r="C89">
        <v>0.84246767210242979</v>
      </c>
    </row>
    <row r="90" spans="1:3">
      <c r="A90">
        <v>82</v>
      </c>
      <c r="B90">
        <v>0.83482308945553918</v>
      </c>
      <c r="C90">
        <v>6.9593382570928952E-2</v>
      </c>
    </row>
    <row r="91" spans="1:3">
      <c r="A91">
        <v>83</v>
      </c>
      <c r="B91">
        <v>0.11613465782192878</v>
      </c>
      <c r="C91">
        <v>0.95246794741979102</v>
      </c>
    </row>
    <row r="92" spans="1:3">
      <c r="A92">
        <v>84</v>
      </c>
      <c r="B92">
        <v>0.30728545070343782</v>
      </c>
      <c r="C92">
        <v>0.67258560350001062</v>
      </c>
    </row>
    <row r="93" spans="1:3">
      <c r="A93">
        <v>85</v>
      </c>
      <c r="B93">
        <v>0.81095527687700364</v>
      </c>
      <c r="C93">
        <v>0.42634535196884826</v>
      </c>
    </row>
    <row r="94" spans="1:3">
      <c r="A94">
        <v>86</v>
      </c>
      <c r="B94">
        <v>0.54912128707969587</v>
      </c>
      <c r="C94">
        <v>2.7918199074520089E-2</v>
      </c>
    </row>
    <row r="95" spans="1:3">
      <c r="A95">
        <v>87</v>
      </c>
      <c r="B95">
        <v>0.2117999006872065</v>
      </c>
      <c r="C95">
        <v>0.66385062380504678</v>
      </c>
    </row>
    <row r="96" spans="1:3">
      <c r="A96">
        <v>88</v>
      </c>
      <c r="B96">
        <v>0.13838786439997794</v>
      </c>
      <c r="C96">
        <v>0.60557501536004565</v>
      </c>
    </row>
    <row r="97" spans="1:3">
      <c r="A97">
        <v>89</v>
      </c>
      <c r="B97">
        <v>7.5767932776214533E-2</v>
      </c>
      <c r="C97">
        <v>0.53921615557010227</v>
      </c>
    </row>
    <row r="98" spans="1:3">
      <c r="A98">
        <v>90</v>
      </c>
      <c r="B98">
        <v>0.96714168073813001</v>
      </c>
      <c r="C98">
        <v>0.68623382460009452</v>
      </c>
    </row>
    <row r="99" spans="1:3">
      <c r="A99">
        <v>91</v>
      </c>
      <c r="B99">
        <v>0.82406052917946604</v>
      </c>
      <c r="C99">
        <v>0.24755203536187764</v>
      </c>
    </row>
    <row r="100" spans="1:3">
      <c r="A100">
        <v>92</v>
      </c>
      <c r="B100">
        <v>6.2618979600914518E-2</v>
      </c>
      <c r="C100">
        <v>0.39889011810282682</v>
      </c>
    </row>
    <row r="101" spans="1:3">
      <c r="A101">
        <v>93</v>
      </c>
      <c r="B101">
        <v>0.55846243670439877</v>
      </c>
      <c r="C101">
        <v>0.80526432465740072</v>
      </c>
    </row>
    <row r="102" spans="1:3">
      <c r="A102">
        <v>94</v>
      </c>
      <c r="B102">
        <v>0.82581273237415875</v>
      </c>
      <c r="C102">
        <v>0.3256896791035615</v>
      </c>
    </row>
    <row r="103" spans="1:3">
      <c r="A103">
        <v>95</v>
      </c>
      <c r="B103">
        <v>0.63072537213669289</v>
      </c>
      <c r="C103">
        <v>0.50748393439062056</v>
      </c>
    </row>
    <row r="104" spans="1:3">
      <c r="A104">
        <v>96</v>
      </c>
      <c r="B104">
        <v>0.19616556663144508</v>
      </c>
      <c r="C104">
        <v>0.80159903082585515</v>
      </c>
    </row>
    <row r="105" spans="1:3">
      <c r="A105">
        <v>97</v>
      </c>
      <c r="B105">
        <v>0.7988231526006998</v>
      </c>
      <c r="C105">
        <v>0.82777610669836577</v>
      </c>
    </row>
    <row r="106" spans="1:3">
      <c r="A106">
        <v>98</v>
      </c>
      <c r="B106">
        <v>0.27398482214761544</v>
      </c>
      <c r="C106">
        <v>0.26080295047086111</v>
      </c>
    </row>
    <row r="107" spans="1:3">
      <c r="A107">
        <v>99</v>
      </c>
      <c r="B107">
        <v>0.35792427969540569</v>
      </c>
      <c r="C107">
        <v>9.4284862330823671E-2</v>
      </c>
    </row>
    <row r="108" spans="1:3">
      <c r="A108">
        <v>100</v>
      </c>
      <c r="B108">
        <v>0.14426059591725018</v>
      </c>
      <c r="C108">
        <v>0.8702953527936188</v>
      </c>
    </row>
    <row r="109" spans="1:3">
      <c r="A109">
        <v>101</v>
      </c>
      <c r="B109">
        <v>0.85098535417662591</v>
      </c>
      <c r="C109">
        <v>0.8708158922227085</v>
      </c>
    </row>
    <row r="110" spans="1:3">
      <c r="A110">
        <v>102</v>
      </c>
      <c r="B110">
        <v>0.61681868265192463</v>
      </c>
      <c r="C110">
        <v>0.41226920289591362</v>
      </c>
    </row>
    <row r="111" spans="1:3">
      <c r="A111">
        <v>103</v>
      </c>
      <c r="B111">
        <v>0.5660100370849972</v>
      </c>
      <c r="C111">
        <v>0.59992068616065808</v>
      </c>
    </row>
    <row r="112" spans="1:3">
      <c r="A112">
        <v>104</v>
      </c>
      <c r="B112">
        <v>7.7074210319638764E-2</v>
      </c>
      <c r="C112">
        <v>0.41833667698665522</v>
      </c>
    </row>
    <row r="113" spans="1:3">
      <c r="A113">
        <v>105</v>
      </c>
      <c r="B113">
        <v>0.56828593983605646</v>
      </c>
      <c r="C113">
        <v>0.23347055880276457</v>
      </c>
    </row>
    <row r="114" spans="1:3">
      <c r="A114">
        <v>106</v>
      </c>
      <c r="B114">
        <v>0.26490800020115168</v>
      </c>
      <c r="C114">
        <v>0.75291186128197296</v>
      </c>
    </row>
    <row r="115" spans="1:3">
      <c r="A115">
        <v>107</v>
      </c>
      <c r="B115">
        <v>0.90156118446778533</v>
      </c>
      <c r="C115">
        <v>0.62678935671738145</v>
      </c>
    </row>
    <row r="116" spans="1:3">
      <c r="A116">
        <v>108</v>
      </c>
      <c r="B116">
        <v>0.44564566776823383</v>
      </c>
      <c r="C116">
        <v>0.94671164683313691</v>
      </c>
    </row>
    <row r="117" spans="1:3">
      <c r="A117">
        <v>109</v>
      </c>
      <c r="B117">
        <v>0.18315151821625222</v>
      </c>
      <c r="C117">
        <v>0.2559002883708672</v>
      </c>
    </row>
    <row r="118" spans="1:3">
      <c r="A118">
        <v>110</v>
      </c>
      <c r="B118">
        <v>0.84882405591668197</v>
      </c>
      <c r="C118">
        <v>4.4195592314281384E-2</v>
      </c>
    </row>
    <row r="119" spans="1:3">
      <c r="A119">
        <v>111</v>
      </c>
      <c r="B119">
        <v>0.45649879187589948</v>
      </c>
      <c r="C119">
        <v>0.12282660840173776</v>
      </c>
    </row>
    <row r="120" spans="1:3">
      <c r="A120">
        <v>112</v>
      </c>
      <c r="B120">
        <v>0.77963945304165583</v>
      </c>
      <c r="C120">
        <v>5.1521697784664866E-2</v>
      </c>
    </row>
    <row r="121" spans="1:3">
      <c r="A121">
        <v>113</v>
      </c>
      <c r="B121">
        <v>0.44233743038231915</v>
      </c>
      <c r="C121">
        <v>0.60642045097847586</v>
      </c>
    </row>
    <row r="122" spans="1:3">
      <c r="A122">
        <v>114</v>
      </c>
      <c r="B122">
        <v>0.92049566593950038</v>
      </c>
      <c r="C122">
        <v>0.1263409842567853</v>
      </c>
    </row>
    <row r="123" spans="1:3">
      <c r="A123">
        <v>115</v>
      </c>
      <c r="B123">
        <v>0.41908043701804254</v>
      </c>
      <c r="C123">
        <v>0.1616207146562374</v>
      </c>
    </row>
    <row r="124" spans="1:3">
      <c r="A124">
        <v>116</v>
      </c>
      <c r="B124">
        <v>0.8674835142462709</v>
      </c>
      <c r="C124">
        <v>0.97887686258218309</v>
      </c>
    </row>
    <row r="125" spans="1:3">
      <c r="A125">
        <v>117</v>
      </c>
      <c r="B125">
        <v>0.71012996905993908</v>
      </c>
      <c r="C125">
        <v>0.7258284689651191</v>
      </c>
    </row>
    <row r="126" spans="1:3">
      <c r="A126">
        <v>118</v>
      </c>
      <c r="B126">
        <v>0.63506866989593691</v>
      </c>
      <c r="C126">
        <v>0.4805791079716073</v>
      </c>
    </row>
    <row r="127" spans="1:3">
      <c r="A127">
        <v>119</v>
      </c>
      <c r="B127">
        <v>0.20746816358926432</v>
      </c>
      <c r="C127">
        <v>2.3684268002398312E-2</v>
      </c>
    </row>
    <row r="128" spans="1:3">
      <c r="A128">
        <v>120</v>
      </c>
      <c r="B128">
        <v>0.12422040378763816</v>
      </c>
      <c r="C128">
        <v>0.25288967328742729</v>
      </c>
    </row>
    <row r="129" spans="1:3">
      <c r="A129">
        <v>121</v>
      </c>
      <c r="B129">
        <v>0.13018436319576213</v>
      </c>
      <c r="C129">
        <v>0.79102187754233455</v>
      </c>
    </row>
    <row r="130" spans="1:3">
      <c r="A130">
        <v>122</v>
      </c>
      <c r="B130">
        <v>0.75275849767563829</v>
      </c>
      <c r="C130">
        <v>0.49545530159775808</v>
      </c>
    </row>
    <row r="131" spans="1:3">
      <c r="A131">
        <v>123</v>
      </c>
      <c r="B131">
        <v>0.37881756344428696</v>
      </c>
      <c r="C131">
        <v>0.18558764225690538</v>
      </c>
    </row>
    <row r="132" spans="1:3">
      <c r="A132">
        <v>124</v>
      </c>
      <c r="B132">
        <v>0.22750411270230639</v>
      </c>
      <c r="C132">
        <v>0.94256741950084688</v>
      </c>
    </row>
    <row r="133" spans="1:3">
      <c r="A133">
        <v>125</v>
      </c>
      <c r="B133">
        <v>0.87536783867561441</v>
      </c>
      <c r="C133">
        <v>0.22055840344819444</v>
      </c>
    </row>
    <row r="134" spans="1:3">
      <c r="A134">
        <v>126</v>
      </c>
      <c r="B134">
        <v>0.84109733191749492</v>
      </c>
      <c r="C134">
        <v>1.7684954889773508E-2</v>
      </c>
    </row>
    <row r="135" spans="1:3">
      <c r="A135">
        <v>127</v>
      </c>
      <c r="B135">
        <v>0.58129222291440052</v>
      </c>
      <c r="C135">
        <v>0.84725507671555533</v>
      </c>
    </row>
    <row r="136" spans="1:3">
      <c r="A136">
        <v>128</v>
      </c>
      <c r="B136">
        <v>0.83218381890686777</v>
      </c>
      <c r="C136">
        <v>0.96713417420323822</v>
      </c>
    </row>
    <row r="137" spans="1:3">
      <c r="A137">
        <v>129</v>
      </c>
      <c r="B137">
        <v>0.50037268170327243</v>
      </c>
      <c r="C137">
        <v>0.55562833396743372</v>
      </c>
    </row>
    <row r="138" spans="1:3">
      <c r="A138">
        <v>130</v>
      </c>
      <c r="B138">
        <v>0.26079801774057515</v>
      </c>
      <c r="C138">
        <v>0.5474355383830698</v>
      </c>
    </row>
    <row r="139" spans="1:3">
      <c r="A139">
        <v>131</v>
      </c>
      <c r="B139">
        <v>0.51916995986610881</v>
      </c>
      <c r="C139">
        <v>0.22735646691671718</v>
      </c>
    </row>
    <row r="140" spans="1:3">
      <c r="A140">
        <v>132</v>
      </c>
      <c r="B140">
        <v>0.29282674262677943</v>
      </c>
      <c r="C140">
        <v>0.11904094002966303</v>
      </c>
    </row>
    <row r="141" spans="1:3">
      <c r="A141">
        <v>133</v>
      </c>
      <c r="B141">
        <v>0.419501953075198</v>
      </c>
      <c r="C141">
        <v>0.73525878945929435</v>
      </c>
    </row>
    <row r="142" spans="1:3">
      <c r="A142">
        <v>134</v>
      </c>
      <c r="B142">
        <v>0.53492287594222532</v>
      </c>
      <c r="C142">
        <v>0.94234666400916467</v>
      </c>
    </row>
    <row r="143" spans="1:3">
      <c r="A143">
        <v>135</v>
      </c>
      <c r="B143">
        <v>0.79133572876847713</v>
      </c>
      <c r="C143">
        <v>0.60927700862976053</v>
      </c>
    </row>
    <row r="144" spans="1:3">
      <c r="A144">
        <v>136</v>
      </c>
      <c r="B144">
        <v>0.27818954961900355</v>
      </c>
      <c r="C144">
        <v>0.59179525888248463</v>
      </c>
    </row>
    <row r="145" spans="1:3">
      <c r="A145">
        <v>137</v>
      </c>
      <c r="B145">
        <v>0.3674875754202454</v>
      </c>
      <c r="C145">
        <v>0.18152681569972628</v>
      </c>
    </row>
    <row r="146" spans="1:3">
      <c r="A146">
        <v>138</v>
      </c>
      <c r="B146">
        <v>0.33350244654456679</v>
      </c>
      <c r="C146">
        <v>5.6430992683090153E-2</v>
      </c>
    </row>
    <row r="147" spans="1:3">
      <c r="A147">
        <v>139</v>
      </c>
      <c r="B147">
        <v>0.29101967318850097</v>
      </c>
      <c r="C147">
        <v>7.5767578288832738E-2</v>
      </c>
    </row>
    <row r="148" spans="1:3">
      <c r="A148">
        <v>140</v>
      </c>
      <c r="B148">
        <v>0.80909820655470199</v>
      </c>
      <c r="C148">
        <v>0.8154047980424366</v>
      </c>
    </row>
    <row r="149" spans="1:3">
      <c r="A149">
        <v>141</v>
      </c>
      <c r="B149">
        <v>0.3422271098301809</v>
      </c>
      <c r="C149">
        <v>0.34609274495869613</v>
      </c>
    </row>
    <row r="150" spans="1:3">
      <c r="A150">
        <v>142</v>
      </c>
      <c r="B150">
        <v>0.91224508672623084</v>
      </c>
      <c r="C150">
        <v>0.45115796545178455</v>
      </c>
    </row>
    <row r="151" spans="1:3">
      <c r="A151">
        <v>143</v>
      </c>
      <c r="B151">
        <v>6.532449733217352E-2</v>
      </c>
      <c r="C151">
        <v>0.7492220307876778</v>
      </c>
    </row>
    <row r="152" spans="1:3">
      <c r="A152">
        <v>144</v>
      </c>
      <c r="B152">
        <v>0.69304810480062107</v>
      </c>
      <c r="C152">
        <v>0.24313579537192709</v>
      </c>
    </row>
    <row r="153" spans="1:3">
      <c r="A153">
        <v>145</v>
      </c>
      <c r="B153">
        <v>0.94105476726737214</v>
      </c>
      <c r="C153">
        <v>0.61633212664946768</v>
      </c>
    </row>
    <row r="154" spans="1:3">
      <c r="A154">
        <v>146</v>
      </c>
      <c r="B154">
        <v>0.72391426103667222</v>
      </c>
      <c r="C154">
        <v>0.35214378477212449</v>
      </c>
    </row>
    <row r="155" spans="1:3">
      <c r="A155">
        <v>147</v>
      </c>
      <c r="B155">
        <v>0.48488618941504658</v>
      </c>
      <c r="C155">
        <v>0.14435964095264353</v>
      </c>
    </row>
    <row r="156" spans="1:3">
      <c r="A156">
        <v>148</v>
      </c>
      <c r="B156">
        <v>0.13354500354401419</v>
      </c>
      <c r="C156">
        <v>0.35897813874180429</v>
      </c>
    </row>
    <row r="157" spans="1:3">
      <c r="A157">
        <v>149</v>
      </c>
      <c r="B157">
        <v>0.39737250010235525</v>
      </c>
      <c r="C157">
        <v>0.25002085327560053</v>
      </c>
    </row>
    <row r="158" spans="1:3">
      <c r="A158">
        <v>150</v>
      </c>
      <c r="B158">
        <v>0.33916725682252252</v>
      </c>
      <c r="C158">
        <v>0.57106988981286122</v>
      </c>
    </row>
    <row r="159" spans="1:3">
      <c r="A159">
        <v>151</v>
      </c>
      <c r="B159">
        <v>0.65292612669079708</v>
      </c>
      <c r="C159">
        <v>0.3907043240224084</v>
      </c>
    </row>
    <row r="160" spans="1:3">
      <c r="A160">
        <v>152</v>
      </c>
      <c r="B160">
        <v>0.54344760205653675</v>
      </c>
      <c r="C160">
        <v>0.83035329668564373</v>
      </c>
    </row>
    <row r="161" spans="1:3">
      <c r="A161">
        <v>153</v>
      </c>
      <c r="B161">
        <v>0.55907660613508814</v>
      </c>
      <c r="C161">
        <v>0.3109298793342532</v>
      </c>
    </row>
    <row r="162" spans="1:3">
      <c r="A162">
        <v>154</v>
      </c>
      <c r="B162">
        <v>0.88944731881335559</v>
      </c>
      <c r="C162">
        <v>0.81587228530952416</v>
      </c>
    </row>
    <row r="163" spans="1:3">
      <c r="A163">
        <v>155</v>
      </c>
      <c r="B163">
        <v>0.20151635364371265</v>
      </c>
      <c r="C163">
        <v>0.97947574678346427</v>
      </c>
    </row>
    <row r="164" spans="1:3">
      <c r="A164">
        <v>156</v>
      </c>
      <c r="B164">
        <v>0.94878267317595488</v>
      </c>
      <c r="C164">
        <v>0.22677061989816139</v>
      </c>
    </row>
    <row r="165" spans="1:3">
      <c r="A165">
        <v>157</v>
      </c>
      <c r="B165">
        <v>9.3582027284284594E-2</v>
      </c>
      <c r="C165">
        <v>0.8055209043186693</v>
      </c>
    </row>
    <row r="166" spans="1:3">
      <c r="A166">
        <v>158</v>
      </c>
      <c r="B166">
        <v>0.72917680732863421</v>
      </c>
      <c r="C166">
        <v>0.84130816804372444</v>
      </c>
    </row>
    <row r="167" spans="1:3">
      <c r="A167">
        <v>159</v>
      </c>
      <c r="B167">
        <v>0.241605934333011</v>
      </c>
      <c r="C167">
        <v>0.37787607383870636</v>
      </c>
    </row>
    <row r="168" spans="1:3">
      <c r="A168">
        <v>160</v>
      </c>
      <c r="B168">
        <v>0.6473469998870387</v>
      </c>
      <c r="C168">
        <v>0.43327893689911434</v>
      </c>
    </row>
    <row r="169" spans="1:3">
      <c r="A169">
        <v>161</v>
      </c>
      <c r="B169">
        <v>0.21531426445816509</v>
      </c>
      <c r="C169">
        <v>7.9259683914642665E-2</v>
      </c>
    </row>
    <row r="170" spans="1:3">
      <c r="A170">
        <v>162</v>
      </c>
      <c r="B170">
        <v>1.2709992048263084E-2</v>
      </c>
      <c r="C170">
        <v>7.7381381788654835E-2</v>
      </c>
    </row>
    <row r="171" spans="1:3">
      <c r="A171">
        <v>163</v>
      </c>
      <c r="B171">
        <v>0.76321035993313657</v>
      </c>
      <c r="C171">
        <v>0.21551627833650855</v>
      </c>
    </row>
    <row r="172" spans="1:3">
      <c r="A172">
        <v>164</v>
      </c>
      <c r="B172">
        <v>0.166353602357943</v>
      </c>
      <c r="C172">
        <v>0.81850266372293845</v>
      </c>
    </row>
    <row r="173" spans="1:3">
      <c r="A173">
        <v>165</v>
      </c>
      <c r="B173">
        <v>5.4854489888682613E-2</v>
      </c>
      <c r="C173">
        <v>0.2584479448851198</v>
      </c>
    </row>
    <row r="174" spans="1:3">
      <c r="A174">
        <v>166</v>
      </c>
      <c r="B174">
        <v>0.73023817861001894</v>
      </c>
      <c r="C174">
        <v>0.68038755207453505</v>
      </c>
    </row>
    <row r="175" spans="1:3">
      <c r="A175">
        <v>167</v>
      </c>
      <c r="B175">
        <v>0.53789853198525928</v>
      </c>
      <c r="C175">
        <v>0.81419508670569485</v>
      </c>
    </row>
    <row r="176" spans="1:3">
      <c r="A176">
        <v>168</v>
      </c>
      <c r="B176">
        <v>0.63685382332598184</v>
      </c>
      <c r="C176">
        <v>0.57891297095738992</v>
      </c>
    </row>
    <row r="177" spans="1:3">
      <c r="A177">
        <v>169</v>
      </c>
      <c r="B177">
        <v>1.6809427742382844E-2</v>
      </c>
      <c r="C177">
        <v>0.21250757401232434</v>
      </c>
    </row>
    <row r="178" spans="1:3">
      <c r="A178">
        <v>170</v>
      </c>
      <c r="B178">
        <v>8.527642115277155E-2</v>
      </c>
      <c r="C178">
        <v>0.77761261777050095</v>
      </c>
    </row>
    <row r="179" spans="1:3">
      <c r="A179">
        <v>171</v>
      </c>
      <c r="B179">
        <v>8.6636099252113158E-2</v>
      </c>
      <c r="C179">
        <v>0.73847292128903064</v>
      </c>
    </row>
    <row r="180" spans="1:3">
      <c r="A180">
        <v>172</v>
      </c>
      <c r="B180">
        <v>0.52074843778567115</v>
      </c>
      <c r="C180">
        <v>0.68699662087965407</v>
      </c>
    </row>
    <row r="181" spans="1:3">
      <c r="A181">
        <v>173</v>
      </c>
      <c r="B181">
        <v>0.59796791027303975</v>
      </c>
      <c r="C181">
        <v>0.44511121531013487</v>
      </c>
    </row>
    <row r="182" spans="1:3">
      <c r="A182">
        <v>174</v>
      </c>
      <c r="B182">
        <v>0.23179324047257965</v>
      </c>
      <c r="C182">
        <v>0.33811707465611107</v>
      </c>
    </row>
    <row r="183" spans="1:3">
      <c r="A183">
        <v>175</v>
      </c>
      <c r="B183">
        <v>0.34350964253663774</v>
      </c>
      <c r="C183">
        <v>0.10064853807216423</v>
      </c>
    </row>
    <row r="184" spans="1:3">
      <c r="A184">
        <v>176</v>
      </c>
      <c r="B184">
        <v>7.3349196981813108E-2</v>
      </c>
      <c r="C184">
        <v>0.14971353786677355</v>
      </c>
    </row>
    <row r="185" spans="1:3">
      <c r="A185">
        <v>177</v>
      </c>
      <c r="B185">
        <v>0.6526135395473367</v>
      </c>
      <c r="C185">
        <v>0.96381943906726519</v>
      </c>
    </row>
    <row r="186" spans="1:3">
      <c r="A186">
        <v>178</v>
      </c>
      <c r="B186">
        <v>0.98968042411480106</v>
      </c>
      <c r="C186">
        <v>0.66257866512933106</v>
      </c>
    </row>
    <row r="187" spans="1:3">
      <c r="A187">
        <v>179</v>
      </c>
      <c r="B187">
        <v>0.18836419599008844</v>
      </c>
      <c r="C187">
        <v>3.0863902629789663E-3</v>
      </c>
    </row>
    <row r="188" spans="1:3">
      <c r="A188">
        <v>180</v>
      </c>
      <c r="B188">
        <v>3.0960327223213464E-2</v>
      </c>
      <c r="C188">
        <v>0.23477716960132966</v>
      </c>
    </row>
    <row r="189" spans="1:3">
      <c r="A189">
        <v>181</v>
      </c>
      <c r="B189">
        <v>0.17050111047576672</v>
      </c>
      <c r="C189">
        <v>0.34560943750693696</v>
      </c>
    </row>
    <row r="190" spans="1:3">
      <c r="A190">
        <v>182</v>
      </c>
      <c r="B190">
        <v>0.98070254512133592</v>
      </c>
      <c r="C190">
        <v>0.39737675127526018</v>
      </c>
    </row>
    <row r="191" spans="1:3">
      <c r="A191">
        <v>183</v>
      </c>
      <c r="B191">
        <v>0.36052020413869063</v>
      </c>
      <c r="C191">
        <v>0.22006313110068731</v>
      </c>
    </row>
    <row r="192" spans="1:3">
      <c r="A192">
        <v>184</v>
      </c>
      <c r="B192">
        <v>0.87426956483243723</v>
      </c>
      <c r="C192">
        <v>0.24880809455953568</v>
      </c>
    </row>
    <row r="193" spans="1:3">
      <c r="A193">
        <v>185</v>
      </c>
      <c r="B193">
        <v>0.65196472710998843</v>
      </c>
      <c r="C193">
        <v>0.36436411815157044</v>
      </c>
    </row>
    <row r="194" spans="1:3">
      <c r="A194">
        <v>186</v>
      </c>
      <c r="B194">
        <v>0.2473423350298643</v>
      </c>
      <c r="C194">
        <v>0.12925635007468372</v>
      </c>
    </row>
    <row r="195" spans="1:3">
      <c r="A195">
        <v>187</v>
      </c>
      <c r="B195">
        <v>0.48724932116401598</v>
      </c>
      <c r="C195">
        <v>6.1342632927335217E-2</v>
      </c>
    </row>
    <row r="196" spans="1:3">
      <c r="A196">
        <v>188</v>
      </c>
      <c r="B196">
        <v>0.3174417682017297</v>
      </c>
      <c r="C196">
        <v>0.98255967562909063</v>
      </c>
    </row>
    <row r="197" spans="1:3">
      <c r="A197">
        <v>189</v>
      </c>
      <c r="B197">
        <v>3.735125292724726E-2</v>
      </c>
      <c r="C197">
        <v>0.17250143665023643</v>
      </c>
    </row>
    <row r="198" spans="1:3">
      <c r="A198">
        <v>190</v>
      </c>
      <c r="B198">
        <v>0.3283349949750432</v>
      </c>
      <c r="C198">
        <v>0.56371296426732442</v>
      </c>
    </row>
    <row r="199" spans="1:3">
      <c r="A199">
        <v>191</v>
      </c>
      <c r="B199">
        <v>0.11939422001512587</v>
      </c>
      <c r="C199">
        <v>0.14929554394529987</v>
      </c>
    </row>
    <row r="200" spans="1:3">
      <c r="A200">
        <v>192</v>
      </c>
      <c r="B200">
        <v>1.3566151669846416E-2</v>
      </c>
      <c r="C200">
        <v>0.6099204088877741</v>
      </c>
    </row>
    <row r="201" spans="1:3">
      <c r="A201">
        <v>193</v>
      </c>
      <c r="B201">
        <v>0.8626100407645596</v>
      </c>
      <c r="C201">
        <v>0.11950806761251442</v>
      </c>
    </row>
    <row r="202" spans="1:3">
      <c r="A202">
        <v>194</v>
      </c>
      <c r="B202">
        <v>3.6321527085435006E-2</v>
      </c>
      <c r="C202">
        <v>0.69091848333482631</v>
      </c>
    </row>
    <row r="203" spans="1:3">
      <c r="A203">
        <v>195</v>
      </c>
      <c r="B203">
        <v>0.71078098751222274</v>
      </c>
      <c r="C203">
        <v>0.12700023487832368</v>
      </c>
    </row>
    <row r="204" spans="1:3">
      <c r="A204">
        <v>196</v>
      </c>
      <c r="B204">
        <v>0.61269966505316542</v>
      </c>
      <c r="C204">
        <v>0.69167530972663371</v>
      </c>
    </row>
    <row r="205" spans="1:3">
      <c r="A205">
        <v>197</v>
      </c>
      <c r="B205">
        <v>4.3568880585573816E-2</v>
      </c>
      <c r="C205">
        <v>0.73159367668813502</v>
      </c>
    </row>
    <row r="206" spans="1:3">
      <c r="A206">
        <v>198</v>
      </c>
      <c r="B206">
        <v>0.69994051275740854</v>
      </c>
      <c r="C206">
        <v>0.23389687109920487</v>
      </c>
    </row>
    <row r="207" spans="1:3">
      <c r="A207">
        <v>199</v>
      </c>
      <c r="B207">
        <v>0.57531262105645442</v>
      </c>
      <c r="C207">
        <v>0.51699891930638842</v>
      </c>
    </row>
    <row r="208" spans="1:3">
      <c r="A208">
        <v>200</v>
      </c>
      <c r="B208">
        <v>0.90730955447957606</v>
      </c>
      <c r="C208">
        <v>0.75362739506454091</v>
      </c>
    </row>
    <row r="209" spans="1:3">
      <c r="A209">
        <v>201</v>
      </c>
      <c r="B209">
        <v>0.90566782262755274</v>
      </c>
      <c r="C209">
        <v>0.16145033686098031</v>
      </c>
    </row>
    <row r="210" spans="1:3">
      <c r="A210">
        <v>202</v>
      </c>
      <c r="B210">
        <v>0.75477666049780712</v>
      </c>
      <c r="C210">
        <v>0.58197869852847361</v>
      </c>
    </row>
    <row r="211" spans="1:3">
      <c r="A211">
        <v>203</v>
      </c>
      <c r="B211">
        <v>0.64153851640330128</v>
      </c>
      <c r="C211">
        <v>0.37606580848023441</v>
      </c>
    </row>
    <row r="212" spans="1:3">
      <c r="A212">
        <v>204</v>
      </c>
      <c r="B212">
        <v>0.34721617323849729</v>
      </c>
      <c r="C212">
        <v>0.54830402541847434</v>
      </c>
    </row>
    <row r="213" spans="1:3">
      <c r="A213">
        <v>205</v>
      </c>
      <c r="B213">
        <v>0.77951998741224404</v>
      </c>
      <c r="C213">
        <v>0.18868258838756446</v>
      </c>
    </row>
    <row r="214" spans="1:3">
      <c r="A214">
        <v>206</v>
      </c>
      <c r="B214">
        <v>4.2128027560219175E-2</v>
      </c>
      <c r="C214">
        <v>0.21737571608719009</v>
      </c>
    </row>
    <row r="215" spans="1:3">
      <c r="A215">
        <v>207</v>
      </c>
      <c r="B215">
        <v>0.97305006821641005</v>
      </c>
      <c r="C215">
        <v>7.282365926039347E-2</v>
      </c>
    </row>
    <row r="216" spans="1:3">
      <c r="A216">
        <v>208</v>
      </c>
      <c r="B216">
        <v>0.49800106918439296</v>
      </c>
      <c r="C216">
        <v>0.42965068931607675</v>
      </c>
    </row>
    <row r="217" spans="1:3">
      <c r="A217">
        <v>209</v>
      </c>
      <c r="B217">
        <v>0.91367142258832956</v>
      </c>
      <c r="C217">
        <v>1.1375620073522441E-2</v>
      </c>
    </row>
    <row r="218" spans="1:3">
      <c r="A218">
        <v>210</v>
      </c>
      <c r="B218">
        <v>0.2184336103411004</v>
      </c>
      <c r="C218">
        <v>0.77067927811276604</v>
      </c>
    </row>
    <row r="219" spans="1:3">
      <c r="A219">
        <v>211</v>
      </c>
      <c r="B219">
        <v>0.15246535526324653</v>
      </c>
      <c r="C219">
        <v>0.26681686059782805</v>
      </c>
    </row>
    <row r="220" spans="1:3">
      <c r="A220">
        <v>212</v>
      </c>
      <c r="B220">
        <v>0.15774115537715636</v>
      </c>
      <c r="C220">
        <v>0.32298507486575545</v>
      </c>
    </row>
    <row r="221" spans="1:3">
      <c r="A221">
        <v>213</v>
      </c>
      <c r="B221">
        <v>0.57613798473434008</v>
      </c>
      <c r="C221">
        <v>0.59082566124925506</v>
      </c>
    </row>
    <row r="222" spans="1:3">
      <c r="A222">
        <v>214</v>
      </c>
      <c r="B222">
        <v>0.34560447864490668</v>
      </c>
      <c r="C222">
        <v>0.8713963923864867</v>
      </c>
    </row>
    <row r="223" spans="1:3">
      <c r="A223">
        <v>215</v>
      </c>
      <c r="B223">
        <v>0.40327641489316624</v>
      </c>
      <c r="C223">
        <v>0.77564759318011056</v>
      </c>
    </row>
    <row r="224" spans="1:3">
      <c r="A224">
        <v>216</v>
      </c>
      <c r="B224">
        <v>0.76309851474647838</v>
      </c>
      <c r="C224">
        <v>0.34653210458873218</v>
      </c>
    </row>
    <row r="225" spans="1:3">
      <c r="A225">
        <v>217</v>
      </c>
      <c r="B225">
        <v>0.3206211169587963</v>
      </c>
      <c r="C225">
        <v>0.97264941699540941</v>
      </c>
    </row>
    <row r="226" spans="1:3">
      <c r="A226">
        <v>218</v>
      </c>
      <c r="B226">
        <v>0.62677933641625083</v>
      </c>
      <c r="C226">
        <v>0.90113592947727739</v>
      </c>
    </row>
    <row r="227" spans="1:3">
      <c r="A227">
        <v>219</v>
      </c>
      <c r="B227">
        <v>0.31697335890726497</v>
      </c>
      <c r="C227">
        <v>0.90414205515298818</v>
      </c>
    </row>
    <row r="228" spans="1:3">
      <c r="A228">
        <v>220</v>
      </c>
      <c r="B228">
        <v>0.5346230472822262</v>
      </c>
      <c r="C228">
        <v>0.69696135983122076</v>
      </c>
    </row>
    <row r="229" spans="1:3">
      <c r="A229">
        <v>221</v>
      </c>
      <c r="B229">
        <v>0.35986649384090358</v>
      </c>
      <c r="C229">
        <v>0.82735535304163932</v>
      </c>
    </row>
    <row r="230" spans="1:3">
      <c r="A230">
        <v>222</v>
      </c>
      <c r="B230">
        <v>0.6623590006280129</v>
      </c>
      <c r="C230">
        <v>0.37672183146059979</v>
      </c>
    </row>
    <row r="231" spans="1:3">
      <c r="A231">
        <v>223</v>
      </c>
      <c r="B231">
        <v>0.25478957349764875</v>
      </c>
      <c r="C231">
        <v>0.45353362972946343</v>
      </c>
    </row>
    <row r="232" spans="1:3">
      <c r="A232">
        <v>224</v>
      </c>
      <c r="B232">
        <v>5.754569146413023E-2</v>
      </c>
      <c r="C232">
        <v>0.12996465617652575</v>
      </c>
    </row>
    <row r="233" spans="1:3">
      <c r="A233">
        <v>225</v>
      </c>
      <c r="B233">
        <v>0.14467668820961302</v>
      </c>
      <c r="C233">
        <v>0.64913291339053103</v>
      </c>
    </row>
    <row r="234" spans="1:3">
      <c r="A234">
        <v>226</v>
      </c>
      <c r="B234">
        <v>0.91303300898806961</v>
      </c>
      <c r="C234">
        <v>0.22836900230686297</v>
      </c>
    </row>
    <row r="235" spans="1:3">
      <c r="A235">
        <v>227</v>
      </c>
      <c r="B235">
        <v>0.98778755733105061</v>
      </c>
      <c r="C235">
        <v>0.41483287985465722</v>
      </c>
    </row>
    <row r="236" spans="1:3">
      <c r="A236">
        <v>228</v>
      </c>
      <c r="B236">
        <v>0.54416123843881337</v>
      </c>
      <c r="C236">
        <v>0.1761413235026339</v>
      </c>
    </row>
    <row r="237" spans="1:3">
      <c r="A237">
        <v>229</v>
      </c>
      <c r="B237">
        <v>3.0106928543817937E-2</v>
      </c>
      <c r="C237">
        <v>0.56584691911302798</v>
      </c>
    </row>
    <row r="238" spans="1:3">
      <c r="A238">
        <v>230</v>
      </c>
      <c r="B238">
        <v>0.58352919675971593</v>
      </c>
      <c r="C238">
        <v>0.97247093126952677</v>
      </c>
    </row>
    <row r="239" spans="1:3">
      <c r="A239">
        <v>231</v>
      </c>
      <c r="B239">
        <v>0.61179856019215617</v>
      </c>
      <c r="C239">
        <v>0.82380474924502778</v>
      </c>
    </row>
    <row r="240" spans="1:3">
      <c r="A240">
        <v>232</v>
      </c>
      <c r="B240">
        <v>0.52893144589185981</v>
      </c>
      <c r="C240">
        <v>0.99870365610604495</v>
      </c>
    </row>
    <row r="241" spans="1:3">
      <c r="A241">
        <v>233</v>
      </c>
      <c r="B241">
        <v>0.89317381018315756</v>
      </c>
      <c r="C241">
        <v>0.37110271846904652</v>
      </c>
    </row>
    <row r="242" spans="1:3">
      <c r="A242">
        <v>234</v>
      </c>
      <c r="B242">
        <v>0.57888361620183182</v>
      </c>
      <c r="C242">
        <v>0.58394689856049808</v>
      </c>
    </row>
    <row r="243" spans="1:3">
      <c r="A243">
        <v>235</v>
      </c>
      <c r="B243">
        <v>0.26537395380525247</v>
      </c>
      <c r="C243">
        <v>0.44490934515671654</v>
      </c>
    </row>
    <row r="244" spans="1:3">
      <c r="A244">
        <v>236</v>
      </c>
      <c r="B244">
        <v>0.83028051504718148</v>
      </c>
      <c r="C244">
        <v>0.13837472482418889</v>
      </c>
    </row>
    <row r="245" spans="1:3">
      <c r="A245">
        <v>237</v>
      </c>
      <c r="B245">
        <v>0.40765472886125897</v>
      </c>
      <c r="C245">
        <v>0.96624247824274789</v>
      </c>
    </row>
    <row r="246" spans="1:3">
      <c r="A246">
        <v>238</v>
      </c>
      <c r="B246">
        <v>0.26627258842225948</v>
      </c>
      <c r="C246">
        <v>0.48190646926195768</v>
      </c>
    </row>
    <row r="247" spans="1:3">
      <c r="A247">
        <v>239</v>
      </c>
      <c r="B247">
        <v>5.7688279177082767E-2</v>
      </c>
      <c r="C247">
        <v>0.27999726924645074</v>
      </c>
    </row>
    <row r="248" spans="1:3">
      <c r="A248">
        <v>240</v>
      </c>
      <c r="B248">
        <v>0.79053717084404485</v>
      </c>
      <c r="C248">
        <v>0.35291069265531405</v>
      </c>
    </row>
    <row r="249" spans="1:3">
      <c r="A249">
        <v>241</v>
      </c>
      <c r="B249">
        <v>0.59469357764075825</v>
      </c>
      <c r="C249">
        <v>0.7595158092553902</v>
      </c>
    </row>
    <row r="250" spans="1:3">
      <c r="A250">
        <v>242</v>
      </c>
      <c r="B250">
        <v>0.24532736992187038</v>
      </c>
      <c r="C250">
        <v>0.50065269056267425</v>
      </c>
    </row>
    <row r="251" spans="1:3">
      <c r="A251">
        <v>243</v>
      </c>
      <c r="B251">
        <v>0.80171159917346946</v>
      </c>
      <c r="C251">
        <v>0.16146040370767878</v>
      </c>
    </row>
    <row r="252" spans="1:3">
      <c r="A252">
        <v>244</v>
      </c>
      <c r="B252">
        <v>0.94338632917515619</v>
      </c>
      <c r="C252">
        <v>0.55895638383029222</v>
      </c>
    </row>
    <row r="253" spans="1:3">
      <c r="A253">
        <v>245</v>
      </c>
      <c r="B253">
        <v>0.52699102019434585</v>
      </c>
      <c r="C253">
        <v>0.46458900370902256</v>
      </c>
    </row>
    <row r="254" spans="1:3">
      <c r="A254">
        <v>246</v>
      </c>
      <c r="B254">
        <v>0.74622867843057694</v>
      </c>
      <c r="C254">
        <v>0.54827145288072643</v>
      </c>
    </row>
    <row r="255" spans="1:3">
      <c r="A255">
        <v>247</v>
      </c>
      <c r="B255">
        <v>0.92511442631816354</v>
      </c>
      <c r="C255">
        <v>4.5904351142780797E-2</v>
      </c>
    </row>
    <row r="256" spans="1:3">
      <c r="A256">
        <v>248</v>
      </c>
      <c r="B256">
        <v>0.58991189293319168</v>
      </c>
      <c r="C256">
        <v>0.19998521862544294</v>
      </c>
    </row>
    <row r="257" spans="1:3">
      <c r="A257">
        <v>249</v>
      </c>
      <c r="B257">
        <v>0.10962327283048612</v>
      </c>
      <c r="C257">
        <v>0.60085221146528056</v>
      </c>
    </row>
    <row r="258" spans="1:3">
      <c r="A258">
        <v>250</v>
      </c>
      <c r="B258">
        <v>0.67617002559499118</v>
      </c>
      <c r="C258">
        <v>0.6182807635559584</v>
      </c>
    </row>
    <row r="259" spans="1:3">
      <c r="A259">
        <v>251</v>
      </c>
      <c r="B259">
        <v>0.84491800566793374</v>
      </c>
      <c r="C259">
        <v>1.0287612002684909E-2</v>
      </c>
    </row>
    <row r="260" spans="1:3">
      <c r="A260">
        <v>252</v>
      </c>
      <c r="B260">
        <v>0.5850365934554107</v>
      </c>
      <c r="C260">
        <v>0.77312738787622948</v>
      </c>
    </row>
    <row r="261" spans="1:3">
      <c r="A261">
        <v>253</v>
      </c>
      <c r="B261">
        <v>0.99359461679439864</v>
      </c>
      <c r="C261">
        <v>0.15314151737857173</v>
      </c>
    </row>
    <row r="262" spans="1:3">
      <c r="A262">
        <v>254</v>
      </c>
      <c r="B262">
        <v>0.67476543707050518</v>
      </c>
      <c r="C262">
        <v>0.28732493571806117</v>
      </c>
    </row>
    <row r="263" spans="1:3">
      <c r="A263">
        <v>255</v>
      </c>
      <c r="B263">
        <v>0.56969408925243048</v>
      </c>
      <c r="C263">
        <v>0.19547336957384687</v>
      </c>
    </row>
    <row r="264" spans="1:3">
      <c r="A264">
        <v>256</v>
      </c>
      <c r="B264">
        <v>0.30663012857870897</v>
      </c>
      <c r="C264">
        <v>0.29589859878433344</v>
      </c>
    </row>
    <row r="265" spans="1:3">
      <c r="A265">
        <v>257</v>
      </c>
      <c r="B265">
        <v>0.95605430936027658</v>
      </c>
      <c r="C265">
        <v>1.7392431357620808E-2</v>
      </c>
    </row>
    <row r="266" spans="1:3">
      <c r="A266">
        <v>258</v>
      </c>
      <c r="B266">
        <v>0.20429422730060626</v>
      </c>
      <c r="C266">
        <v>0.31966339994687587</v>
      </c>
    </row>
    <row r="267" spans="1:3">
      <c r="A267">
        <v>259</v>
      </c>
      <c r="B267">
        <v>0.31130043661894752</v>
      </c>
      <c r="C267">
        <v>0.70479140809311502</v>
      </c>
    </row>
    <row r="268" spans="1:3">
      <c r="A268">
        <v>260</v>
      </c>
      <c r="B268">
        <v>0.97533148365461531</v>
      </c>
      <c r="C268">
        <v>0.88411102935242525</v>
      </c>
    </row>
    <row r="269" spans="1:3">
      <c r="A269">
        <v>261</v>
      </c>
      <c r="B269">
        <v>0.37485546204798281</v>
      </c>
      <c r="C269">
        <v>0.3446611895242313</v>
      </c>
    </row>
    <row r="270" spans="1:3">
      <c r="A270">
        <v>262</v>
      </c>
      <c r="B270">
        <v>0.86553019494575689</v>
      </c>
      <c r="C270">
        <v>1.8137094102712581E-2</v>
      </c>
    </row>
    <row r="271" spans="1:3">
      <c r="A271">
        <v>263</v>
      </c>
      <c r="B271">
        <v>0.9808456588586898</v>
      </c>
      <c r="C271">
        <v>0.32562772864912404</v>
      </c>
    </row>
    <row r="272" spans="1:3">
      <c r="A272">
        <v>264</v>
      </c>
      <c r="B272">
        <v>1.8002398618031851E-2</v>
      </c>
      <c r="C272">
        <v>0.86799909339879378</v>
      </c>
    </row>
    <row r="273" spans="1:3">
      <c r="A273">
        <v>265</v>
      </c>
      <c r="B273">
        <v>0.68166686419217537</v>
      </c>
      <c r="C273">
        <v>0.67350924400852819</v>
      </c>
    </row>
    <row r="274" spans="1:3">
      <c r="A274">
        <v>266</v>
      </c>
      <c r="B274">
        <v>0.63090772265799056</v>
      </c>
      <c r="C274">
        <v>0.5480108211750121</v>
      </c>
    </row>
    <row r="275" spans="1:3">
      <c r="A275">
        <v>267</v>
      </c>
      <c r="B275">
        <v>0.26608356849972242</v>
      </c>
      <c r="C275">
        <v>0.27309138426426216</v>
      </c>
    </row>
    <row r="276" spans="1:3">
      <c r="A276">
        <v>268</v>
      </c>
      <c r="B276">
        <v>0.23818400110755675</v>
      </c>
      <c r="C276">
        <v>0.81396698126536648</v>
      </c>
    </row>
    <row r="277" spans="1:3">
      <c r="A277">
        <v>269</v>
      </c>
      <c r="B277">
        <v>0.62063255071212364</v>
      </c>
      <c r="C277">
        <v>6.1140503436035942E-2</v>
      </c>
    </row>
    <row r="278" spans="1:3">
      <c r="A278">
        <v>270</v>
      </c>
      <c r="B278">
        <v>0.58269831972101205</v>
      </c>
      <c r="C278">
        <v>0.22658485234842374</v>
      </c>
    </row>
    <row r="279" spans="1:3">
      <c r="A279">
        <v>271</v>
      </c>
      <c r="B279">
        <v>7.0939388239276452E-2</v>
      </c>
      <c r="C279">
        <v>0.65460422031355847</v>
      </c>
    </row>
    <row r="280" spans="1:3">
      <c r="A280">
        <v>272</v>
      </c>
      <c r="B280">
        <v>0.96768142766158127</v>
      </c>
      <c r="C280">
        <v>0.45140012966021459</v>
      </c>
    </row>
    <row r="281" spans="1:3">
      <c r="A281">
        <v>273</v>
      </c>
      <c r="B281">
        <v>0.93909981416624511</v>
      </c>
      <c r="C281">
        <v>0.28663686423897161</v>
      </c>
    </row>
    <row r="282" spans="1:3">
      <c r="A282">
        <v>274</v>
      </c>
      <c r="B282">
        <v>0.17600701719429507</v>
      </c>
      <c r="C282">
        <v>0.96035695240334462</v>
      </c>
    </row>
    <row r="283" spans="1:3">
      <c r="A283">
        <v>275</v>
      </c>
      <c r="B283">
        <v>0.9003858358164285</v>
      </c>
      <c r="C283">
        <v>5.7819197463686578E-3</v>
      </c>
    </row>
    <row r="284" spans="1:3">
      <c r="A284">
        <v>276</v>
      </c>
      <c r="B284">
        <v>0.42373492498885251</v>
      </c>
      <c r="C284">
        <v>0.24563908998516126</v>
      </c>
    </row>
    <row r="285" spans="1:3">
      <c r="A285">
        <v>277</v>
      </c>
      <c r="B285">
        <v>0.85753779503976402</v>
      </c>
      <c r="C285">
        <v>0.87810881798395712</v>
      </c>
    </row>
    <row r="286" spans="1:3">
      <c r="A286">
        <v>278</v>
      </c>
      <c r="B286">
        <v>0.18815783122315952</v>
      </c>
      <c r="C286">
        <v>0.21288802051003586</v>
      </c>
    </row>
    <row r="287" spans="1:3">
      <c r="A287">
        <v>279</v>
      </c>
      <c r="B287">
        <v>0.78138807706120139</v>
      </c>
      <c r="C287">
        <v>0.21055933372919355</v>
      </c>
    </row>
    <row r="288" spans="1:3">
      <c r="A288">
        <v>280</v>
      </c>
      <c r="B288">
        <v>0.9824523644622537</v>
      </c>
      <c r="C288">
        <v>0.55522345359531755</v>
      </c>
    </row>
    <row r="289" spans="1:3">
      <c r="A289">
        <v>281</v>
      </c>
      <c r="B289">
        <v>0.77383235337232059</v>
      </c>
      <c r="C289">
        <v>0.997656373544487</v>
      </c>
    </row>
    <row r="290" spans="1:3">
      <c r="A290">
        <v>282</v>
      </c>
      <c r="B290">
        <v>0.40370571318816062</v>
      </c>
      <c r="C290">
        <v>4.0954681480798172E-2</v>
      </c>
    </row>
    <row r="291" spans="1:3">
      <c r="A291">
        <v>283</v>
      </c>
      <c r="B291">
        <v>0.4995442503409796</v>
      </c>
      <c r="C291">
        <v>0.71000733518212655</v>
      </c>
    </row>
    <row r="292" spans="1:3">
      <c r="A292">
        <v>284</v>
      </c>
      <c r="B292">
        <v>0.28890135207206508</v>
      </c>
      <c r="C292">
        <v>2.2270169296476183E-2</v>
      </c>
    </row>
    <row r="293" spans="1:3">
      <c r="A293">
        <v>285</v>
      </c>
      <c r="B293">
        <v>0.72770580867349777</v>
      </c>
      <c r="C293">
        <v>6.6243933792065945E-2</v>
      </c>
    </row>
    <row r="294" spans="1:3">
      <c r="A294">
        <v>286</v>
      </c>
      <c r="B294">
        <v>0.99478847897764955</v>
      </c>
      <c r="C294">
        <v>4.922930824704963E-2</v>
      </c>
    </row>
    <row r="295" spans="1:3">
      <c r="A295">
        <v>287</v>
      </c>
      <c r="B295">
        <v>0.22935448816003148</v>
      </c>
      <c r="C295">
        <v>0.63131767740924261</v>
      </c>
    </row>
    <row r="296" spans="1:3">
      <c r="A296">
        <v>288</v>
      </c>
      <c r="B296">
        <v>0.63944878165606611</v>
      </c>
      <c r="C296">
        <v>0.94040468118237186</v>
      </c>
    </row>
    <row r="297" spans="1:3">
      <c r="A297">
        <v>289</v>
      </c>
      <c r="B297">
        <v>0.63730762511033279</v>
      </c>
      <c r="C297">
        <v>0.71535213695460698</v>
      </c>
    </row>
    <row r="298" spans="1:3">
      <c r="A298">
        <v>290</v>
      </c>
      <c r="B298">
        <v>5.2836629886328389E-2</v>
      </c>
      <c r="C298">
        <v>0.34237479202693066</v>
      </c>
    </row>
    <row r="299" spans="1:3">
      <c r="A299">
        <v>291</v>
      </c>
      <c r="B299">
        <v>0.30994411371507313</v>
      </c>
      <c r="C299">
        <v>0.39250665849613142</v>
      </c>
    </row>
    <row r="300" spans="1:3">
      <c r="A300">
        <v>292</v>
      </c>
      <c r="B300">
        <v>0.50363530629808906</v>
      </c>
      <c r="C300">
        <v>1.1797494290476607E-2</v>
      </c>
    </row>
    <row r="301" spans="1:3">
      <c r="A301">
        <v>293</v>
      </c>
      <c r="B301">
        <v>0.5330361680213912</v>
      </c>
      <c r="C301">
        <v>0.69844050657229673</v>
      </c>
    </row>
    <row r="302" spans="1:3">
      <c r="A302">
        <v>294</v>
      </c>
      <c r="B302">
        <v>0.17576198171241256</v>
      </c>
      <c r="C302">
        <v>0.43717128346270329</v>
      </c>
    </row>
    <row r="303" spans="1:3">
      <c r="A303">
        <v>295</v>
      </c>
      <c r="B303">
        <v>0.82049291625346354</v>
      </c>
      <c r="C303">
        <v>6.9298058158892673E-2</v>
      </c>
    </row>
    <row r="304" spans="1:3">
      <c r="A304">
        <v>296</v>
      </c>
      <c r="B304">
        <v>0.53136547509086451</v>
      </c>
      <c r="C304">
        <v>0.68185219875431358</v>
      </c>
    </row>
    <row r="305" spans="1:3">
      <c r="A305">
        <v>297</v>
      </c>
      <c r="B305">
        <v>0.17083672438884079</v>
      </c>
      <c r="C305">
        <v>0.63526238566737447</v>
      </c>
    </row>
    <row r="306" spans="1:3">
      <c r="A306">
        <v>298</v>
      </c>
      <c r="B306">
        <v>0.80145314298603987</v>
      </c>
      <c r="C306">
        <v>0.27702198481438245</v>
      </c>
    </row>
    <row r="307" spans="1:3">
      <c r="A307">
        <v>299</v>
      </c>
      <c r="B307">
        <v>0.74759740221518955</v>
      </c>
      <c r="C307">
        <v>0.5844122098023945</v>
      </c>
    </row>
    <row r="308" spans="1:3">
      <c r="A308">
        <v>300</v>
      </c>
      <c r="B308">
        <v>5.9371211952709405E-2</v>
      </c>
      <c r="C308">
        <v>0.56210830407417234</v>
      </c>
    </row>
    <row r="309" spans="1:3">
      <c r="A309">
        <v>301</v>
      </c>
      <c r="B309">
        <v>0.83625500176485035</v>
      </c>
      <c r="C309">
        <v>0.65157422166339529</v>
      </c>
    </row>
    <row r="310" spans="1:3">
      <c r="A310">
        <v>302</v>
      </c>
      <c r="B310">
        <v>0.68576732871294188</v>
      </c>
      <c r="C310">
        <v>0.83264323955609143</v>
      </c>
    </row>
    <row r="311" spans="1:3">
      <c r="A311">
        <v>303</v>
      </c>
      <c r="B311">
        <v>8.3343312080005019E-2</v>
      </c>
      <c r="C311">
        <v>0.77603293088031933</v>
      </c>
    </row>
    <row r="312" spans="1:3">
      <c r="A312">
        <v>304</v>
      </c>
      <c r="B312">
        <v>0.31946313844478297</v>
      </c>
      <c r="C312">
        <v>0.94313792360753723</v>
      </c>
    </row>
    <row r="313" spans="1:3">
      <c r="A313">
        <v>305</v>
      </c>
      <c r="B313">
        <v>0.95869978113842658</v>
      </c>
      <c r="C313">
        <v>0.77072505661089963</v>
      </c>
    </row>
    <row r="314" spans="1:3">
      <c r="A314">
        <v>306</v>
      </c>
      <c r="B314">
        <v>0.21367708993937753</v>
      </c>
      <c r="C314">
        <v>0.61210322157876362</v>
      </c>
    </row>
    <row r="315" spans="1:3">
      <c r="A315">
        <v>307</v>
      </c>
      <c r="B315">
        <v>0.12778240214944409</v>
      </c>
      <c r="C315">
        <v>1.8737711074209074E-2</v>
      </c>
    </row>
    <row r="316" spans="1:3">
      <c r="A316">
        <v>308</v>
      </c>
      <c r="B316">
        <v>0.11494344284481915</v>
      </c>
      <c r="C316">
        <v>3.2784404806989187E-2</v>
      </c>
    </row>
    <row r="317" spans="1:3">
      <c r="A317">
        <v>309</v>
      </c>
      <c r="B317">
        <v>0.13381654342986096</v>
      </c>
      <c r="C317">
        <v>0.31503004976548254</v>
      </c>
    </row>
    <row r="318" spans="1:3">
      <c r="A318">
        <v>310</v>
      </c>
      <c r="B318">
        <v>0.15759531234269852</v>
      </c>
      <c r="C318">
        <v>0.28970769205170654</v>
      </c>
    </row>
    <row r="319" spans="1:3">
      <c r="A319">
        <v>311</v>
      </c>
      <c r="B319">
        <v>0.29237242852052964</v>
      </c>
      <c r="C319">
        <v>0.30981514617087669</v>
      </c>
    </row>
    <row r="320" spans="1:3">
      <c r="A320">
        <v>312</v>
      </c>
      <c r="B320">
        <v>0.56865065964489492</v>
      </c>
      <c r="C320">
        <v>0.40526212622262392</v>
      </c>
    </row>
    <row r="321" spans="1:3">
      <c r="A321">
        <v>313</v>
      </c>
      <c r="B321">
        <v>0.71811993436909283</v>
      </c>
      <c r="C321">
        <v>0.58734158754486998</v>
      </c>
    </row>
    <row r="322" spans="1:3">
      <c r="A322">
        <v>314</v>
      </c>
      <c r="B322">
        <v>0.2950183535270901</v>
      </c>
      <c r="C322">
        <v>0.88009709044217743</v>
      </c>
    </row>
    <row r="323" spans="1:3">
      <c r="A323">
        <v>315</v>
      </c>
      <c r="B323">
        <v>0.96677266813841944</v>
      </c>
      <c r="C323">
        <v>0.67737359015154652</v>
      </c>
    </row>
    <row r="324" spans="1:3">
      <c r="A324">
        <v>316</v>
      </c>
      <c r="B324">
        <v>1.7398315611714104E-2</v>
      </c>
      <c r="C324">
        <v>0.64859682673977659</v>
      </c>
    </row>
    <row r="325" spans="1:3">
      <c r="A325">
        <v>317</v>
      </c>
      <c r="B325">
        <v>0.12793127046635636</v>
      </c>
      <c r="C325">
        <v>0.68600728630190133</v>
      </c>
    </row>
    <row r="326" spans="1:3">
      <c r="A326">
        <v>318</v>
      </c>
      <c r="B326">
        <v>0.7235227909699834</v>
      </c>
      <c r="C326">
        <v>0.31258274191259261</v>
      </c>
    </row>
    <row r="327" spans="1:3">
      <c r="A327">
        <v>319</v>
      </c>
      <c r="B327">
        <v>0.9830914097523995</v>
      </c>
      <c r="C327">
        <v>0.35001355967506242</v>
      </c>
    </row>
    <row r="328" spans="1:3">
      <c r="A328">
        <v>320</v>
      </c>
      <c r="B328">
        <v>0.15483695251109006</v>
      </c>
      <c r="C328">
        <v>0.98999118481970072</v>
      </c>
    </row>
    <row r="329" spans="1:3">
      <c r="A329">
        <v>321</v>
      </c>
      <c r="B329">
        <v>0.73429404662742603</v>
      </c>
      <c r="C329">
        <v>0.1424315920448862</v>
      </c>
    </row>
    <row r="330" spans="1:3">
      <c r="A330">
        <v>322</v>
      </c>
      <c r="B330">
        <v>0.3078540924797426</v>
      </c>
      <c r="C330">
        <v>0.96195933979834081</v>
      </c>
    </row>
    <row r="331" spans="1:3">
      <c r="A331">
        <v>323</v>
      </c>
      <c r="B331">
        <v>0.95821823763139968</v>
      </c>
      <c r="C331">
        <v>0.42690638492786093</v>
      </c>
    </row>
    <row r="332" spans="1:3">
      <c r="A332">
        <v>324</v>
      </c>
      <c r="B332">
        <v>0.43847098907317761</v>
      </c>
      <c r="C332">
        <v>0.81104128286369814</v>
      </c>
    </row>
    <row r="333" spans="1:3">
      <c r="A333">
        <v>325</v>
      </c>
      <c r="B333">
        <v>9.1048526992939541E-2</v>
      </c>
      <c r="C333">
        <v>0.11786562043016602</v>
      </c>
    </row>
    <row r="334" spans="1:3">
      <c r="A334">
        <v>326</v>
      </c>
      <c r="B334">
        <v>0.2222118661512183</v>
      </c>
      <c r="C334">
        <v>0.77266757965571742</v>
      </c>
    </row>
    <row r="335" spans="1:3">
      <c r="A335">
        <v>327</v>
      </c>
      <c r="B335">
        <v>0.49644759932226679</v>
      </c>
      <c r="C335">
        <v>0.46176761405877187</v>
      </c>
    </row>
    <row r="336" spans="1:3">
      <c r="A336">
        <v>328</v>
      </c>
      <c r="B336">
        <v>0.33636898024752016</v>
      </c>
      <c r="C336">
        <v>0.34616213432946097</v>
      </c>
    </row>
    <row r="337" spans="1:3">
      <c r="A337">
        <v>329</v>
      </c>
      <c r="B337">
        <v>0.24918434161129044</v>
      </c>
      <c r="C337">
        <v>7.7206225882036961E-2</v>
      </c>
    </row>
    <row r="338" spans="1:3">
      <c r="A338">
        <v>330</v>
      </c>
      <c r="B338">
        <v>0.71906508074069053</v>
      </c>
      <c r="C338">
        <v>0.50250434046120063</v>
      </c>
    </row>
    <row r="339" spans="1:3">
      <c r="A339">
        <v>331</v>
      </c>
      <c r="B339">
        <v>0.89324669897436326</v>
      </c>
      <c r="C339">
        <v>0.25671936175785959</v>
      </c>
    </row>
    <row r="340" spans="1:3">
      <c r="A340">
        <v>332</v>
      </c>
      <c r="B340">
        <v>0.23010760661543059</v>
      </c>
      <c r="C340">
        <v>0.17111812829080009</v>
      </c>
    </row>
    <row r="341" spans="1:3">
      <c r="A341">
        <v>333</v>
      </c>
      <c r="B341">
        <v>0.32704343954227943</v>
      </c>
      <c r="C341">
        <v>0.35814428669436893</v>
      </c>
    </row>
    <row r="342" spans="1:3">
      <c r="A342">
        <v>334</v>
      </c>
      <c r="B342">
        <v>0.81113641155514316</v>
      </c>
      <c r="C342">
        <v>0.67755793866399472</v>
      </c>
    </row>
    <row r="343" spans="1:3">
      <c r="A343">
        <v>335</v>
      </c>
      <c r="B343">
        <v>0.9257392952876955</v>
      </c>
      <c r="C343">
        <v>0.33886255708421231</v>
      </c>
    </row>
    <row r="344" spans="1:3">
      <c r="A344">
        <v>336</v>
      </c>
      <c r="B344">
        <v>0.21451844824122226</v>
      </c>
      <c r="C344">
        <v>0.1609636884450083</v>
      </c>
    </row>
    <row r="345" spans="1:3">
      <c r="A345">
        <v>337</v>
      </c>
      <c r="B345">
        <v>1.8373049098200409E-2</v>
      </c>
      <c r="C345">
        <v>0.33738922030715912</v>
      </c>
    </row>
    <row r="346" spans="1:3">
      <c r="A346">
        <v>338</v>
      </c>
      <c r="B346">
        <v>0.29667741712883056</v>
      </c>
      <c r="C346">
        <v>0.98686925607944431</v>
      </c>
    </row>
    <row r="347" spans="1:3">
      <c r="A347">
        <v>339</v>
      </c>
      <c r="B347">
        <v>0.94984453351200659</v>
      </c>
      <c r="C347">
        <v>0.7830225908301145</v>
      </c>
    </row>
    <row r="348" spans="1:3">
      <c r="A348">
        <v>340</v>
      </c>
      <c r="B348">
        <v>0.93495683769326587</v>
      </c>
      <c r="C348">
        <v>0.16782546292597544</v>
      </c>
    </row>
    <row r="349" spans="1:3">
      <c r="A349">
        <v>341</v>
      </c>
      <c r="B349">
        <v>0.73111824144407134</v>
      </c>
      <c r="C349">
        <v>0.51389322922386782</v>
      </c>
    </row>
    <row r="350" spans="1:3">
      <c r="A350">
        <v>342</v>
      </c>
      <c r="B350">
        <v>0.35599524963484036</v>
      </c>
      <c r="C350">
        <v>0.29376513951683592</v>
      </c>
    </row>
    <row r="351" spans="1:3">
      <c r="A351">
        <v>343</v>
      </c>
      <c r="B351">
        <v>0.79377776496046637</v>
      </c>
      <c r="C351">
        <v>0.94363444536520547</v>
      </c>
    </row>
    <row r="352" spans="1:3">
      <c r="A352">
        <v>344</v>
      </c>
      <c r="B352">
        <v>0.33330807238302845</v>
      </c>
      <c r="C352">
        <v>0.38083027453831164</v>
      </c>
    </row>
    <row r="353" spans="1:3">
      <c r="A353">
        <v>345</v>
      </c>
      <c r="B353">
        <v>0.70376649193958529</v>
      </c>
      <c r="C353">
        <v>0.84272629845781921</v>
      </c>
    </row>
    <row r="354" spans="1:3">
      <c r="A354">
        <v>346</v>
      </c>
      <c r="B354">
        <v>0.85919624161184671</v>
      </c>
      <c r="C354">
        <v>9.3375598038619501E-2</v>
      </c>
    </row>
    <row r="355" spans="1:3">
      <c r="A355">
        <v>347</v>
      </c>
      <c r="B355">
        <v>0.26796776136554956</v>
      </c>
      <c r="C355">
        <v>0.44867946418344218</v>
      </c>
    </row>
    <row r="356" spans="1:3">
      <c r="A356">
        <v>348</v>
      </c>
      <c r="B356">
        <v>0.76134512629614803</v>
      </c>
      <c r="C356">
        <v>0.88166614804595156</v>
      </c>
    </row>
    <row r="357" spans="1:3">
      <c r="A357">
        <v>349</v>
      </c>
      <c r="B357">
        <v>0.57416469962656613</v>
      </c>
      <c r="C357">
        <v>4.5416543864121195E-2</v>
      </c>
    </row>
    <row r="358" spans="1:3">
      <c r="A358">
        <v>350</v>
      </c>
      <c r="B358">
        <v>0.13622894611200992</v>
      </c>
      <c r="C358">
        <v>7.602823292472749E-2</v>
      </c>
    </row>
    <row r="359" spans="1:3">
      <c r="A359">
        <v>351</v>
      </c>
      <c r="B359">
        <v>0.21518477300265448</v>
      </c>
      <c r="C359">
        <v>0.81177491655307676</v>
      </c>
    </row>
    <row r="360" spans="1:3">
      <c r="A360">
        <v>352</v>
      </c>
      <c r="B360">
        <v>0.18520457633352014</v>
      </c>
      <c r="C360">
        <v>0.39094343559372646</v>
      </c>
    </row>
    <row r="361" spans="1:3">
      <c r="A361">
        <v>353</v>
      </c>
      <c r="B361">
        <v>0.77633045800163658</v>
      </c>
      <c r="C361">
        <v>0.87669249033299934</v>
      </c>
    </row>
    <row r="362" spans="1:3">
      <c r="A362">
        <v>354</v>
      </c>
      <c r="B362">
        <v>0.66383006191403371</v>
      </c>
      <c r="C362">
        <v>0.23446412604516809</v>
      </c>
    </row>
    <row r="363" spans="1:3">
      <c r="A363">
        <v>355</v>
      </c>
      <c r="B363">
        <v>0.4883087965866339</v>
      </c>
      <c r="C363">
        <v>1.3988583008540445E-2</v>
      </c>
    </row>
    <row r="364" spans="1:3">
      <c r="A364">
        <v>356</v>
      </c>
      <c r="B364">
        <v>0.3793721455948828</v>
      </c>
      <c r="C364">
        <v>0.19692985594610946</v>
      </c>
    </row>
    <row r="365" spans="1:3">
      <c r="A365">
        <v>357</v>
      </c>
      <c r="B365">
        <v>0.14445880822419627</v>
      </c>
      <c r="C365">
        <v>0.99658700636427966</v>
      </c>
    </row>
    <row r="366" spans="1:3">
      <c r="A366">
        <v>358</v>
      </c>
      <c r="B366">
        <v>0.6737649698285304</v>
      </c>
      <c r="C366">
        <v>0.25427030152695806</v>
      </c>
    </row>
    <row r="367" spans="1:3">
      <c r="A367">
        <v>359</v>
      </c>
      <c r="B367">
        <v>0.72878653784976033</v>
      </c>
      <c r="C367">
        <v>0.88694602301802661</v>
      </c>
    </row>
    <row r="368" spans="1:3">
      <c r="A368">
        <v>360</v>
      </c>
      <c r="B368">
        <v>0.87721747124763605</v>
      </c>
      <c r="C368">
        <v>0.16789551672354719</v>
      </c>
    </row>
    <row r="369" spans="1:3">
      <c r="A369">
        <v>361</v>
      </c>
      <c r="B369">
        <v>0.53236539223142088</v>
      </c>
      <c r="C369">
        <v>0.97917115961172385</v>
      </c>
    </row>
    <row r="370" spans="1:3">
      <c r="A370">
        <v>362</v>
      </c>
      <c r="B370">
        <v>0.83516766243105944</v>
      </c>
      <c r="C370">
        <v>0.39131871136032714</v>
      </c>
    </row>
    <row r="371" spans="1:3">
      <c r="A371">
        <v>363</v>
      </c>
      <c r="B371">
        <v>0.7660315275351125</v>
      </c>
      <c r="C371">
        <v>8.6522680490816128E-2</v>
      </c>
    </row>
    <row r="372" spans="1:3">
      <c r="A372">
        <v>364</v>
      </c>
      <c r="B372">
        <v>0.60031507419457553</v>
      </c>
      <c r="C372">
        <v>0.69648794534168701</v>
      </c>
    </row>
    <row r="373" spans="1:3">
      <c r="A373">
        <v>365</v>
      </c>
      <c r="B373">
        <v>0.20787197227204959</v>
      </c>
      <c r="C373">
        <v>0.47423777234143927</v>
      </c>
    </row>
    <row r="374" spans="1:3">
      <c r="A374">
        <v>366</v>
      </c>
      <c r="B374">
        <v>0.99161694634999553</v>
      </c>
      <c r="C374">
        <v>0.22749038228266727</v>
      </c>
    </row>
    <row r="375" spans="1:3">
      <c r="A375">
        <v>367</v>
      </c>
      <c r="B375">
        <v>0.57307457021341535</v>
      </c>
      <c r="C375">
        <v>0.9750219809848204</v>
      </c>
    </row>
    <row r="376" spans="1:3">
      <c r="A376">
        <v>368</v>
      </c>
      <c r="B376">
        <v>1.9906180227386341E-2</v>
      </c>
      <c r="C376">
        <v>0.87534602321193233</v>
      </c>
    </row>
    <row r="377" spans="1:3">
      <c r="A377">
        <v>369</v>
      </c>
      <c r="B377">
        <v>0.55608719618392344</v>
      </c>
      <c r="C377">
        <v>0.92486207955516875</v>
      </c>
    </row>
    <row r="378" spans="1:3">
      <c r="A378">
        <v>370</v>
      </c>
      <c r="B378">
        <v>0.50405743649184176</v>
      </c>
      <c r="C378">
        <v>5.6827453608093492E-2</v>
      </c>
    </row>
    <row r="379" spans="1:3">
      <c r="A379">
        <v>371</v>
      </c>
      <c r="B379">
        <v>0.53113594446176104</v>
      </c>
      <c r="C379">
        <v>0.22602312653361878</v>
      </c>
    </row>
    <row r="380" spans="1:3">
      <c r="A380">
        <v>372</v>
      </c>
      <c r="B380">
        <v>0.9303914337214062</v>
      </c>
      <c r="C380">
        <v>0.49010934627312963</v>
      </c>
    </row>
    <row r="381" spans="1:3">
      <c r="A381">
        <v>373</v>
      </c>
      <c r="B381">
        <v>0.22766978621498443</v>
      </c>
      <c r="C381">
        <v>0.75498525111834169</v>
      </c>
    </row>
    <row r="382" spans="1:3">
      <c r="A382">
        <v>374</v>
      </c>
      <c r="B382">
        <v>0.30270668181509403</v>
      </c>
      <c r="C382">
        <v>0.25925084103710105</v>
      </c>
    </row>
    <row r="383" spans="1:3">
      <c r="A383">
        <v>375</v>
      </c>
      <c r="B383">
        <v>0.99843180470127424</v>
      </c>
      <c r="C383">
        <v>0.19824285554750531</v>
      </c>
    </row>
    <row r="384" spans="1:3">
      <c r="A384">
        <v>376</v>
      </c>
      <c r="B384">
        <v>0.15686599421362998</v>
      </c>
      <c r="C384">
        <v>0.54015965882808814</v>
      </c>
    </row>
    <row r="385" spans="1:3">
      <c r="A385">
        <v>377</v>
      </c>
      <c r="B385">
        <v>0.73649872457238352</v>
      </c>
      <c r="C385">
        <v>0.53486727068229811</v>
      </c>
    </row>
    <row r="386" spans="1:3">
      <c r="A386">
        <v>378</v>
      </c>
      <c r="B386">
        <v>0.87800071429372784</v>
      </c>
      <c r="C386">
        <v>0.30555441671003791</v>
      </c>
    </row>
    <row r="387" spans="1:3">
      <c r="A387">
        <v>379</v>
      </c>
      <c r="B387">
        <v>0.13618408809015156</v>
      </c>
      <c r="C387">
        <v>2.6266059636327554E-2</v>
      </c>
    </row>
    <row r="388" spans="1:3">
      <c r="A388">
        <v>380</v>
      </c>
      <c r="B388">
        <v>0.11017822980153799</v>
      </c>
      <c r="C388">
        <v>7.2628610095307522E-2</v>
      </c>
    </row>
    <row r="389" spans="1:3">
      <c r="A389">
        <v>381</v>
      </c>
      <c r="B389">
        <v>0.57322734137466813</v>
      </c>
      <c r="C389">
        <v>0.49357639609297621</v>
      </c>
    </row>
    <row r="390" spans="1:3">
      <c r="A390">
        <v>382</v>
      </c>
      <c r="B390">
        <v>0.21269845959849154</v>
      </c>
      <c r="C390">
        <v>0.14745809518990427</v>
      </c>
    </row>
    <row r="391" spans="1:3">
      <c r="A391">
        <v>383</v>
      </c>
      <c r="B391">
        <v>0.25813447776197795</v>
      </c>
      <c r="C391">
        <v>0.80832588818702789</v>
      </c>
    </row>
    <row r="392" spans="1:3">
      <c r="A392">
        <v>384</v>
      </c>
      <c r="B392">
        <v>0.39413026013996694</v>
      </c>
      <c r="C392">
        <v>0.47275122375958745</v>
      </c>
    </row>
    <row r="393" spans="1:3">
      <c r="A393">
        <v>385</v>
      </c>
      <c r="B393">
        <v>0.84504780204092333</v>
      </c>
      <c r="C393">
        <v>0.31174306631146464</v>
      </c>
    </row>
    <row r="394" spans="1:3">
      <c r="A394">
        <v>386</v>
      </c>
      <c r="B394">
        <v>0.2934536065636793</v>
      </c>
      <c r="C394">
        <v>8.6917506548161327E-2</v>
      </c>
    </row>
    <row r="395" spans="1:3">
      <c r="A395">
        <v>387</v>
      </c>
      <c r="B395">
        <v>0.51092165750091001</v>
      </c>
      <c r="C395">
        <v>0.36566962177494133</v>
      </c>
    </row>
    <row r="396" spans="1:3">
      <c r="A396">
        <v>388</v>
      </c>
      <c r="B396">
        <v>0.66485667966344786</v>
      </c>
      <c r="C396">
        <v>3.5534159634153184E-2</v>
      </c>
    </row>
    <row r="397" spans="1:3">
      <c r="A397">
        <v>389</v>
      </c>
      <c r="B397">
        <v>0.51549733225798633</v>
      </c>
      <c r="C397">
        <v>0.31798003452786361</v>
      </c>
    </row>
    <row r="398" spans="1:3">
      <c r="A398">
        <v>390</v>
      </c>
      <c r="B398">
        <v>0.17284929202535407</v>
      </c>
      <c r="C398">
        <v>8.1155847298759909E-2</v>
      </c>
    </row>
    <row r="399" spans="1:3">
      <c r="A399">
        <v>391</v>
      </c>
      <c r="B399">
        <v>0.79818564196289177</v>
      </c>
      <c r="C399">
        <v>5.0404383871864411E-2</v>
      </c>
    </row>
    <row r="400" spans="1:3">
      <c r="A400">
        <v>392</v>
      </c>
      <c r="B400">
        <v>0.78364471292454851</v>
      </c>
      <c r="C400">
        <v>0.5693817860674244</v>
      </c>
    </row>
    <row r="401" spans="1:3">
      <c r="A401">
        <v>393</v>
      </c>
      <c r="B401">
        <v>0.77939660580414261</v>
      </c>
      <c r="C401">
        <v>0.5074252539416193</v>
      </c>
    </row>
    <row r="402" spans="1:3">
      <c r="A402">
        <v>394</v>
      </c>
      <c r="B402">
        <v>5.0645900565489635E-2</v>
      </c>
      <c r="C402">
        <v>0.28222068171726278</v>
      </c>
    </row>
    <row r="403" spans="1:3">
      <c r="A403">
        <v>395</v>
      </c>
      <c r="B403">
        <v>0.46516344910034985</v>
      </c>
      <c r="C403">
        <v>0.87426945920924481</v>
      </c>
    </row>
    <row r="404" spans="1:3">
      <c r="A404">
        <v>396</v>
      </c>
      <c r="B404">
        <v>5.6063853847809104E-2</v>
      </c>
      <c r="C404">
        <v>0.78944332406990725</v>
      </c>
    </row>
    <row r="405" spans="1:3">
      <c r="A405">
        <v>397</v>
      </c>
      <c r="B405">
        <v>8.3540289425649752E-3</v>
      </c>
      <c r="C405">
        <v>3.3610671725909924E-2</v>
      </c>
    </row>
    <row r="406" spans="1:3">
      <c r="A406">
        <v>398</v>
      </c>
      <c r="B406">
        <v>0.68312739498296926</v>
      </c>
      <c r="C406">
        <v>0.97238766138525534</v>
      </c>
    </row>
    <row r="407" spans="1:3">
      <c r="A407">
        <v>399</v>
      </c>
      <c r="B407">
        <v>0.49562142437301143</v>
      </c>
      <c r="C407">
        <v>0.30639678038096463</v>
      </c>
    </row>
    <row r="408" spans="1:3">
      <c r="A408">
        <v>400</v>
      </c>
      <c r="B408">
        <v>0.58484236107138965</v>
      </c>
      <c r="C408">
        <v>0.75470550917270884</v>
      </c>
    </row>
    <row r="409" spans="1:3">
      <c r="A409">
        <v>401</v>
      </c>
      <c r="B409">
        <v>5.5338317087092047E-2</v>
      </c>
      <c r="C409">
        <v>0.44527929986090342</v>
      </c>
    </row>
    <row r="410" spans="1:3">
      <c r="A410">
        <v>402</v>
      </c>
      <c r="B410">
        <v>0.54133168178585633</v>
      </c>
      <c r="C410">
        <v>0.40184835994659807</v>
      </c>
    </row>
    <row r="411" spans="1:3">
      <c r="A411">
        <v>403</v>
      </c>
      <c r="B411">
        <v>1.9393877017543155E-2</v>
      </c>
      <c r="C411">
        <v>0.35707318934055365</v>
      </c>
    </row>
    <row r="412" spans="1:3">
      <c r="A412">
        <v>404</v>
      </c>
      <c r="B412">
        <v>0.20385163594345834</v>
      </c>
      <c r="C412">
        <v>0.65691023690305883</v>
      </c>
    </row>
    <row r="413" spans="1:3">
      <c r="A413">
        <v>405</v>
      </c>
      <c r="B413">
        <v>0.17787001443879447</v>
      </c>
      <c r="C413">
        <v>0.77735503414714913</v>
      </c>
    </row>
    <row r="414" spans="1:3">
      <c r="A414">
        <v>406</v>
      </c>
      <c r="B414">
        <v>0.92063285143338913</v>
      </c>
      <c r="C414">
        <v>9.5121133317661588E-2</v>
      </c>
    </row>
    <row r="415" spans="1:3">
      <c r="A415">
        <v>407</v>
      </c>
      <c r="B415">
        <v>7.0467877925016881E-2</v>
      </c>
      <c r="C415">
        <v>0.35315155429816514</v>
      </c>
    </row>
    <row r="416" spans="1:3">
      <c r="A416">
        <v>408</v>
      </c>
      <c r="B416">
        <v>0.65911980243486346</v>
      </c>
      <c r="C416">
        <v>0.86001029524140904</v>
      </c>
    </row>
    <row r="417" spans="1:3">
      <c r="A417">
        <v>409</v>
      </c>
      <c r="B417">
        <v>0.39311559596911905</v>
      </c>
      <c r="C417">
        <v>0.69705547538615065</v>
      </c>
    </row>
    <row r="418" spans="1:3">
      <c r="A418">
        <v>410</v>
      </c>
      <c r="B418">
        <v>0.82077813287935641</v>
      </c>
      <c r="C418">
        <v>0.80960136324210907</v>
      </c>
    </row>
    <row r="419" spans="1:3">
      <c r="A419">
        <v>411</v>
      </c>
      <c r="B419">
        <v>0.18423548014299837</v>
      </c>
      <c r="C419">
        <v>0.74167619005220331</v>
      </c>
    </row>
    <row r="420" spans="1:3">
      <c r="A420">
        <v>412</v>
      </c>
      <c r="B420">
        <v>0.32107592278837133</v>
      </c>
      <c r="C420">
        <v>8.8520785304353922E-2</v>
      </c>
    </row>
    <row r="421" spans="1:3">
      <c r="A421">
        <v>413</v>
      </c>
      <c r="B421">
        <v>0.64546365340609657</v>
      </c>
      <c r="C421">
        <v>0.95952994057824981</v>
      </c>
    </row>
    <row r="422" spans="1:3">
      <c r="A422">
        <v>414</v>
      </c>
      <c r="B422">
        <v>0.38834085289364234</v>
      </c>
      <c r="C422">
        <v>0.6560110690043075</v>
      </c>
    </row>
    <row r="423" spans="1:3">
      <c r="A423">
        <v>415</v>
      </c>
      <c r="B423">
        <v>0.41407557116785909</v>
      </c>
      <c r="C423">
        <v>0.20278211454842676</v>
      </c>
    </row>
    <row r="424" spans="1:3">
      <c r="A424">
        <v>416</v>
      </c>
      <c r="B424">
        <v>0.87470997794720118</v>
      </c>
      <c r="C424">
        <v>0.36745283666277828</v>
      </c>
    </row>
    <row r="425" spans="1:3">
      <c r="A425">
        <v>417</v>
      </c>
      <c r="B425">
        <v>0.77676515352012709</v>
      </c>
      <c r="C425">
        <v>0.50565585415915848</v>
      </c>
    </row>
    <row r="426" spans="1:3">
      <c r="A426">
        <v>418</v>
      </c>
      <c r="B426">
        <v>0.14514396952272951</v>
      </c>
      <c r="C426">
        <v>0.60603532188179088</v>
      </c>
    </row>
    <row r="427" spans="1:3">
      <c r="A427">
        <v>419</v>
      </c>
      <c r="B427">
        <v>0.25634189831249926</v>
      </c>
      <c r="C427">
        <v>0.18770711639717774</v>
      </c>
    </row>
    <row r="428" spans="1:3">
      <c r="A428">
        <v>420</v>
      </c>
      <c r="B428">
        <v>0.97037111559621314</v>
      </c>
      <c r="C428">
        <v>0.95318408704588364</v>
      </c>
    </row>
    <row r="429" spans="1:3">
      <c r="A429">
        <v>421</v>
      </c>
      <c r="B429">
        <v>0.66070202295777902</v>
      </c>
      <c r="C429">
        <v>0.31656845082125074</v>
      </c>
    </row>
    <row r="430" spans="1:3">
      <c r="A430">
        <v>422</v>
      </c>
      <c r="B430">
        <v>0.88163566172202956</v>
      </c>
      <c r="C430">
        <v>9.856775763182668E-2</v>
      </c>
    </row>
    <row r="431" spans="1:3">
      <c r="A431">
        <v>423</v>
      </c>
      <c r="B431">
        <v>0.70535319814727482</v>
      </c>
      <c r="C431">
        <v>0.39464206443062722</v>
      </c>
    </row>
    <row r="432" spans="1:3">
      <c r="A432">
        <v>424</v>
      </c>
      <c r="B432">
        <v>0.23264018933382821</v>
      </c>
      <c r="C432">
        <v>5.153652327862801E-4</v>
      </c>
    </row>
    <row r="433" spans="1:3">
      <c r="A433">
        <v>425</v>
      </c>
      <c r="B433">
        <v>0.46309705143400859</v>
      </c>
      <c r="C433">
        <v>0.12931817910885002</v>
      </c>
    </row>
    <row r="434" spans="1:3">
      <c r="A434">
        <v>426</v>
      </c>
      <c r="B434">
        <v>0.10434779194829701</v>
      </c>
      <c r="C434">
        <v>0.11602362116900622</v>
      </c>
    </row>
    <row r="435" spans="1:3">
      <c r="A435">
        <v>427</v>
      </c>
      <c r="B435">
        <v>0.8378765459342572</v>
      </c>
      <c r="C435">
        <v>0.22293677944890078</v>
      </c>
    </row>
    <row r="436" spans="1:3">
      <c r="A436">
        <v>428</v>
      </c>
      <c r="B436">
        <v>0.96043733305228818</v>
      </c>
      <c r="C436">
        <v>0.12996689951069129</v>
      </c>
    </row>
    <row r="437" spans="1:3">
      <c r="A437">
        <v>429</v>
      </c>
      <c r="B437">
        <v>0.14912584768518011</v>
      </c>
      <c r="C437">
        <v>0.16902763329653681</v>
      </c>
    </row>
    <row r="438" spans="1:3">
      <c r="A438">
        <v>430</v>
      </c>
      <c r="B438">
        <v>0.4371141019434468</v>
      </c>
      <c r="C438">
        <v>0.78788314497796819</v>
      </c>
    </row>
    <row r="439" spans="1:3">
      <c r="A439">
        <v>431</v>
      </c>
      <c r="B439">
        <v>0.82460970716732773</v>
      </c>
      <c r="C439">
        <v>0.38531305722790421</v>
      </c>
    </row>
    <row r="440" spans="1:3">
      <c r="A440">
        <v>432</v>
      </c>
      <c r="B440">
        <v>0.47258366591138384</v>
      </c>
      <c r="C440">
        <v>0.24883431026592007</v>
      </c>
    </row>
    <row r="441" spans="1:3">
      <c r="A441">
        <v>433</v>
      </c>
      <c r="B441">
        <v>0.85959192115440786</v>
      </c>
      <c r="C441">
        <v>0.70658461708626419</v>
      </c>
    </row>
    <row r="442" spans="1:3">
      <c r="A442">
        <v>434</v>
      </c>
      <c r="B442">
        <v>8.7015696671981294E-2</v>
      </c>
      <c r="C442">
        <v>0.18406597019293258</v>
      </c>
    </row>
    <row r="443" spans="1:3">
      <c r="A443">
        <v>435</v>
      </c>
      <c r="B443">
        <v>0.81411401390021532</v>
      </c>
      <c r="C443">
        <v>0.68694611179671483</v>
      </c>
    </row>
    <row r="444" spans="1:3">
      <c r="A444">
        <v>436</v>
      </c>
      <c r="B444">
        <v>0.31218154127751047</v>
      </c>
      <c r="C444">
        <v>0.15219692138998653</v>
      </c>
    </row>
    <row r="445" spans="1:3">
      <c r="A445">
        <v>437</v>
      </c>
      <c r="B445">
        <v>9.5529441944213931E-4</v>
      </c>
      <c r="C445">
        <v>0.42973252257706918</v>
      </c>
    </row>
    <row r="446" spans="1:3">
      <c r="A446">
        <v>438</v>
      </c>
      <c r="B446">
        <v>0.94804416958788518</v>
      </c>
      <c r="C446">
        <v>0.52598160223533341</v>
      </c>
    </row>
    <row r="447" spans="1:3">
      <c r="A447">
        <v>439</v>
      </c>
      <c r="B447">
        <v>0.22819721151757921</v>
      </c>
      <c r="C447">
        <v>0.95088524937546026</v>
      </c>
    </row>
    <row r="448" spans="1:3">
      <c r="A448">
        <v>440</v>
      </c>
      <c r="B448">
        <v>0.63633593425618851</v>
      </c>
      <c r="C448">
        <v>2.4259594545583241E-2</v>
      </c>
    </row>
    <row r="449" spans="1:3">
      <c r="A449">
        <v>441</v>
      </c>
      <c r="B449">
        <v>0.3752758810534319</v>
      </c>
      <c r="C449">
        <v>0.59402304426748742</v>
      </c>
    </row>
    <row r="450" spans="1:3">
      <c r="A450">
        <v>442</v>
      </c>
      <c r="B450">
        <v>0.30848706282309424</v>
      </c>
      <c r="C450">
        <v>0.69689033047689009</v>
      </c>
    </row>
    <row r="451" spans="1:3">
      <c r="A451">
        <v>443</v>
      </c>
      <c r="B451">
        <v>0.45222979642376993</v>
      </c>
      <c r="C451">
        <v>7.7135715487230527E-2</v>
      </c>
    </row>
    <row r="452" spans="1:3">
      <c r="A452">
        <v>444</v>
      </c>
      <c r="B452">
        <v>0.2939175794380991</v>
      </c>
      <c r="C452">
        <v>0.49181326722548491</v>
      </c>
    </row>
    <row r="453" spans="1:3">
      <c r="A453">
        <v>445</v>
      </c>
      <c r="B453">
        <v>0.56356775654637437</v>
      </c>
      <c r="C453">
        <v>0.44868581622642978</v>
      </c>
    </row>
    <row r="454" spans="1:3">
      <c r="A454">
        <v>446</v>
      </c>
      <c r="B454">
        <v>0.98662347470857747</v>
      </c>
      <c r="C454">
        <v>0.48435766146758397</v>
      </c>
    </row>
    <row r="455" spans="1:3">
      <c r="A455">
        <v>447</v>
      </c>
      <c r="B455">
        <v>0.69276880025257559</v>
      </c>
      <c r="C455">
        <v>0.62772593875433813</v>
      </c>
    </row>
    <row r="456" spans="1:3">
      <c r="A456">
        <v>448</v>
      </c>
      <c r="B456">
        <v>0.76010084467378924</v>
      </c>
      <c r="C456">
        <v>0.32674147729630931</v>
      </c>
    </row>
    <row r="457" spans="1:3">
      <c r="A457">
        <v>449</v>
      </c>
      <c r="B457">
        <v>0.1783590159448234</v>
      </c>
      <c r="C457">
        <v>7.1307886987597158E-2</v>
      </c>
    </row>
    <row r="458" spans="1:3">
      <c r="A458">
        <v>450</v>
      </c>
      <c r="B458">
        <v>0.80240843560360575</v>
      </c>
      <c r="C458">
        <v>0.22818916703363357</v>
      </c>
    </row>
    <row r="459" spans="1:3">
      <c r="A459">
        <v>451</v>
      </c>
      <c r="B459">
        <v>0.72507495459748317</v>
      </c>
      <c r="C459">
        <v>0.35157746376444265</v>
      </c>
    </row>
    <row r="460" spans="1:3">
      <c r="A460">
        <v>452</v>
      </c>
      <c r="B460">
        <v>0.95399992142473344</v>
      </c>
      <c r="C460">
        <v>1.9680458470247686E-2</v>
      </c>
    </row>
    <row r="461" spans="1:3">
      <c r="A461">
        <v>453</v>
      </c>
      <c r="B461">
        <v>0.28221162612038009</v>
      </c>
      <c r="C461">
        <v>0.38093879103236361</v>
      </c>
    </row>
    <row r="462" spans="1:3">
      <c r="A462">
        <v>454</v>
      </c>
      <c r="B462">
        <v>0.85720681728976944</v>
      </c>
      <c r="C462">
        <v>0.68296513024279193</v>
      </c>
    </row>
    <row r="463" spans="1:3">
      <c r="A463">
        <v>455</v>
      </c>
      <c r="B463">
        <v>0.93243336346220074</v>
      </c>
      <c r="C463">
        <v>0.47406191774007311</v>
      </c>
    </row>
    <row r="464" spans="1:3">
      <c r="A464">
        <v>456</v>
      </c>
      <c r="B464">
        <v>0.40996665122466319</v>
      </c>
      <c r="C464">
        <v>0.58439843873929931</v>
      </c>
    </row>
    <row r="465" spans="1:3">
      <c r="A465">
        <v>457</v>
      </c>
      <c r="B465">
        <v>6.2120352246081541E-2</v>
      </c>
      <c r="C465">
        <v>5.7085595118252286E-2</v>
      </c>
    </row>
    <row r="466" spans="1:3">
      <c r="A466">
        <v>458</v>
      </c>
      <c r="B466">
        <v>0.94068108542763662</v>
      </c>
      <c r="C466">
        <v>0.51009998907557019</v>
      </c>
    </row>
    <row r="467" spans="1:3">
      <c r="A467">
        <v>459</v>
      </c>
      <c r="B467">
        <v>0.85160279479478562</v>
      </c>
      <c r="C467">
        <v>0.94173529239560594</v>
      </c>
    </row>
    <row r="468" spans="1:3">
      <c r="A468">
        <v>460</v>
      </c>
      <c r="B468">
        <v>0.945913118473234</v>
      </c>
      <c r="C468">
        <v>0.66285670671550179</v>
      </c>
    </row>
    <row r="469" spans="1:3">
      <c r="A469">
        <v>461</v>
      </c>
      <c r="B469">
        <v>0.87772654823156226</v>
      </c>
      <c r="C469">
        <v>0.52027701180304575</v>
      </c>
    </row>
    <row r="470" spans="1:3">
      <c r="A470">
        <v>462</v>
      </c>
      <c r="B470">
        <v>0.11911020971692872</v>
      </c>
      <c r="C470">
        <v>0.40082042462836398</v>
      </c>
    </row>
    <row r="471" spans="1:3">
      <c r="A471">
        <v>463</v>
      </c>
      <c r="B471">
        <v>0.44172785895418554</v>
      </c>
      <c r="C471">
        <v>0.43143684675305849</v>
      </c>
    </row>
    <row r="472" spans="1:3">
      <c r="A472">
        <v>464</v>
      </c>
      <c r="B472">
        <v>0.71595361974107885</v>
      </c>
      <c r="C472">
        <v>0.75220107694167382</v>
      </c>
    </row>
    <row r="473" spans="1:3">
      <c r="A473">
        <v>465</v>
      </c>
      <c r="B473">
        <v>0.49912161409298922</v>
      </c>
      <c r="C473">
        <v>0.41354141883675766</v>
      </c>
    </row>
    <row r="474" spans="1:3">
      <c r="A474">
        <v>466</v>
      </c>
      <c r="B474">
        <v>0.69473906885887005</v>
      </c>
      <c r="C474">
        <v>0.75531331081310782</v>
      </c>
    </row>
    <row r="475" spans="1:3">
      <c r="A475">
        <v>467</v>
      </c>
      <c r="B475">
        <v>0.74262395884460397</v>
      </c>
      <c r="C475">
        <v>0.7959466446445731</v>
      </c>
    </row>
    <row r="476" spans="1:3">
      <c r="A476">
        <v>468</v>
      </c>
      <c r="B476">
        <v>6.8755154712254921E-2</v>
      </c>
      <c r="C476">
        <v>0.60607240068111423</v>
      </c>
    </row>
    <row r="477" spans="1:3">
      <c r="A477">
        <v>469</v>
      </c>
      <c r="B477">
        <v>0.71177205805801136</v>
      </c>
      <c r="C477">
        <v>0.79123538397107041</v>
      </c>
    </row>
    <row r="478" spans="1:3">
      <c r="A478">
        <v>470</v>
      </c>
      <c r="B478">
        <v>0.11093156262178243</v>
      </c>
      <c r="C478">
        <v>0.56394303170600324</v>
      </c>
    </row>
    <row r="479" spans="1:3">
      <c r="A479">
        <v>471</v>
      </c>
      <c r="B479">
        <v>0.88658507103626272</v>
      </c>
      <c r="C479">
        <v>0.75289352012532618</v>
      </c>
    </row>
    <row r="480" spans="1:3">
      <c r="A480">
        <v>472</v>
      </c>
      <c r="B480">
        <v>0.11727406227217849</v>
      </c>
      <c r="C480">
        <v>0.6983019817762397</v>
      </c>
    </row>
    <row r="481" spans="1:3">
      <c r="A481">
        <v>473</v>
      </c>
      <c r="B481">
        <v>0.29193840407918636</v>
      </c>
      <c r="C481">
        <v>0.10944158552047156</v>
      </c>
    </row>
    <row r="482" spans="1:3">
      <c r="A482">
        <v>474</v>
      </c>
      <c r="B482">
        <v>2.63208067912424E-2</v>
      </c>
      <c r="C482">
        <v>0.82707797889906942</v>
      </c>
    </row>
    <row r="483" spans="1:3">
      <c r="A483">
        <v>475</v>
      </c>
      <c r="B483">
        <v>0.77030817360000414</v>
      </c>
      <c r="C483">
        <v>0.35502396868469077</v>
      </c>
    </row>
    <row r="484" spans="1:3">
      <c r="A484">
        <v>476</v>
      </c>
      <c r="B484">
        <v>0.19161440022769718</v>
      </c>
      <c r="C484">
        <v>0.1312768538182354</v>
      </c>
    </row>
    <row r="485" spans="1:3">
      <c r="A485">
        <v>477</v>
      </c>
      <c r="B485">
        <v>0.48183973354511889</v>
      </c>
      <c r="C485">
        <v>0.73827690672442259</v>
      </c>
    </row>
    <row r="486" spans="1:3">
      <c r="A486">
        <v>478</v>
      </c>
      <c r="B486">
        <v>0.2680950791932864</v>
      </c>
      <c r="C486">
        <v>0.33135213765582705</v>
      </c>
    </row>
    <row r="487" spans="1:3">
      <c r="A487">
        <v>479</v>
      </c>
      <c r="B487">
        <v>0.72930313714954609</v>
      </c>
      <c r="C487">
        <v>0.68277632320859993</v>
      </c>
    </row>
    <row r="488" spans="1:3">
      <c r="A488">
        <v>480</v>
      </c>
      <c r="B488">
        <v>0.99509542766038683</v>
      </c>
      <c r="C488">
        <v>0.60932883003715688</v>
      </c>
    </row>
    <row r="489" spans="1:3">
      <c r="A489">
        <v>481</v>
      </c>
      <c r="B489">
        <v>0.97473254121456598</v>
      </c>
      <c r="C489">
        <v>0.38234444546469604</v>
      </c>
    </row>
    <row r="490" spans="1:3">
      <c r="A490">
        <v>482</v>
      </c>
      <c r="B490">
        <v>0.19891061561301132</v>
      </c>
      <c r="C490">
        <v>0.96326649515594909</v>
      </c>
    </row>
    <row r="491" spans="1:3">
      <c r="A491">
        <v>483</v>
      </c>
      <c r="B491">
        <v>0.39322017697948497</v>
      </c>
      <c r="C491">
        <v>0.11063598755390558</v>
      </c>
    </row>
    <row r="492" spans="1:3">
      <c r="A492">
        <v>484</v>
      </c>
      <c r="B492">
        <v>0.70940158086507621</v>
      </c>
      <c r="C492">
        <v>5.1681657810149773E-2</v>
      </c>
    </row>
    <row r="493" spans="1:3">
      <c r="A493">
        <v>485</v>
      </c>
      <c r="B493">
        <v>0.33680089438478483</v>
      </c>
      <c r="C493">
        <v>0.36427251781424275</v>
      </c>
    </row>
    <row r="494" spans="1:3">
      <c r="A494">
        <v>486</v>
      </c>
      <c r="B494">
        <v>0.71619008752936275</v>
      </c>
      <c r="C494">
        <v>0.13698138092422596</v>
      </c>
    </row>
    <row r="495" spans="1:3">
      <c r="A495">
        <v>487</v>
      </c>
      <c r="B495">
        <v>0.66516653451080587</v>
      </c>
      <c r="C495">
        <v>0.63390036746750411</v>
      </c>
    </row>
    <row r="496" spans="1:3">
      <c r="A496">
        <v>488</v>
      </c>
      <c r="B496">
        <v>2.9936875081978939E-2</v>
      </c>
      <c r="C496">
        <v>0.10717851177923876</v>
      </c>
    </row>
    <row r="497" spans="1:3">
      <c r="A497">
        <v>489</v>
      </c>
      <c r="B497">
        <v>0.89853625383529256</v>
      </c>
      <c r="C497">
        <v>0.73038708415333531</v>
      </c>
    </row>
    <row r="498" spans="1:3">
      <c r="A498">
        <v>490</v>
      </c>
      <c r="B498">
        <v>0.793481624531439</v>
      </c>
      <c r="C498">
        <v>0.92264048491779249</v>
      </c>
    </row>
    <row r="499" spans="1:3">
      <c r="A499">
        <v>491</v>
      </c>
      <c r="B499">
        <v>0.60465068173023195</v>
      </c>
      <c r="C499">
        <v>1.8419322323097731E-3</v>
      </c>
    </row>
    <row r="500" spans="1:3">
      <c r="A500">
        <v>492</v>
      </c>
      <c r="B500">
        <v>0.18374512257407072</v>
      </c>
      <c r="C500">
        <v>3.1972239210517728E-2</v>
      </c>
    </row>
    <row r="501" spans="1:3">
      <c r="A501">
        <v>493</v>
      </c>
      <c r="B501">
        <v>0.58931773634108653</v>
      </c>
      <c r="C501">
        <v>0.19630078974751086</v>
      </c>
    </row>
    <row r="502" spans="1:3">
      <c r="A502">
        <v>494</v>
      </c>
      <c r="B502">
        <v>0.62186998778383018</v>
      </c>
      <c r="C502">
        <v>0.16154360892323893</v>
      </c>
    </row>
    <row r="503" spans="1:3">
      <c r="A503">
        <v>495</v>
      </c>
      <c r="B503">
        <v>0.96573348448135277</v>
      </c>
      <c r="C503">
        <v>0.67944898215409921</v>
      </c>
    </row>
    <row r="504" spans="1:3">
      <c r="A504">
        <v>496</v>
      </c>
      <c r="B504">
        <v>0.38700740381754178</v>
      </c>
      <c r="C504">
        <v>0.36125675622133713</v>
      </c>
    </row>
    <row r="505" spans="1:3">
      <c r="A505">
        <v>497</v>
      </c>
      <c r="B505">
        <v>0.66913641546092373</v>
      </c>
      <c r="C505">
        <v>0.7538527219385287</v>
      </c>
    </row>
    <row r="506" spans="1:3">
      <c r="A506">
        <v>498</v>
      </c>
      <c r="B506">
        <v>0.56098577868621469</v>
      </c>
      <c r="C506">
        <v>0.7568710007080881</v>
      </c>
    </row>
    <row r="507" spans="1:3">
      <c r="A507">
        <v>499</v>
      </c>
      <c r="B507">
        <v>0.94194457193765424</v>
      </c>
      <c r="C507">
        <v>0.29390518684886047</v>
      </c>
    </row>
    <row r="508" spans="1:3">
      <c r="A508">
        <v>500</v>
      </c>
      <c r="B508">
        <v>2.2157272552921735E-2</v>
      </c>
      <c r="C508">
        <v>0.97454731313973753</v>
      </c>
    </row>
    <row r="509" spans="1:3">
      <c r="A509">
        <v>501</v>
      </c>
      <c r="B509">
        <v>0.69223229646138673</v>
      </c>
      <c r="C509">
        <v>5.5387538244758616E-2</v>
      </c>
    </row>
    <row r="510" spans="1:3">
      <c r="A510">
        <v>502</v>
      </c>
      <c r="B510">
        <v>0.6745647079839755</v>
      </c>
      <c r="C510">
        <v>0.36786568837942468</v>
      </c>
    </row>
    <row r="511" spans="1:3">
      <c r="A511">
        <v>503</v>
      </c>
      <c r="B511">
        <v>0.77279941085297599</v>
      </c>
      <c r="C511">
        <v>0.17482714736979688</v>
      </c>
    </row>
    <row r="512" spans="1:3">
      <c r="A512">
        <v>504</v>
      </c>
      <c r="B512">
        <v>0.1408139358163378</v>
      </c>
      <c r="C512">
        <v>0.55233734090415965</v>
      </c>
    </row>
    <row r="513" spans="1:3">
      <c r="A513">
        <v>505</v>
      </c>
      <c r="B513">
        <v>0.98718410709923698</v>
      </c>
      <c r="C513">
        <v>0.54756097897373479</v>
      </c>
    </row>
    <row r="514" spans="1:3">
      <c r="A514">
        <v>506</v>
      </c>
      <c r="B514">
        <v>0.51586498438009643</v>
      </c>
      <c r="C514">
        <v>0.11360378841345664</v>
      </c>
    </row>
    <row r="515" spans="1:3">
      <c r="A515">
        <v>507</v>
      </c>
      <c r="B515">
        <v>0.69874917861929842</v>
      </c>
      <c r="C515">
        <v>0.6201153956244525</v>
      </c>
    </row>
    <row r="516" spans="1:3">
      <c r="A516">
        <v>508</v>
      </c>
      <c r="B516">
        <v>0.80577800256697885</v>
      </c>
      <c r="C516">
        <v>0.75596857755499514</v>
      </c>
    </row>
    <row r="517" spans="1:3">
      <c r="A517">
        <v>509</v>
      </c>
      <c r="B517">
        <v>0.39886346244762266</v>
      </c>
      <c r="C517">
        <v>0.5663300571450236</v>
      </c>
    </row>
    <row r="518" spans="1:3">
      <c r="A518">
        <v>510</v>
      </c>
      <c r="B518">
        <v>9.4669244716518844E-2</v>
      </c>
      <c r="C518">
        <v>0.49797715443946799</v>
      </c>
    </row>
    <row r="519" spans="1:3">
      <c r="A519">
        <v>511</v>
      </c>
      <c r="B519">
        <v>0.26965932269353871</v>
      </c>
      <c r="C519">
        <v>0.46888625731662614</v>
      </c>
    </row>
    <row r="520" spans="1:3">
      <c r="A520">
        <v>512</v>
      </c>
      <c r="B520">
        <v>0.67851619119255713</v>
      </c>
      <c r="C520">
        <v>0.52611509421967639</v>
      </c>
    </row>
    <row r="521" spans="1:3">
      <c r="A521">
        <v>513</v>
      </c>
      <c r="B521">
        <v>6.6376239830901893E-2</v>
      </c>
      <c r="C521">
        <v>0.24556510780712415</v>
      </c>
    </row>
    <row r="522" spans="1:3">
      <c r="A522">
        <v>514</v>
      </c>
      <c r="B522">
        <v>0.51001685753860904</v>
      </c>
      <c r="C522">
        <v>0.49886658678315143</v>
      </c>
    </row>
    <row r="523" spans="1:3">
      <c r="A523">
        <v>515</v>
      </c>
      <c r="B523">
        <v>0.78998546191583985</v>
      </c>
      <c r="C523">
        <v>0.41461381007320597</v>
      </c>
    </row>
    <row r="524" spans="1:3">
      <c r="A524">
        <v>516</v>
      </c>
      <c r="B524">
        <v>1.3628411252663565E-2</v>
      </c>
      <c r="C524">
        <v>0.96550213197770063</v>
      </c>
    </row>
    <row r="525" spans="1:3">
      <c r="A525">
        <v>517</v>
      </c>
      <c r="B525">
        <v>0.37608003913487309</v>
      </c>
      <c r="C525">
        <v>0.23685249117534113</v>
      </c>
    </row>
    <row r="526" spans="1:3">
      <c r="A526">
        <v>518</v>
      </c>
      <c r="B526">
        <v>9.4500602246192417E-2</v>
      </c>
      <c r="C526">
        <v>7.554709449505026E-2</v>
      </c>
    </row>
    <row r="527" spans="1:3">
      <c r="A527">
        <v>519</v>
      </c>
      <c r="B527">
        <v>0.37013107528745454</v>
      </c>
      <c r="C527">
        <v>0.93128904724017048</v>
      </c>
    </row>
    <row r="528" spans="1:3">
      <c r="A528">
        <v>520</v>
      </c>
      <c r="B528">
        <v>0.26350802880835439</v>
      </c>
      <c r="C528">
        <v>0.81652939845298533</v>
      </c>
    </row>
    <row r="529" spans="1:3">
      <c r="A529">
        <v>521</v>
      </c>
      <c r="B529">
        <v>7.4576869196858455E-3</v>
      </c>
      <c r="C529">
        <v>0.89402226487345615</v>
      </c>
    </row>
    <row r="530" spans="1:3">
      <c r="A530">
        <v>522</v>
      </c>
      <c r="B530">
        <v>0.5070346820273518</v>
      </c>
      <c r="C530">
        <v>0.46993670747724536</v>
      </c>
    </row>
    <row r="531" spans="1:3">
      <c r="A531">
        <v>523</v>
      </c>
      <c r="B531">
        <v>0.69350620047853007</v>
      </c>
      <c r="C531">
        <v>0.40790118500626704</v>
      </c>
    </row>
    <row r="532" spans="1:3">
      <c r="A532">
        <v>524</v>
      </c>
      <c r="B532">
        <v>0.10470297210568165</v>
      </c>
      <c r="C532">
        <v>0.16267210680689459</v>
      </c>
    </row>
    <row r="533" spans="1:3">
      <c r="A533">
        <v>525</v>
      </c>
      <c r="B533">
        <v>0.34105471374445007</v>
      </c>
      <c r="C533">
        <v>0.78879303590292693</v>
      </c>
    </row>
    <row r="534" spans="1:3">
      <c r="A534">
        <v>526</v>
      </c>
      <c r="B534">
        <v>0.62412378881362351</v>
      </c>
      <c r="C534">
        <v>6.8081092255852127E-2</v>
      </c>
    </row>
    <row r="535" spans="1:3">
      <c r="A535">
        <v>527</v>
      </c>
      <c r="B535">
        <v>0.99127806855483869</v>
      </c>
      <c r="C535">
        <v>0.47566089551946789</v>
      </c>
    </row>
    <row r="536" spans="1:3">
      <c r="A536">
        <v>528</v>
      </c>
      <c r="B536">
        <v>0.25295424351048523</v>
      </c>
      <c r="C536">
        <v>0.17962339573659847</v>
      </c>
    </row>
    <row r="537" spans="1:3">
      <c r="A537">
        <v>529</v>
      </c>
      <c r="B537">
        <v>0.99004828721136984</v>
      </c>
      <c r="C537">
        <v>5.1390701039053965E-2</v>
      </c>
    </row>
    <row r="538" spans="1:3">
      <c r="A538">
        <v>530</v>
      </c>
      <c r="B538">
        <v>3.885017059008828E-2</v>
      </c>
      <c r="C538">
        <v>0.39628221651582862</v>
      </c>
    </row>
    <row r="539" spans="1:3">
      <c r="A539">
        <v>531</v>
      </c>
      <c r="B539">
        <v>0.8068441753415494</v>
      </c>
      <c r="C539">
        <v>0.34317426069083012</v>
      </c>
    </row>
    <row r="540" spans="1:3">
      <c r="A540">
        <v>532</v>
      </c>
      <c r="B540">
        <v>0.98324736070489693</v>
      </c>
      <c r="C540">
        <v>0.83291670212020108</v>
      </c>
    </row>
    <row r="541" spans="1:3">
      <c r="A541">
        <v>533</v>
      </c>
      <c r="B541">
        <v>0.33198254521535303</v>
      </c>
      <c r="C541">
        <v>0.60210729025220644</v>
      </c>
    </row>
    <row r="542" spans="1:3">
      <c r="A542">
        <v>534</v>
      </c>
      <c r="B542">
        <v>0.47402865881035766</v>
      </c>
      <c r="C542">
        <v>0.86828706720552873</v>
      </c>
    </row>
    <row r="543" spans="1:3">
      <c r="A543">
        <v>535</v>
      </c>
      <c r="B543">
        <v>1.4696729576377368E-2</v>
      </c>
      <c r="C543">
        <v>0.23066787519474019</v>
      </c>
    </row>
    <row r="544" spans="1:3">
      <c r="A544">
        <v>536</v>
      </c>
      <c r="B544">
        <v>0.73136013836519798</v>
      </c>
      <c r="C544">
        <v>0.79084429593967798</v>
      </c>
    </row>
    <row r="545" spans="1:3">
      <c r="A545">
        <v>537</v>
      </c>
      <c r="B545">
        <v>0.29695693584255806</v>
      </c>
      <c r="C545">
        <v>0.94269419150532485</v>
      </c>
    </row>
    <row r="546" spans="1:3">
      <c r="A546">
        <v>538</v>
      </c>
      <c r="B546">
        <v>0.97513282499037046</v>
      </c>
      <c r="C546">
        <v>0.45828850513862562</v>
      </c>
    </row>
    <row r="547" spans="1:3">
      <c r="A547">
        <v>539</v>
      </c>
      <c r="B547">
        <v>0.52095405337255307</v>
      </c>
      <c r="C547">
        <v>0.60873348362565594</v>
      </c>
    </row>
    <row r="548" spans="1:3">
      <c r="A548">
        <v>540</v>
      </c>
      <c r="B548">
        <v>0.62772411422602004</v>
      </c>
      <c r="C548">
        <v>0.21667537976281892</v>
      </c>
    </row>
    <row r="549" spans="1:3">
      <c r="A549">
        <v>541</v>
      </c>
      <c r="B549">
        <v>8.5084096415267346E-2</v>
      </c>
      <c r="C549">
        <v>0.26641066866523033</v>
      </c>
    </row>
    <row r="550" spans="1:3">
      <c r="A550">
        <v>542</v>
      </c>
      <c r="B550">
        <v>0.88939517354699671</v>
      </c>
      <c r="C550">
        <v>0.85456878819240956</v>
      </c>
    </row>
    <row r="551" spans="1:3">
      <c r="A551">
        <v>543</v>
      </c>
      <c r="B551">
        <v>0.64809710526720088</v>
      </c>
      <c r="C551">
        <v>0.62761605678952037</v>
      </c>
    </row>
    <row r="552" spans="1:3">
      <c r="A552">
        <v>544</v>
      </c>
      <c r="B552">
        <v>0.40557613552607974</v>
      </c>
      <c r="C552">
        <v>8.1243048147371155E-2</v>
      </c>
    </row>
    <row r="553" spans="1:3">
      <c r="A553">
        <v>545</v>
      </c>
      <c r="B553">
        <v>0.61259065371565302</v>
      </c>
      <c r="C553">
        <v>8.1636157829962031E-2</v>
      </c>
    </row>
    <row r="554" spans="1:3">
      <c r="A554">
        <v>546</v>
      </c>
      <c r="B554">
        <v>0.18730295194729765</v>
      </c>
      <c r="C554">
        <v>0.44957404222442676</v>
      </c>
    </row>
    <row r="555" spans="1:3">
      <c r="A555">
        <v>547</v>
      </c>
      <c r="B555">
        <v>0.23842977018263883</v>
      </c>
      <c r="C555">
        <v>0.89351808265928412</v>
      </c>
    </row>
    <row r="556" spans="1:3">
      <c r="A556">
        <v>548</v>
      </c>
      <c r="B556">
        <v>0.15355317582133068</v>
      </c>
      <c r="C556">
        <v>0.30659760966591421</v>
      </c>
    </row>
    <row r="557" spans="1:3">
      <c r="A557">
        <v>549</v>
      </c>
      <c r="B557">
        <v>0.27207446868602986</v>
      </c>
      <c r="C557">
        <v>0.34391030637107178</v>
      </c>
    </row>
    <row r="558" spans="1:3">
      <c r="A558">
        <v>550</v>
      </c>
      <c r="B558">
        <v>0.12535792558220166</v>
      </c>
      <c r="C558">
        <v>0.18203129328867362</v>
      </c>
    </row>
    <row r="559" spans="1:3">
      <c r="A559">
        <v>551</v>
      </c>
      <c r="B559">
        <v>0.55701361904978142</v>
      </c>
      <c r="C559">
        <v>0.28829920046155166</v>
      </c>
    </row>
    <row r="560" spans="1:3">
      <c r="A560">
        <v>552</v>
      </c>
      <c r="B560">
        <v>0.34505541409157575</v>
      </c>
      <c r="C560">
        <v>0.15519576151291403</v>
      </c>
    </row>
    <row r="561" spans="1:3">
      <c r="A561">
        <v>553</v>
      </c>
      <c r="B561">
        <v>0.91695553494732718</v>
      </c>
      <c r="C561">
        <v>0.8294985313223151</v>
      </c>
    </row>
    <row r="562" spans="1:3">
      <c r="A562">
        <v>554</v>
      </c>
      <c r="B562">
        <v>0.97788641183620473</v>
      </c>
      <c r="C562">
        <v>0.49334538470338885</v>
      </c>
    </row>
    <row r="563" spans="1:3">
      <c r="A563">
        <v>555</v>
      </c>
      <c r="B563">
        <v>0.88201105812043201</v>
      </c>
      <c r="C563">
        <v>0.35251116230938351</v>
      </c>
    </row>
    <row r="564" spans="1:3">
      <c r="A564">
        <v>556</v>
      </c>
      <c r="B564">
        <v>0.99769420739041981</v>
      </c>
      <c r="C564">
        <v>4.9837106368613604E-2</v>
      </c>
    </row>
    <row r="565" spans="1:3">
      <c r="A565">
        <v>557</v>
      </c>
      <c r="B565">
        <v>0.47108478603169435</v>
      </c>
      <c r="C565">
        <v>0.67501770144917828</v>
      </c>
    </row>
    <row r="566" spans="1:3">
      <c r="A566">
        <v>558</v>
      </c>
      <c r="B566">
        <v>0.55396201002899603</v>
      </c>
      <c r="C566">
        <v>0.6345869620972735</v>
      </c>
    </row>
    <row r="567" spans="1:3">
      <c r="A567">
        <v>559</v>
      </c>
      <c r="B567">
        <v>0.32467434605068396</v>
      </c>
      <c r="C567">
        <v>0.6299552057425899</v>
      </c>
    </row>
    <row r="568" spans="1:3">
      <c r="A568">
        <v>560</v>
      </c>
      <c r="B568">
        <v>0.79838557643671182</v>
      </c>
      <c r="C568">
        <v>0.41959248144030425</v>
      </c>
    </row>
    <row r="569" spans="1:3">
      <c r="A569">
        <v>561</v>
      </c>
      <c r="B569">
        <v>0.30528106353159085</v>
      </c>
      <c r="C569">
        <v>0.5207230895957764</v>
      </c>
    </row>
    <row r="570" spans="1:3">
      <c r="A570">
        <v>562</v>
      </c>
      <c r="B570">
        <v>0.32952916302604812</v>
      </c>
      <c r="C570">
        <v>0.43814068421579577</v>
      </c>
    </row>
    <row r="571" spans="1:3">
      <c r="A571">
        <v>563</v>
      </c>
      <c r="B571">
        <v>0.44010665988188857</v>
      </c>
      <c r="C571">
        <v>0.14238890886190347</v>
      </c>
    </row>
    <row r="572" spans="1:3">
      <c r="A572">
        <v>564</v>
      </c>
      <c r="B572">
        <v>0.63407584506945591</v>
      </c>
      <c r="C572">
        <v>0.76166952358016715</v>
      </c>
    </row>
    <row r="573" spans="1:3">
      <c r="A573">
        <v>565</v>
      </c>
      <c r="B573">
        <v>4.4500799828651551E-2</v>
      </c>
      <c r="C573">
        <v>0.82757963088261022</v>
      </c>
    </row>
    <row r="574" spans="1:3">
      <c r="A574">
        <v>566</v>
      </c>
      <c r="B574">
        <v>0.63032739671350624</v>
      </c>
      <c r="C574">
        <v>0.25769045555080083</v>
      </c>
    </row>
    <row r="575" spans="1:3">
      <c r="A575">
        <v>567</v>
      </c>
      <c r="B575">
        <v>0.70027225878626864</v>
      </c>
      <c r="C575">
        <v>0.56082607488860958</v>
      </c>
    </row>
    <row r="576" spans="1:3">
      <c r="A576">
        <v>568</v>
      </c>
      <c r="B576">
        <v>0.73086703651101959</v>
      </c>
      <c r="C576">
        <v>0.54680006953185512</v>
      </c>
    </row>
    <row r="577" spans="1:3">
      <c r="A577">
        <v>569</v>
      </c>
      <c r="B577">
        <v>0.35765766825942735</v>
      </c>
      <c r="C577">
        <v>0.93183663769741543</v>
      </c>
    </row>
    <row r="578" spans="1:3">
      <c r="A578">
        <v>570</v>
      </c>
      <c r="B578">
        <v>0.40957913763792703</v>
      </c>
      <c r="C578">
        <v>0.20650418880086363</v>
      </c>
    </row>
    <row r="579" spans="1:3">
      <c r="A579">
        <v>571</v>
      </c>
      <c r="B579">
        <v>0.76727555340870179</v>
      </c>
      <c r="C579">
        <v>0.60230534098263888</v>
      </c>
    </row>
    <row r="580" spans="1:3">
      <c r="A580">
        <v>572</v>
      </c>
      <c r="B580">
        <v>0.70148159643981645</v>
      </c>
      <c r="C580">
        <v>0.43377297682036442</v>
      </c>
    </row>
    <row r="581" spans="1:3">
      <c r="A581">
        <v>573</v>
      </c>
      <c r="B581">
        <v>0.92642126586912688</v>
      </c>
      <c r="C581">
        <v>0.66911237305976101</v>
      </c>
    </row>
    <row r="582" spans="1:3">
      <c r="A582">
        <v>574</v>
      </c>
      <c r="B582">
        <v>0.95466374698161705</v>
      </c>
      <c r="C582">
        <v>8.0890938718766847E-2</v>
      </c>
    </row>
    <row r="583" spans="1:3">
      <c r="A583">
        <v>575</v>
      </c>
      <c r="B583">
        <v>0.23408751124164265</v>
      </c>
      <c r="C583">
        <v>0.73982767862435139</v>
      </c>
    </row>
    <row r="584" spans="1:3">
      <c r="A584">
        <v>576</v>
      </c>
      <c r="B584">
        <v>8.5430519134139293E-2</v>
      </c>
      <c r="C584">
        <v>0.57403898958909849</v>
      </c>
    </row>
    <row r="585" spans="1:3">
      <c r="A585">
        <v>577</v>
      </c>
      <c r="B585">
        <v>0.62254705582250536</v>
      </c>
      <c r="C585">
        <v>0.84494180622732529</v>
      </c>
    </row>
    <row r="586" spans="1:3">
      <c r="A586">
        <v>578</v>
      </c>
      <c r="B586">
        <v>0.77430104935236765</v>
      </c>
      <c r="C586">
        <v>0.80064995198699762</v>
      </c>
    </row>
    <row r="587" spans="1:3">
      <c r="A587">
        <v>579</v>
      </c>
      <c r="B587">
        <v>0.86437887372392674</v>
      </c>
      <c r="C587">
        <v>0.39226555155528331</v>
      </c>
    </row>
    <row r="588" spans="1:3">
      <c r="A588">
        <v>580</v>
      </c>
      <c r="B588">
        <v>0.23718214047923269</v>
      </c>
      <c r="C588">
        <v>0.30870219053576875</v>
      </c>
    </row>
    <row r="589" spans="1:3">
      <c r="A589">
        <v>581</v>
      </c>
      <c r="B589">
        <v>0.47557098821517341</v>
      </c>
      <c r="C589">
        <v>0.20369637136991514</v>
      </c>
    </row>
    <row r="590" spans="1:3">
      <c r="A590">
        <v>582</v>
      </c>
      <c r="B590">
        <v>0.16286814183841183</v>
      </c>
      <c r="C590">
        <v>0.70903160448506242</v>
      </c>
    </row>
    <row r="591" spans="1:3">
      <c r="A591">
        <v>583</v>
      </c>
      <c r="B591">
        <v>0.36201963308654256</v>
      </c>
      <c r="C591">
        <v>0.33345938089314586</v>
      </c>
    </row>
    <row r="592" spans="1:3">
      <c r="A592">
        <v>584</v>
      </c>
      <c r="B592">
        <v>0.59703623156534424</v>
      </c>
      <c r="C592">
        <v>0.76694435520403204</v>
      </c>
    </row>
    <row r="593" spans="1:3">
      <c r="A593">
        <v>585</v>
      </c>
      <c r="B593">
        <v>0.37334622887227364</v>
      </c>
      <c r="C593">
        <v>0.28132870302124502</v>
      </c>
    </row>
    <row r="594" spans="1:3">
      <c r="A594">
        <v>586</v>
      </c>
      <c r="B594">
        <v>0.65932570589951378</v>
      </c>
      <c r="C594">
        <v>0.28010126056142326</v>
      </c>
    </row>
    <row r="595" spans="1:3">
      <c r="A595">
        <v>587</v>
      </c>
      <c r="B595">
        <v>0.73220465714922289</v>
      </c>
      <c r="C595">
        <v>0.90353725151453546</v>
      </c>
    </row>
    <row r="596" spans="1:3">
      <c r="A596">
        <v>588</v>
      </c>
      <c r="B596">
        <v>0.54222351494613652</v>
      </c>
      <c r="C596">
        <v>0.21536392141570104</v>
      </c>
    </row>
    <row r="597" spans="1:3">
      <c r="A597">
        <v>589</v>
      </c>
      <c r="B597">
        <v>0.6467442545350045</v>
      </c>
      <c r="C597">
        <v>0.91055817392316385</v>
      </c>
    </row>
    <row r="598" spans="1:3">
      <c r="A598">
        <v>590</v>
      </c>
      <c r="B598">
        <v>0.81859684062334637</v>
      </c>
      <c r="C598">
        <v>0.32576974448056717</v>
      </c>
    </row>
    <row r="599" spans="1:3">
      <c r="A599">
        <v>591</v>
      </c>
      <c r="B599">
        <v>0.54211451539451128</v>
      </c>
      <c r="C599">
        <v>0.16428983975220035</v>
      </c>
    </row>
    <row r="600" spans="1:3">
      <c r="A600">
        <v>592</v>
      </c>
      <c r="B600">
        <v>0.28283397993911846</v>
      </c>
      <c r="C600">
        <v>0.79591895226258202</v>
      </c>
    </row>
    <row r="601" spans="1:3">
      <c r="A601">
        <v>593</v>
      </c>
      <c r="B601">
        <v>0.23052378719894304</v>
      </c>
      <c r="C601">
        <v>0.10710544454832416</v>
      </c>
    </row>
    <row r="602" spans="1:3">
      <c r="A602">
        <v>594</v>
      </c>
      <c r="B602">
        <v>0.21075607111499553</v>
      </c>
      <c r="C602">
        <v>0.57908025400502083</v>
      </c>
    </row>
    <row r="603" spans="1:3">
      <c r="A603">
        <v>595</v>
      </c>
      <c r="B603">
        <v>0.34955040744881855</v>
      </c>
      <c r="C603">
        <v>0.65248420831721887</v>
      </c>
    </row>
    <row r="604" spans="1:3">
      <c r="A604">
        <v>596</v>
      </c>
      <c r="B604">
        <v>0.59406165103159414</v>
      </c>
      <c r="C604">
        <v>0.41989515826571733</v>
      </c>
    </row>
    <row r="605" spans="1:3">
      <c r="A605">
        <v>597</v>
      </c>
      <c r="B605">
        <v>0.64698345532989676</v>
      </c>
      <c r="C605">
        <v>0.787677268558582</v>
      </c>
    </row>
    <row r="606" spans="1:3">
      <c r="A606">
        <v>598</v>
      </c>
      <c r="B606">
        <v>0.85989829755432401</v>
      </c>
      <c r="C606">
        <v>0.43085564675493515</v>
      </c>
    </row>
    <row r="607" spans="1:3">
      <c r="A607">
        <v>599</v>
      </c>
      <c r="B607">
        <v>4.0016460276631742E-2</v>
      </c>
      <c r="C607">
        <v>0.6682422263393164</v>
      </c>
    </row>
    <row r="608" spans="1:3">
      <c r="A608">
        <v>600</v>
      </c>
      <c r="B608">
        <v>0.78579220781777803</v>
      </c>
      <c r="C608">
        <v>0.67789281382829358</v>
      </c>
    </row>
    <row r="609" spans="1:3">
      <c r="A609">
        <v>601</v>
      </c>
      <c r="B609">
        <v>0.24468396385630686</v>
      </c>
      <c r="C609">
        <v>0.20008850685644575</v>
      </c>
    </row>
    <row r="610" spans="1:3">
      <c r="A610">
        <v>602</v>
      </c>
      <c r="B610">
        <v>2.5184097212363057E-2</v>
      </c>
      <c r="C610">
        <v>1.2390825053444132E-2</v>
      </c>
    </row>
    <row r="611" spans="1:3">
      <c r="A611">
        <v>603</v>
      </c>
      <c r="B611">
        <v>0.64068845260899709</v>
      </c>
      <c r="C611">
        <v>2.7500210478137888E-2</v>
      </c>
    </row>
    <row r="612" spans="1:3">
      <c r="A612">
        <v>604</v>
      </c>
      <c r="B612">
        <v>0.19452454896092519</v>
      </c>
      <c r="C612">
        <v>0.9497367886306165</v>
      </c>
    </row>
    <row r="613" spans="1:3">
      <c r="A613">
        <v>605</v>
      </c>
      <c r="B613">
        <v>0.59989284322501457</v>
      </c>
      <c r="C613">
        <v>2.3830467504922126E-2</v>
      </c>
    </row>
    <row r="614" spans="1:3">
      <c r="A614">
        <v>606</v>
      </c>
      <c r="B614">
        <v>0.68455702288675979</v>
      </c>
      <c r="C614">
        <v>0.92245341369198286</v>
      </c>
    </row>
    <row r="615" spans="1:3">
      <c r="A615">
        <v>607</v>
      </c>
      <c r="B615">
        <v>4.1291241044525813E-2</v>
      </c>
      <c r="C615">
        <v>0.31876698220003163</v>
      </c>
    </row>
    <row r="616" spans="1:3">
      <c r="A616">
        <v>608</v>
      </c>
      <c r="B616">
        <v>0.4363683831300047</v>
      </c>
      <c r="C616">
        <v>0.5452655013605181</v>
      </c>
    </row>
    <row r="617" spans="1:3">
      <c r="A617">
        <v>609</v>
      </c>
      <c r="B617">
        <v>0.19699459534324582</v>
      </c>
      <c r="C617">
        <v>0.55592451662414533</v>
      </c>
    </row>
    <row r="618" spans="1:3">
      <c r="A618">
        <v>610</v>
      </c>
      <c r="B618">
        <v>0.48439100779276134</v>
      </c>
      <c r="C618">
        <v>0.65670736382708128</v>
      </c>
    </row>
    <row r="619" spans="1:3">
      <c r="A619">
        <v>611</v>
      </c>
      <c r="B619">
        <v>0.11242474439177307</v>
      </c>
      <c r="C619">
        <v>9.2799048631604819E-2</v>
      </c>
    </row>
    <row r="620" spans="1:3">
      <c r="A620">
        <v>612</v>
      </c>
      <c r="B620">
        <v>0.80987945684322138</v>
      </c>
      <c r="C620">
        <v>0.12868525092926575</v>
      </c>
    </row>
    <row r="621" spans="1:3">
      <c r="A621">
        <v>613</v>
      </c>
      <c r="B621">
        <v>0.96268329224020321</v>
      </c>
      <c r="C621">
        <v>0.30149426267144008</v>
      </c>
    </row>
    <row r="622" spans="1:3">
      <c r="A622">
        <v>614</v>
      </c>
      <c r="B622">
        <v>0.45768604105284577</v>
      </c>
      <c r="C622">
        <v>0.1475629162905534</v>
      </c>
    </row>
    <row r="623" spans="1:3">
      <c r="A623">
        <v>615</v>
      </c>
      <c r="B623">
        <v>0.41041377335824392</v>
      </c>
      <c r="C623">
        <v>4.8514960752996217E-2</v>
      </c>
    </row>
    <row r="624" spans="1:3">
      <c r="A624">
        <v>616</v>
      </c>
      <c r="B624">
        <v>0.87142938101129364</v>
      </c>
      <c r="C624">
        <v>0.68997889194452</v>
      </c>
    </row>
    <row r="625" spans="1:3">
      <c r="A625">
        <v>617</v>
      </c>
      <c r="B625">
        <v>0.12387558763960274</v>
      </c>
      <c r="C625">
        <v>0.31193605441148975</v>
      </c>
    </row>
    <row r="626" spans="1:3">
      <c r="A626">
        <v>618</v>
      </c>
      <c r="B626">
        <v>0.4379730667895575</v>
      </c>
      <c r="C626">
        <v>0.685537125645169</v>
      </c>
    </row>
    <row r="627" spans="1:3">
      <c r="A627">
        <v>619</v>
      </c>
      <c r="B627">
        <v>0.67669653147940911</v>
      </c>
      <c r="C627">
        <v>2.6664787872505258E-2</v>
      </c>
    </row>
    <row r="628" spans="1:3">
      <c r="A628">
        <v>620</v>
      </c>
      <c r="B628">
        <v>0.21003674304956493</v>
      </c>
      <c r="C628">
        <v>0.58889674614420073</v>
      </c>
    </row>
    <row r="629" spans="1:3">
      <c r="A629">
        <v>621</v>
      </c>
      <c r="B629">
        <v>0.84673275722361463</v>
      </c>
      <c r="C629">
        <v>0.83140695721522206</v>
      </c>
    </row>
    <row r="630" spans="1:3">
      <c r="A630">
        <v>622</v>
      </c>
      <c r="B630">
        <v>0.47827158943942549</v>
      </c>
      <c r="C630">
        <v>0.54282801971839945</v>
      </c>
    </row>
    <row r="631" spans="1:3">
      <c r="A631">
        <v>623</v>
      </c>
      <c r="B631">
        <v>0.50924597477043188</v>
      </c>
      <c r="C631">
        <v>0.28145596751892299</v>
      </c>
    </row>
    <row r="632" spans="1:3">
      <c r="A632">
        <v>624</v>
      </c>
      <c r="B632">
        <v>0.43732982531826237</v>
      </c>
      <c r="C632">
        <v>0.76214592164342321</v>
      </c>
    </row>
    <row r="633" spans="1:3">
      <c r="A633">
        <v>625</v>
      </c>
      <c r="B633">
        <v>0.53262958997465426</v>
      </c>
      <c r="C633">
        <v>0.25947031027681078</v>
      </c>
    </row>
    <row r="634" spans="1:3">
      <c r="A634">
        <v>626</v>
      </c>
      <c r="B634">
        <v>0.22474001475878527</v>
      </c>
      <c r="C634">
        <v>0.2948689180184374</v>
      </c>
    </row>
    <row r="635" spans="1:3">
      <c r="A635">
        <v>627</v>
      </c>
      <c r="B635">
        <v>0.59170338978658044</v>
      </c>
      <c r="C635">
        <v>0.87823534312155971</v>
      </c>
    </row>
    <row r="636" spans="1:3">
      <c r="A636">
        <v>628</v>
      </c>
      <c r="B636">
        <v>0.10382838957221908</v>
      </c>
      <c r="C636">
        <v>0.91831666541202139</v>
      </c>
    </row>
    <row r="637" spans="1:3">
      <c r="A637">
        <v>629</v>
      </c>
      <c r="B637">
        <v>0.14642473978498594</v>
      </c>
      <c r="C637">
        <v>4.1160588662023656E-2</v>
      </c>
    </row>
    <row r="638" spans="1:3">
      <c r="A638">
        <v>630</v>
      </c>
      <c r="B638">
        <v>0.19585161530167136</v>
      </c>
      <c r="C638">
        <v>0.27783336704578687</v>
      </c>
    </row>
    <row r="639" spans="1:3">
      <c r="A639">
        <v>631</v>
      </c>
      <c r="B639">
        <v>0.23747955613934424</v>
      </c>
      <c r="C639">
        <v>0.66159182863520982</v>
      </c>
    </row>
    <row r="640" spans="1:3">
      <c r="A640">
        <v>632</v>
      </c>
      <c r="B640">
        <v>0.29054515150705007</v>
      </c>
      <c r="C640">
        <v>0.17952039270767273</v>
      </c>
    </row>
    <row r="641" spans="1:3">
      <c r="A641">
        <v>633</v>
      </c>
      <c r="B641">
        <v>0.30757274172123816</v>
      </c>
      <c r="C641">
        <v>0.58889319717491162</v>
      </c>
    </row>
    <row r="642" spans="1:3">
      <c r="A642">
        <v>634</v>
      </c>
      <c r="B642">
        <v>0.19214549462738109</v>
      </c>
      <c r="C642">
        <v>0.90848906923838513</v>
      </c>
    </row>
    <row r="643" spans="1:3">
      <c r="A643">
        <v>635</v>
      </c>
      <c r="B643">
        <v>0.38845690540668015</v>
      </c>
      <c r="C643">
        <v>0.83121027958986815</v>
      </c>
    </row>
    <row r="644" spans="1:3">
      <c r="A644">
        <v>636</v>
      </c>
      <c r="B644">
        <v>0.95565569953165375</v>
      </c>
      <c r="C644">
        <v>0.73076424001465057</v>
      </c>
    </row>
    <row r="645" spans="1:3">
      <c r="A645">
        <v>637</v>
      </c>
      <c r="B645">
        <v>0.15507895027494031</v>
      </c>
      <c r="C645">
        <v>0.2563110818246237</v>
      </c>
    </row>
    <row r="646" spans="1:3">
      <c r="A646">
        <v>638</v>
      </c>
      <c r="B646">
        <v>0.38900372951557016</v>
      </c>
      <c r="C646">
        <v>0.48358896657464356</v>
      </c>
    </row>
    <row r="647" spans="1:3">
      <c r="A647">
        <v>639</v>
      </c>
      <c r="B647">
        <v>8.0580619213585891E-2</v>
      </c>
      <c r="C647">
        <v>0.1662654954016034</v>
      </c>
    </row>
    <row r="648" spans="1:3">
      <c r="A648">
        <v>640</v>
      </c>
      <c r="B648">
        <v>5.9011861823734801E-3</v>
      </c>
      <c r="C648">
        <v>0.87799117030954221</v>
      </c>
    </row>
    <row r="649" spans="1:3">
      <c r="A649">
        <v>641</v>
      </c>
      <c r="B649">
        <v>0.44552635141311359</v>
      </c>
      <c r="C649">
        <v>0.58599537513055111</v>
      </c>
    </row>
    <row r="650" spans="1:3">
      <c r="A650">
        <v>642</v>
      </c>
      <c r="B650">
        <v>0.89412084501835543</v>
      </c>
      <c r="C650">
        <v>0.59536371135800437</v>
      </c>
    </row>
    <row r="651" spans="1:3">
      <c r="A651">
        <v>643</v>
      </c>
      <c r="B651">
        <v>0.40781474663322204</v>
      </c>
      <c r="C651">
        <v>0.33942898665281973</v>
      </c>
    </row>
    <row r="652" spans="1:3">
      <c r="A652">
        <v>644</v>
      </c>
      <c r="B652">
        <v>0.96857284400555599</v>
      </c>
      <c r="C652">
        <v>0.75035119142194162</v>
      </c>
    </row>
    <row r="653" spans="1:3">
      <c r="A653">
        <v>645</v>
      </c>
      <c r="B653">
        <v>0.79510345995992038</v>
      </c>
      <c r="C653">
        <v>7.8524863171878678E-2</v>
      </c>
    </row>
    <row r="654" spans="1:3">
      <c r="A654">
        <v>646</v>
      </c>
      <c r="B654">
        <v>0.1421370570984988</v>
      </c>
      <c r="C654">
        <v>0.89245551956082636</v>
      </c>
    </row>
    <row r="655" spans="1:3">
      <c r="A655">
        <v>647</v>
      </c>
      <c r="B655">
        <v>0.10893393715553311</v>
      </c>
      <c r="C655">
        <v>0.74440481771398481</v>
      </c>
    </row>
    <row r="656" spans="1:3">
      <c r="A656">
        <v>648</v>
      </c>
      <c r="B656">
        <v>0.12755627849361773</v>
      </c>
      <c r="C656">
        <v>0.87084538604540285</v>
      </c>
    </row>
    <row r="657" spans="1:3">
      <c r="A657">
        <v>649</v>
      </c>
      <c r="B657">
        <v>0.35569130403587856</v>
      </c>
      <c r="C657">
        <v>0.55713473375635658</v>
      </c>
    </row>
    <row r="658" spans="1:3">
      <c r="A658">
        <v>650</v>
      </c>
      <c r="B658">
        <v>0.52058204054692336</v>
      </c>
      <c r="C658">
        <v>0.71895362996474432</v>
      </c>
    </row>
    <row r="659" spans="1:3">
      <c r="A659">
        <v>651</v>
      </c>
      <c r="B659">
        <v>2.7282167652221904E-2</v>
      </c>
      <c r="C659">
        <v>0.50616873460694478</v>
      </c>
    </row>
    <row r="660" spans="1:3">
      <c r="A660">
        <v>652</v>
      </c>
      <c r="B660">
        <v>0.13128819300972117</v>
      </c>
      <c r="C660">
        <v>0.55805716883696732</v>
      </c>
    </row>
    <row r="661" spans="1:3">
      <c r="A661">
        <v>653</v>
      </c>
      <c r="B661">
        <v>0.90855813669873353</v>
      </c>
      <c r="C661">
        <v>0.37668558976201894</v>
      </c>
    </row>
    <row r="662" spans="1:3">
      <c r="A662">
        <v>654</v>
      </c>
      <c r="B662">
        <v>0.22209137518403385</v>
      </c>
      <c r="C662">
        <v>0.82387279525391932</v>
      </c>
    </row>
    <row r="663" spans="1:3">
      <c r="A663">
        <v>655</v>
      </c>
      <c r="B663">
        <v>0.4241541952765906</v>
      </c>
      <c r="C663">
        <v>0.99315684474368027</v>
      </c>
    </row>
    <row r="664" spans="1:3">
      <c r="A664">
        <v>656</v>
      </c>
      <c r="B664">
        <v>0.30343371378477518</v>
      </c>
      <c r="C664">
        <v>0.95011442648683442</v>
      </c>
    </row>
    <row r="665" spans="1:3">
      <c r="A665">
        <v>657</v>
      </c>
      <c r="B665">
        <v>0.43866253781697306</v>
      </c>
      <c r="C665">
        <v>0.2395848108235441</v>
      </c>
    </row>
    <row r="666" spans="1:3">
      <c r="A666">
        <v>658</v>
      </c>
      <c r="B666">
        <v>0.56238430753158974</v>
      </c>
      <c r="C666">
        <v>0.54017102917896409</v>
      </c>
    </row>
    <row r="667" spans="1:3">
      <c r="A667">
        <v>659</v>
      </c>
      <c r="B667">
        <v>0.9110621249241434</v>
      </c>
      <c r="C667">
        <v>0.12745402818654838</v>
      </c>
    </row>
    <row r="668" spans="1:3">
      <c r="A668">
        <v>660</v>
      </c>
      <c r="B668">
        <v>0.77328046036615983</v>
      </c>
      <c r="C668">
        <v>0.32612406150383322</v>
      </c>
    </row>
    <row r="669" spans="1:3">
      <c r="A669">
        <v>661</v>
      </c>
      <c r="B669">
        <v>0.89265075120512649</v>
      </c>
      <c r="C669">
        <v>0.75154745237523457</v>
      </c>
    </row>
    <row r="670" spans="1:3">
      <c r="A670">
        <v>662</v>
      </c>
      <c r="B670">
        <v>0.50728793458675214</v>
      </c>
      <c r="C670">
        <v>0.76549479149525723</v>
      </c>
    </row>
    <row r="671" spans="1:3">
      <c r="A671">
        <v>663</v>
      </c>
      <c r="B671">
        <v>0.885808362334503</v>
      </c>
      <c r="C671">
        <v>0.26884380674346176</v>
      </c>
    </row>
    <row r="672" spans="1:3">
      <c r="A672">
        <v>664</v>
      </c>
      <c r="B672">
        <v>0.60117085989699015</v>
      </c>
      <c r="C672">
        <v>0.59717717380863178</v>
      </c>
    </row>
    <row r="673" spans="1:3">
      <c r="A673">
        <v>665</v>
      </c>
      <c r="B673">
        <v>0.50330633849089645</v>
      </c>
      <c r="C673">
        <v>0.36998798776403419</v>
      </c>
    </row>
    <row r="674" spans="1:3">
      <c r="A674">
        <v>666</v>
      </c>
      <c r="B674">
        <v>0.6489287972285247</v>
      </c>
      <c r="C674">
        <v>0.96095736724873859</v>
      </c>
    </row>
    <row r="675" spans="1:3">
      <c r="A675">
        <v>667</v>
      </c>
      <c r="B675">
        <v>0.16215707938027499</v>
      </c>
      <c r="C675">
        <v>0.54337364757338946</v>
      </c>
    </row>
    <row r="676" spans="1:3">
      <c r="A676">
        <v>668</v>
      </c>
      <c r="B676">
        <v>0.66992015216884215</v>
      </c>
      <c r="C676">
        <v>0.90786609158476494</v>
      </c>
    </row>
    <row r="677" spans="1:3">
      <c r="A677">
        <v>669</v>
      </c>
      <c r="B677">
        <v>0.18759767325017546</v>
      </c>
      <c r="C677">
        <v>0.36932170452200808</v>
      </c>
    </row>
    <row r="678" spans="1:3">
      <c r="A678">
        <v>670</v>
      </c>
      <c r="B678">
        <v>7.2767618349978608E-2</v>
      </c>
      <c r="C678">
        <v>0.65381082470685215</v>
      </c>
    </row>
    <row r="679" spans="1:3">
      <c r="A679">
        <v>671</v>
      </c>
      <c r="B679">
        <v>0.19823372558318864</v>
      </c>
      <c r="C679">
        <v>5.9654196544215665E-2</v>
      </c>
    </row>
    <row r="680" spans="1:3">
      <c r="A680">
        <v>672</v>
      </c>
      <c r="B680">
        <v>0.32877631983872885</v>
      </c>
      <c r="C680">
        <v>0.33196973936446739</v>
      </c>
    </row>
    <row r="681" spans="1:3">
      <c r="A681">
        <v>673</v>
      </c>
      <c r="B681">
        <v>9.7810331866939174E-2</v>
      </c>
      <c r="C681">
        <v>0.58582058319370844</v>
      </c>
    </row>
    <row r="682" spans="1:3">
      <c r="A682">
        <v>674</v>
      </c>
      <c r="B682">
        <v>0.54042143990677349</v>
      </c>
      <c r="C682">
        <v>0.22047591135924449</v>
      </c>
    </row>
    <row r="683" spans="1:3">
      <c r="A683">
        <v>675</v>
      </c>
      <c r="B683">
        <v>0.84777316321902285</v>
      </c>
      <c r="C683">
        <v>0.86242733249218873</v>
      </c>
    </row>
    <row r="684" spans="1:3">
      <c r="A684">
        <v>676</v>
      </c>
      <c r="B684">
        <v>0.71485599204074957</v>
      </c>
      <c r="C684">
        <v>0.14497197540367779</v>
      </c>
    </row>
    <row r="685" spans="1:3">
      <c r="A685">
        <v>677</v>
      </c>
      <c r="B685">
        <v>0.55191199537057245</v>
      </c>
      <c r="C685">
        <v>0.96084086059727269</v>
      </c>
    </row>
    <row r="686" spans="1:3">
      <c r="A686">
        <v>678</v>
      </c>
      <c r="B686">
        <v>0.2572072331480233</v>
      </c>
      <c r="C686">
        <v>0.19711758332778118</v>
      </c>
    </row>
    <row r="687" spans="1:3">
      <c r="A687">
        <v>679</v>
      </c>
      <c r="B687">
        <v>0.60838835021876458</v>
      </c>
      <c r="C687">
        <v>0.17341207030312944</v>
      </c>
    </row>
    <row r="688" spans="1:3">
      <c r="A688">
        <v>680</v>
      </c>
      <c r="B688">
        <v>0.97488839413106632</v>
      </c>
      <c r="C688">
        <v>0.93196484011969005</v>
      </c>
    </row>
    <row r="689" spans="1:3">
      <c r="A689">
        <v>681</v>
      </c>
      <c r="B689">
        <v>0.88486739062598607</v>
      </c>
      <c r="C689">
        <v>0.32269401615576498</v>
      </c>
    </row>
    <row r="690" spans="1:3">
      <c r="A690">
        <v>682</v>
      </c>
      <c r="B690">
        <v>0.90178065316271516</v>
      </c>
      <c r="C690">
        <v>0.83806291178916581</v>
      </c>
    </row>
    <row r="691" spans="1:3">
      <c r="A691">
        <v>683</v>
      </c>
      <c r="B691">
        <v>0.30937531641185639</v>
      </c>
      <c r="C691">
        <v>0.19949151840683044</v>
      </c>
    </row>
    <row r="692" spans="1:3">
      <c r="A692">
        <v>684</v>
      </c>
      <c r="B692">
        <v>0.52227571806844231</v>
      </c>
      <c r="C692">
        <v>0.34680162713084428</v>
      </c>
    </row>
    <row r="693" spans="1:3">
      <c r="A693">
        <v>685</v>
      </c>
      <c r="B693">
        <v>0.74321491891448732</v>
      </c>
      <c r="C693">
        <v>0.40822616949026269</v>
      </c>
    </row>
    <row r="694" spans="1:3">
      <c r="A694">
        <v>686</v>
      </c>
      <c r="B694">
        <v>0.16510634296622742</v>
      </c>
      <c r="C694">
        <v>0.36229787991396734</v>
      </c>
    </row>
    <row r="695" spans="1:3">
      <c r="A695">
        <v>687</v>
      </c>
      <c r="B695">
        <v>0.57397160468906427</v>
      </c>
      <c r="C695">
        <v>6.396808157205669E-2</v>
      </c>
    </row>
    <row r="696" spans="1:3">
      <c r="A696">
        <v>688</v>
      </c>
      <c r="B696">
        <v>0.87933328946804012</v>
      </c>
      <c r="C696">
        <v>0.23899212791002356</v>
      </c>
    </row>
    <row r="697" spans="1:3">
      <c r="A697">
        <v>689</v>
      </c>
      <c r="B697">
        <v>0.96332486323027988</v>
      </c>
      <c r="C697">
        <v>9.3564709098245658E-2</v>
      </c>
    </row>
    <row r="698" spans="1:3">
      <c r="A698">
        <v>690</v>
      </c>
      <c r="B698">
        <v>0.49344996268005342</v>
      </c>
      <c r="C698">
        <v>0.45998466223863943</v>
      </c>
    </row>
    <row r="699" spans="1:3">
      <c r="A699">
        <v>691</v>
      </c>
      <c r="B699">
        <v>0.28502946846420629</v>
      </c>
      <c r="C699">
        <v>2.6156873400395853E-3</v>
      </c>
    </row>
    <row r="700" spans="1:3">
      <c r="A700">
        <v>692</v>
      </c>
      <c r="B700">
        <v>0.83849274869302592</v>
      </c>
      <c r="C700">
        <v>0.53482583837831044</v>
      </c>
    </row>
    <row r="701" spans="1:3">
      <c r="A701">
        <v>693</v>
      </c>
      <c r="B701">
        <v>0.92302687284714224</v>
      </c>
      <c r="C701">
        <v>0.1297527292263112</v>
      </c>
    </row>
    <row r="702" spans="1:3">
      <c r="A702">
        <v>694</v>
      </c>
      <c r="B702">
        <v>0.51835614477371705</v>
      </c>
      <c r="C702">
        <v>0.73891866625763214</v>
      </c>
    </row>
    <row r="703" spans="1:3">
      <c r="A703">
        <v>695</v>
      </c>
      <c r="B703">
        <v>2.3014554053920916E-2</v>
      </c>
      <c r="C703">
        <v>0.71138060766861599</v>
      </c>
    </row>
    <row r="704" spans="1:3">
      <c r="A704">
        <v>696</v>
      </c>
      <c r="B704">
        <v>0.93741728296163895</v>
      </c>
      <c r="C704">
        <v>0.50723867017677549</v>
      </c>
    </row>
    <row r="705" spans="1:3">
      <c r="A705">
        <v>697</v>
      </c>
      <c r="B705">
        <v>0.79181692792931968</v>
      </c>
      <c r="C705">
        <v>0.73844534661839134</v>
      </c>
    </row>
    <row r="706" spans="1:3">
      <c r="A706">
        <v>698</v>
      </c>
      <c r="B706">
        <v>0.52160594266639226</v>
      </c>
      <c r="C706">
        <v>0.49781854344382737</v>
      </c>
    </row>
    <row r="707" spans="1:3">
      <c r="A707">
        <v>699</v>
      </c>
      <c r="B707">
        <v>0.19112285798008621</v>
      </c>
      <c r="C707">
        <v>0.87359847386505862</v>
      </c>
    </row>
    <row r="708" spans="1:3">
      <c r="A708">
        <v>700</v>
      </c>
      <c r="B708">
        <v>4.8338560979845596E-2</v>
      </c>
      <c r="C708">
        <v>0.44208310655267269</v>
      </c>
    </row>
    <row r="709" spans="1:3">
      <c r="A709">
        <v>701</v>
      </c>
      <c r="B709">
        <v>0.48304214069895496</v>
      </c>
      <c r="C709">
        <v>0.81066814070527471</v>
      </c>
    </row>
    <row r="710" spans="1:3">
      <c r="A710">
        <v>702</v>
      </c>
      <c r="B710">
        <v>0.23464064688110739</v>
      </c>
      <c r="C710">
        <v>0.76049666803373839</v>
      </c>
    </row>
    <row r="711" spans="1:3">
      <c r="A711">
        <v>703</v>
      </c>
      <c r="B711">
        <v>0.12367873035429015</v>
      </c>
      <c r="C711">
        <v>0.6052624509893576</v>
      </c>
    </row>
    <row r="712" spans="1:3">
      <c r="A712">
        <v>704</v>
      </c>
      <c r="B712">
        <v>0.10071332700515942</v>
      </c>
      <c r="C712">
        <v>0.20276794626806804</v>
      </c>
    </row>
    <row r="713" spans="1:3">
      <c r="A713">
        <v>705</v>
      </c>
      <c r="B713">
        <v>0.1671964030073016</v>
      </c>
      <c r="C713">
        <v>0.18175263291141164</v>
      </c>
    </row>
    <row r="714" spans="1:3">
      <c r="A714">
        <v>706</v>
      </c>
      <c r="B714">
        <v>0.41845289017158854</v>
      </c>
      <c r="C714">
        <v>0.56285554617352318</v>
      </c>
    </row>
    <row r="715" spans="1:3">
      <c r="A715">
        <v>707</v>
      </c>
      <c r="B715">
        <v>0.70085348512745782</v>
      </c>
      <c r="C715">
        <v>0.57434483296219696</v>
      </c>
    </row>
    <row r="716" spans="1:3">
      <c r="A716">
        <v>708</v>
      </c>
      <c r="B716">
        <v>0.20600477639814016</v>
      </c>
      <c r="C716">
        <v>0.39260403259868326</v>
      </c>
    </row>
    <row r="717" spans="1:3">
      <c r="A717">
        <v>709</v>
      </c>
      <c r="B717">
        <v>0.11945941626673084</v>
      </c>
      <c r="C717">
        <v>0.40862794794247748</v>
      </c>
    </row>
    <row r="718" spans="1:3">
      <c r="A718">
        <v>710</v>
      </c>
      <c r="B718">
        <v>0.12680570332585034</v>
      </c>
      <c r="C718">
        <v>0.59785240416022134</v>
      </c>
    </row>
    <row r="719" spans="1:3">
      <c r="A719">
        <v>711</v>
      </c>
      <c r="B719">
        <v>0.33090171618254433</v>
      </c>
      <c r="C719">
        <v>0.29698023622677283</v>
      </c>
    </row>
    <row r="720" spans="1:3">
      <c r="A720">
        <v>712</v>
      </c>
      <c r="B720">
        <v>0.62804835383511348</v>
      </c>
      <c r="C720">
        <v>0.58653146702272352</v>
      </c>
    </row>
    <row r="721" spans="1:3">
      <c r="A721">
        <v>713</v>
      </c>
      <c r="B721">
        <v>0.65134370126317809</v>
      </c>
      <c r="C721">
        <v>0.487245929416531</v>
      </c>
    </row>
    <row r="722" spans="1:3">
      <c r="A722">
        <v>714</v>
      </c>
      <c r="B722">
        <v>4.6311452541060616E-2</v>
      </c>
      <c r="C722">
        <v>4.1954885563427524E-2</v>
      </c>
    </row>
    <row r="723" spans="1:3">
      <c r="A723">
        <v>715</v>
      </c>
      <c r="B723">
        <v>0.8088926407021686</v>
      </c>
      <c r="C723">
        <v>0.74537462047010195</v>
      </c>
    </row>
    <row r="724" spans="1:3">
      <c r="A724">
        <v>716</v>
      </c>
      <c r="B724">
        <v>0.42785386252111146</v>
      </c>
      <c r="C724">
        <v>0.39699626835135859</v>
      </c>
    </row>
    <row r="725" spans="1:3">
      <c r="A725">
        <v>717</v>
      </c>
      <c r="B725">
        <v>0.5407290211125112</v>
      </c>
      <c r="C725">
        <v>0.69623037955079781</v>
      </c>
    </row>
    <row r="726" spans="1:3">
      <c r="A726">
        <v>718</v>
      </c>
      <c r="B726">
        <v>0.48109128954598945</v>
      </c>
      <c r="C726">
        <v>0.17671662229804497</v>
      </c>
    </row>
    <row r="727" spans="1:3">
      <c r="A727">
        <v>719</v>
      </c>
      <c r="B727">
        <v>0.76775762348136811</v>
      </c>
      <c r="C727">
        <v>7.0526347198210715E-2</v>
      </c>
    </row>
    <row r="728" spans="1:3">
      <c r="A728">
        <v>720</v>
      </c>
      <c r="B728">
        <v>0.80232357556892642</v>
      </c>
      <c r="C728">
        <v>0.85400712046975968</v>
      </c>
    </row>
    <row r="729" spans="1:3">
      <c r="A729">
        <v>721</v>
      </c>
      <c r="B729">
        <v>0.34603623941243539</v>
      </c>
      <c r="C729">
        <v>0.29796830561463139</v>
      </c>
    </row>
    <row r="730" spans="1:3">
      <c r="A730">
        <v>722</v>
      </c>
      <c r="B730">
        <v>0.29310613623254606</v>
      </c>
      <c r="C730">
        <v>0.77378907536240149</v>
      </c>
    </row>
    <row r="731" spans="1:3">
      <c r="A731">
        <v>723</v>
      </c>
      <c r="B731">
        <v>0.99495259350769971</v>
      </c>
      <c r="C731">
        <v>0.38575995535029506</v>
      </c>
    </row>
    <row r="732" spans="1:3">
      <c r="A732">
        <v>724</v>
      </c>
      <c r="B732">
        <v>6.0114894931557333E-2</v>
      </c>
      <c r="C732">
        <v>0.28528113104493968</v>
      </c>
    </row>
    <row r="733" spans="1:3">
      <c r="A733">
        <v>725</v>
      </c>
      <c r="B733">
        <v>0.27292431747371432</v>
      </c>
      <c r="C733">
        <v>0.87862586419214495</v>
      </c>
    </row>
    <row r="734" spans="1:3">
      <c r="A734">
        <v>726</v>
      </c>
      <c r="B734">
        <v>0.10847025986096594</v>
      </c>
      <c r="C734">
        <v>0.82527782334636868</v>
      </c>
    </row>
    <row r="735" spans="1:3">
      <c r="A735">
        <v>727</v>
      </c>
      <c r="B735">
        <v>0.63561269509867124</v>
      </c>
      <c r="C735">
        <v>1.6232153229793767E-3</v>
      </c>
    </row>
    <row r="736" spans="1:3">
      <c r="A736">
        <v>728</v>
      </c>
      <c r="B736">
        <v>0.58639667501170112</v>
      </c>
      <c r="C736">
        <v>0.18390345604530012</v>
      </c>
    </row>
    <row r="737" spans="1:3">
      <c r="A737">
        <v>729</v>
      </c>
      <c r="B737">
        <v>0.26859525176696369</v>
      </c>
      <c r="C737">
        <v>0.84892281750398979</v>
      </c>
    </row>
    <row r="738" spans="1:3">
      <c r="A738">
        <v>730</v>
      </c>
      <c r="B738">
        <v>0.22994105977084045</v>
      </c>
      <c r="C738">
        <v>0.61756943736418179</v>
      </c>
    </row>
    <row r="739" spans="1:3">
      <c r="A739">
        <v>731</v>
      </c>
      <c r="B739">
        <v>0.34406526025977574</v>
      </c>
      <c r="C739">
        <v>0.5603183315070055</v>
      </c>
    </row>
    <row r="740" spans="1:3">
      <c r="A740">
        <v>732</v>
      </c>
      <c r="B740">
        <v>0.9319701575509669</v>
      </c>
      <c r="C740">
        <v>0.50287052494149975</v>
      </c>
    </row>
    <row r="741" spans="1:3">
      <c r="A741">
        <v>733</v>
      </c>
      <c r="B741">
        <v>0.52212789941512228</v>
      </c>
      <c r="C741">
        <v>0.38635524272649491</v>
      </c>
    </row>
    <row r="742" spans="1:3">
      <c r="A742">
        <v>734</v>
      </c>
      <c r="B742">
        <v>0.99574801945890012</v>
      </c>
      <c r="C742">
        <v>0.80680621801093366</v>
      </c>
    </row>
    <row r="743" spans="1:3">
      <c r="A743">
        <v>735</v>
      </c>
      <c r="B743">
        <v>0.75949602867488197</v>
      </c>
      <c r="C743">
        <v>0.14430248514690902</v>
      </c>
    </row>
    <row r="744" spans="1:3">
      <c r="A744">
        <v>736</v>
      </c>
      <c r="B744">
        <v>0.10558740732650911</v>
      </c>
      <c r="C744">
        <v>0.1120888517361891</v>
      </c>
    </row>
    <row r="745" spans="1:3">
      <c r="A745">
        <v>737</v>
      </c>
      <c r="B745">
        <v>0.28387178351359255</v>
      </c>
      <c r="C745">
        <v>0.21692094111404003</v>
      </c>
    </row>
    <row r="746" spans="1:3">
      <c r="A746">
        <v>738</v>
      </c>
      <c r="B746">
        <v>7.8470707662513184E-2</v>
      </c>
      <c r="C746">
        <v>0.52382546818807896</v>
      </c>
    </row>
    <row r="747" spans="1:3">
      <c r="A747">
        <v>739</v>
      </c>
      <c r="B747">
        <v>0.13066503818963307</v>
      </c>
      <c r="C747">
        <v>0.70212417747188738</v>
      </c>
    </row>
    <row r="748" spans="1:3">
      <c r="A748">
        <v>740</v>
      </c>
      <c r="B748">
        <v>0.80306787724948203</v>
      </c>
      <c r="C748">
        <v>0.24830246442434145</v>
      </c>
    </row>
    <row r="749" spans="1:3">
      <c r="A749">
        <v>741</v>
      </c>
      <c r="B749">
        <v>0.22973799651701424</v>
      </c>
      <c r="C749">
        <v>0.5113525190645305</v>
      </c>
    </row>
    <row r="750" spans="1:3">
      <c r="A750">
        <v>742</v>
      </c>
      <c r="B750">
        <v>0.28782515139650211</v>
      </c>
      <c r="C750">
        <v>0.861753444637543</v>
      </c>
    </row>
    <row r="751" spans="1:3">
      <c r="A751">
        <v>743</v>
      </c>
      <c r="B751">
        <v>0.30227968653582027</v>
      </c>
      <c r="C751">
        <v>0.29267301493928244</v>
      </c>
    </row>
    <row r="752" spans="1:3">
      <c r="A752">
        <v>744</v>
      </c>
      <c r="B752">
        <v>0.77302793703312711</v>
      </c>
      <c r="C752">
        <v>0.16814572626117297</v>
      </c>
    </row>
    <row r="753" spans="1:3">
      <c r="A753">
        <v>745</v>
      </c>
      <c r="B753">
        <v>0.1198502285836847</v>
      </c>
      <c r="C753">
        <v>0.98850650116219185</v>
      </c>
    </row>
    <row r="754" spans="1:3">
      <c r="A754">
        <v>746</v>
      </c>
      <c r="B754">
        <v>0.54865801727312113</v>
      </c>
      <c r="C754">
        <v>1.0097569468598522E-2</v>
      </c>
    </row>
    <row r="755" spans="1:3">
      <c r="A755">
        <v>747</v>
      </c>
      <c r="B755">
        <v>0.71799638470192362</v>
      </c>
      <c r="C755">
        <v>0.90622363075999601</v>
      </c>
    </row>
    <row r="756" spans="1:3">
      <c r="A756">
        <v>748</v>
      </c>
      <c r="B756">
        <v>9.6644711153918109E-2</v>
      </c>
      <c r="C756">
        <v>8.1877017530132434E-2</v>
      </c>
    </row>
    <row r="757" spans="1:3">
      <c r="A757">
        <v>749</v>
      </c>
      <c r="B757">
        <v>0.96828088883982999</v>
      </c>
      <c r="C757">
        <v>0.34341162355940469</v>
      </c>
    </row>
    <row r="758" spans="1:3">
      <c r="A758">
        <v>750</v>
      </c>
      <c r="B758">
        <v>0.81596741718192767</v>
      </c>
      <c r="C758">
        <v>0.15196657259366475</v>
      </c>
    </row>
    <row r="759" spans="1:3">
      <c r="A759">
        <v>751</v>
      </c>
      <c r="B759">
        <v>0.94146667013500496</v>
      </c>
      <c r="C759">
        <v>8.4854197603817738E-2</v>
      </c>
    </row>
    <row r="760" spans="1:3">
      <c r="A760">
        <v>752</v>
      </c>
      <c r="B760">
        <v>0.5847952075933095</v>
      </c>
      <c r="C760">
        <v>0.93928907415283902</v>
      </c>
    </row>
    <row r="761" spans="1:3">
      <c r="A761">
        <v>753</v>
      </c>
      <c r="B761">
        <v>0.34993872549006216</v>
      </c>
      <c r="C761">
        <v>0.33890946153132973</v>
      </c>
    </row>
    <row r="762" spans="1:3">
      <c r="A762">
        <v>754</v>
      </c>
      <c r="B762">
        <v>0.46765728349840674</v>
      </c>
      <c r="C762">
        <v>0.3383829050908389</v>
      </c>
    </row>
    <row r="763" spans="1:3">
      <c r="A763">
        <v>755</v>
      </c>
      <c r="B763">
        <v>0.46384536103546742</v>
      </c>
      <c r="C763">
        <v>0.96779145267555577</v>
      </c>
    </row>
    <row r="764" spans="1:3">
      <c r="A764">
        <v>756</v>
      </c>
      <c r="B764">
        <v>0.82623734605085042</v>
      </c>
      <c r="C764">
        <v>0.15550943501875736</v>
      </c>
    </row>
    <row r="765" spans="1:3">
      <c r="A765">
        <v>757</v>
      </c>
      <c r="B765">
        <v>0.52394992924312833</v>
      </c>
      <c r="C765">
        <v>5.9600607465654321E-2</v>
      </c>
    </row>
    <row r="766" spans="1:3">
      <c r="A766">
        <v>758</v>
      </c>
      <c r="B766">
        <v>0.78315291379605245</v>
      </c>
      <c r="C766">
        <v>4.8053507980512222E-2</v>
      </c>
    </row>
    <row r="767" spans="1:3">
      <c r="A767">
        <v>759</v>
      </c>
      <c r="B767">
        <v>0.12943961803844189</v>
      </c>
      <c r="C767">
        <v>0.80810465490412753</v>
      </c>
    </row>
    <row r="768" spans="1:3">
      <c r="A768">
        <v>760</v>
      </c>
      <c r="B768">
        <v>0.41228788376061432</v>
      </c>
      <c r="C768">
        <v>0.80681110166734982</v>
      </c>
    </row>
    <row r="769" spans="1:3">
      <c r="A769">
        <v>761</v>
      </c>
      <c r="B769">
        <v>0.12481886085868321</v>
      </c>
      <c r="C769">
        <v>0.78088553330962895</v>
      </c>
    </row>
    <row r="770" spans="1:3">
      <c r="A770">
        <v>762</v>
      </c>
      <c r="B770">
        <v>1.7083419877962074E-2</v>
      </c>
      <c r="C770">
        <v>3.1223037701238354E-2</v>
      </c>
    </row>
    <row r="771" spans="1:3">
      <c r="A771">
        <v>763</v>
      </c>
      <c r="B771">
        <v>0.57346819538023985</v>
      </c>
      <c r="C771">
        <v>0.5327253751365788</v>
      </c>
    </row>
    <row r="772" spans="1:3">
      <c r="A772">
        <v>764</v>
      </c>
      <c r="B772">
        <v>0.61931000863916941</v>
      </c>
      <c r="C772">
        <v>0.95468194273507834</v>
      </c>
    </row>
    <row r="773" spans="1:3">
      <c r="A773">
        <v>765</v>
      </c>
      <c r="B773">
        <v>0.85578154362700443</v>
      </c>
      <c r="C773">
        <v>0.82406740955775604</v>
      </c>
    </row>
    <row r="774" spans="1:3">
      <c r="A774">
        <v>766</v>
      </c>
      <c r="B774">
        <v>0.50247706684295013</v>
      </c>
      <c r="C774">
        <v>0.1237799284308494</v>
      </c>
    </row>
    <row r="775" spans="1:3">
      <c r="A775">
        <v>767</v>
      </c>
      <c r="B775">
        <v>0.57568470188236909</v>
      </c>
      <c r="C775">
        <v>0.31876698610176391</v>
      </c>
    </row>
    <row r="776" spans="1:3">
      <c r="A776">
        <v>768</v>
      </c>
      <c r="B776">
        <v>0.33247111119750677</v>
      </c>
      <c r="C776">
        <v>0.45670871750007791</v>
      </c>
    </row>
    <row r="777" spans="1:3">
      <c r="A777">
        <v>769</v>
      </c>
      <c r="B777">
        <v>0.98225712321173797</v>
      </c>
      <c r="C777">
        <v>0.50130751021879405</v>
      </c>
    </row>
    <row r="778" spans="1:3">
      <c r="A778">
        <v>770</v>
      </c>
      <c r="B778">
        <v>0.88428183392679371</v>
      </c>
      <c r="C778">
        <v>0.91137371008517221</v>
      </c>
    </row>
    <row r="779" spans="1:3">
      <c r="A779">
        <v>771</v>
      </c>
      <c r="B779">
        <v>0.61334253947533257</v>
      </c>
      <c r="C779">
        <v>0.66262410115814419</v>
      </c>
    </row>
    <row r="780" spans="1:3">
      <c r="A780">
        <v>772</v>
      </c>
      <c r="B780">
        <v>0.86452444829268482</v>
      </c>
      <c r="C780">
        <v>0.83605863508182665</v>
      </c>
    </row>
    <row r="781" spans="1:3">
      <c r="A781">
        <v>773</v>
      </c>
      <c r="B781">
        <v>0.24955297511037275</v>
      </c>
      <c r="C781">
        <v>0.22196669381628453</v>
      </c>
    </row>
    <row r="782" spans="1:3">
      <c r="A782">
        <v>774</v>
      </c>
      <c r="B782">
        <v>0.85392737449526956</v>
      </c>
      <c r="C782">
        <v>0.6504073712940226</v>
      </c>
    </row>
    <row r="783" spans="1:3">
      <c r="A783">
        <v>775</v>
      </c>
      <c r="B783">
        <v>0.89628055827703335</v>
      </c>
      <c r="C783">
        <v>0.61989182158868061</v>
      </c>
    </row>
    <row r="784" spans="1:3">
      <c r="A784">
        <v>776</v>
      </c>
      <c r="B784">
        <v>0.21872629064524696</v>
      </c>
      <c r="C784">
        <v>6.3500746716272261E-2</v>
      </c>
    </row>
    <row r="785" spans="1:3">
      <c r="A785">
        <v>777</v>
      </c>
      <c r="B785">
        <v>0.9720641250697114</v>
      </c>
      <c r="C785">
        <v>0.74380411408674263</v>
      </c>
    </row>
    <row r="786" spans="1:3">
      <c r="A786">
        <v>778</v>
      </c>
      <c r="B786">
        <v>0.29486870721286834</v>
      </c>
      <c r="C786">
        <v>7.0410886922218197E-2</v>
      </c>
    </row>
    <row r="787" spans="1:3">
      <c r="A787">
        <v>779</v>
      </c>
      <c r="B787">
        <v>0.94532881826766046</v>
      </c>
      <c r="C787">
        <v>1.2554811499285279E-2</v>
      </c>
    </row>
    <row r="788" spans="1:3">
      <c r="A788">
        <v>780</v>
      </c>
      <c r="B788">
        <v>5.7337546610212314E-2</v>
      </c>
      <c r="C788">
        <v>0.63801607207187772</v>
      </c>
    </row>
    <row r="789" spans="1:3">
      <c r="A789">
        <v>781</v>
      </c>
      <c r="B789">
        <v>0.85501517615397804</v>
      </c>
      <c r="C789">
        <v>0.56192948943498777</v>
      </c>
    </row>
    <row r="790" spans="1:3">
      <c r="A790">
        <v>782</v>
      </c>
      <c r="B790">
        <v>0.76465923443256401</v>
      </c>
      <c r="C790">
        <v>7.1863238098558213E-2</v>
      </c>
    </row>
    <row r="791" spans="1:3">
      <c r="A791">
        <v>783</v>
      </c>
      <c r="B791">
        <v>0.52647261305490334</v>
      </c>
      <c r="C791">
        <v>0.2544325254020805</v>
      </c>
    </row>
    <row r="792" spans="1:3">
      <c r="A792">
        <v>784</v>
      </c>
      <c r="B792">
        <v>0.9961419988719612</v>
      </c>
      <c r="C792">
        <v>0.26502359666392294</v>
      </c>
    </row>
    <row r="793" spans="1:3">
      <c r="A793">
        <v>785</v>
      </c>
      <c r="B793">
        <v>0.56665119138426412</v>
      </c>
      <c r="C793">
        <v>0.12363719273707829</v>
      </c>
    </row>
    <row r="794" spans="1:3">
      <c r="A794">
        <v>786</v>
      </c>
      <c r="B794">
        <v>0.57773703472529003</v>
      </c>
      <c r="C794">
        <v>0.76220971803104476</v>
      </c>
    </row>
    <row r="795" spans="1:3">
      <c r="A795">
        <v>787</v>
      </c>
      <c r="B795">
        <v>9.1308537999426148E-2</v>
      </c>
      <c r="C795">
        <v>0.90224984613632842</v>
      </c>
    </row>
    <row r="796" spans="1:3">
      <c r="A796">
        <v>788</v>
      </c>
      <c r="B796">
        <v>0.11409788113448253</v>
      </c>
      <c r="C796">
        <v>0.73488777353941259</v>
      </c>
    </row>
    <row r="797" spans="1:3">
      <c r="A797">
        <v>789</v>
      </c>
      <c r="B797">
        <v>0.17245595483413337</v>
      </c>
      <c r="C797">
        <v>0.48605258457610034</v>
      </c>
    </row>
    <row r="798" spans="1:3">
      <c r="A798">
        <v>790</v>
      </c>
      <c r="B798">
        <v>0.67162082776558141</v>
      </c>
      <c r="C798">
        <v>0.968197557746862</v>
      </c>
    </row>
    <row r="799" spans="1:3">
      <c r="A799">
        <v>791</v>
      </c>
      <c r="B799">
        <v>0.27862802834893302</v>
      </c>
      <c r="C799">
        <v>0.67778893947070173</v>
      </c>
    </row>
    <row r="800" spans="1:3">
      <c r="A800">
        <v>792</v>
      </c>
      <c r="B800">
        <v>0.76570607360208087</v>
      </c>
      <c r="C800">
        <v>0.69337717237885954</v>
      </c>
    </row>
    <row r="801" spans="1:3">
      <c r="A801">
        <v>793</v>
      </c>
      <c r="B801">
        <v>0.72317822954575017</v>
      </c>
      <c r="C801">
        <v>0.53865064532874385</v>
      </c>
    </row>
    <row r="802" spans="1:3">
      <c r="A802">
        <v>794</v>
      </c>
      <c r="B802">
        <v>0.35247691718597823</v>
      </c>
      <c r="C802">
        <v>0.13545442274607922</v>
      </c>
    </row>
    <row r="803" spans="1:3">
      <c r="A803">
        <v>795</v>
      </c>
      <c r="B803">
        <v>0.56579306176188238</v>
      </c>
      <c r="C803">
        <v>1.3229039615907823E-2</v>
      </c>
    </row>
    <row r="804" spans="1:3">
      <c r="A804">
        <v>796</v>
      </c>
      <c r="B804">
        <v>0.84796234899683909</v>
      </c>
      <c r="C804">
        <v>0.69728004024091206</v>
      </c>
    </row>
    <row r="805" spans="1:3">
      <c r="A805">
        <v>797</v>
      </c>
      <c r="B805">
        <v>0.2771107159966395</v>
      </c>
      <c r="C805">
        <v>0.52815268087942968</v>
      </c>
    </row>
    <row r="806" spans="1:3">
      <c r="A806">
        <v>798</v>
      </c>
      <c r="B806">
        <v>0.15054810200406893</v>
      </c>
      <c r="C806">
        <v>3.5918909881729633E-2</v>
      </c>
    </row>
    <row r="807" spans="1:3">
      <c r="A807">
        <v>799</v>
      </c>
      <c r="B807">
        <v>4.7089199203785792E-2</v>
      </c>
      <c r="C807">
        <v>0.9543049046797023</v>
      </c>
    </row>
    <row r="808" spans="1:3">
      <c r="A808">
        <v>800</v>
      </c>
      <c r="B808">
        <v>0.37519181664166779</v>
      </c>
      <c r="C808">
        <v>0.83593378235855198</v>
      </c>
    </row>
    <row r="809" spans="1:3">
      <c r="A809">
        <v>801</v>
      </c>
      <c r="B809">
        <v>0.96346889316743911</v>
      </c>
      <c r="C809">
        <v>0.36493593569866789</v>
      </c>
    </row>
    <row r="810" spans="1:3">
      <c r="A810">
        <v>802</v>
      </c>
      <c r="B810">
        <v>0.23779055545935188</v>
      </c>
      <c r="C810">
        <v>0.99297622105314076</v>
      </c>
    </row>
    <row r="811" spans="1:3">
      <c r="A811">
        <v>803</v>
      </c>
      <c r="B811">
        <v>0.89066739256229888</v>
      </c>
      <c r="C811">
        <v>0.16388068598462269</v>
      </c>
    </row>
    <row r="812" spans="1:3">
      <c r="A812">
        <v>804</v>
      </c>
      <c r="B812">
        <v>0.23137297307838989</v>
      </c>
      <c r="C812">
        <v>0.43040005897910305</v>
      </c>
    </row>
    <row r="813" spans="1:3">
      <c r="A813">
        <v>805</v>
      </c>
      <c r="B813">
        <v>0.90688703306333318</v>
      </c>
      <c r="C813">
        <v>2.2815419442849816E-2</v>
      </c>
    </row>
    <row r="814" spans="1:3">
      <c r="A814">
        <v>806</v>
      </c>
      <c r="B814">
        <v>0.9163196568183879</v>
      </c>
      <c r="C814">
        <v>0.54150222578482499</v>
      </c>
    </row>
    <row r="815" spans="1:3">
      <c r="A815">
        <v>807</v>
      </c>
      <c r="B815">
        <v>0.3070163509320506</v>
      </c>
      <c r="C815">
        <v>0.90747985808775411</v>
      </c>
    </row>
    <row r="816" spans="1:3">
      <c r="A816">
        <v>808</v>
      </c>
      <c r="B816">
        <v>0.91717896123206688</v>
      </c>
      <c r="C816">
        <v>0.97059307304789399</v>
      </c>
    </row>
    <row r="817" spans="1:3">
      <c r="A817">
        <v>809</v>
      </c>
      <c r="B817">
        <v>1.5014403417663278E-2</v>
      </c>
      <c r="C817">
        <v>0.48246712470427155</v>
      </c>
    </row>
    <row r="818" spans="1:3">
      <c r="A818">
        <v>810</v>
      </c>
      <c r="B818">
        <v>0.810576718906168</v>
      </c>
      <c r="C818">
        <v>0.98420486197846913</v>
      </c>
    </row>
    <row r="819" spans="1:3">
      <c r="A819">
        <v>811</v>
      </c>
      <c r="B819">
        <v>4.6930117031682775E-2</v>
      </c>
      <c r="C819">
        <v>0.32809865674971661</v>
      </c>
    </row>
    <row r="820" spans="1:3">
      <c r="A820">
        <v>812</v>
      </c>
      <c r="B820">
        <v>0.57679869223087998</v>
      </c>
      <c r="C820">
        <v>0.62301675759044883</v>
      </c>
    </row>
    <row r="821" spans="1:3">
      <c r="A821">
        <v>813</v>
      </c>
      <c r="B821">
        <v>0.29648204925537158</v>
      </c>
      <c r="C821">
        <v>0.2095097268183963</v>
      </c>
    </row>
    <row r="822" spans="1:3">
      <c r="A822">
        <v>814</v>
      </c>
      <c r="B822">
        <v>0.5430951526250446</v>
      </c>
      <c r="C822">
        <v>0.66359288280364126</v>
      </c>
    </row>
    <row r="823" spans="1:3">
      <c r="A823">
        <v>815</v>
      </c>
      <c r="B823">
        <v>0.48223332998404123</v>
      </c>
      <c r="C823">
        <v>0.61404629919252329</v>
      </c>
    </row>
    <row r="824" spans="1:3">
      <c r="A824">
        <v>816</v>
      </c>
      <c r="B824">
        <v>0.78609182382968534</v>
      </c>
      <c r="C824">
        <v>0.52996951087880007</v>
      </c>
    </row>
    <row r="825" spans="1:3">
      <c r="A825">
        <v>817</v>
      </c>
      <c r="B825">
        <v>0.39942157807364631</v>
      </c>
      <c r="C825">
        <v>0.91750920568756555</v>
      </c>
    </row>
    <row r="826" spans="1:3">
      <c r="A826">
        <v>818</v>
      </c>
      <c r="B826">
        <v>0.97173571241245049</v>
      </c>
      <c r="C826">
        <v>0.81832389789997251</v>
      </c>
    </row>
    <row r="827" spans="1:3">
      <c r="A827">
        <v>819</v>
      </c>
      <c r="B827">
        <v>0.45496248793531269</v>
      </c>
      <c r="C827">
        <v>0.57655200786302885</v>
      </c>
    </row>
    <row r="828" spans="1:3">
      <c r="A828">
        <v>820</v>
      </c>
      <c r="B828">
        <v>0.14143106984869369</v>
      </c>
      <c r="C828">
        <v>0.26549097936185717</v>
      </c>
    </row>
    <row r="829" spans="1:3">
      <c r="A829">
        <v>821</v>
      </c>
      <c r="B829">
        <v>0.50197333311144576</v>
      </c>
      <c r="C829">
        <v>0.85478458176021377</v>
      </c>
    </row>
    <row r="830" spans="1:3">
      <c r="A830">
        <v>822</v>
      </c>
      <c r="B830">
        <v>0.43436350246401589</v>
      </c>
      <c r="C830">
        <v>0.40449573373916792</v>
      </c>
    </row>
    <row r="831" spans="1:3">
      <c r="A831">
        <v>823</v>
      </c>
      <c r="B831">
        <v>8.8456623990381289E-2</v>
      </c>
      <c r="C831">
        <v>0.54164096373642678</v>
      </c>
    </row>
    <row r="832" spans="1:3">
      <c r="A832">
        <v>824</v>
      </c>
      <c r="B832">
        <v>4.4916476669469026E-2</v>
      </c>
      <c r="C832">
        <v>0.15552332764491439</v>
      </c>
    </row>
    <row r="833" spans="1:3">
      <c r="A833">
        <v>825</v>
      </c>
      <c r="B833">
        <v>0.30110586854827259</v>
      </c>
      <c r="C833">
        <v>7.1251099873734347E-2</v>
      </c>
    </row>
    <row r="834" spans="1:3">
      <c r="A834">
        <v>826</v>
      </c>
      <c r="B834">
        <v>0.46737081956392401</v>
      </c>
      <c r="C834">
        <v>0.73420362491197011</v>
      </c>
    </row>
    <row r="835" spans="1:3">
      <c r="A835">
        <v>827</v>
      </c>
      <c r="B835">
        <v>0.33452137634919987</v>
      </c>
      <c r="C835">
        <v>0.76840715266462212</v>
      </c>
    </row>
    <row r="836" spans="1:3">
      <c r="A836">
        <v>828</v>
      </c>
      <c r="B836">
        <v>0.84300671540321948</v>
      </c>
      <c r="C836">
        <v>0.8387071060751623</v>
      </c>
    </row>
    <row r="837" spans="1:3">
      <c r="A837">
        <v>829</v>
      </c>
      <c r="B837">
        <v>0.13975467852115508</v>
      </c>
      <c r="C837">
        <v>0.54027353523179045</v>
      </c>
    </row>
    <row r="838" spans="1:3">
      <c r="A838">
        <v>830</v>
      </c>
      <c r="B838">
        <v>0.48981147505296657</v>
      </c>
      <c r="C838">
        <v>0.67567329160920053</v>
      </c>
    </row>
    <row r="839" spans="1:3">
      <c r="A839">
        <v>831</v>
      </c>
      <c r="B839">
        <v>0.14557592886378429</v>
      </c>
      <c r="C839">
        <v>0.38667112548955629</v>
      </c>
    </row>
    <row r="840" spans="1:3">
      <c r="A840">
        <v>832</v>
      </c>
      <c r="B840">
        <v>0.52867227199605482</v>
      </c>
      <c r="C840">
        <v>0.65739139548531966</v>
      </c>
    </row>
    <row r="841" spans="1:3">
      <c r="A841">
        <v>833</v>
      </c>
      <c r="B841">
        <v>9.977514565316381E-2</v>
      </c>
      <c r="C841">
        <v>0.55136672871140036</v>
      </c>
    </row>
    <row r="842" spans="1:3">
      <c r="A842">
        <v>834</v>
      </c>
      <c r="B842">
        <v>1.4480013345992197E-2</v>
      </c>
      <c r="C842">
        <v>0.53789862807207101</v>
      </c>
    </row>
    <row r="843" spans="1:3">
      <c r="A843">
        <v>835</v>
      </c>
      <c r="B843">
        <v>0.93857765764835699</v>
      </c>
      <c r="C843">
        <v>0.43112879481941491</v>
      </c>
    </row>
    <row r="844" spans="1:3">
      <c r="A844">
        <v>836</v>
      </c>
      <c r="B844">
        <v>0.30804058984924121</v>
      </c>
      <c r="C844">
        <v>0.51101699944047141</v>
      </c>
    </row>
    <row r="845" spans="1:3">
      <c r="A845">
        <v>837</v>
      </c>
      <c r="B845">
        <v>0.92382244036864081</v>
      </c>
      <c r="C845">
        <v>2.1245025417556462E-2</v>
      </c>
    </row>
    <row r="846" spans="1:3">
      <c r="A846">
        <v>838</v>
      </c>
      <c r="B846">
        <v>0.59034943683923913</v>
      </c>
      <c r="C846">
        <v>0.55289260746758373</v>
      </c>
    </row>
    <row r="847" spans="1:3">
      <c r="A847">
        <v>839</v>
      </c>
      <c r="B847">
        <v>0.66829855700463481</v>
      </c>
      <c r="C847">
        <v>0.1832330073675621</v>
      </c>
    </row>
    <row r="848" spans="1:3">
      <c r="A848">
        <v>840</v>
      </c>
      <c r="B848">
        <v>0.87371963535782871</v>
      </c>
      <c r="C848">
        <v>0.92785463285690639</v>
      </c>
    </row>
    <row r="849" spans="1:3">
      <c r="A849">
        <v>841</v>
      </c>
      <c r="B849">
        <v>0.61529426546457555</v>
      </c>
      <c r="C849">
        <v>7.234243514812988E-2</v>
      </c>
    </row>
    <row r="850" spans="1:3">
      <c r="A850">
        <v>842</v>
      </c>
      <c r="B850">
        <v>0.98857955451299895</v>
      </c>
      <c r="C850">
        <v>7.4990121802329668E-2</v>
      </c>
    </row>
    <row r="851" spans="1:3">
      <c r="A851">
        <v>843</v>
      </c>
      <c r="B851">
        <v>0.70164127237960727</v>
      </c>
      <c r="C851">
        <v>0.79933590407472366</v>
      </c>
    </row>
    <row r="852" spans="1:3">
      <c r="A852">
        <v>844</v>
      </c>
      <c r="B852">
        <v>0.2958234614825862</v>
      </c>
      <c r="C852">
        <v>0.50790974825576995</v>
      </c>
    </row>
    <row r="853" spans="1:3">
      <c r="A853">
        <v>845</v>
      </c>
      <c r="B853">
        <v>0.58296656939549518</v>
      </c>
      <c r="C853">
        <v>0.31750269584063062</v>
      </c>
    </row>
    <row r="854" spans="1:3">
      <c r="A854">
        <v>846</v>
      </c>
      <c r="B854">
        <v>0.17404305333035139</v>
      </c>
      <c r="C854">
        <v>0.13317778573946271</v>
      </c>
    </row>
    <row r="855" spans="1:3">
      <c r="A855">
        <v>847</v>
      </c>
      <c r="B855">
        <v>0.42680966967172218</v>
      </c>
      <c r="C855">
        <v>0.63874647372904292</v>
      </c>
    </row>
    <row r="856" spans="1:3">
      <c r="A856">
        <v>848</v>
      </c>
      <c r="B856">
        <v>0.10836642128558979</v>
      </c>
      <c r="C856">
        <v>0.49362403578379599</v>
      </c>
    </row>
    <row r="857" spans="1:3">
      <c r="A857">
        <v>849</v>
      </c>
      <c r="B857">
        <v>0.44059384314501515</v>
      </c>
      <c r="C857">
        <v>4.6082309302619251E-2</v>
      </c>
    </row>
    <row r="858" spans="1:3">
      <c r="A858">
        <v>850</v>
      </c>
      <c r="B858">
        <v>0.86209072335783643</v>
      </c>
      <c r="C858">
        <v>0.45327623607590795</v>
      </c>
    </row>
    <row r="859" spans="1:3">
      <c r="A859">
        <v>851</v>
      </c>
      <c r="B859">
        <v>0.13655271551989781</v>
      </c>
      <c r="C859">
        <v>0.80422419397200429</v>
      </c>
    </row>
    <row r="860" spans="1:3">
      <c r="A860">
        <v>852</v>
      </c>
      <c r="B860">
        <v>0.8322807379125805</v>
      </c>
      <c r="C860">
        <v>0.59608140811360499</v>
      </c>
    </row>
    <row r="861" spans="1:3">
      <c r="A861">
        <v>853</v>
      </c>
      <c r="B861">
        <v>0.850583192570876</v>
      </c>
      <c r="C861">
        <v>0.85198557835701649</v>
      </c>
    </row>
    <row r="862" spans="1:3">
      <c r="A862">
        <v>854</v>
      </c>
      <c r="B862">
        <v>0.38554120892932203</v>
      </c>
      <c r="C862">
        <v>0.88109696552055539</v>
      </c>
    </row>
    <row r="863" spans="1:3">
      <c r="A863">
        <v>855</v>
      </c>
      <c r="B863">
        <v>9.8639321057926707E-2</v>
      </c>
      <c r="C863">
        <v>0.1036823430831646</v>
      </c>
    </row>
    <row r="864" spans="1:3">
      <c r="A864">
        <v>856</v>
      </c>
      <c r="B864">
        <v>0.58159520949390608</v>
      </c>
      <c r="C864">
        <v>0.11374317999980121</v>
      </c>
    </row>
    <row r="865" spans="1:3">
      <c r="A865">
        <v>857</v>
      </c>
      <c r="B865">
        <v>0.73508643907184856</v>
      </c>
      <c r="C865">
        <v>0.33374267124690959</v>
      </c>
    </row>
    <row r="866" spans="1:3">
      <c r="A866">
        <v>858</v>
      </c>
      <c r="B866">
        <v>0.37466880491000337</v>
      </c>
      <c r="C866">
        <v>0.30595573882601457</v>
      </c>
    </row>
    <row r="867" spans="1:3">
      <c r="A867">
        <v>859</v>
      </c>
      <c r="B867">
        <v>0.96103830390484968</v>
      </c>
      <c r="C867">
        <v>0.59332676066969725</v>
      </c>
    </row>
    <row r="868" spans="1:3">
      <c r="A868">
        <v>860</v>
      </c>
      <c r="B868">
        <v>0.64394697570538773</v>
      </c>
      <c r="C868">
        <v>0.67822485513352149</v>
      </c>
    </row>
    <row r="869" spans="1:3">
      <c r="A869">
        <v>861</v>
      </c>
      <c r="B869">
        <v>0.6820593045746115</v>
      </c>
      <c r="C869">
        <v>0.11816869073481939</v>
      </c>
    </row>
    <row r="870" spans="1:3">
      <c r="A870">
        <v>862</v>
      </c>
      <c r="B870">
        <v>0.46610858356270674</v>
      </c>
      <c r="C870">
        <v>0.89935192620851012</v>
      </c>
    </row>
    <row r="871" spans="1:3">
      <c r="A871">
        <v>863</v>
      </c>
      <c r="B871">
        <v>0.57002554895133373</v>
      </c>
      <c r="C871">
        <v>0.77319913989776978</v>
      </c>
    </row>
    <row r="872" spans="1:3">
      <c r="A872">
        <v>864</v>
      </c>
      <c r="B872">
        <v>0.3406303749786761</v>
      </c>
      <c r="C872">
        <v>0.80557678064633365</v>
      </c>
    </row>
    <row r="873" spans="1:3">
      <c r="A873">
        <v>865</v>
      </c>
      <c r="B873">
        <v>0.54463133903872951</v>
      </c>
      <c r="C873">
        <v>0.37886462407368526</v>
      </c>
    </row>
    <row r="874" spans="1:3">
      <c r="A874">
        <v>866</v>
      </c>
      <c r="B874">
        <v>0.4746020381143321</v>
      </c>
      <c r="C874">
        <v>0.53806643944426469</v>
      </c>
    </row>
    <row r="875" spans="1:3">
      <c r="A875">
        <v>867</v>
      </c>
      <c r="B875">
        <v>0.99837087968461469</v>
      </c>
      <c r="C875">
        <v>0.23134165005103569</v>
      </c>
    </row>
    <row r="876" spans="1:3">
      <c r="A876">
        <v>868</v>
      </c>
      <c r="B876">
        <v>0.59279874437414082</v>
      </c>
      <c r="C876">
        <v>0.28519867052000336</v>
      </c>
    </row>
    <row r="877" spans="1:3">
      <c r="A877">
        <v>869</v>
      </c>
      <c r="B877">
        <v>0.65757160885598775</v>
      </c>
      <c r="C877">
        <v>0.53944659306398535</v>
      </c>
    </row>
    <row r="878" spans="1:3">
      <c r="A878">
        <v>870</v>
      </c>
      <c r="B878">
        <v>0.16984309035973694</v>
      </c>
      <c r="C878">
        <v>0.205584854485096</v>
      </c>
    </row>
    <row r="879" spans="1:3">
      <c r="A879">
        <v>871</v>
      </c>
      <c r="B879">
        <v>0.93227827096564653</v>
      </c>
      <c r="C879">
        <v>0.60851160773017909</v>
      </c>
    </row>
    <row r="880" spans="1:3">
      <c r="A880">
        <v>872</v>
      </c>
      <c r="B880">
        <v>0.73822609767914427</v>
      </c>
      <c r="C880">
        <v>7.471871676898445E-4</v>
      </c>
    </row>
    <row r="881" spans="1:3">
      <c r="A881">
        <v>873</v>
      </c>
      <c r="B881">
        <v>0.46988765803596177</v>
      </c>
      <c r="C881">
        <v>0.4068197490505554</v>
      </c>
    </row>
    <row r="882" spans="1:3">
      <c r="A882">
        <v>874</v>
      </c>
      <c r="B882">
        <v>0.87500851394264223</v>
      </c>
      <c r="C882">
        <v>0.96774565449413785</v>
      </c>
    </row>
    <row r="883" spans="1:3">
      <c r="A883">
        <v>875</v>
      </c>
      <c r="B883">
        <v>4.2516858491747841E-2</v>
      </c>
      <c r="C883">
        <v>0.46434995935214829</v>
      </c>
    </row>
    <row r="884" spans="1:3">
      <c r="A884">
        <v>876</v>
      </c>
      <c r="B884">
        <v>0.44098859807369034</v>
      </c>
      <c r="C884">
        <v>0.52955904840200674</v>
      </c>
    </row>
    <row r="885" spans="1:3">
      <c r="A885">
        <v>877</v>
      </c>
      <c r="B885">
        <v>0.25105924893390835</v>
      </c>
      <c r="C885">
        <v>0.71008622953650047</v>
      </c>
    </row>
    <row r="886" spans="1:3">
      <c r="A886">
        <v>878</v>
      </c>
      <c r="B886">
        <v>0.95422510350044465</v>
      </c>
      <c r="C886">
        <v>0.94174165076037752</v>
      </c>
    </row>
    <row r="887" spans="1:3">
      <c r="A887">
        <v>879</v>
      </c>
      <c r="B887">
        <v>0.72272082276286576</v>
      </c>
      <c r="C887">
        <v>9.0584246528123913E-2</v>
      </c>
    </row>
    <row r="888" spans="1:3">
      <c r="A888">
        <v>880</v>
      </c>
      <c r="B888">
        <v>0.19418273083841958</v>
      </c>
      <c r="C888">
        <v>0.42071196769393282</v>
      </c>
    </row>
    <row r="889" spans="1:3">
      <c r="A889">
        <v>881</v>
      </c>
      <c r="B889">
        <v>0.54109245350051027</v>
      </c>
      <c r="C889">
        <v>0.77755773671015049</v>
      </c>
    </row>
    <row r="890" spans="1:3">
      <c r="A890">
        <v>882</v>
      </c>
      <c r="B890">
        <v>0.53254403952018925</v>
      </c>
      <c r="C890">
        <v>0.93712527595835127</v>
      </c>
    </row>
    <row r="891" spans="1:3">
      <c r="A891">
        <v>883</v>
      </c>
      <c r="B891">
        <v>0.77046613144801601</v>
      </c>
      <c r="C891">
        <v>0.26367871414367983</v>
      </c>
    </row>
    <row r="892" spans="1:3">
      <c r="A892">
        <v>884</v>
      </c>
      <c r="B892">
        <v>0.67019633099716069</v>
      </c>
      <c r="C892">
        <v>0.44483863430014026</v>
      </c>
    </row>
    <row r="893" spans="1:3">
      <c r="A893">
        <v>885</v>
      </c>
      <c r="B893">
        <v>0.97707927494307023</v>
      </c>
      <c r="C893">
        <v>0.73821348305500578</v>
      </c>
    </row>
    <row r="894" spans="1:3">
      <c r="A894">
        <v>886</v>
      </c>
      <c r="B894">
        <v>0.95682672846792882</v>
      </c>
      <c r="C894">
        <v>0.45500352191720594</v>
      </c>
    </row>
    <row r="895" spans="1:3">
      <c r="A895">
        <v>887</v>
      </c>
      <c r="B895">
        <v>0.34890747464390176</v>
      </c>
      <c r="C895">
        <v>0.31606510381425323</v>
      </c>
    </row>
    <row r="896" spans="1:3">
      <c r="A896">
        <v>888</v>
      </c>
      <c r="B896">
        <v>0.44607151577129761</v>
      </c>
      <c r="C896">
        <v>0.28434144068614842</v>
      </c>
    </row>
    <row r="897" spans="1:3">
      <c r="A897">
        <v>889</v>
      </c>
      <c r="B897">
        <v>0.33526638608455339</v>
      </c>
      <c r="C897">
        <v>0.84289489120783401</v>
      </c>
    </row>
    <row r="898" spans="1:3">
      <c r="A898">
        <v>890</v>
      </c>
      <c r="B898">
        <v>6.670956614797692E-2</v>
      </c>
      <c r="C898">
        <v>0.92153950737611012</v>
      </c>
    </row>
    <row r="899" spans="1:3">
      <c r="A899">
        <v>891</v>
      </c>
      <c r="B899">
        <v>0.21798510235263621</v>
      </c>
      <c r="C899">
        <v>0.55832551232015248</v>
      </c>
    </row>
    <row r="900" spans="1:3">
      <c r="A900">
        <v>892</v>
      </c>
      <c r="B900">
        <v>0.10268452960603977</v>
      </c>
      <c r="C900">
        <v>0.32211113999346708</v>
      </c>
    </row>
    <row r="901" spans="1:3">
      <c r="A901">
        <v>893</v>
      </c>
      <c r="B901">
        <v>0.58600159857487344</v>
      </c>
      <c r="C901">
        <v>0.61074821721740591</v>
      </c>
    </row>
    <row r="902" spans="1:3">
      <c r="A902">
        <v>894</v>
      </c>
      <c r="B902">
        <v>0.46461155859786357</v>
      </c>
      <c r="C902">
        <v>0.81710833692795859</v>
      </c>
    </row>
    <row r="903" spans="1:3">
      <c r="A903">
        <v>895</v>
      </c>
      <c r="B903">
        <v>0.54796018067820929</v>
      </c>
      <c r="C903">
        <v>0.11753880522519466</v>
      </c>
    </row>
    <row r="904" spans="1:3">
      <c r="A904">
        <v>896</v>
      </c>
      <c r="B904">
        <v>0.68365629894432056</v>
      </c>
      <c r="C904">
        <v>0.20744172295144381</v>
      </c>
    </row>
    <row r="905" spans="1:3">
      <c r="A905">
        <v>897</v>
      </c>
      <c r="B905">
        <v>0.83715165000696468</v>
      </c>
      <c r="C905">
        <v>0.92021526086136873</v>
      </c>
    </row>
    <row r="906" spans="1:3">
      <c r="A906">
        <v>898</v>
      </c>
      <c r="B906">
        <v>6.142323900736478E-2</v>
      </c>
      <c r="C906">
        <v>0.9134604909859263</v>
      </c>
    </row>
    <row r="907" spans="1:3">
      <c r="A907">
        <v>899</v>
      </c>
      <c r="B907">
        <v>0.76972999496788952</v>
      </c>
      <c r="C907">
        <v>0.18637522501376225</v>
      </c>
    </row>
    <row r="908" spans="1:3">
      <c r="A908">
        <v>900</v>
      </c>
      <c r="B908">
        <v>0.18129011759871852</v>
      </c>
      <c r="C908">
        <v>0.51990246169862075</v>
      </c>
    </row>
    <row r="909" spans="1:3">
      <c r="A909">
        <v>901</v>
      </c>
      <c r="B909">
        <v>0.98920034355497921</v>
      </c>
      <c r="C909">
        <v>0.45381804289536376</v>
      </c>
    </row>
    <row r="910" spans="1:3">
      <c r="A910">
        <v>902</v>
      </c>
      <c r="B910">
        <v>0.77715538020812802</v>
      </c>
      <c r="C910">
        <v>0.2573997959962071</v>
      </c>
    </row>
    <row r="911" spans="1:3">
      <c r="A911">
        <v>903</v>
      </c>
      <c r="B911">
        <v>0.15459619639185168</v>
      </c>
      <c r="C911">
        <v>0.75531519559081062</v>
      </c>
    </row>
    <row r="912" spans="1:3">
      <c r="A912">
        <v>904</v>
      </c>
      <c r="B912">
        <v>0.50978808299321399</v>
      </c>
      <c r="C912">
        <v>0.69157229609845672</v>
      </c>
    </row>
    <row r="913" spans="1:3">
      <c r="A913">
        <v>905</v>
      </c>
      <c r="B913">
        <v>0.70285734741684458</v>
      </c>
      <c r="C913">
        <v>0.68741683291136724</v>
      </c>
    </row>
    <row r="914" spans="1:3">
      <c r="A914">
        <v>906</v>
      </c>
      <c r="B914">
        <v>0.23621231739474746</v>
      </c>
      <c r="C914">
        <v>0.507346481705099</v>
      </c>
    </row>
    <row r="915" spans="1:3">
      <c r="A915">
        <v>907</v>
      </c>
      <c r="B915">
        <v>0.52995929118300777</v>
      </c>
      <c r="C915">
        <v>0.17634978460137063</v>
      </c>
    </row>
    <row r="916" spans="1:3">
      <c r="A916">
        <v>908</v>
      </c>
      <c r="B916">
        <v>0.45815994450486258</v>
      </c>
      <c r="C916">
        <v>0.4703476580507413</v>
      </c>
    </row>
    <row r="917" spans="1:3">
      <c r="A917">
        <v>909</v>
      </c>
      <c r="B917">
        <v>0.15120982699571406</v>
      </c>
      <c r="C917">
        <v>0.61429466820027301</v>
      </c>
    </row>
    <row r="918" spans="1:3">
      <c r="A918">
        <v>910</v>
      </c>
      <c r="B918">
        <v>0.60893672641151042</v>
      </c>
      <c r="C918">
        <v>0.82780826191992674</v>
      </c>
    </row>
    <row r="919" spans="1:3">
      <c r="A919">
        <v>911</v>
      </c>
      <c r="B919">
        <v>0.65200716206086962</v>
      </c>
      <c r="C919">
        <v>0.46958201334291516</v>
      </c>
    </row>
    <row r="920" spans="1:3">
      <c r="A920">
        <v>912</v>
      </c>
      <c r="B920">
        <v>0.32386519457610913</v>
      </c>
      <c r="C920">
        <v>0.76610798361798516</v>
      </c>
    </row>
    <row r="921" spans="1:3">
      <c r="A921">
        <v>913</v>
      </c>
      <c r="B921">
        <v>0.77783367565642891</v>
      </c>
      <c r="C921">
        <v>0.68014424998182221</v>
      </c>
    </row>
    <row r="922" spans="1:3">
      <c r="A922">
        <v>914</v>
      </c>
      <c r="B922">
        <v>0.61890247144482624</v>
      </c>
      <c r="C922">
        <v>0.7355378264473984</v>
      </c>
    </row>
    <row r="923" spans="1:3">
      <c r="A923">
        <v>915</v>
      </c>
      <c r="B923">
        <v>0.51654679687855465</v>
      </c>
      <c r="C923">
        <v>0.47061438650689524</v>
      </c>
    </row>
    <row r="924" spans="1:3">
      <c r="A924">
        <v>916</v>
      </c>
      <c r="B924">
        <v>0.21831953976850946</v>
      </c>
      <c r="C924">
        <v>0.99341890534014965</v>
      </c>
    </row>
    <row r="925" spans="1:3">
      <c r="A925">
        <v>917</v>
      </c>
      <c r="B925">
        <v>0.79081567530082908</v>
      </c>
      <c r="C925">
        <v>0.73754533671854006</v>
      </c>
    </row>
    <row r="926" spans="1:3">
      <c r="A926">
        <v>918</v>
      </c>
      <c r="B926">
        <v>0.44352659317709658</v>
      </c>
      <c r="C926">
        <v>0.84444886689107079</v>
      </c>
    </row>
    <row r="927" spans="1:3">
      <c r="A927">
        <v>919</v>
      </c>
      <c r="B927">
        <v>0.70893141628516165</v>
      </c>
      <c r="C927">
        <v>0.44288005186535884</v>
      </c>
    </row>
    <row r="928" spans="1:3">
      <c r="A928">
        <v>920</v>
      </c>
      <c r="B928">
        <v>0.21549996450582984</v>
      </c>
      <c r="C928">
        <v>0.54302059284509596</v>
      </c>
    </row>
    <row r="929" spans="1:3">
      <c r="A929">
        <v>921</v>
      </c>
      <c r="B929">
        <v>6.6937559742233149E-3</v>
      </c>
      <c r="C929">
        <v>0.88949224094903911</v>
      </c>
    </row>
    <row r="930" spans="1:3">
      <c r="A930">
        <v>922</v>
      </c>
      <c r="B930">
        <v>0.21588228435113146</v>
      </c>
      <c r="C930">
        <v>0.99705149128476478</v>
      </c>
    </row>
    <row r="931" spans="1:3">
      <c r="A931">
        <v>923</v>
      </c>
      <c r="B931">
        <v>0.59253276570395863</v>
      </c>
      <c r="C931">
        <v>0.84361721246932575</v>
      </c>
    </row>
    <row r="932" spans="1:3">
      <c r="A932">
        <v>924</v>
      </c>
      <c r="B932">
        <v>0.71880098831267125</v>
      </c>
      <c r="C932">
        <v>0.8098162918631715</v>
      </c>
    </row>
    <row r="933" spans="1:3">
      <c r="A933">
        <v>925</v>
      </c>
      <c r="B933">
        <v>0.32605613563392682</v>
      </c>
      <c r="C933">
        <v>3.2509988302081183E-2</v>
      </c>
    </row>
    <row r="934" spans="1:3">
      <c r="A934">
        <v>926</v>
      </c>
      <c r="B934">
        <v>0.64750710121875332</v>
      </c>
      <c r="C934">
        <v>0.63955580163383274</v>
      </c>
    </row>
    <row r="935" spans="1:3">
      <c r="A935">
        <v>927</v>
      </c>
      <c r="B935">
        <v>0.41218242796686999</v>
      </c>
      <c r="C935">
        <v>0.30324538035984006</v>
      </c>
    </row>
    <row r="936" spans="1:3">
      <c r="A936">
        <v>928</v>
      </c>
      <c r="B936">
        <v>0.91075838340971582</v>
      </c>
      <c r="C936">
        <v>0.95141011184568924</v>
      </c>
    </row>
    <row r="937" spans="1:3">
      <c r="A937">
        <v>929</v>
      </c>
      <c r="B937">
        <v>0.351820677118241</v>
      </c>
      <c r="C937">
        <v>0.42494971669020742</v>
      </c>
    </row>
    <row r="938" spans="1:3">
      <c r="A938">
        <v>930</v>
      </c>
      <c r="B938">
        <v>0.10736601935167937</v>
      </c>
      <c r="C938">
        <v>0.46838196675525978</v>
      </c>
    </row>
    <row r="939" spans="1:3">
      <c r="A939">
        <v>931</v>
      </c>
      <c r="B939">
        <v>0.51286259595105943</v>
      </c>
      <c r="C939">
        <v>0.67781730974365928</v>
      </c>
    </row>
    <row r="940" spans="1:3">
      <c r="A940">
        <v>932</v>
      </c>
      <c r="B940">
        <v>0.44708500676841595</v>
      </c>
      <c r="C940">
        <v>0.16140968698346114</v>
      </c>
    </row>
    <row r="941" spans="1:3">
      <c r="A941">
        <v>933</v>
      </c>
      <c r="B941">
        <v>0.67796805791341885</v>
      </c>
      <c r="C941">
        <v>0.57752082402748783</v>
      </c>
    </row>
    <row r="942" spans="1:3">
      <c r="A942">
        <v>934</v>
      </c>
      <c r="B942">
        <v>0.41600731803062546</v>
      </c>
      <c r="C942">
        <v>0.30791164067704813</v>
      </c>
    </row>
    <row r="943" spans="1:3">
      <c r="A943">
        <v>935</v>
      </c>
      <c r="B943">
        <v>0.1340756919175097</v>
      </c>
      <c r="C943">
        <v>0.783399599364202</v>
      </c>
    </row>
    <row r="944" spans="1:3">
      <c r="A944">
        <v>936</v>
      </c>
      <c r="B944">
        <v>0.99040222383118293</v>
      </c>
      <c r="C944">
        <v>0.42372903177874832</v>
      </c>
    </row>
    <row r="945" spans="1:3">
      <c r="A945">
        <v>937</v>
      </c>
      <c r="B945">
        <v>0.77171097066554029</v>
      </c>
      <c r="C945">
        <v>0.64959996666948427</v>
      </c>
    </row>
    <row r="946" spans="1:3">
      <c r="A946">
        <v>938</v>
      </c>
      <c r="B946">
        <v>0.49165355672199595</v>
      </c>
      <c r="C946">
        <v>0.40575259650995577</v>
      </c>
    </row>
    <row r="947" spans="1:3">
      <c r="A947">
        <v>939</v>
      </c>
      <c r="B947">
        <v>0.29977642635646656</v>
      </c>
      <c r="C947">
        <v>0.64688354766803968</v>
      </c>
    </row>
    <row r="948" spans="1:3">
      <c r="A948">
        <v>940</v>
      </c>
      <c r="B948">
        <v>0.16964620473935413</v>
      </c>
      <c r="C948">
        <v>0.3331753833563198</v>
      </c>
    </row>
    <row r="949" spans="1:3">
      <c r="A949">
        <v>941</v>
      </c>
      <c r="B949">
        <v>0.39170661273917806</v>
      </c>
      <c r="C949">
        <v>0.21496518936328357</v>
      </c>
    </row>
    <row r="950" spans="1:3">
      <c r="A950">
        <v>942</v>
      </c>
      <c r="B950">
        <v>0.3774317653489373</v>
      </c>
      <c r="C950">
        <v>0.88284592062245792</v>
      </c>
    </row>
    <row r="951" spans="1:3">
      <c r="A951">
        <v>943</v>
      </c>
      <c r="B951">
        <v>0.60121328986222233</v>
      </c>
      <c r="C951">
        <v>0.9129741733068073</v>
      </c>
    </row>
    <row r="952" spans="1:3">
      <c r="A952">
        <v>944</v>
      </c>
      <c r="B952">
        <v>0.7728220551387458</v>
      </c>
      <c r="C952">
        <v>0.86122927623182477</v>
      </c>
    </row>
    <row r="953" spans="1:3">
      <c r="A953">
        <v>945</v>
      </c>
      <c r="B953">
        <v>0.24579688490871268</v>
      </c>
      <c r="C953">
        <v>7.7986583274650911E-2</v>
      </c>
    </row>
    <row r="954" spans="1:3">
      <c r="A954">
        <v>946</v>
      </c>
      <c r="B954">
        <v>0.21259418626068954</v>
      </c>
      <c r="C954">
        <v>0.91242268682981376</v>
      </c>
    </row>
    <row r="955" spans="1:3">
      <c r="A955">
        <v>947</v>
      </c>
      <c r="B955">
        <v>0.34457877634069389</v>
      </c>
      <c r="C955">
        <v>0.14869614704002743</v>
      </c>
    </row>
    <row r="956" spans="1:3">
      <c r="A956">
        <v>948</v>
      </c>
      <c r="B956">
        <v>4.8912322061907577E-2</v>
      </c>
      <c r="C956">
        <v>5.1666788413967879E-2</v>
      </c>
    </row>
    <row r="957" spans="1:3">
      <c r="A957">
        <v>949</v>
      </c>
      <c r="B957">
        <v>0.51949316952873337</v>
      </c>
      <c r="C957">
        <v>0.40576839232926432</v>
      </c>
    </row>
    <row r="958" spans="1:3">
      <c r="A958">
        <v>950</v>
      </c>
      <c r="B958">
        <v>0.70481759588229875</v>
      </c>
      <c r="C958">
        <v>0.91739043374491303</v>
      </c>
    </row>
    <row r="959" spans="1:3">
      <c r="A959">
        <v>951</v>
      </c>
      <c r="B959">
        <v>0.98996572159453422</v>
      </c>
      <c r="C959">
        <v>0.832393945507647</v>
      </c>
    </row>
    <row r="960" spans="1:3">
      <c r="A960">
        <v>952</v>
      </c>
      <c r="B960">
        <v>0.3016376263758721</v>
      </c>
      <c r="C960">
        <v>0.84768219169473014</v>
      </c>
    </row>
    <row r="961" spans="1:3">
      <c r="A961">
        <v>953</v>
      </c>
      <c r="B961">
        <v>0.27008987441498084</v>
      </c>
      <c r="C961">
        <v>0.92474623436464753</v>
      </c>
    </row>
    <row r="962" spans="1:3">
      <c r="A962">
        <v>954</v>
      </c>
      <c r="B962">
        <v>0.83316527178282052</v>
      </c>
      <c r="C962">
        <v>0.95304294382822263</v>
      </c>
    </row>
    <row r="963" spans="1:3">
      <c r="A963">
        <v>955</v>
      </c>
      <c r="B963">
        <v>6.3969001327308123E-2</v>
      </c>
      <c r="C963">
        <v>0.89742325021870784</v>
      </c>
    </row>
    <row r="964" spans="1:3">
      <c r="A964">
        <v>956</v>
      </c>
      <c r="B964">
        <v>0.80761299560973721</v>
      </c>
      <c r="C964">
        <v>0.45637596426149685</v>
      </c>
    </row>
    <row r="965" spans="1:3">
      <c r="A965">
        <v>957</v>
      </c>
      <c r="B965">
        <v>3.0275413232314263E-2</v>
      </c>
      <c r="C965">
        <v>0.75820542937981372</v>
      </c>
    </row>
    <row r="966" spans="1:3">
      <c r="A966">
        <v>958</v>
      </c>
      <c r="B966">
        <v>0.29627576007360495</v>
      </c>
      <c r="C966">
        <v>0.38616979878955249</v>
      </c>
    </row>
    <row r="967" spans="1:3">
      <c r="A967">
        <v>959</v>
      </c>
      <c r="B967">
        <v>0.14160986048360585</v>
      </c>
      <c r="C967">
        <v>0.79650976877292123</v>
      </c>
    </row>
    <row r="968" spans="1:3">
      <c r="A968">
        <v>960</v>
      </c>
      <c r="B968">
        <v>0.13881369302696867</v>
      </c>
      <c r="C968">
        <v>0.86684181806958804</v>
      </c>
    </row>
    <row r="969" spans="1:3">
      <c r="A969">
        <v>961</v>
      </c>
      <c r="B969">
        <v>0.30830180887521752</v>
      </c>
      <c r="C969">
        <v>0.79087389709184208</v>
      </c>
    </row>
    <row r="970" spans="1:3">
      <c r="A970">
        <v>962</v>
      </c>
      <c r="B970">
        <v>0.57652726277786481</v>
      </c>
      <c r="C970">
        <v>0.28802297074071248</v>
      </c>
    </row>
    <row r="971" spans="1:3">
      <c r="A971">
        <v>963</v>
      </c>
      <c r="B971">
        <v>0.32280327838631423</v>
      </c>
      <c r="C971">
        <v>0.11589123932117218</v>
      </c>
    </row>
    <row r="972" spans="1:3">
      <c r="A972">
        <v>964</v>
      </c>
      <c r="B972">
        <v>0.39714744700168897</v>
      </c>
      <c r="C972">
        <v>0.5863781033676787</v>
      </c>
    </row>
    <row r="973" spans="1:3">
      <c r="A973">
        <v>965</v>
      </c>
      <c r="B973">
        <v>0.15362788028019198</v>
      </c>
      <c r="C973">
        <v>0.16190815899699373</v>
      </c>
    </row>
    <row r="974" spans="1:3">
      <c r="A974">
        <v>966</v>
      </c>
      <c r="B974">
        <v>0.95990089388082289</v>
      </c>
      <c r="C974">
        <v>0.33717511072609341</v>
      </c>
    </row>
    <row r="975" spans="1:3">
      <c r="A975">
        <v>967</v>
      </c>
      <c r="B975">
        <v>0.60965606541835149</v>
      </c>
      <c r="C975">
        <v>0.14746935246057546</v>
      </c>
    </row>
    <row r="976" spans="1:3">
      <c r="A976">
        <v>968</v>
      </c>
      <c r="B976">
        <v>0.66584564773259813</v>
      </c>
      <c r="C976">
        <v>0.17555592580356461</v>
      </c>
    </row>
    <row r="977" spans="1:3">
      <c r="A977">
        <v>969</v>
      </c>
      <c r="B977">
        <v>0.99332354755865493</v>
      </c>
      <c r="C977">
        <v>0.95358607561229292</v>
      </c>
    </row>
    <row r="978" spans="1:3">
      <c r="A978">
        <v>970</v>
      </c>
      <c r="B978">
        <v>4.329175684025785E-3</v>
      </c>
      <c r="C978">
        <v>0.25403314610230154</v>
      </c>
    </row>
    <row r="979" spans="1:3">
      <c r="A979">
        <v>971</v>
      </c>
      <c r="B979">
        <v>0.1203572691848402</v>
      </c>
      <c r="C979">
        <v>0.14869931164048467</v>
      </c>
    </row>
    <row r="980" spans="1:3">
      <c r="A980">
        <v>972</v>
      </c>
      <c r="B980">
        <v>0.16133918017422294</v>
      </c>
      <c r="C980">
        <v>0.31670206507806142</v>
      </c>
    </row>
    <row r="981" spans="1:3">
      <c r="A981">
        <v>973</v>
      </c>
      <c r="B981">
        <v>9.4206935301191855E-2</v>
      </c>
      <c r="C981">
        <v>3.5004178470444458E-2</v>
      </c>
    </row>
    <row r="982" spans="1:3">
      <c r="A982">
        <v>974</v>
      </c>
      <c r="B982">
        <v>0.79488099986670557</v>
      </c>
      <c r="C982">
        <v>0.71200835958006792</v>
      </c>
    </row>
    <row r="983" spans="1:3">
      <c r="A983">
        <v>975</v>
      </c>
      <c r="B983">
        <v>0.52796270586093019</v>
      </c>
      <c r="C983">
        <v>4.1242197939936887E-3</v>
      </c>
    </row>
    <row r="984" spans="1:3">
      <c r="A984">
        <v>976</v>
      </c>
      <c r="B984">
        <v>0.61784145535743829</v>
      </c>
      <c r="C984">
        <v>2.0438138739336864E-2</v>
      </c>
    </row>
    <row r="985" spans="1:3">
      <c r="A985">
        <v>977</v>
      </c>
      <c r="B985">
        <v>0.90891816014454652</v>
      </c>
      <c r="C985">
        <v>0.85035593413795141</v>
      </c>
    </row>
    <row r="986" spans="1:3">
      <c r="A986">
        <v>978</v>
      </c>
      <c r="B986">
        <v>0.17681688474421783</v>
      </c>
      <c r="C986">
        <v>0.5336102813926118</v>
      </c>
    </row>
    <row r="987" spans="1:3">
      <c r="A987">
        <v>979</v>
      </c>
      <c r="B987">
        <v>0.35200202602753461</v>
      </c>
      <c r="C987">
        <v>0.49199443126326514</v>
      </c>
    </row>
    <row r="988" spans="1:3">
      <c r="A988">
        <v>980</v>
      </c>
      <c r="B988">
        <v>0.16902290049698737</v>
      </c>
      <c r="C988">
        <v>0.68060975640946708</v>
      </c>
    </row>
    <row r="989" spans="1:3">
      <c r="A989">
        <v>981</v>
      </c>
      <c r="B989">
        <v>0.13328045060575949</v>
      </c>
      <c r="C989">
        <v>0.72759780349770153</v>
      </c>
    </row>
    <row r="990" spans="1:3">
      <c r="A990">
        <v>982</v>
      </c>
      <c r="B990">
        <v>0.68349168935126903</v>
      </c>
      <c r="C990">
        <v>0.82301552582521253</v>
      </c>
    </row>
    <row r="991" spans="1:3">
      <c r="A991">
        <v>983</v>
      </c>
      <c r="B991">
        <v>7.7368702953627494E-2</v>
      </c>
      <c r="C991">
        <v>0.99111219008409535</v>
      </c>
    </row>
    <row r="992" spans="1:3">
      <c r="A992">
        <v>984</v>
      </c>
      <c r="B992">
        <v>0.25190781415424024</v>
      </c>
      <c r="C992">
        <v>7.0262383733279421E-3</v>
      </c>
    </row>
    <row r="993" spans="1:3">
      <c r="A993">
        <v>985</v>
      </c>
      <c r="B993">
        <v>0.37847809315218545</v>
      </c>
      <c r="C993">
        <v>5.670931150780234E-2</v>
      </c>
    </row>
    <row r="994" spans="1:3">
      <c r="A994">
        <v>986</v>
      </c>
      <c r="B994">
        <v>0.79329523547950553</v>
      </c>
      <c r="C994">
        <v>0.62281854825596383</v>
      </c>
    </row>
    <row r="995" spans="1:3">
      <c r="A995">
        <v>987</v>
      </c>
      <c r="B995">
        <v>0.8623795126278837</v>
      </c>
      <c r="C995">
        <v>0.99067082610145007</v>
      </c>
    </row>
    <row r="996" spans="1:3">
      <c r="A996">
        <v>988</v>
      </c>
      <c r="B996">
        <v>0.88759758832841129</v>
      </c>
      <c r="C996">
        <v>0.85274194134763093</v>
      </c>
    </row>
    <row r="997" spans="1:3">
      <c r="A997">
        <v>989</v>
      </c>
      <c r="B997">
        <v>0.44023893725994023</v>
      </c>
      <c r="C997">
        <v>0.7324257551726987</v>
      </c>
    </row>
    <row r="998" spans="1:3">
      <c r="A998">
        <v>990</v>
      </c>
      <c r="B998">
        <v>0.21299432161999735</v>
      </c>
      <c r="C998">
        <v>0.47330545185650408</v>
      </c>
    </row>
    <row r="999" spans="1:3">
      <c r="A999">
        <v>991</v>
      </c>
      <c r="B999">
        <v>0.46375412005301431</v>
      </c>
      <c r="C999">
        <v>0.18267578044560651</v>
      </c>
    </row>
    <row r="1000" spans="1:3">
      <c r="A1000">
        <v>992</v>
      </c>
      <c r="B1000">
        <v>0.63344571627947632</v>
      </c>
      <c r="C1000">
        <v>0.17630798900063382</v>
      </c>
    </row>
    <row r="1001" spans="1:3">
      <c r="A1001">
        <v>993</v>
      </c>
      <c r="B1001">
        <v>6.7118787003475899E-2</v>
      </c>
      <c r="C1001">
        <v>0.3240766451735908</v>
      </c>
    </row>
    <row r="1002" spans="1:3">
      <c r="A1002">
        <v>994</v>
      </c>
      <c r="B1002">
        <v>0.76371653704976583</v>
      </c>
      <c r="C1002">
        <v>0.65597886653449677</v>
      </c>
    </row>
    <row r="1003" spans="1:3">
      <c r="A1003">
        <v>995</v>
      </c>
      <c r="B1003">
        <v>1.7656708534261378E-2</v>
      </c>
      <c r="C1003">
        <v>0.53876366340864479</v>
      </c>
    </row>
    <row r="1004" spans="1:3">
      <c r="A1004">
        <v>996</v>
      </c>
      <c r="B1004">
        <v>0.35275536856789963</v>
      </c>
      <c r="C1004">
        <v>9.2865702416020213E-2</v>
      </c>
    </row>
    <row r="1005" spans="1:3">
      <c r="A1005">
        <v>997</v>
      </c>
      <c r="B1005">
        <v>3.7664827134801265E-2</v>
      </c>
      <c r="C1005">
        <v>0.74307724597747438</v>
      </c>
    </row>
    <row r="1006" spans="1:3">
      <c r="A1006">
        <v>998</v>
      </c>
      <c r="B1006">
        <v>0.9447011225744385</v>
      </c>
      <c r="C1006">
        <v>0.85076168462182977</v>
      </c>
    </row>
    <row r="1007" spans="1:3">
      <c r="A1007">
        <v>999</v>
      </c>
      <c r="B1007">
        <v>0.51562023785054223</v>
      </c>
      <c r="C1007">
        <v>0.87014776348132727</v>
      </c>
    </row>
    <row r="1008" spans="1:3">
      <c r="A1008">
        <v>1000</v>
      </c>
      <c r="B1008">
        <v>0.67579223315212689</v>
      </c>
      <c r="C1008">
        <v>0.38554261714853055</v>
      </c>
    </row>
    <row r="1009" spans="1:3">
      <c r="A1009">
        <v>1001</v>
      </c>
      <c r="B1009">
        <v>0.39992675700665609</v>
      </c>
      <c r="C1009">
        <v>0.54815613231858151</v>
      </c>
    </row>
    <row r="1010" spans="1:3">
      <c r="A1010">
        <v>1002</v>
      </c>
      <c r="B1010">
        <v>0.35386393338089434</v>
      </c>
      <c r="C1010">
        <v>0.38260286112927133</v>
      </c>
    </row>
    <row r="1011" spans="1:3">
      <c r="A1011">
        <v>1003</v>
      </c>
      <c r="B1011">
        <v>0.10930114112992333</v>
      </c>
      <c r="C1011">
        <v>0.81284400495860609</v>
      </c>
    </row>
    <row r="1012" spans="1:3">
      <c r="A1012">
        <v>1004</v>
      </c>
      <c r="B1012">
        <v>0.92327420420355033</v>
      </c>
      <c r="C1012">
        <v>0.82924285580429569</v>
      </c>
    </row>
    <row r="1013" spans="1:3">
      <c r="A1013">
        <v>1005</v>
      </c>
      <c r="B1013">
        <v>0.36583550535743953</v>
      </c>
      <c r="C1013">
        <v>1.2360042199361487E-2</v>
      </c>
    </row>
    <row r="1014" spans="1:3">
      <c r="A1014">
        <v>1006</v>
      </c>
      <c r="B1014">
        <v>0.70752410497281804</v>
      </c>
      <c r="C1014">
        <v>0.44763530533327867</v>
      </c>
    </row>
    <row r="1015" spans="1:3">
      <c r="A1015">
        <v>1007</v>
      </c>
      <c r="B1015">
        <v>0.48645285901195667</v>
      </c>
      <c r="C1015">
        <v>3.8029689603717998E-3</v>
      </c>
    </row>
    <row r="1016" spans="1:3">
      <c r="A1016">
        <v>1008</v>
      </c>
      <c r="B1016">
        <v>0.92598963586850791</v>
      </c>
      <c r="C1016">
        <v>0.81229285309656518</v>
      </c>
    </row>
    <row r="1017" spans="1:3">
      <c r="A1017">
        <v>1009</v>
      </c>
      <c r="B1017">
        <v>0.47323476112886209</v>
      </c>
      <c r="C1017">
        <v>0.21421295451273181</v>
      </c>
    </row>
    <row r="1018" spans="1:3">
      <c r="A1018">
        <v>1010</v>
      </c>
      <c r="B1018">
        <v>0.47688329242767841</v>
      </c>
      <c r="C1018">
        <v>0.75647357824527717</v>
      </c>
    </row>
    <row r="1019" spans="1:3">
      <c r="A1019">
        <v>1011</v>
      </c>
      <c r="B1019">
        <v>0.73242834993773809</v>
      </c>
      <c r="C1019">
        <v>0.34568028430385311</v>
      </c>
    </row>
    <row r="1020" spans="1:3">
      <c r="A1020">
        <v>1012</v>
      </c>
      <c r="B1020">
        <v>0.289954142688856</v>
      </c>
      <c r="C1020">
        <v>0.43937188451309339</v>
      </c>
    </row>
    <row r="1021" spans="1:3">
      <c r="A1021">
        <v>1013</v>
      </c>
      <c r="B1021">
        <v>0.2537845673973636</v>
      </c>
      <c r="C1021">
        <v>0.64946176553257828</v>
      </c>
    </row>
    <row r="1022" spans="1:3">
      <c r="A1022">
        <v>1014</v>
      </c>
      <c r="B1022">
        <v>0.95925530502131573</v>
      </c>
      <c r="C1022">
        <v>0.49040633614458784</v>
      </c>
    </row>
    <row r="1023" spans="1:3">
      <c r="A1023">
        <v>1015</v>
      </c>
      <c r="B1023">
        <v>0.74723263540692464</v>
      </c>
      <c r="C1023">
        <v>0.90016893449683266</v>
      </c>
    </row>
    <row r="1024" spans="1:3">
      <c r="A1024">
        <v>1016</v>
      </c>
      <c r="B1024">
        <v>0.39429575700003089</v>
      </c>
      <c r="C1024">
        <v>0.4829568988407118</v>
      </c>
    </row>
    <row r="1025" spans="1:3">
      <c r="A1025">
        <v>1017</v>
      </c>
      <c r="B1025">
        <v>0.25407240777632045</v>
      </c>
      <c r="C1025">
        <v>0.56400251069953811</v>
      </c>
    </row>
    <row r="1026" spans="1:3">
      <c r="A1026">
        <v>1018</v>
      </c>
      <c r="B1026">
        <v>6.8948596533375928E-2</v>
      </c>
      <c r="C1026">
        <v>0.91791208279028069</v>
      </c>
    </row>
    <row r="1027" spans="1:3">
      <c r="A1027">
        <v>1019</v>
      </c>
      <c r="B1027">
        <v>0.63121198800858391</v>
      </c>
      <c r="C1027">
        <v>0.89818450207803835</v>
      </c>
    </row>
    <row r="1028" spans="1:3">
      <c r="A1028">
        <v>1020</v>
      </c>
      <c r="B1028">
        <v>0.24963572441582468</v>
      </c>
      <c r="C1028">
        <v>0.3128444804551691</v>
      </c>
    </row>
    <row r="1029" spans="1:3">
      <c r="A1029">
        <v>1021</v>
      </c>
      <c r="B1029">
        <v>0.51734692028312634</v>
      </c>
      <c r="C1029">
        <v>0.25706011351303459</v>
      </c>
    </row>
    <row r="1030" spans="1:3">
      <c r="A1030">
        <v>1022</v>
      </c>
      <c r="B1030">
        <v>0.68715716424709117</v>
      </c>
      <c r="C1030">
        <v>9.3213904579897644E-2</v>
      </c>
    </row>
    <row r="1031" spans="1:3">
      <c r="A1031">
        <v>1023</v>
      </c>
      <c r="B1031">
        <v>0.84335398683588814</v>
      </c>
      <c r="C1031">
        <v>0.98996549242929177</v>
      </c>
    </row>
    <row r="1032" spans="1:3">
      <c r="A1032">
        <v>1024</v>
      </c>
      <c r="B1032">
        <v>0.46557974033578758</v>
      </c>
      <c r="C1032">
        <v>0.89708048848842736</v>
      </c>
    </row>
    <row r="1033" spans="1:3">
      <c r="A1033">
        <v>1025</v>
      </c>
      <c r="B1033">
        <v>8.3428810142499588E-2</v>
      </c>
      <c r="C1033">
        <v>0.58327591138640855</v>
      </c>
    </row>
    <row r="1034" spans="1:3">
      <c r="A1034">
        <v>1026</v>
      </c>
      <c r="B1034">
        <v>0.13567605094105845</v>
      </c>
      <c r="C1034">
        <v>0.23575528968103754</v>
      </c>
    </row>
    <row r="1035" spans="1:3">
      <c r="A1035">
        <v>1027</v>
      </c>
      <c r="B1035">
        <v>0.35897227603601578</v>
      </c>
      <c r="C1035">
        <v>4.9731319862075907E-2</v>
      </c>
    </row>
    <row r="1036" spans="1:3">
      <c r="A1036">
        <v>1028</v>
      </c>
      <c r="B1036">
        <v>0.39564305685265988</v>
      </c>
      <c r="C1036">
        <v>0.11519578575462219</v>
      </c>
    </row>
    <row r="1037" spans="1:3">
      <c r="A1037">
        <v>1029</v>
      </c>
      <c r="B1037">
        <v>0.62387304997920823</v>
      </c>
      <c r="C1037">
        <v>0.81201189009061636</v>
      </c>
    </row>
    <row r="1038" spans="1:3">
      <c r="A1038">
        <v>1030</v>
      </c>
      <c r="B1038">
        <v>0.3736578700404749</v>
      </c>
      <c r="C1038">
        <v>0.16872139896258886</v>
      </c>
    </row>
    <row r="1039" spans="1:3">
      <c r="A1039">
        <v>1031</v>
      </c>
      <c r="B1039">
        <v>0.66934556691067892</v>
      </c>
      <c r="C1039">
        <v>0.32790479040158971</v>
      </c>
    </row>
    <row r="1040" spans="1:3">
      <c r="A1040">
        <v>1032</v>
      </c>
      <c r="B1040">
        <v>0.99691855479509539</v>
      </c>
      <c r="C1040">
        <v>0.31990849752583017</v>
      </c>
    </row>
    <row r="1041" spans="1:3">
      <c r="A1041">
        <v>1033</v>
      </c>
      <c r="B1041">
        <v>4.0325344721443335E-2</v>
      </c>
      <c r="C1041">
        <v>0.41400734015223861</v>
      </c>
    </row>
    <row r="1042" spans="1:3">
      <c r="A1042">
        <v>1034</v>
      </c>
      <c r="B1042">
        <v>0.25311178065894913</v>
      </c>
      <c r="C1042">
        <v>0.38519863219426043</v>
      </c>
    </row>
    <row r="1043" spans="1:3">
      <c r="A1043">
        <v>1035</v>
      </c>
      <c r="B1043">
        <v>0.88677325658127049</v>
      </c>
      <c r="C1043">
        <v>0.65760676363061066</v>
      </c>
    </row>
    <row r="1044" spans="1:3">
      <c r="A1044">
        <v>1036</v>
      </c>
      <c r="B1044">
        <v>0.41561666423734667</v>
      </c>
      <c r="C1044">
        <v>0.16343500558195956</v>
      </c>
    </row>
    <row r="1045" spans="1:3">
      <c r="A1045">
        <v>1037</v>
      </c>
      <c r="B1045">
        <v>0.28696340896821659</v>
      </c>
      <c r="C1045">
        <v>0.89235364818159724</v>
      </c>
    </row>
    <row r="1046" spans="1:3">
      <c r="A1046">
        <v>1038</v>
      </c>
      <c r="B1046">
        <v>0.49759692525933424</v>
      </c>
      <c r="C1046">
        <v>0.61367966107630423</v>
      </c>
    </row>
    <row r="1047" spans="1:3">
      <c r="A1047">
        <v>1039</v>
      </c>
      <c r="B1047">
        <v>0.57242783840606637</v>
      </c>
      <c r="C1047">
        <v>0.14982650463025493</v>
      </c>
    </row>
    <row r="1048" spans="1:3">
      <c r="A1048">
        <v>1040</v>
      </c>
      <c r="B1048">
        <v>0.38766283467311013</v>
      </c>
      <c r="C1048">
        <v>0.92445271593260259</v>
      </c>
    </row>
    <row r="1049" spans="1:3">
      <c r="A1049">
        <v>1041</v>
      </c>
      <c r="B1049">
        <v>0.9641552081539192</v>
      </c>
      <c r="C1049">
        <v>3.0103581782896072E-2</v>
      </c>
    </row>
    <row r="1050" spans="1:3">
      <c r="A1050">
        <v>1042</v>
      </c>
      <c r="B1050">
        <v>0.72610308478802976</v>
      </c>
      <c r="C1050">
        <v>0.90953220799929113</v>
      </c>
    </row>
    <row r="1051" spans="1:3">
      <c r="A1051">
        <v>1043</v>
      </c>
      <c r="B1051">
        <v>0.52633306785876244</v>
      </c>
      <c r="C1051">
        <v>0.86147441789853474</v>
      </c>
    </row>
    <row r="1052" spans="1:3">
      <c r="A1052">
        <v>1044</v>
      </c>
      <c r="B1052">
        <v>0.47642510240977282</v>
      </c>
      <c r="C1052">
        <v>0.76567726925532043</v>
      </c>
    </row>
    <row r="1053" spans="1:3">
      <c r="A1053">
        <v>1045</v>
      </c>
      <c r="B1053">
        <v>6.2256752121322041E-3</v>
      </c>
      <c r="C1053">
        <v>0.87514225598079065</v>
      </c>
    </row>
    <row r="1054" spans="1:3">
      <c r="A1054">
        <v>1046</v>
      </c>
      <c r="B1054">
        <v>0.69287720737999248</v>
      </c>
      <c r="C1054">
        <v>0.45927434432815062</v>
      </c>
    </row>
    <row r="1055" spans="1:3">
      <c r="A1055">
        <v>1047</v>
      </c>
      <c r="B1055">
        <v>0.18864289515508406</v>
      </c>
      <c r="C1055">
        <v>0.48394614886910858</v>
      </c>
    </row>
    <row r="1056" spans="1:3">
      <c r="A1056">
        <v>1048</v>
      </c>
      <c r="B1056">
        <v>0.26732416469336584</v>
      </c>
      <c r="C1056">
        <v>0.3115199386702443</v>
      </c>
    </row>
    <row r="1057" spans="1:3">
      <c r="A1057">
        <v>1049</v>
      </c>
      <c r="B1057">
        <v>0.63871782376005271</v>
      </c>
      <c r="C1057">
        <v>6.9460565537156072E-2</v>
      </c>
    </row>
    <row r="1058" spans="1:3">
      <c r="A1058">
        <v>1050</v>
      </c>
      <c r="B1058">
        <v>0.89001868328946143</v>
      </c>
      <c r="C1058">
        <v>8.0425475562151405E-3</v>
      </c>
    </row>
    <row r="1059" spans="1:3">
      <c r="A1059">
        <v>1051</v>
      </c>
      <c r="B1059">
        <v>0.8679821059935684</v>
      </c>
      <c r="C1059">
        <v>0.49156286327706766</v>
      </c>
    </row>
    <row r="1060" spans="1:3">
      <c r="A1060">
        <v>1052</v>
      </c>
      <c r="B1060">
        <v>0.47312541550498582</v>
      </c>
      <c r="C1060">
        <v>0.15762779609212885</v>
      </c>
    </row>
    <row r="1061" spans="1:3">
      <c r="A1061">
        <v>1053</v>
      </c>
      <c r="B1061">
        <v>0.6095931810026507</v>
      </c>
      <c r="C1061">
        <v>0.46223549225669558</v>
      </c>
    </row>
    <row r="1062" spans="1:3">
      <c r="A1062">
        <v>1054</v>
      </c>
      <c r="B1062">
        <v>0.71289868631318654</v>
      </c>
      <c r="C1062">
        <v>0.87603242392833636</v>
      </c>
    </row>
    <row r="1063" spans="1:3">
      <c r="A1063">
        <v>1055</v>
      </c>
      <c r="B1063">
        <v>0.87635746187380459</v>
      </c>
      <c r="C1063">
        <v>7.1286323827735032E-2</v>
      </c>
    </row>
    <row r="1064" spans="1:3">
      <c r="A1064">
        <v>1056</v>
      </c>
      <c r="B1064">
        <v>0.49085434437744652</v>
      </c>
      <c r="C1064">
        <v>0.98300444067808712</v>
      </c>
    </row>
    <row r="1065" spans="1:3">
      <c r="A1065">
        <v>1057</v>
      </c>
      <c r="B1065">
        <v>0.64624311798439427</v>
      </c>
      <c r="C1065">
        <v>0.97860126326122554</v>
      </c>
    </row>
    <row r="1066" spans="1:3">
      <c r="A1066">
        <v>1058</v>
      </c>
      <c r="B1066">
        <v>0.21701920184758938</v>
      </c>
      <c r="C1066">
        <v>0.74188179806060361</v>
      </c>
    </row>
    <row r="1067" spans="1:3">
      <c r="A1067">
        <v>1059</v>
      </c>
      <c r="B1067">
        <v>0.22591637412303045</v>
      </c>
      <c r="C1067">
        <v>0.74485913836178952</v>
      </c>
    </row>
    <row r="1068" spans="1:3">
      <c r="A1068">
        <v>1060</v>
      </c>
      <c r="B1068">
        <v>0.60228947028799207</v>
      </c>
      <c r="C1068">
        <v>0.9989028612835682</v>
      </c>
    </row>
    <row r="1069" spans="1:3">
      <c r="A1069">
        <v>1061</v>
      </c>
      <c r="B1069">
        <v>0.67236744115226144</v>
      </c>
      <c r="C1069">
        <v>0.51668265822354442</v>
      </c>
    </row>
    <row r="1070" spans="1:3">
      <c r="A1070">
        <v>1062</v>
      </c>
      <c r="B1070">
        <v>0.91501313426816211</v>
      </c>
      <c r="C1070">
        <v>0.72500661677804601</v>
      </c>
    </row>
    <row r="1071" spans="1:3">
      <c r="A1071">
        <v>1063</v>
      </c>
      <c r="B1071">
        <v>0.18338869033483524</v>
      </c>
      <c r="C1071">
        <v>0.17387532120937976</v>
      </c>
    </row>
    <row r="1072" spans="1:3">
      <c r="A1072">
        <v>1064</v>
      </c>
      <c r="B1072">
        <v>0.54596392182371678</v>
      </c>
      <c r="C1072">
        <v>0.41155327067463077</v>
      </c>
    </row>
    <row r="1073" spans="1:3">
      <c r="A1073">
        <v>1065</v>
      </c>
      <c r="B1073">
        <v>0.82984357432500544</v>
      </c>
      <c r="C1073">
        <v>0.83059247255641822</v>
      </c>
    </row>
    <row r="1074" spans="1:3">
      <c r="A1074">
        <v>1066</v>
      </c>
      <c r="B1074">
        <v>0.24684035887686545</v>
      </c>
      <c r="C1074">
        <v>0.68278625411585381</v>
      </c>
    </row>
    <row r="1075" spans="1:3">
      <c r="A1075">
        <v>1067</v>
      </c>
      <c r="B1075">
        <v>0.83394299720505782</v>
      </c>
      <c r="C1075">
        <v>0.84840595332389057</v>
      </c>
    </row>
    <row r="1076" spans="1:3">
      <c r="A1076">
        <v>1068</v>
      </c>
      <c r="B1076">
        <v>0.13471252745364617</v>
      </c>
      <c r="C1076">
        <v>0.89999997260474629</v>
      </c>
    </row>
    <row r="1077" spans="1:3">
      <c r="A1077">
        <v>1069</v>
      </c>
      <c r="B1077">
        <v>0.36699898187229385</v>
      </c>
      <c r="C1077">
        <v>0.87696711635726388</v>
      </c>
    </row>
    <row r="1078" spans="1:3">
      <c r="A1078">
        <v>1070</v>
      </c>
      <c r="B1078">
        <v>0.21652133636998974</v>
      </c>
      <c r="C1078">
        <v>1.9555014790057612E-2</v>
      </c>
    </row>
    <row r="1079" spans="1:3">
      <c r="A1079">
        <v>1071</v>
      </c>
      <c r="B1079">
        <v>0.28034954936880374</v>
      </c>
      <c r="C1079">
        <v>0.41693591056355217</v>
      </c>
    </row>
    <row r="1080" spans="1:3">
      <c r="A1080">
        <v>1072</v>
      </c>
      <c r="B1080">
        <v>0.78389459002578965</v>
      </c>
      <c r="C1080">
        <v>0.17075911322990578</v>
      </c>
    </row>
    <row r="1081" spans="1:3">
      <c r="A1081">
        <v>1073</v>
      </c>
      <c r="B1081">
        <v>0.60774350649396502</v>
      </c>
      <c r="C1081">
        <v>0.18708748968492728</v>
      </c>
    </row>
    <row r="1082" spans="1:3">
      <c r="A1082">
        <v>1074</v>
      </c>
      <c r="B1082">
        <v>0.58707360195328329</v>
      </c>
      <c r="C1082">
        <v>0.7631528563097163</v>
      </c>
    </row>
    <row r="1083" spans="1:3">
      <c r="A1083">
        <v>1075</v>
      </c>
      <c r="B1083">
        <v>0.87674213385403676</v>
      </c>
      <c r="C1083">
        <v>0.34812018805860134</v>
      </c>
    </row>
    <row r="1084" spans="1:3">
      <c r="A1084">
        <v>1076</v>
      </c>
      <c r="B1084">
        <v>0.9840715505564287</v>
      </c>
      <c r="C1084">
        <v>0.31809305333263183</v>
      </c>
    </row>
    <row r="1085" spans="1:3">
      <c r="A1085">
        <v>1077</v>
      </c>
      <c r="B1085">
        <v>0.54822297539730158</v>
      </c>
      <c r="C1085">
        <v>0.27942601232007291</v>
      </c>
    </row>
    <row r="1086" spans="1:3">
      <c r="A1086">
        <v>1078</v>
      </c>
      <c r="B1086">
        <v>0.13939681513220928</v>
      </c>
      <c r="C1086">
        <v>0.89573596521222498</v>
      </c>
    </row>
    <row r="1087" spans="1:3">
      <c r="A1087">
        <v>1079</v>
      </c>
      <c r="B1087">
        <v>0.17346374568489004</v>
      </c>
      <c r="C1087">
        <v>1.1973781150118157E-2</v>
      </c>
    </row>
    <row r="1088" spans="1:3">
      <c r="A1088">
        <v>1080</v>
      </c>
      <c r="B1088">
        <v>0.20074851997111656</v>
      </c>
      <c r="C1088">
        <v>0.58406216361254337</v>
      </c>
    </row>
    <row r="1089" spans="1:3">
      <c r="A1089">
        <v>1081</v>
      </c>
      <c r="B1089">
        <v>0.56020106161041217</v>
      </c>
      <c r="C1089">
        <v>0.44803783940642461</v>
      </c>
    </row>
    <row r="1090" spans="1:3">
      <c r="A1090">
        <v>1082</v>
      </c>
      <c r="B1090">
        <v>0.71695669466945267</v>
      </c>
      <c r="C1090">
        <v>0.9622238791835116</v>
      </c>
    </row>
    <row r="1091" spans="1:3">
      <c r="A1091">
        <v>1083</v>
      </c>
      <c r="B1091">
        <v>0.29803875392210638</v>
      </c>
      <c r="C1091">
        <v>0.8315786557368483</v>
      </c>
    </row>
    <row r="1092" spans="1:3">
      <c r="A1092">
        <v>1084</v>
      </c>
      <c r="B1092">
        <v>0.26657989932759196</v>
      </c>
      <c r="C1092">
        <v>0.32070179162838031</v>
      </c>
    </row>
    <row r="1093" spans="1:3">
      <c r="A1093">
        <v>1085</v>
      </c>
      <c r="B1093">
        <v>0.60217675761728928</v>
      </c>
      <c r="C1093">
        <v>0.69154357708248426</v>
      </c>
    </row>
    <row r="1094" spans="1:3">
      <c r="A1094">
        <v>1086</v>
      </c>
      <c r="B1094">
        <v>0.69731256077208381</v>
      </c>
      <c r="C1094">
        <v>0.79189878964736526</v>
      </c>
    </row>
    <row r="1095" spans="1:3">
      <c r="A1095">
        <v>1087</v>
      </c>
      <c r="B1095">
        <v>0.547687536992153</v>
      </c>
      <c r="C1095">
        <v>0.92871554877547169</v>
      </c>
    </row>
    <row r="1096" spans="1:3">
      <c r="A1096">
        <v>1088</v>
      </c>
      <c r="B1096">
        <v>0.32157721497066716</v>
      </c>
      <c r="C1096">
        <v>0.78796333972240973</v>
      </c>
    </row>
    <row r="1097" spans="1:3">
      <c r="A1097">
        <v>1089</v>
      </c>
      <c r="B1097">
        <v>0.6522699220276601</v>
      </c>
      <c r="C1097">
        <v>0.67083715259741439</v>
      </c>
    </row>
    <row r="1098" spans="1:3">
      <c r="A1098">
        <v>1090</v>
      </c>
      <c r="B1098">
        <v>0.79154794814632001</v>
      </c>
      <c r="C1098">
        <v>0.38419909870572155</v>
      </c>
    </row>
    <row r="1099" spans="1:3">
      <c r="A1099">
        <v>1091</v>
      </c>
      <c r="B1099">
        <v>0.55416656939717157</v>
      </c>
      <c r="C1099">
        <v>0.44106202420789486</v>
      </c>
    </row>
    <row r="1100" spans="1:3">
      <c r="A1100">
        <v>1092</v>
      </c>
      <c r="B1100">
        <v>0.3510612709617385</v>
      </c>
      <c r="C1100">
        <v>0.47959360420827579</v>
      </c>
    </row>
    <row r="1101" spans="1:3">
      <c r="A1101">
        <v>1093</v>
      </c>
      <c r="B1101">
        <v>0.95459578931811173</v>
      </c>
      <c r="C1101">
        <v>1.439909454802546E-2</v>
      </c>
    </row>
    <row r="1102" spans="1:3">
      <c r="A1102">
        <v>1094</v>
      </c>
      <c r="B1102">
        <v>0.72158588217561737</v>
      </c>
      <c r="C1102">
        <v>7.1126986320450669E-2</v>
      </c>
    </row>
    <row r="1103" spans="1:3">
      <c r="A1103">
        <v>1095</v>
      </c>
      <c r="B1103">
        <v>0.93429213578838211</v>
      </c>
      <c r="C1103">
        <v>0.98473346138689521</v>
      </c>
    </row>
    <row r="1104" spans="1:3">
      <c r="A1104">
        <v>1096</v>
      </c>
      <c r="B1104">
        <v>0.52825301294458404</v>
      </c>
      <c r="C1104">
        <v>0.43012524991900136</v>
      </c>
    </row>
    <row r="1105" spans="1:3">
      <c r="A1105">
        <v>1097</v>
      </c>
      <c r="B1105">
        <v>0.2040521362299221</v>
      </c>
      <c r="C1105">
        <v>9.5684374043230491E-2</v>
      </c>
    </row>
    <row r="1106" spans="1:3">
      <c r="A1106">
        <v>1098</v>
      </c>
      <c r="B1106">
        <v>0.11396714388601649</v>
      </c>
      <c r="C1106">
        <v>0.15911192362545989</v>
      </c>
    </row>
    <row r="1107" spans="1:3">
      <c r="A1107">
        <v>1099</v>
      </c>
      <c r="B1107">
        <v>3.809374999666907E-2</v>
      </c>
      <c r="C1107">
        <v>0.6626974215350856</v>
      </c>
    </row>
    <row r="1108" spans="1:3">
      <c r="A1108">
        <v>1100</v>
      </c>
      <c r="B1108">
        <v>0.98453050126976582</v>
      </c>
      <c r="C1108">
        <v>0.70712878158701642</v>
      </c>
    </row>
    <row r="1109" spans="1:3">
      <c r="A1109">
        <v>1101</v>
      </c>
      <c r="B1109">
        <v>0.20712126097854258</v>
      </c>
      <c r="C1109">
        <v>0.39413483594125864</v>
      </c>
    </row>
    <row r="1110" spans="1:3">
      <c r="A1110">
        <v>1102</v>
      </c>
      <c r="B1110">
        <v>3.970251142045076E-2</v>
      </c>
      <c r="C1110">
        <v>0.46838728987859213</v>
      </c>
    </row>
    <row r="1111" spans="1:3">
      <c r="A1111">
        <v>1103</v>
      </c>
      <c r="B1111">
        <v>0.17527124402692337</v>
      </c>
      <c r="C1111">
        <v>0.28063931027281797</v>
      </c>
    </row>
    <row r="1112" spans="1:3">
      <c r="A1112">
        <v>1104</v>
      </c>
      <c r="B1112">
        <v>0.88259854719312825</v>
      </c>
      <c r="C1112">
        <v>0.91620726324163115</v>
      </c>
    </row>
    <row r="1113" spans="1:3">
      <c r="A1113">
        <v>1105</v>
      </c>
      <c r="B1113">
        <v>0.74355179387348513</v>
      </c>
      <c r="C1113">
        <v>0.59562045381062489</v>
      </c>
    </row>
    <row r="1114" spans="1:3">
      <c r="A1114">
        <v>1106</v>
      </c>
      <c r="B1114">
        <v>0.20730474083081463</v>
      </c>
      <c r="C1114">
        <v>0.86103569592251006</v>
      </c>
    </row>
    <row r="1115" spans="1:3">
      <c r="A1115">
        <v>1107</v>
      </c>
      <c r="B1115">
        <v>0.11023369764695728</v>
      </c>
      <c r="C1115">
        <v>0.98662640727343387</v>
      </c>
    </row>
    <row r="1116" spans="1:3">
      <c r="A1116">
        <v>1108</v>
      </c>
      <c r="B1116">
        <v>0.45319339763340388</v>
      </c>
      <c r="C1116">
        <v>0.15541080069669988</v>
      </c>
    </row>
    <row r="1117" spans="1:3">
      <c r="A1117">
        <v>1109</v>
      </c>
      <c r="B1117">
        <v>0.81488675343182093</v>
      </c>
      <c r="C1117">
        <v>0.66257936052261357</v>
      </c>
    </row>
    <row r="1118" spans="1:3">
      <c r="A1118">
        <v>1110</v>
      </c>
      <c r="B1118">
        <v>0.58680644236649537</v>
      </c>
      <c r="C1118">
        <v>0.71867804637622612</v>
      </c>
    </row>
    <row r="1119" spans="1:3">
      <c r="A1119">
        <v>1111</v>
      </c>
      <c r="B1119">
        <v>0.5366134562735011</v>
      </c>
      <c r="C1119">
        <v>0.59497242162433395</v>
      </c>
    </row>
    <row r="1120" spans="1:3">
      <c r="A1120">
        <v>1112</v>
      </c>
      <c r="B1120">
        <v>0.11293462136577224</v>
      </c>
      <c r="C1120">
        <v>0.36468837929805886</v>
      </c>
    </row>
    <row r="1121" spans="1:3">
      <c r="A1121">
        <v>1113</v>
      </c>
      <c r="B1121">
        <v>8.9356535405236429E-2</v>
      </c>
      <c r="C1121">
        <v>0.76514676543592941</v>
      </c>
    </row>
    <row r="1122" spans="1:3">
      <c r="A1122">
        <v>1114</v>
      </c>
      <c r="B1122">
        <v>0.14861490079751585</v>
      </c>
      <c r="C1122">
        <v>0.53698225347397965</v>
      </c>
    </row>
    <row r="1123" spans="1:3">
      <c r="A1123">
        <v>1115</v>
      </c>
      <c r="B1123">
        <v>0.83019468039339284</v>
      </c>
      <c r="C1123">
        <v>0.89596737214742461</v>
      </c>
    </row>
    <row r="1124" spans="1:3">
      <c r="A1124">
        <v>1116</v>
      </c>
      <c r="B1124">
        <v>0.638488390956374</v>
      </c>
      <c r="C1124">
        <v>0.26246564946904982</v>
      </c>
    </row>
    <row r="1125" spans="1:3">
      <c r="A1125">
        <v>1117</v>
      </c>
      <c r="B1125">
        <v>0.5852882155274246</v>
      </c>
      <c r="C1125">
        <v>7.0484268597283517E-2</v>
      </c>
    </row>
    <row r="1126" spans="1:3">
      <c r="A1126">
        <v>1118</v>
      </c>
      <c r="B1126">
        <v>0.43490295130179801</v>
      </c>
      <c r="C1126">
        <v>0.66045074560497596</v>
      </c>
    </row>
    <row r="1127" spans="1:3">
      <c r="A1127">
        <v>1119</v>
      </c>
      <c r="B1127">
        <v>0.82131413235890538</v>
      </c>
      <c r="C1127">
        <v>0.85554646585023875</v>
      </c>
    </row>
    <row r="1128" spans="1:3">
      <c r="A1128">
        <v>1120</v>
      </c>
      <c r="B1128">
        <v>0.25422970534694139</v>
      </c>
      <c r="C1128">
        <v>0.24551278097351314</v>
      </c>
    </row>
    <row r="1129" spans="1:3">
      <c r="A1129">
        <v>1121</v>
      </c>
      <c r="B1129">
        <v>0.30602713767653961</v>
      </c>
      <c r="C1129">
        <v>0.23934113552513736</v>
      </c>
    </row>
    <row r="1130" spans="1:3">
      <c r="A1130">
        <v>1122</v>
      </c>
      <c r="B1130">
        <v>0.94617796878739679</v>
      </c>
      <c r="C1130">
        <v>0.86968829922443547</v>
      </c>
    </row>
    <row r="1131" spans="1:3">
      <c r="A1131">
        <v>1123</v>
      </c>
      <c r="B1131">
        <v>0.34599983264300965</v>
      </c>
      <c r="C1131">
        <v>0.83080124898424401</v>
      </c>
    </row>
    <row r="1132" spans="1:3">
      <c r="A1132">
        <v>1124</v>
      </c>
      <c r="B1132">
        <v>0.59732492501463863</v>
      </c>
      <c r="C1132">
        <v>0.6795507792958233</v>
      </c>
    </row>
    <row r="1133" spans="1:3">
      <c r="A1133">
        <v>1125</v>
      </c>
      <c r="B1133">
        <v>0.56912267883124823</v>
      </c>
      <c r="C1133">
        <v>0.41988770829630084</v>
      </c>
    </row>
    <row r="1134" spans="1:3">
      <c r="A1134">
        <v>1126</v>
      </c>
      <c r="B1134">
        <v>0.71966630571071677</v>
      </c>
      <c r="C1134">
        <v>0.41489820587139548</v>
      </c>
    </row>
    <row r="1135" spans="1:3">
      <c r="A1135">
        <v>1127</v>
      </c>
      <c r="B1135">
        <v>0.23726964673089557</v>
      </c>
      <c r="C1135">
        <v>0.82260729878362326</v>
      </c>
    </row>
    <row r="1136" spans="1:3">
      <c r="A1136">
        <v>1128</v>
      </c>
      <c r="B1136">
        <v>0.20350643747120781</v>
      </c>
      <c r="C1136">
        <v>0.82748127270770055</v>
      </c>
    </row>
    <row r="1137" spans="1:3">
      <c r="A1137">
        <v>1129</v>
      </c>
      <c r="B1137">
        <v>0.50061577822850445</v>
      </c>
      <c r="C1137">
        <v>0.16398783462136635</v>
      </c>
    </row>
    <row r="1138" spans="1:3">
      <c r="A1138">
        <v>1130</v>
      </c>
      <c r="B1138">
        <v>0.11348572030418687</v>
      </c>
      <c r="C1138">
        <v>0.97214517540760426</v>
      </c>
    </row>
    <row r="1139" spans="1:3">
      <c r="A1139">
        <v>1131</v>
      </c>
      <c r="B1139">
        <v>0.43371494238220965</v>
      </c>
      <c r="C1139">
        <v>8.0652307642594678E-3</v>
      </c>
    </row>
    <row r="1140" spans="1:3">
      <c r="A1140">
        <v>1132</v>
      </c>
      <c r="B1140">
        <v>0.65504810705884542</v>
      </c>
      <c r="C1140">
        <v>0.11114503208318638</v>
      </c>
    </row>
    <row r="1141" spans="1:3">
      <c r="A1141">
        <v>1133</v>
      </c>
      <c r="B1141">
        <v>1.6524323918745931E-2</v>
      </c>
      <c r="C1141">
        <v>0.5865313050817349</v>
      </c>
    </row>
    <row r="1142" spans="1:3">
      <c r="A1142">
        <v>1134</v>
      </c>
      <c r="B1142">
        <v>0.99380861582737612</v>
      </c>
      <c r="C1142">
        <v>4.1587055993659305E-3</v>
      </c>
    </row>
    <row r="1143" spans="1:3">
      <c r="A1143">
        <v>1135</v>
      </c>
      <c r="B1143">
        <v>0.10527978996827263</v>
      </c>
      <c r="C1143">
        <v>0.32951161597338796</v>
      </c>
    </row>
    <row r="1144" spans="1:3">
      <c r="A1144">
        <v>1136</v>
      </c>
      <c r="B1144">
        <v>0.73809527901459837</v>
      </c>
      <c r="C1144">
        <v>0.80535791528836853</v>
      </c>
    </row>
    <row r="1145" spans="1:3">
      <c r="A1145">
        <v>1137</v>
      </c>
      <c r="B1145">
        <v>5.950729739351833E-2</v>
      </c>
      <c r="C1145">
        <v>0.71942076539198752</v>
      </c>
    </row>
    <row r="1146" spans="1:3">
      <c r="A1146">
        <v>1138</v>
      </c>
      <c r="B1146">
        <v>0.75972055422103046</v>
      </c>
      <c r="C1146">
        <v>0.97906427457837708</v>
      </c>
    </row>
    <row r="1147" spans="1:3">
      <c r="A1147">
        <v>1139</v>
      </c>
      <c r="B1147">
        <v>0.78078993033412603</v>
      </c>
      <c r="C1147">
        <v>0.1758940600338974</v>
      </c>
    </row>
    <row r="1148" spans="1:3">
      <c r="A1148">
        <v>1140</v>
      </c>
      <c r="B1148">
        <v>0.96237583223771672</v>
      </c>
      <c r="C1148">
        <v>0.43239987048855255</v>
      </c>
    </row>
    <row r="1149" spans="1:3">
      <c r="A1149">
        <v>1141</v>
      </c>
      <c r="B1149">
        <v>0.1150387412416839</v>
      </c>
      <c r="C1149">
        <v>0.76289744588029862</v>
      </c>
    </row>
    <row r="1150" spans="1:3">
      <c r="A1150">
        <v>1142</v>
      </c>
      <c r="B1150">
        <v>0.32582312744348846</v>
      </c>
      <c r="C1150">
        <v>7.408445555212495E-2</v>
      </c>
    </row>
    <row r="1151" spans="1:3">
      <c r="A1151">
        <v>1143</v>
      </c>
      <c r="B1151">
        <v>0.75367298006933947</v>
      </c>
      <c r="C1151">
        <v>0.14920891495876276</v>
      </c>
    </row>
    <row r="1152" spans="1:3">
      <c r="A1152">
        <v>1144</v>
      </c>
      <c r="B1152">
        <v>0.65584036481753927</v>
      </c>
      <c r="C1152">
        <v>6.5451630292955087E-2</v>
      </c>
    </row>
    <row r="1153" spans="1:3">
      <c r="A1153">
        <v>1145</v>
      </c>
      <c r="B1153">
        <v>7.4583009047383214E-2</v>
      </c>
      <c r="C1153">
        <v>3.3606953576054366E-2</v>
      </c>
    </row>
    <row r="1154" spans="1:3">
      <c r="A1154">
        <v>1146</v>
      </c>
      <c r="B1154">
        <v>0.50537763887056564</v>
      </c>
      <c r="C1154">
        <v>0.94213654724990192</v>
      </c>
    </row>
    <row r="1155" spans="1:3">
      <c r="A1155">
        <v>1147</v>
      </c>
      <c r="B1155">
        <v>0.31328446833111445</v>
      </c>
      <c r="C1155">
        <v>1.12179393408951E-2</v>
      </c>
    </row>
    <row r="1156" spans="1:3">
      <c r="A1156">
        <v>1148</v>
      </c>
      <c r="B1156">
        <v>0.27576970130423312</v>
      </c>
      <c r="C1156">
        <v>0.68286952617199859</v>
      </c>
    </row>
    <row r="1157" spans="1:3">
      <c r="A1157">
        <v>1149</v>
      </c>
      <c r="B1157">
        <v>0.18849533638146132</v>
      </c>
      <c r="C1157">
        <v>0.76171877205706551</v>
      </c>
    </row>
    <row r="1158" spans="1:3">
      <c r="A1158">
        <v>1150</v>
      </c>
      <c r="B1158">
        <v>0.5439084221785675</v>
      </c>
      <c r="C1158">
        <v>0.18244093937303774</v>
      </c>
    </row>
    <row r="1159" spans="1:3">
      <c r="A1159">
        <v>1151</v>
      </c>
      <c r="B1159">
        <v>2.1558667870135669E-3</v>
      </c>
      <c r="C1159">
        <v>0.67236938104360888</v>
      </c>
    </row>
    <row r="1160" spans="1:3">
      <c r="A1160">
        <v>1152</v>
      </c>
      <c r="B1160">
        <v>0.43283275068710392</v>
      </c>
      <c r="C1160">
        <v>0.34063147620054224</v>
      </c>
    </row>
    <row r="1161" spans="1:3">
      <c r="A1161">
        <v>1153</v>
      </c>
      <c r="B1161">
        <v>0.80856209711296534</v>
      </c>
      <c r="C1161">
        <v>0.32012982732339879</v>
      </c>
    </row>
    <row r="1162" spans="1:3">
      <c r="A1162">
        <v>1154</v>
      </c>
      <c r="B1162">
        <v>0.14836527278725178</v>
      </c>
      <c r="C1162">
        <v>0.37537857721963519</v>
      </c>
    </row>
    <row r="1163" spans="1:3">
      <c r="A1163">
        <v>1155</v>
      </c>
      <c r="B1163">
        <v>0.60750158582537006</v>
      </c>
      <c r="C1163">
        <v>0.59179861192933458</v>
      </c>
    </row>
    <row r="1164" spans="1:3">
      <c r="A1164">
        <v>1156</v>
      </c>
      <c r="B1164">
        <v>0.57287879435417222</v>
      </c>
      <c r="C1164">
        <v>4.5037204131403996E-2</v>
      </c>
    </row>
    <row r="1165" spans="1:3">
      <c r="A1165">
        <v>1157</v>
      </c>
      <c r="B1165">
        <v>0.10773508828555585</v>
      </c>
      <c r="C1165">
        <v>0.27715663905111398</v>
      </c>
    </row>
    <row r="1166" spans="1:3">
      <c r="A1166">
        <v>1158</v>
      </c>
      <c r="B1166">
        <v>0.76798183093196282</v>
      </c>
      <c r="C1166">
        <v>0.75220046136064411</v>
      </c>
    </row>
    <row r="1167" spans="1:3">
      <c r="A1167">
        <v>1159</v>
      </c>
      <c r="B1167">
        <v>0.52971174950779221</v>
      </c>
      <c r="C1167">
        <v>7.7692688375009311E-2</v>
      </c>
    </row>
    <row r="1168" spans="1:3">
      <c r="A1168">
        <v>1160</v>
      </c>
      <c r="B1168">
        <v>0.74300929479189437</v>
      </c>
      <c r="C1168">
        <v>0.79344248857796629</v>
      </c>
    </row>
    <row r="1169" spans="1:3">
      <c r="A1169">
        <v>1161</v>
      </c>
      <c r="B1169">
        <v>0.47639554648110544</v>
      </c>
      <c r="C1169">
        <v>0.84184602736240777</v>
      </c>
    </row>
    <row r="1170" spans="1:3">
      <c r="A1170">
        <v>1162</v>
      </c>
      <c r="B1170">
        <v>0.76992564826131005</v>
      </c>
      <c r="C1170">
        <v>0.90762163469207735</v>
      </c>
    </row>
    <row r="1171" spans="1:3">
      <c r="A1171">
        <v>1163</v>
      </c>
      <c r="B1171">
        <v>0.87888544771943367</v>
      </c>
      <c r="C1171">
        <v>0.45839702412558836</v>
      </c>
    </row>
    <row r="1172" spans="1:3">
      <c r="A1172">
        <v>1164</v>
      </c>
      <c r="B1172">
        <v>0.21384973022566406</v>
      </c>
      <c r="C1172">
        <v>0.64616829078931914</v>
      </c>
    </row>
    <row r="1173" spans="1:3">
      <c r="A1173">
        <v>1165</v>
      </c>
      <c r="B1173">
        <v>0.18684306018963528</v>
      </c>
      <c r="C1173">
        <v>0.4789434753893147</v>
      </c>
    </row>
    <row r="1174" spans="1:3">
      <c r="A1174">
        <v>1166</v>
      </c>
      <c r="B1174">
        <v>0.58599249756396576</v>
      </c>
      <c r="C1174">
        <v>0.44323115253882861</v>
      </c>
    </row>
    <row r="1175" spans="1:3">
      <c r="A1175">
        <v>1167</v>
      </c>
      <c r="B1175">
        <v>0.33230526244735936</v>
      </c>
      <c r="C1175">
        <v>0.28113830740767298</v>
      </c>
    </row>
    <row r="1176" spans="1:3">
      <c r="A1176">
        <v>1168</v>
      </c>
      <c r="B1176">
        <v>0.2641189671443121</v>
      </c>
      <c r="C1176">
        <v>0.7932945224119976</v>
      </c>
    </row>
    <row r="1177" spans="1:3">
      <c r="A1177">
        <v>1169</v>
      </c>
      <c r="B1177">
        <v>0.57278316310317801</v>
      </c>
      <c r="C1177">
        <v>0.64310449462391261</v>
      </c>
    </row>
    <row r="1178" spans="1:3">
      <c r="A1178">
        <v>1170</v>
      </c>
      <c r="B1178">
        <v>0.43668933878356814</v>
      </c>
      <c r="C1178">
        <v>0.45465104271443124</v>
      </c>
    </row>
    <row r="1179" spans="1:3">
      <c r="A1179">
        <v>1171</v>
      </c>
      <c r="B1179">
        <v>0.3691053270583286</v>
      </c>
      <c r="C1179">
        <v>0.28035332215586095</v>
      </c>
    </row>
    <row r="1180" spans="1:3">
      <c r="A1180">
        <v>1172</v>
      </c>
      <c r="B1180">
        <v>0.35312453716516601</v>
      </c>
      <c r="C1180">
        <v>0.34242610035198595</v>
      </c>
    </row>
    <row r="1181" spans="1:3">
      <c r="A1181">
        <v>1173</v>
      </c>
      <c r="B1181">
        <v>6.0802097964101028E-2</v>
      </c>
      <c r="C1181">
        <v>0.99910192900824768</v>
      </c>
    </row>
    <row r="1182" spans="1:3">
      <c r="A1182">
        <v>1174</v>
      </c>
      <c r="B1182">
        <v>0.1425366763900818</v>
      </c>
      <c r="C1182">
        <v>0.58742708308454894</v>
      </c>
    </row>
    <row r="1183" spans="1:3">
      <c r="A1183">
        <v>1175</v>
      </c>
      <c r="B1183">
        <v>0.70838408558969013</v>
      </c>
      <c r="C1183">
        <v>0.26502335598070204</v>
      </c>
    </row>
    <row r="1184" spans="1:3">
      <c r="A1184">
        <v>1176</v>
      </c>
      <c r="B1184">
        <v>0.55760999151831725</v>
      </c>
      <c r="C1184">
        <v>0.98275966914297896</v>
      </c>
    </row>
    <row r="1185" spans="1:3">
      <c r="A1185">
        <v>1177</v>
      </c>
      <c r="B1185">
        <v>0.19744195502224424</v>
      </c>
      <c r="C1185">
        <v>0.47501080177516997</v>
      </c>
    </row>
    <row r="1186" spans="1:3">
      <c r="A1186">
        <v>1178</v>
      </c>
      <c r="B1186">
        <v>0.35943558352287758</v>
      </c>
      <c r="C1186">
        <v>3.558613494351448E-2</v>
      </c>
    </row>
    <row r="1187" spans="1:3">
      <c r="A1187">
        <v>1179</v>
      </c>
      <c r="B1187">
        <v>0.32414913146331653</v>
      </c>
      <c r="C1187">
        <v>0.66179410058339272</v>
      </c>
    </row>
    <row r="1188" spans="1:3">
      <c r="A1188">
        <v>1180</v>
      </c>
      <c r="B1188">
        <v>0.33071761611139344</v>
      </c>
      <c r="C1188">
        <v>4.9268128830590285E-2</v>
      </c>
    </row>
    <row r="1189" spans="1:3">
      <c r="A1189">
        <v>1181</v>
      </c>
      <c r="B1189">
        <v>0.79939944298928589</v>
      </c>
      <c r="C1189">
        <v>0.86705140806225245</v>
      </c>
    </row>
    <row r="1190" spans="1:3">
      <c r="A1190">
        <v>1182</v>
      </c>
      <c r="B1190">
        <v>0.75332978859304678</v>
      </c>
      <c r="C1190">
        <v>0.47481232986956456</v>
      </c>
    </row>
    <row r="1191" spans="1:3">
      <c r="A1191">
        <v>1183</v>
      </c>
      <c r="B1191">
        <v>0.2722067789473121</v>
      </c>
      <c r="C1191">
        <v>0.21697613080141309</v>
      </c>
    </row>
    <row r="1192" spans="1:3">
      <c r="A1192">
        <v>1184</v>
      </c>
      <c r="B1192">
        <v>0.20337841424075384</v>
      </c>
      <c r="C1192">
        <v>0.80692950370666949</v>
      </c>
    </row>
    <row r="1193" spans="1:3">
      <c r="A1193">
        <v>1185</v>
      </c>
      <c r="B1193">
        <v>0.89715757705414612</v>
      </c>
      <c r="C1193">
        <v>0.11565175823488971</v>
      </c>
    </row>
    <row r="1194" spans="1:3">
      <c r="A1194">
        <v>1186</v>
      </c>
      <c r="B1194">
        <v>0.86069696749525537</v>
      </c>
      <c r="C1194">
        <v>0.32025281822552643</v>
      </c>
    </row>
    <row r="1195" spans="1:3">
      <c r="A1195">
        <v>1187</v>
      </c>
      <c r="B1195">
        <v>0.32330005464053246</v>
      </c>
      <c r="C1195">
        <v>0.15099657412974921</v>
      </c>
    </row>
    <row r="1196" spans="1:3">
      <c r="A1196">
        <v>1188</v>
      </c>
      <c r="B1196">
        <v>0.56760651416685581</v>
      </c>
      <c r="C1196">
        <v>1.091874330995779E-2</v>
      </c>
    </row>
    <row r="1197" spans="1:3">
      <c r="A1197">
        <v>1189</v>
      </c>
      <c r="B1197">
        <v>0.50123378263074758</v>
      </c>
      <c r="C1197">
        <v>0.56560347944559908</v>
      </c>
    </row>
    <row r="1198" spans="1:3">
      <c r="A1198">
        <v>1190</v>
      </c>
      <c r="B1198">
        <v>5.4547393825079178E-2</v>
      </c>
      <c r="C1198">
        <v>0.53106811478937743</v>
      </c>
    </row>
    <row r="1199" spans="1:3">
      <c r="A1199">
        <v>1191</v>
      </c>
      <c r="B1199">
        <v>0.30503252094784578</v>
      </c>
      <c r="C1199">
        <v>0.74829718374076037</v>
      </c>
    </row>
    <row r="1200" spans="1:3">
      <c r="A1200">
        <v>1192</v>
      </c>
      <c r="B1200">
        <v>3.1332749543556186E-2</v>
      </c>
      <c r="C1200">
        <v>7.0113493669850868E-2</v>
      </c>
    </row>
    <row r="1201" spans="1:3">
      <c r="A1201">
        <v>1193</v>
      </c>
      <c r="B1201">
        <v>0.4011828023211525</v>
      </c>
      <c r="C1201">
        <v>0.35876566673414345</v>
      </c>
    </row>
    <row r="1202" spans="1:3">
      <c r="A1202">
        <v>1194</v>
      </c>
      <c r="B1202">
        <v>0.70914305901414321</v>
      </c>
      <c r="C1202">
        <v>0.8504324844070652</v>
      </c>
    </row>
    <row r="1203" spans="1:3">
      <c r="A1203">
        <v>1195</v>
      </c>
      <c r="B1203">
        <v>0.8534400094656367</v>
      </c>
      <c r="C1203">
        <v>0.6841842635321882</v>
      </c>
    </row>
    <row r="1204" spans="1:3">
      <c r="A1204">
        <v>1196</v>
      </c>
      <c r="B1204">
        <v>0.22432502387718414</v>
      </c>
      <c r="C1204">
        <v>0.95860883883688075</v>
      </c>
    </row>
    <row r="1205" spans="1:3">
      <c r="A1205">
        <v>1197</v>
      </c>
      <c r="B1205">
        <v>0.67143760373388361</v>
      </c>
      <c r="C1205">
        <v>0.52578665423970961</v>
      </c>
    </row>
    <row r="1206" spans="1:3">
      <c r="A1206">
        <v>1198</v>
      </c>
      <c r="B1206">
        <v>0.69617494328328755</v>
      </c>
      <c r="C1206">
        <v>0.94417518112186372</v>
      </c>
    </row>
    <row r="1207" spans="1:3">
      <c r="A1207">
        <v>1199</v>
      </c>
      <c r="B1207">
        <v>0.25640692316168145</v>
      </c>
      <c r="C1207">
        <v>0.48055247329102713</v>
      </c>
    </row>
    <row r="1208" spans="1:3">
      <c r="A1208">
        <v>1200</v>
      </c>
      <c r="B1208">
        <v>0.76627593801274796</v>
      </c>
      <c r="C1208">
        <v>0.80385165658572078</v>
      </c>
    </row>
    <row r="1209" spans="1:3">
      <c r="A1209">
        <v>1201</v>
      </c>
      <c r="B1209">
        <v>0.16947222932718514</v>
      </c>
      <c r="C1209">
        <v>0.9336961004355544</v>
      </c>
    </row>
    <row r="1210" spans="1:3">
      <c r="A1210">
        <v>1202</v>
      </c>
      <c r="B1210">
        <v>0.94420451982212361</v>
      </c>
      <c r="C1210">
        <v>0.17798808605675731</v>
      </c>
    </row>
    <row r="1211" spans="1:3">
      <c r="A1211">
        <v>1203</v>
      </c>
      <c r="B1211">
        <v>0.83806196575748304</v>
      </c>
      <c r="C1211">
        <v>0.86264410988951568</v>
      </c>
    </row>
    <row r="1212" spans="1:3">
      <c r="A1212">
        <v>1204</v>
      </c>
      <c r="B1212">
        <v>8.9410264477415541E-2</v>
      </c>
      <c r="C1212">
        <v>0.12323125814418745</v>
      </c>
    </row>
    <row r="1213" spans="1:3">
      <c r="A1213">
        <v>1205</v>
      </c>
      <c r="B1213">
        <v>0.96720303790764961</v>
      </c>
      <c r="C1213">
        <v>0.30141509048735315</v>
      </c>
    </row>
    <row r="1214" spans="1:3">
      <c r="A1214">
        <v>1206</v>
      </c>
      <c r="B1214">
        <v>0.94674834801739749</v>
      </c>
      <c r="C1214">
        <v>0.18591214926436805</v>
      </c>
    </row>
    <row r="1215" spans="1:3">
      <c r="A1215">
        <v>1207</v>
      </c>
      <c r="B1215">
        <v>0.72720188329592395</v>
      </c>
      <c r="C1215">
        <v>0.41861546029758756</v>
      </c>
    </row>
    <row r="1216" spans="1:3">
      <c r="A1216">
        <v>1208</v>
      </c>
      <c r="B1216">
        <v>0.84612670326324335</v>
      </c>
      <c r="C1216">
        <v>0.9098326800221912</v>
      </c>
    </row>
    <row r="1217" spans="1:3">
      <c r="A1217">
        <v>1209</v>
      </c>
      <c r="B1217">
        <v>0.42630911308762359</v>
      </c>
      <c r="C1217">
        <v>0.67434495077759493</v>
      </c>
    </row>
    <row r="1218" spans="1:3">
      <c r="A1218">
        <v>1210</v>
      </c>
      <c r="B1218">
        <v>0.48971396945061024</v>
      </c>
      <c r="C1218">
        <v>0.63512231929325935</v>
      </c>
    </row>
    <row r="1219" spans="1:3">
      <c r="A1219">
        <v>1211</v>
      </c>
      <c r="B1219">
        <v>0.13200591935184922</v>
      </c>
      <c r="C1219">
        <v>0.38247195815529267</v>
      </c>
    </row>
    <row r="1220" spans="1:3">
      <c r="A1220">
        <v>1212</v>
      </c>
      <c r="B1220">
        <v>9.0808496871732286E-2</v>
      </c>
      <c r="C1220">
        <v>0.13955073006673047</v>
      </c>
    </row>
    <row r="1221" spans="1:3">
      <c r="A1221">
        <v>1213</v>
      </c>
      <c r="B1221">
        <v>0.44849907028765867</v>
      </c>
      <c r="C1221">
        <v>0.74775105163644184</v>
      </c>
    </row>
    <row r="1222" spans="1:3">
      <c r="A1222">
        <v>1214</v>
      </c>
      <c r="B1222">
        <v>0.79972098929251567</v>
      </c>
      <c r="C1222">
        <v>0.87862489192684734</v>
      </c>
    </row>
    <row r="1223" spans="1:3">
      <c r="A1223">
        <v>1215</v>
      </c>
      <c r="B1223">
        <v>0.99452161421624985</v>
      </c>
      <c r="C1223">
        <v>0.25070718432652939</v>
      </c>
    </row>
    <row r="1224" spans="1:3">
      <c r="A1224">
        <v>1216</v>
      </c>
      <c r="B1224">
        <v>0.65780944768241822</v>
      </c>
      <c r="C1224">
        <v>0.20167560185018374</v>
      </c>
    </row>
    <row r="1225" spans="1:3">
      <c r="A1225">
        <v>1217</v>
      </c>
      <c r="B1225">
        <v>0.2244292897757211</v>
      </c>
      <c r="C1225">
        <v>0.68749340858630603</v>
      </c>
    </row>
    <row r="1226" spans="1:3">
      <c r="A1226">
        <v>1218</v>
      </c>
      <c r="B1226">
        <v>7.8096592189207809E-2</v>
      </c>
      <c r="C1226">
        <v>0.54630326211554348</v>
      </c>
    </row>
    <row r="1227" spans="1:3">
      <c r="A1227">
        <v>1219</v>
      </c>
      <c r="B1227">
        <v>7.4094080710200155E-2</v>
      </c>
      <c r="C1227">
        <v>0.10482730409330543</v>
      </c>
    </row>
    <row r="1228" spans="1:3">
      <c r="A1228">
        <v>1220</v>
      </c>
      <c r="B1228">
        <v>0.44726963419869298</v>
      </c>
      <c r="C1228">
        <v>0.78622296661160362</v>
      </c>
    </row>
    <row r="1229" spans="1:3">
      <c r="A1229">
        <v>1221</v>
      </c>
      <c r="B1229">
        <v>0.75230970643370176</v>
      </c>
      <c r="C1229">
        <v>0.17652338723019056</v>
      </c>
    </row>
    <row r="1230" spans="1:3">
      <c r="A1230">
        <v>1222</v>
      </c>
      <c r="B1230">
        <v>0.78517242770259554</v>
      </c>
      <c r="C1230">
        <v>0.13507905348978966</v>
      </c>
    </row>
    <row r="1231" spans="1:3">
      <c r="A1231">
        <v>1223</v>
      </c>
      <c r="B1231">
        <v>0.43925028113188463</v>
      </c>
      <c r="C1231">
        <v>0.94014367910494911</v>
      </c>
    </row>
    <row r="1232" spans="1:3">
      <c r="A1232">
        <v>1224</v>
      </c>
      <c r="B1232">
        <v>0.48282895576060492</v>
      </c>
      <c r="C1232">
        <v>0.51185253364292294</v>
      </c>
    </row>
    <row r="1233" spans="1:3">
      <c r="A1233">
        <v>1225</v>
      </c>
      <c r="B1233">
        <v>0.85418546776012172</v>
      </c>
      <c r="C1233">
        <v>0.88990395755536156</v>
      </c>
    </row>
    <row r="1234" spans="1:3">
      <c r="A1234">
        <v>1226</v>
      </c>
      <c r="B1234">
        <v>0.89799316585273314</v>
      </c>
      <c r="C1234">
        <v>0.77418455619320525</v>
      </c>
    </row>
    <row r="1235" spans="1:3">
      <c r="A1235">
        <v>1227</v>
      </c>
      <c r="B1235">
        <v>0.62981311251237371</v>
      </c>
      <c r="C1235">
        <v>8.814932483528537E-2</v>
      </c>
    </row>
    <row r="1236" spans="1:3">
      <c r="A1236">
        <v>1228</v>
      </c>
      <c r="B1236">
        <v>0.58568170641136397</v>
      </c>
      <c r="C1236">
        <v>0.98350996096633025</v>
      </c>
    </row>
    <row r="1237" spans="1:3">
      <c r="A1237">
        <v>1229</v>
      </c>
      <c r="B1237">
        <v>0.90819209614242247</v>
      </c>
      <c r="C1237">
        <v>0.40761976091653196</v>
      </c>
    </row>
    <row r="1238" spans="1:3">
      <c r="A1238">
        <v>1230</v>
      </c>
      <c r="B1238">
        <v>0.78856766282649893</v>
      </c>
      <c r="C1238">
        <v>0.10958872394806463</v>
      </c>
    </row>
    <row r="1239" spans="1:3">
      <c r="A1239">
        <v>1231</v>
      </c>
      <c r="B1239">
        <v>0.1994014637873977</v>
      </c>
      <c r="C1239">
        <v>0.4432471464642731</v>
      </c>
    </row>
    <row r="1240" spans="1:3">
      <c r="A1240">
        <v>1232</v>
      </c>
      <c r="B1240">
        <v>0.98910589256428794</v>
      </c>
      <c r="C1240">
        <v>0.10482357859928015</v>
      </c>
    </row>
    <row r="1241" spans="1:3">
      <c r="A1241">
        <v>1233</v>
      </c>
      <c r="B1241">
        <v>0.60427169597262331</v>
      </c>
      <c r="C1241">
        <v>0.74549130550258269</v>
      </c>
    </row>
    <row r="1242" spans="1:3">
      <c r="A1242">
        <v>1234</v>
      </c>
      <c r="B1242">
        <v>0.76409630656854632</v>
      </c>
      <c r="C1242">
        <v>0.50638661702487298</v>
      </c>
    </row>
    <row r="1243" spans="1:3">
      <c r="A1243">
        <v>1235</v>
      </c>
      <c r="B1243">
        <v>0.42486500527236259</v>
      </c>
      <c r="C1243">
        <v>0.43638636995456181</v>
      </c>
    </row>
    <row r="1244" spans="1:3">
      <c r="A1244">
        <v>1236</v>
      </c>
      <c r="B1244">
        <v>0.61434153552445148</v>
      </c>
      <c r="C1244">
        <v>0.72919882429687277</v>
      </c>
    </row>
    <row r="1245" spans="1:3">
      <c r="A1245">
        <v>1237</v>
      </c>
      <c r="B1245">
        <v>0.87337870125020367</v>
      </c>
      <c r="C1245">
        <v>0.22597815794327403</v>
      </c>
    </row>
    <row r="1246" spans="1:3">
      <c r="A1246">
        <v>1238</v>
      </c>
      <c r="B1246">
        <v>0.37916448195156743</v>
      </c>
      <c r="C1246">
        <v>0.57671662182110595</v>
      </c>
    </row>
    <row r="1247" spans="1:3">
      <c r="A1247">
        <v>1239</v>
      </c>
      <c r="B1247">
        <v>0.45119519466296659</v>
      </c>
      <c r="C1247">
        <v>0.33821471301325801</v>
      </c>
    </row>
    <row r="1248" spans="1:3">
      <c r="A1248">
        <v>1240</v>
      </c>
      <c r="B1248">
        <v>0.85801507344041361</v>
      </c>
      <c r="C1248">
        <v>0.3857454067638173</v>
      </c>
    </row>
    <row r="1249" spans="1:3">
      <c r="A1249">
        <v>1241</v>
      </c>
      <c r="B1249">
        <v>7.1979734873766951E-2</v>
      </c>
      <c r="C1249">
        <v>0.67339960150729894</v>
      </c>
    </row>
    <row r="1250" spans="1:3">
      <c r="A1250">
        <v>1242</v>
      </c>
      <c r="B1250">
        <v>0.78660252988850754</v>
      </c>
      <c r="C1250">
        <v>0.75151030947381514</v>
      </c>
    </row>
    <row r="1251" spans="1:3">
      <c r="A1251">
        <v>1243</v>
      </c>
      <c r="B1251">
        <v>0.98140124872089396</v>
      </c>
      <c r="C1251">
        <v>0.39325525259391725</v>
      </c>
    </row>
    <row r="1252" spans="1:3">
      <c r="A1252">
        <v>1244</v>
      </c>
      <c r="B1252">
        <v>0.14787162129256678</v>
      </c>
      <c r="C1252">
        <v>0.91689152754224779</v>
      </c>
    </row>
    <row r="1253" spans="1:3">
      <c r="A1253">
        <v>1245</v>
      </c>
      <c r="B1253">
        <v>0.84045138110622097</v>
      </c>
      <c r="C1253">
        <v>0.30417944716555212</v>
      </c>
    </row>
    <row r="1254" spans="1:3">
      <c r="A1254">
        <v>1246</v>
      </c>
      <c r="B1254">
        <v>0.35664790932793355</v>
      </c>
      <c r="C1254">
        <v>0.54152165471168701</v>
      </c>
    </row>
    <row r="1255" spans="1:3">
      <c r="A1255">
        <v>1247</v>
      </c>
      <c r="B1255">
        <v>0.14673263107140841</v>
      </c>
      <c r="C1255">
        <v>0.68166349469174747</v>
      </c>
    </row>
    <row r="1256" spans="1:3">
      <c r="A1256">
        <v>1248</v>
      </c>
      <c r="B1256">
        <v>0.71708752882287086</v>
      </c>
      <c r="C1256">
        <v>0.58636306774133118</v>
      </c>
    </row>
    <row r="1257" spans="1:3">
      <c r="A1257">
        <v>1249</v>
      </c>
      <c r="B1257">
        <v>0.93168737466495655</v>
      </c>
      <c r="C1257">
        <v>0.36490852901897597</v>
      </c>
    </row>
    <row r="1258" spans="1:3">
      <c r="A1258">
        <v>1250</v>
      </c>
      <c r="B1258">
        <v>0.47068218987534799</v>
      </c>
      <c r="C1258">
        <v>0.76037375847408839</v>
      </c>
    </row>
    <row r="1259" spans="1:3">
      <c r="A1259">
        <v>1251</v>
      </c>
      <c r="B1259">
        <v>0.60550721434133759</v>
      </c>
      <c r="C1259">
        <v>0.80427279657760664</v>
      </c>
    </row>
    <row r="1260" spans="1:3">
      <c r="A1260">
        <v>1252</v>
      </c>
      <c r="B1260">
        <v>0.72168733807645913</v>
      </c>
      <c r="C1260">
        <v>0.74177543063342455</v>
      </c>
    </row>
    <row r="1261" spans="1:3">
      <c r="A1261">
        <v>1253</v>
      </c>
      <c r="B1261">
        <v>0.60781540657920186</v>
      </c>
      <c r="C1261">
        <v>0.38944157762944087</v>
      </c>
    </row>
    <row r="1262" spans="1:3">
      <c r="A1262">
        <v>1254</v>
      </c>
      <c r="B1262">
        <v>7.6278854457726437E-3</v>
      </c>
      <c r="C1262">
        <v>0.37617807288734184</v>
      </c>
    </row>
    <row r="1263" spans="1:3">
      <c r="A1263">
        <v>1255</v>
      </c>
      <c r="B1263">
        <v>0.80808458372421677</v>
      </c>
      <c r="C1263">
        <v>0.33464810052919347</v>
      </c>
    </row>
    <row r="1264" spans="1:3">
      <c r="A1264">
        <v>1256</v>
      </c>
      <c r="B1264">
        <v>0.49203547981768742</v>
      </c>
      <c r="C1264">
        <v>0.96223042877682019</v>
      </c>
    </row>
    <row r="1265" spans="1:3">
      <c r="A1265">
        <v>1257</v>
      </c>
      <c r="B1265">
        <v>8.7651677529618999E-2</v>
      </c>
      <c r="C1265">
        <v>0.81384546596655127</v>
      </c>
    </row>
    <row r="1266" spans="1:3">
      <c r="A1266">
        <v>1258</v>
      </c>
      <c r="B1266">
        <v>0.73850810466914163</v>
      </c>
      <c r="C1266">
        <v>0.3231657894593809</v>
      </c>
    </row>
    <row r="1267" spans="1:3">
      <c r="A1267">
        <v>1259</v>
      </c>
      <c r="B1267">
        <v>0.91945654618597039</v>
      </c>
      <c r="C1267">
        <v>0.26343766105674149</v>
      </c>
    </row>
    <row r="1268" spans="1:3">
      <c r="A1268">
        <v>1260</v>
      </c>
      <c r="B1268">
        <v>0.47754974718102011</v>
      </c>
      <c r="C1268">
        <v>0.13077652633455727</v>
      </c>
    </row>
    <row r="1269" spans="1:3">
      <c r="A1269">
        <v>1261</v>
      </c>
      <c r="B1269">
        <v>5.080969514223041E-2</v>
      </c>
      <c r="C1269">
        <v>0.29838015396671835</v>
      </c>
    </row>
    <row r="1270" spans="1:3">
      <c r="A1270">
        <v>1262</v>
      </c>
      <c r="B1270">
        <v>0.91273773219649157</v>
      </c>
      <c r="C1270">
        <v>0.47168116983357322</v>
      </c>
    </row>
    <row r="1271" spans="1:3">
      <c r="A1271">
        <v>1263</v>
      </c>
      <c r="B1271">
        <v>0.21812987380584933</v>
      </c>
      <c r="C1271">
        <v>0.74776940959600324</v>
      </c>
    </row>
    <row r="1272" spans="1:3">
      <c r="A1272">
        <v>1264</v>
      </c>
      <c r="B1272">
        <v>0.52444449878713217</v>
      </c>
      <c r="C1272">
        <v>0.22277287766792142</v>
      </c>
    </row>
    <row r="1273" spans="1:3">
      <c r="A1273">
        <v>1265</v>
      </c>
      <c r="B1273">
        <v>0.73933480664252649</v>
      </c>
      <c r="C1273">
        <v>0.71574620380488341</v>
      </c>
    </row>
    <row r="1274" spans="1:3">
      <c r="A1274">
        <v>1266</v>
      </c>
      <c r="B1274">
        <v>0.54151170793965264</v>
      </c>
      <c r="C1274">
        <v>0.58556716435759881</v>
      </c>
    </row>
    <row r="1275" spans="1:3">
      <c r="A1275">
        <v>1267</v>
      </c>
      <c r="B1275">
        <v>2.32255273948483E-3</v>
      </c>
      <c r="C1275">
        <v>0.2292984465148038</v>
      </c>
    </row>
    <row r="1276" spans="1:3">
      <c r="A1276">
        <v>1268</v>
      </c>
      <c r="B1276">
        <v>0.554271471411798</v>
      </c>
      <c r="C1276">
        <v>0.52146550468114583</v>
      </c>
    </row>
    <row r="1277" spans="1:3">
      <c r="A1277">
        <v>1269</v>
      </c>
      <c r="B1277">
        <v>0.85549056983224359</v>
      </c>
      <c r="C1277">
        <v>0.58293187230447074</v>
      </c>
    </row>
    <row r="1278" spans="1:3">
      <c r="A1278">
        <v>1270</v>
      </c>
      <c r="B1278">
        <v>0.40752443554781481</v>
      </c>
      <c r="C1278">
        <v>0.29755707009007892</v>
      </c>
    </row>
    <row r="1279" spans="1:3">
      <c r="A1279">
        <v>1271</v>
      </c>
      <c r="B1279">
        <v>0.46977871081782002</v>
      </c>
      <c r="C1279">
        <v>0.86882871661873651</v>
      </c>
    </row>
    <row r="1280" spans="1:3">
      <c r="A1280">
        <v>1272</v>
      </c>
      <c r="B1280">
        <v>0.74617303833970172</v>
      </c>
      <c r="C1280">
        <v>0.47223783707067923</v>
      </c>
    </row>
    <row r="1281" spans="1:3">
      <c r="A1281">
        <v>1273</v>
      </c>
      <c r="B1281">
        <v>2.8933577572492316E-2</v>
      </c>
      <c r="C1281">
        <v>6.9004132396003115E-2</v>
      </c>
    </row>
    <row r="1282" spans="1:3">
      <c r="A1282">
        <v>1274</v>
      </c>
      <c r="B1282">
        <v>0.92129592720351561</v>
      </c>
      <c r="C1282">
        <v>0.86968823224833613</v>
      </c>
    </row>
    <row r="1283" spans="1:3">
      <c r="A1283">
        <v>1275</v>
      </c>
      <c r="B1283">
        <v>2.1240586210563916E-2</v>
      </c>
      <c r="C1283">
        <v>0.50165110348461894</v>
      </c>
    </row>
    <row r="1284" spans="1:3">
      <c r="A1284">
        <v>1276</v>
      </c>
      <c r="B1284">
        <v>0.18936204599881593</v>
      </c>
      <c r="C1284">
        <v>0.11145340380153357</v>
      </c>
    </row>
    <row r="1285" spans="1:3">
      <c r="A1285">
        <v>1277</v>
      </c>
      <c r="B1285">
        <v>0.71521195419333228</v>
      </c>
      <c r="C1285">
        <v>0.35863069463994179</v>
      </c>
    </row>
    <row r="1286" spans="1:3">
      <c r="A1286">
        <v>1278</v>
      </c>
      <c r="B1286">
        <v>0.38132110299149552</v>
      </c>
      <c r="C1286">
        <v>8.3134663409509812E-3</v>
      </c>
    </row>
    <row r="1287" spans="1:3">
      <c r="A1287">
        <v>1279</v>
      </c>
      <c r="B1287">
        <v>0.19092186579348563</v>
      </c>
      <c r="C1287">
        <v>0.73510333674130379</v>
      </c>
    </row>
    <row r="1288" spans="1:3">
      <c r="A1288">
        <v>1280</v>
      </c>
      <c r="B1288">
        <v>9.8506322460972309E-2</v>
      </c>
      <c r="C1288">
        <v>0.13522432297759224</v>
      </c>
    </row>
    <row r="1289" spans="1:3">
      <c r="A1289">
        <v>1281</v>
      </c>
      <c r="B1289">
        <v>0.59368064444900503</v>
      </c>
      <c r="C1289">
        <v>0.44030391479009268</v>
      </c>
    </row>
    <row r="1290" spans="1:3">
      <c r="A1290">
        <v>1282</v>
      </c>
      <c r="B1290">
        <v>0.86887127025906719</v>
      </c>
      <c r="C1290">
        <v>0.88532511119592527</v>
      </c>
    </row>
    <row r="1291" spans="1:3">
      <c r="A1291">
        <v>1283</v>
      </c>
      <c r="B1291">
        <v>0.60163233817201867</v>
      </c>
      <c r="C1291">
        <v>0.13712018187379726</v>
      </c>
    </row>
    <row r="1292" spans="1:3">
      <c r="A1292">
        <v>1284</v>
      </c>
      <c r="B1292">
        <v>0.98529667829119061</v>
      </c>
      <c r="C1292">
        <v>0.29730513862523367</v>
      </c>
    </row>
    <row r="1293" spans="1:3">
      <c r="A1293">
        <v>1285</v>
      </c>
      <c r="B1293">
        <v>0.72840190522605597</v>
      </c>
      <c r="C1293">
        <v>0.34432842472506309</v>
      </c>
    </row>
    <row r="1294" spans="1:3">
      <c r="A1294">
        <v>1286</v>
      </c>
      <c r="B1294">
        <v>0.23551903971063881</v>
      </c>
      <c r="C1294">
        <v>0.9615134253526918</v>
      </c>
    </row>
    <row r="1295" spans="1:3">
      <c r="A1295">
        <v>1287</v>
      </c>
      <c r="B1295">
        <v>0.48959286436792299</v>
      </c>
      <c r="C1295">
        <v>0.12006457102143031</v>
      </c>
    </row>
    <row r="1296" spans="1:3">
      <c r="A1296">
        <v>1288</v>
      </c>
      <c r="B1296">
        <v>7.4971072162308514E-2</v>
      </c>
      <c r="C1296">
        <v>0.20180846161110821</v>
      </c>
    </row>
    <row r="1297" spans="1:3">
      <c r="A1297">
        <v>1289</v>
      </c>
      <c r="B1297">
        <v>0.92780416366155349</v>
      </c>
      <c r="C1297">
        <v>0.45811399552258081</v>
      </c>
    </row>
    <row r="1298" spans="1:3">
      <c r="A1298">
        <v>1290</v>
      </c>
      <c r="B1298">
        <v>0.725432020720847</v>
      </c>
      <c r="C1298">
        <v>0.71781089492924366</v>
      </c>
    </row>
    <row r="1299" spans="1:3">
      <c r="A1299">
        <v>1291</v>
      </c>
      <c r="B1299">
        <v>0.2401775011870492</v>
      </c>
      <c r="C1299">
        <v>0.12534319658152526</v>
      </c>
    </row>
    <row r="1300" spans="1:3">
      <c r="A1300">
        <v>1292</v>
      </c>
      <c r="B1300">
        <v>0.94441383421030223</v>
      </c>
      <c r="C1300">
        <v>0.95131329737614578</v>
      </c>
    </row>
    <row r="1301" spans="1:3">
      <c r="A1301">
        <v>1293</v>
      </c>
      <c r="B1301">
        <v>0.5646704096542835</v>
      </c>
      <c r="C1301">
        <v>0.27706440664951515</v>
      </c>
    </row>
    <row r="1302" spans="1:3">
      <c r="A1302">
        <v>1294</v>
      </c>
      <c r="B1302">
        <v>0.34746388300174469</v>
      </c>
      <c r="C1302">
        <v>0.48011698461505148</v>
      </c>
    </row>
    <row r="1303" spans="1:3">
      <c r="A1303">
        <v>1295</v>
      </c>
      <c r="B1303">
        <v>0.19259747880641312</v>
      </c>
      <c r="C1303">
        <v>0.79405848847454763</v>
      </c>
    </row>
    <row r="1304" spans="1:3">
      <c r="A1304">
        <v>1296</v>
      </c>
      <c r="B1304">
        <v>0.64311796397662679</v>
      </c>
      <c r="C1304">
        <v>0.94578847077991668</v>
      </c>
    </row>
    <row r="1305" spans="1:3">
      <c r="A1305">
        <v>1297</v>
      </c>
      <c r="B1305">
        <v>0.79023900536783953</v>
      </c>
      <c r="C1305">
        <v>3.2329539206330082E-2</v>
      </c>
    </row>
    <row r="1306" spans="1:3">
      <c r="A1306">
        <v>1298</v>
      </c>
      <c r="B1306">
        <v>0.5736457386884013</v>
      </c>
      <c r="C1306">
        <v>4.5326036460210162E-2</v>
      </c>
    </row>
    <row r="1307" spans="1:3">
      <c r="A1307">
        <v>1299</v>
      </c>
      <c r="B1307">
        <v>0.35513070574093858</v>
      </c>
      <c r="C1307">
        <v>2.2322748263832182E-3</v>
      </c>
    </row>
    <row r="1308" spans="1:3">
      <c r="A1308">
        <v>1300</v>
      </c>
      <c r="B1308">
        <v>0.91960931750876118</v>
      </c>
      <c r="C1308">
        <v>1.6555170444007672E-2</v>
      </c>
    </row>
    <row r="1309" spans="1:3">
      <c r="A1309">
        <v>1301</v>
      </c>
      <c r="B1309">
        <v>0.78114442204813117</v>
      </c>
      <c r="C1309">
        <v>0.18688212474264176</v>
      </c>
    </row>
    <row r="1310" spans="1:3">
      <c r="A1310">
        <v>1302</v>
      </c>
      <c r="B1310">
        <v>0.3509444501189386</v>
      </c>
      <c r="C1310">
        <v>6.2836185640662734E-2</v>
      </c>
    </row>
    <row r="1311" spans="1:3">
      <c r="A1311">
        <v>1303</v>
      </c>
      <c r="B1311">
        <v>0.99428745573258204</v>
      </c>
      <c r="C1311">
        <v>0.96394711375251063</v>
      </c>
    </row>
    <row r="1312" spans="1:3">
      <c r="A1312">
        <v>1304</v>
      </c>
      <c r="B1312">
        <v>0.17904671564829691</v>
      </c>
      <c r="C1312">
        <v>0.65656518874220637</v>
      </c>
    </row>
    <row r="1313" spans="1:3">
      <c r="A1313">
        <v>1305</v>
      </c>
      <c r="B1313">
        <v>0.72593568328352076</v>
      </c>
      <c r="C1313">
        <v>0.17281741936858452</v>
      </c>
    </row>
    <row r="1314" spans="1:3">
      <c r="A1314">
        <v>1306</v>
      </c>
      <c r="B1314">
        <v>0.69522400254104844</v>
      </c>
      <c r="C1314">
        <v>0.60606047788405704</v>
      </c>
    </row>
    <row r="1315" spans="1:3">
      <c r="A1315">
        <v>1307</v>
      </c>
      <c r="B1315">
        <v>0.77404360043686904</v>
      </c>
      <c r="C1315">
        <v>0.70666619492840255</v>
      </c>
    </row>
    <row r="1316" spans="1:3">
      <c r="A1316">
        <v>1308</v>
      </c>
      <c r="B1316">
        <v>0.31719264813246961</v>
      </c>
      <c r="C1316">
        <v>0.90150177351824823</v>
      </c>
    </row>
    <row r="1317" spans="1:3">
      <c r="A1317">
        <v>1309</v>
      </c>
      <c r="B1317">
        <v>0.89285870278427815</v>
      </c>
      <c r="C1317">
        <v>0.50905949683419749</v>
      </c>
    </row>
    <row r="1318" spans="1:3">
      <c r="A1318">
        <v>1310</v>
      </c>
      <c r="B1318">
        <v>0.70870215552041826</v>
      </c>
      <c r="C1318">
        <v>0.86562714551655517</v>
      </c>
    </row>
    <row r="1319" spans="1:3">
      <c r="A1319">
        <v>1311</v>
      </c>
      <c r="B1319">
        <v>0.61462310037240919</v>
      </c>
      <c r="C1319">
        <v>0.59832630666005571</v>
      </c>
    </row>
    <row r="1320" spans="1:3">
      <c r="A1320">
        <v>1312</v>
      </c>
      <c r="B1320">
        <v>0.5557244634662114</v>
      </c>
      <c r="C1320">
        <v>0.8831391515705036</v>
      </c>
    </row>
    <row r="1321" spans="1:3">
      <c r="A1321">
        <v>1313</v>
      </c>
      <c r="B1321">
        <v>0.28493121014915668</v>
      </c>
      <c r="C1321">
        <v>0.39521842410886165</v>
      </c>
    </row>
    <row r="1322" spans="1:3">
      <c r="A1322">
        <v>1314</v>
      </c>
      <c r="B1322">
        <v>0.96305269465410437</v>
      </c>
      <c r="C1322">
        <v>0.21605866051140765</v>
      </c>
    </row>
    <row r="1323" spans="1:3">
      <c r="A1323">
        <v>1315</v>
      </c>
      <c r="B1323">
        <v>0.97355589204545978</v>
      </c>
      <c r="C1323">
        <v>8.2086455489843502E-2</v>
      </c>
    </row>
    <row r="1324" spans="1:3">
      <c r="A1324">
        <v>1316</v>
      </c>
      <c r="B1324">
        <v>0.40610181357974695</v>
      </c>
      <c r="C1324">
        <v>0.49636179643948708</v>
      </c>
    </row>
    <row r="1325" spans="1:3">
      <c r="A1325">
        <v>1317</v>
      </c>
      <c r="B1325">
        <v>0.60728010305438196</v>
      </c>
      <c r="C1325">
        <v>0.94540443040023092</v>
      </c>
    </row>
    <row r="1326" spans="1:3">
      <c r="A1326">
        <v>1318</v>
      </c>
      <c r="B1326">
        <v>0.98591906096351301</v>
      </c>
      <c r="C1326">
        <v>0.21077420878555131</v>
      </c>
    </row>
    <row r="1327" spans="1:3">
      <c r="A1327">
        <v>1319</v>
      </c>
      <c r="B1327">
        <v>0.36722264072117922</v>
      </c>
      <c r="C1327">
        <v>0.61164384199582855</v>
      </c>
    </row>
    <row r="1328" spans="1:3">
      <c r="A1328">
        <v>1320</v>
      </c>
      <c r="B1328">
        <v>2.6858882298846469E-2</v>
      </c>
      <c r="C1328">
        <v>0.32172185269791953</v>
      </c>
    </row>
    <row r="1329" spans="1:3">
      <c r="A1329">
        <v>1321</v>
      </c>
      <c r="B1329">
        <v>0.22912413943422125</v>
      </c>
      <c r="C1329">
        <v>0.96627509225072572</v>
      </c>
    </row>
    <row r="1330" spans="1:3">
      <c r="A1330">
        <v>1322</v>
      </c>
      <c r="B1330">
        <v>0.177654529912084</v>
      </c>
      <c r="C1330">
        <v>0.3100651151717102</v>
      </c>
    </row>
    <row r="1331" spans="1:3">
      <c r="A1331">
        <v>1323</v>
      </c>
      <c r="B1331">
        <v>0.62861328128502081</v>
      </c>
      <c r="C1331">
        <v>0.81543603330101178</v>
      </c>
    </row>
    <row r="1332" spans="1:3">
      <c r="A1332">
        <v>1324</v>
      </c>
      <c r="B1332">
        <v>0.54943456661916212</v>
      </c>
      <c r="C1332">
        <v>0.45017629710218898</v>
      </c>
    </row>
    <row r="1333" spans="1:3">
      <c r="A1333">
        <v>1325</v>
      </c>
      <c r="B1333">
        <v>0.39553502440632671</v>
      </c>
      <c r="C1333">
        <v>0.38206588713728706</v>
      </c>
    </row>
    <row r="1334" spans="1:3">
      <c r="A1334">
        <v>1326</v>
      </c>
      <c r="B1334">
        <v>0.16520604945863737</v>
      </c>
      <c r="C1334">
        <v>0.39516278071005217</v>
      </c>
    </row>
    <row r="1335" spans="1:3">
      <c r="A1335">
        <v>1327</v>
      </c>
      <c r="B1335">
        <v>0.58663939155718303</v>
      </c>
      <c r="C1335">
        <v>0.11986657980742166</v>
      </c>
    </row>
    <row r="1336" spans="1:3">
      <c r="A1336">
        <v>1328</v>
      </c>
      <c r="B1336">
        <v>0.86090094461070854</v>
      </c>
      <c r="C1336">
        <v>0.85044725059833581</v>
      </c>
    </row>
    <row r="1337" spans="1:3">
      <c r="A1337">
        <v>1329</v>
      </c>
      <c r="B1337">
        <v>0.75632271740271773</v>
      </c>
      <c r="C1337">
        <v>0.92521699122335122</v>
      </c>
    </row>
    <row r="1338" spans="1:3">
      <c r="A1338">
        <v>1330</v>
      </c>
      <c r="B1338">
        <v>2.3203472806700383E-2</v>
      </c>
      <c r="C1338">
        <v>9.1719145301794924E-2</v>
      </c>
    </row>
    <row r="1339" spans="1:3">
      <c r="A1339">
        <v>1331</v>
      </c>
      <c r="B1339">
        <v>0.19781782144457516</v>
      </c>
      <c r="C1339">
        <v>0.50873867659174721</v>
      </c>
    </row>
    <row r="1340" spans="1:3">
      <c r="A1340">
        <v>1332</v>
      </c>
      <c r="B1340">
        <v>0.1439414063726881</v>
      </c>
      <c r="C1340">
        <v>0.29152924282152526</v>
      </c>
    </row>
    <row r="1341" spans="1:3">
      <c r="A1341">
        <v>1333</v>
      </c>
      <c r="B1341">
        <v>0.3437398924202984</v>
      </c>
      <c r="C1341">
        <v>3.0750826035728096E-2</v>
      </c>
    </row>
    <row r="1342" spans="1:3">
      <c r="A1342">
        <v>1334</v>
      </c>
      <c r="B1342">
        <v>0.91492105845923566</v>
      </c>
      <c r="C1342">
        <v>0.67380146206505742</v>
      </c>
    </row>
    <row r="1343" spans="1:3">
      <c r="A1343">
        <v>1335</v>
      </c>
      <c r="B1343">
        <v>0.69827905871106288</v>
      </c>
      <c r="C1343">
        <v>0.85749856090114918</v>
      </c>
    </row>
    <row r="1344" spans="1:3">
      <c r="A1344">
        <v>1336</v>
      </c>
      <c r="B1344">
        <v>0.64842808931205143</v>
      </c>
      <c r="C1344">
        <v>0.89462512229783897</v>
      </c>
    </row>
    <row r="1345" spans="1:3">
      <c r="A1345">
        <v>1337</v>
      </c>
      <c r="B1345">
        <v>0.99714871234822744</v>
      </c>
      <c r="C1345">
        <v>0.8268436679009028</v>
      </c>
    </row>
    <row r="1346" spans="1:3">
      <c r="A1346">
        <v>1338</v>
      </c>
      <c r="B1346">
        <v>0.82720909378943253</v>
      </c>
      <c r="C1346">
        <v>0.37798723808919021</v>
      </c>
    </row>
    <row r="1347" spans="1:3">
      <c r="A1347">
        <v>1339</v>
      </c>
      <c r="B1347">
        <v>0.6684063700144659</v>
      </c>
      <c r="C1347">
        <v>0.47756251467308175</v>
      </c>
    </row>
    <row r="1348" spans="1:3">
      <c r="A1348">
        <v>1340</v>
      </c>
      <c r="B1348">
        <v>0.83053007673386714</v>
      </c>
      <c r="C1348">
        <v>0.37204797453887295</v>
      </c>
    </row>
    <row r="1349" spans="1:3">
      <c r="A1349">
        <v>1341</v>
      </c>
      <c r="B1349">
        <v>0.52940862156707058</v>
      </c>
      <c r="C1349">
        <v>0.2782936008179604</v>
      </c>
    </row>
    <row r="1350" spans="1:3">
      <c r="A1350">
        <v>1342</v>
      </c>
      <c r="B1350">
        <v>0.83063921721941769</v>
      </c>
      <c r="C1350">
        <v>0.6279904880302638</v>
      </c>
    </row>
    <row r="1351" spans="1:3">
      <c r="A1351">
        <v>1343</v>
      </c>
      <c r="B1351">
        <v>0.45360785524691638</v>
      </c>
      <c r="C1351">
        <v>0.84858263298974634</v>
      </c>
    </row>
    <row r="1352" spans="1:3">
      <c r="A1352">
        <v>1344</v>
      </c>
      <c r="B1352">
        <v>0.68471589137360356</v>
      </c>
      <c r="C1352">
        <v>0.82122454505952192</v>
      </c>
    </row>
    <row r="1353" spans="1:3">
      <c r="A1353">
        <v>1345</v>
      </c>
      <c r="B1353">
        <v>0.3734235833624433</v>
      </c>
      <c r="C1353">
        <v>0.65667006982312159</v>
      </c>
    </row>
    <row r="1354" spans="1:3">
      <c r="A1354">
        <v>1346</v>
      </c>
      <c r="B1354">
        <v>2.2596241778274122E-2</v>
      </c>
      <c r="C1354">
        <v>0.87404078336658131</v>
      </c>
    </row>
    <row r="1355" spans="1:3">
      <c r="A1355">
        <v>1347</v>
      </c>
      <c r="B1355">
        <v>0.25705064994987348</v>
      </c>
      <c r="C1355">
        <v>0.9930647004448474</v>
      </c>
    </row>
    <row r="1356" spans="1:3">
      <c r="A1356">
        <v>1348</v>
      </c>
      <c r="B1356">
        <v>0.25969874994277459</v>
      </c>
      <c r="C1356">
        <v>0.10336571640073089</v>
      </c>
    </row>
    <row r="1357" spans="1:3">
      <c r="A1357">
        <v>1349</v>
      </c>
      <c r="B1357">
        <v>0.66529325060953692</v>
      </c>
      <c r="C1357">
        <v>0.71652820621511637</v>
      </c>
    </row>
    <row r="1358" spans="1:3">
      <c r="A1358">
        <v>1350</v>
      </c>
      <c r="B1358">
        <v>0.80638296504779317</v>
      </c>
      <c r="C1358">
        <v>0.42945748051170085</v>
      </c>
    </row>
    <row r="1359" spans="1:3">
      <c r="A1359">
        <v>1351</v>
      </c>
      <c r="B1359">
        <v>0.70218221674770631</v>
      </c>
      <c r="C1359">
        <v>6.6077661246708885E-2</v>
      </c>
    </row>
    <row r="1360" spans="1:3">
      <c r="A1360">
        <v>1352</v>
      </c>
      <c r="B1360">
        <v>0.99867768504644683</v>
      </c>
      <c r="C1360">
        <v>0.9699871890443319</v>
      </c>
    </row>
    <row r="1361" spans="1:3">
      <c r="A1361">
        <v>1353</v>
      </c>
      <c r="B1361">
        <v>0.38496979413669785</v>
      </c>
      <c r="C1361">
        <v>0.13395533263883408</v>
      </c>
    </row>
    <row r="1362" spans="1:3">
      <c r="A1362">
        <v>1354</v>
      </c>
      <c r="B1362">
        <v>0.84707522419324954</v>
      </c>
      <c r="C1362">
        <v>0.49315782519079221</v>
      </c>
    </row>
    <row r="1363" spans="1:3">
      <c r="A1363">
        <v>1355</v>
      </c>
      <c r="B1363">
        <v>0.66130467738842236</v>
      </c>
      <c r="C1363">
        <v>0.11655014779626072</v>
      </c>
    </row>
    <row r="1364" spans="1:3">
      <c r="A1364">
        <v>1356</v>
      </c>
      <c r="B1364">
        <v>0.88834451228346312</v>
      </c>
      <c r="C1364">
        <v>0.31004876102088019</v>
      </c>
    </row>
    <row r="1365" spans="1:3">
      <c r="A1365">
        <v>1357</v>
      </c>
      <c r="B1365">
        <v>3.6006091391156916E-2</v>
      </c>
      <c r="C1365">
        <v>0.39244898583547183</v>
      </c>
    </row>
    <row r="1366" spans="1:3">
      <c r="A1366">
        <v>1358</v>
      </c>
      <c r="B1366">
        <v>0.8547006268138766</v>
      </c>
      <c r="C1366">
        <v>0.32937900869910663</v>
      </c>
    </row>
    <row r="1367" spans="1:3">
      <c r="A1367">
        <v>1359</v>
      </c>
      <c r="B1367">
        <v>0.7924308792901763</v>
      </c>
      <c r="C1367">
        <v>0.6216393198028527</v>
      </c>
    </row>
    <row r="1368" spans="1:3">
      <c r="A1368">
        <v>1360</v>
      </c>
      <c r="B1368">
        <v>0.46349203119834237</v>
      </c>
      <c r="C1368">
        <v>0.8091308764714995</v>
      </c>
    </row>
    <row r="1369" spans="1:3">
      <c r="A1369">
        <v>1361</v>
      </c>
      <c r="B1369">
        <v>0.89365430384377365</v>
      </c>
      <c r="C1369">
        <v>0.63263987895334139</v>
      </c>
    </row>
    <row r="1370" spans="1:3">
      <c r="A1370">
        <v>1362</v>
      </c>
      <c r="B1370">
        <v>0.99720397446602671</v>
      </c>
      <c r="C1370">
        <v>0.3543106240722409</v>
      </c>
    </row>
    <row r="1371" spans="1:3">
      <c r="A1371">
        <v>1363</v>
      </c>
      <c r="B1371">
        <v>2.1701366245630516E-2</v>
      </c>
      <c r="C1371">
        <v>0.17944928030919982</v>
      </c>
    </row>
    <row r="1372" spans="1:3">
      <c r="A1372">
        <v>1364</v>
      </c>
      <c r="B1372">
        <v>0.62974071881313354</v>
      </c>
      <c r="C1372">
        <v>1.194568632854498E-2</v>
      </c>
    </row>
    <row r="1373" spans="1:3">
      <c r="A1373">
        <v>1365</v>
      </c>
      <c r="B1373">
        <v>0.16653962403175879</v>
      </c>
      <c r="C1373">
        <v>0.22532620093170408</v>
      </c>
    </row>
    <row r="1374" spans="1:3">
      <c r="A1374">
        <v>1366</v>
      </c>
      <c r="B1374">
        <v>0.60616431794244896</v>
      </c>
      <c r="C1374">
        <v>0.6484578935396712</v>
      </c>
    </row>
    <row r="1375" spans="1:3">
      <c r="A1375">
        <v>1367</v>
      </c>
      <c r="B1375">
        <v>0.33757507845814688</v>
      </c>
      <c r="C1375">
        <v>8.6072960229103046E-2</v>
      </c>
    </row>
    <row r="1376" spans="1:3">
      <c r="A1376">
        <v>1368</v>
      </c>
      <c r="B1376">
        <v>0.88009762304129491</v>
      </c>
      <c r="C1376">
        <v>0.62643631742685102</v>
      </c>
    </row>
    <row r="1377" spans="1:3">
      <c r="A1377">
        <v>1369</v>
      </c>
      <c r="B1377">
        <v>0.71308962188770286</v>
      </c>
      <c r="C1377">
        <v>0.29238682348204748</v>
      </c>
    </row>
    <row r="1378" spans="1:3">
      <c r="A1378">
        <v>1370</v>
      </c>
      <c r="B1378">
        <v>0.22786294355519648</v>
      </c>
      <c r="C1378">
        <v>0.16810548188550456</v>
      </c>
    </row>
    <row r="1379" spans="1:3">
      <c r="A1379">
        <v>1371</v>
      </c>
      <c r="B1379">
        <v>0.38866608182561257</v>
      </c>
      <c r="C1379">
        <v>0.69741535246885178</v>
      </c>
    </row>
    <row r="1380" spans="1:3">
      <c r="A1380">
        <v>1372</v>
      </c>
      <c r="B1380">
        <v>4.5875358152174243E-2</v>
      </c>
      <c r="C1380">
        <v>0.22962956314222538</v>
      </c>
    </row>
    <row r="1381" spans="1:3">
      <c r="A1381">
        <v>1373</v>
      </c>
      <c r="B1381">
        <v>0.73723685274558071</v>
      </c>
      <c r="C1381">
        <v>0.31073750173436565</v>
      </c>
    </row>
    <row r="1382" spans="1:3">
      <c r="A1382">
        <v>1374</v>
      </c>
      <c r="B1382">
        <v>0.55283155505918702</v>
      </c>
      <c r="C1382">
        <v>0.28782841135216586</v>
      </c>
    </row>
    <row r="1383" spans="1:3">
      <c r="A1383">
        <v>1375</v>
      </c>
      <c r="B1383">
        <v>7.3408997164529047E-2</v>
      </c>
      <c r="C1383">
        <v>0.99529474977407517</v>
      </c>
    </row>
    <row r="1384" spans="1:3">
      <c r="A1384">
        <v>1376</v>
      </c>
      <c r="B1384">
        <v>0.55311454256780312</v>
      </c>
      <c r="C1384">
        <v>0.88820720060175518</v>
      </c>
    </row>
    <row r="1385" spans="1:3">
      <c r="A1385">
        <v>1377</v>
      </c>
      <c r="B1385">
        <v>0.23100258275093569</v>
      </c>
      <c r="C1385">
        <v>0.95900652110412921</v>
      </c>
    </row>
    <row r="1386" spans="1:3">
      <c r="A1386">
        <v>1378</v>
      </c>
      <c r="B1386">
        <v>0.17634691157162816</v>
      </c>
      <c r="C1386">
        <v>0.97683650290491641</v>
      </c>
    </row>
    <row r="1387" spans="1:3">
      <c r="A1387">
        <v>1379</v>
      </c>
      <c r="B1387">
        <v>0.78681777241528439</v>
      </c>
      <c r="C1387">
        <v>0.52519779622434726</v>
      </c>
    </row>
    <row r="1388" spans="1:3">
      <c r="A1388">
        <v>1380</v>
      </c>
      <c r="B1388">
        <v>0.52138563781212677</v>
      </c>
      <c r="C1388">
        <v>0.5397411464346078</v>
      </c>
    </row>
    <row r="1389" spans="1:3">
      <c r="A1389">
        <v>1381</v>
      </c>
      <c r="B1389">
        <v>0.8965372675485298</v>
      </c>
      <c r="C1389">
        <v>0.75520683086597273</v>
      </c>
    </row>
    <row r="1390" spans="1:3">
      <c r="A1390">
        <v>1382</v>
      </c>
      <c r="B1390">
        <v>0.42833894653272325</v>
      </c>
      <c r="C1390">
        <v>0.58493961633212166</v>
      </c>
    </row>
    <row r="1391" spans="1:3">
      <c r="A1391">
        <v>1383</v>
      </c>
      <c r="B1391">
        <v>0.30767664875231604</v>
      </c>
      <c r="C1391">
        <v>0.92191735792860641</v>
      </c>
    </row>
    <row r="1392" spans="1:3">
      <c r="A1392">
        <v>1384</v>
      </c>
      <c r="B1392">
        <v>0.42545528539066563</v>
      </c>
      <c r="C1392">
        <v>0.42145142781828326</v>
      </c>
    </row>
    <row r="1393" spans="1:3">
      <c r="A1393">
        <v>1385</v>
      </c>
      <c r="B1393">
        <v>0.63608795486122549</v>
      </c>
      <c r="C1393">
        <v>0.61156342496178695</v>
      </c>
    </row>
    <row r="1394" spans="1:3">
      <c r="A1394">
        <v>1386</v>
      </c>
      <c r="B1394">
        <v>3.2005865018583338E-2</v>
      </c>
      <c r="C1394">
        <v>0.25662680862933485</v>
      </c>
    </row>
    <row r="1395" spans="1:3">
      <c r="A1395">
        <v>1387</v>
      </c>
      <c r="B1395">
        <v>0.43455807621617759</v>
      </c>
      <c r="C1395">
        <v>0.91838518189433671</v>
      </c>
    </row>
    <row r="1396" spans="1:3">
      <c r="A1396">
        <v>1388</v>
      </c>
      <c r="B1396">
        <v>0.32740524958232542</v>
      </c>
      <c r="C1396">
        <v>0.77847245286920952</v>
      </c>
    </row>
    <row r="1397" spans="1:3">
      <c r="A1397">
        <v>1389</v>
      </c>
      <c r="B1397">
        <v>0.73670109634425052</v>
      </c>
      <c r="C1397">
        <v>0.53761159824352944</v>
      </c>
    </row>
    <row r="1398" spans="1:3">
      <c r="A1398">
        <v>1390</v>
      </c>
      <c r="B1398">
        <v>0.70936099129457975</v>
      </c>
      <c r="C1398">
        <v>0.52202748496620188</v>
      </c>
    </row>
    <row r="1399" spans="1:3">
      <c r="A1399">
        <v>1391</v>
      </c>
      <c r="B1399">
        <v>0.35605841967818758</v>
      </c>
      <c r="C1399">
        <v>0.31434515520416539</v>
      </c>
    </row>
    <row r="1400" spans="1:3">
      <c r="A1400">
        <v>1392</v>
      </c>
      <c r="B1400">
        <v>0.75752117545039421</v>
      </c>
      <c r="C1400">
        <v>0.57157482484751654</v>
      </c>
    </row>
    <row r="1401" spans="1:3">
      <c r="A1401">
        <v>1393</v>
      </c>
      <c r="B1401">
        <v>0.891948426277551</v>
      </c>
      <c r="C1401">
        <v>0.61150294056960774</v>
      </c>
    </row>
    <row r="1402" spans="1:3">
      <c r="A1402">
        <v>1394</v>
      </c>
      <c r="B1402">
        <v>0.31997116657918578</v>
      </c>
      <c r="C1402">
        <v>0.30762165880560133</v>
      </c>
    </row>
    <row r="1403" spans="1:3">
      <c r="A1403">
        <v>1395</v>
      </c>
      <c r="B1403">
        <v>0.19818501103003161</v>
      </c>
      <c r="C1403">
        <v>8.3218422512800316E-2</v>
      </c>
    </row>
    <row r="1404" spans="1:3">
      <c r="A1404">
        <v>1396</v>
      </c>
      <c r="B1404">
        <v>0.15868113542866921</v>
      </c>
      <c r="C1404">
        <v>0.53567904249393905</v>
      </c>
    </row>
    <row r="1405" spans="1:3">
      <c r="A1405">
        <v>1397</v>
      </c>
      <c r="B1405">
        <v>0.19313722576218126</v>
      </c>
      <c r="C1405">
        <v>0.44616937789126609</v>
      </c>
    </row>
    <row r="1406" spans="1:3">
      <c r="A1406">
        <v>1398</v>
      </c>
      <c r="B1406">
        <v>0.47912812419695039</v>
      </c>
      <c r="C1406">
        <v>0.17331530695707897</v>
      </c>
    </row>
    <row r="1407" spans="1:3">
      <c r="A1407">
        <v>1399</v>
      </c>
      <c r="B1407">
        <v>0.55504241731093329</v>
      </c>
      <c r="C1407">
        <v>0.27385392500036687</v>
      </c>
    </row>
    <row r="1408" spans="1:3">
      <c r="A1408">
        <v>1400</v>
      </c>
      <c r="B1408">
        <v>0.93886821234311624</v>
      </c>
      <c r="C1408">
        <v>0.76927048415836907</v>
      </c>
    </row>
    <row r="1409" spans="1:3">
      <c r="A1409">
        <v>1401</v>
      </c>
      <c r="B1409">
        <v>2.116541231064252E-2</v>
      </c>
      <c r="C1409">
        <v>0.2073921833471104</v>
      </c>
    </row>
    <row r="1410" spans="1:3">
      <c r="A1410">
        <v>1402</v>
      </c>
      <c r="B1410">
        <v>0.3291522566857637</v>
      </c>
      <c r="C1410">
        <v>0.89855893223921157</v>
      </c>
    </row>
    <row r="1411" spans="1:3">
      <c r="A1411">
        <v>1403</v>
      </c>
      <c r="B1411">
        <v>0.38920697090281337</v>
      </c>
      <c r="C1411">
        <v>9.0731486887307256E-2</v>
      </c>
    </row>
    <row r="1412" spans="1:3">
      <c r="A1412">
        <v>1404</v>
      </c>
      <c r="B1412">
        <v>8.0813941322829097E-2</v>
      </c>
      <c r="C1412">
        <v>7.4764918842461725E-2</v>
      </c>
    </row>
    <row r="1413" spans="1:3">
      <c r="A1413">
        <v>1405</v>
      </c>
      <c r="B1413">
        <v>0.80738584632258537</v>
      </c>
      <c r="C1413">
        <v>0.31827230257567862</v>
      </c>
    </row>
    <row r="1414" spans="1:3">
      <c r="A1414">
        <v>1406</v>
      </c>
      <c r="B1414">
        <v>0.7144242281224169</v>
      </c>
      <c r="C1414">
        <v>0.77342275408591377</v>
      </c>
    </row>
    <row r="1415" spans="1:3">
      <c r="A1415">
        <v>1407</v>
      </c>
      <c r="B1415">
        <v>0.51258012448115742</v>
      </c>
      <c r="C1415">
        <v>0.97036547339939716</v>
      </c>
    </row>
    <row r="1416" spans="1:3">
      <c r="A1416">
        <v>1408</v>
      </c>
      <c r="B1416">
        <v>0.72242144584898405</v>
      </c>
      <c r="C1416">
        <v>0.75221285564657592</v>
      </c>
    </row>
    <row r="1417" spans="1:3">
      <c r="A1417">
        <v>1409</v>
      </c>
      <c r="B1417">
        <v>0.58216767641603195</v>
      </c>
      <c r="C1417">
        <v>0.52994104279514431</v>
      </c>
    </row>
    <row r="1418" spans="1:3">
      <c r="A1418">
        <v>1410</v>
      </c>
      <c r="B1418">
        <v>0.72072115196644349</v>
      </c>
      <c r="C1418">
        <v>0.72433170461954433</v>
      </c>
    </row>
    <row r="1419" spans="1:3">
      <c r="A1419">
        <v>1411</v>
      </c>
      <c r="B1419">
        <v>0.2999943276674939</v>
      </c>
      <c r="C1419">
        <v>0.30266524336093426</v>
      </c>
    </row>
    <row r="1420" spans="1:3">
      <c r="A1420">
        <v>1412</v>
      </c>
      <c r="B1420">
        <v>0.380741895973017</v>
      </c>
      <c r="C1420">
        <v>0.31360721838973404</v>
      </c>
    </row>
    <row r="1421" spans="1:3">
      <c r="A1421">
        <v>1413</v>
      </c>
      <c r="B1421">
        <v>5.9804099896690832E-2</v>
      </c>
      <c r="C1421">
        <v>0.31178074392755661</v>
      </c>
    </row>
    <row r="1422" spans="1:3">
      <c r="A1422">
        <v>1414</v>
      </c>
      <c r="B1422">
        <v>1.8461551044709409E-3</v>
      </c>
      <c r="C1422">
        <v>0.74173692475596908</v>
      </c>
    </row>
    <row r="1423" spans="1:3">
      <c r="A1423">
        <v>1415</v>
      </c>
      <c r="B1423">
        <v>6.0707758044010907E-2</v>
      </c>
      <c r="C1423">
        <v>1.2644141852717894E-3</v>
      </c>
    </row>
    <row r="1424" spans="1:3">
      <c r="A1424">
        <v>1416</v>
      </c>
      <c r="B1424">
        <v>0.60901938454471982</v>
      </c>
      <c r="C1424">
        <v>0.36467022247688874</v>
      </c>
    </row>
    <row r="1425" spans="1:3">
      <c r="A1425">
        <v>1417</v>
      </c>
      <c r="B1425">
        <v>0.84348115325814144</v>
      </c>
      <c r="C1425">
        <v>0.68771940575607005</v>
      </c>
    </row>
    <row r="1426" spans="1:3">
      <c r="A1426">
        <v>1418</v>
      </c>
      <c r="B1426">
        <v>2.7743454680345826E-2</v>
      </c>
      <c r="C1426">
        <v>0.41923637167110428</v>
      </c>
    </row>
    <row r="1427" spans="1:3">
      <c r="A1427">
        <v>1419</v>
      </c>
      <c r="B1427">
        <v>0.56146112877010856</v>
      </c>
      <c r="C1427">
        <v>0.15918310208326147</v>
      </c>
    </row>
    <row r="1428" spans="1:3">
      <c r="A1428">
        <v>1420</v>
      </c>
      <c r="B1428">
        <v>0.61775996210737161</v>
      </c>
      <c r="C1428">
        <v>0.1584970465492006</v>
      </c>
    </row>
    <row r="1429" spans="1:3">
      <c r="A1429">
        <v>1421</v>
      </c>
      <c r="B1429">
        <v>0.61223096053247128</v>
      </c>
      <c r="C1429">
        <v>0.85549883446947206</v>
      </c>
    </row>
    <row r="1430" spans="1:3">
      <c r="A1430">
        <v>1422</v>
      </c>
      <c r="B1430">
        <v>0.22044929320473439</v>
      </c>
      <c r="C1430">
        <v>0.7950534718866038</v>
      </c>
    </row>
    <row r="1431" spans="1:3">
      <c r="A1431">
        <v>1423</v>
      </c>
      <c r="B1431">
        <v>0.75607760487200637</v>
      </c>
      <c r="C1431">
        <v>0.71016032572697441</v>
      </c>
    </row>
    <row r="1432" spans="1:3">
      <c r="A1432">
        <v>1424</v>
      </c>
      <c r="B1432">
        <v>0.18989527855834348</v>
      </c>
      <c r="C1432">
        <v>0.22640568850874843</v>
      </c>
    </row>
    <row r="1433" spans="1:3">
      <c r="A1433">
        <v>1425</v>
      </c>
      <c r="B1433">
        <v>4.5155346688291839E-2</v>
      </c>
      <c r="C1433">
        <v>0.21279860210870538</v>
      </c>
    </row>
    <row r="1434" spans="1:3">
      <c r="A1434">
        <v>1426</v>
      </c>
      <c r="B1434">
        <v>0.98269232226304992</v>
      </c>
      <c r="C1434">
        <v>0.66818573606724385</v>
      </c>
    </row>
    <row r="1435" spans="1:3">
      <c r="A1435">
        <v>1427</v>
      </c>
      <c r="B1435">
        <v>0.33024582032599625</v>
      </c>
      <c r="C1435">
        <v>0.93635227428148937</v>
      </c>
    </row>
    <row r="1436" spans="1:3">
      <c r="A1436">
        <v>1428</v>
      </c>
      <c r="B1436">
        <v>0.4578434965437379</v>
      </c>
      <c r="C1436">
        <v>0.94332003969793732</v>
      </c>
    </row>
    <row r="1437" spans="1:3">
      <c r="A1437">
        <v>1429</v>
      </c>
      <c r="B1437">
        <v>0.87128601638974756</v>
      </c>
      <c r="C1437">
        <v>0.71949485433742666</v>
      </c>
    </row>
    <row r="1438" spans="1:3">
      <c r="A1438">
        <v>1430</v>
      </c>
      <c r="B1438">
        <v>0.21741519778841531</v>
      </c>
      <c r="C1438">
        <v>0.4336418273342133</v>
      </c>
    </row>
    <row r="1439" spans="1:3">
      <c r="A1439">
        <v>1431</v>
      </c>
      <c r="B1439">
        <v>0.70428121025582802</v>
      </c>
      <c r="C1439">
        <v>0.45531117020436795</v>
      </c>
    </row>
    <row r="1440" spans="1:3">
      <c r="A1440">
        <v>1432</v>
      </c>
      <c r="B1440">
        <v>0.72195414342674291</v>
      </c>
      <c r="C1440">
        <v>0.51605915654636192</v>
      </c>
    </row>
    <row r="1441" spans="1:3">
      <c r="A1441">
        <v>1433</v>
      </c>
      <c r="B1441">
        <v>7.395886607662748E-2</v>
      </c>
      <c r="C1441">
        <v>0.15922894221330353</v>
      </c>
    </row>
    <row r="1442" spans="1:3">
      <c r="A1442">
        <v>1434</v>
      </c>
      <c r="B1442">
        <v>0.84013243578293662</v>
      </c>
      <c r="C1442">
        <v>0.8655370158057849</v>
      </c>
    </row>
    <row r="1443" spans="1:3">
      <c r="A1443">
        <v>1435</v>
      </c>
      <c r="B1443">
        <v>0.65312060556917473</v>
      </c>
      <c r="C1443">
        <v>0.72196640110269072</v>
      </c>
    </row>
    <row r="1444" spans="1:3">
      <c r="A1444">
        <v>1436</v>
      </c>
      <c r="B1444">
        <v>0.24438070032419187</v>
      </c>
      <c r="C1444">
        <v>0.54852940552427754</v>
      </c>
    </row>
    <row r="1445" spans="1:3">
      <c r="A1445">
        <v>1437</v>
      </c>
      <c r="B1445">
        <v>0.16306958834102137</v>
      </c>
      <c r="C1445">
        <v>0.2820890533093916</v>
      </c>
    </row>
    <row r="1446" spans="1:3">
      <c r="A1446">
        <v>1438</v>
      </c>
      <c r="B1446">
        <v>0.6500380371420732</v>
      </c>
      <c r="C1446">
        <v>0.10004381100679893</v>
      </c>
    </row>
    <row r="1447" spans="1:3">
      <c r="A1447">
        <v>1439</v>
      </c>
      <c r="B1447">
        <v>0.93398284645117424</v>
      </c>
      <c r="C1447">
        <v>0.71285347845696378</v>
      </c>
    </row>
    <row r="1448" spans="1:3">
      <c r="A1448">
        <v>1440</v>
      </c>
      <c r="B1448">
        <v>0.15422035815828022</v>
      </c>
      <c r="C1448">
        <v>0.56726560306833562</v>
      </c>
    </row>
    <row r="1449" spans="1:3">
      <c r="A1449">
        <v>1441</v>
      </c>
      <c r="B1449">
        <v>0.13023244526666414</v>
      </c>
      <c r="C1449">
        <v>0.50991346754926781</v>
      </c>
    </row>
    <row r="1450" spans="1:3">
      <c r="A1450">
        <v>1442</v>
      </c>
      <c r="B1450">
        <v>0.26547465918508234</v>
      </c>
      <c r="C1450">
        <v>0.56756522617524752</v>
      </c>
    </row>
    <row r="1451" spans="1:3">
      <c r="A1451">
        <v>1443</v>
      </c>
      <c r="B1451">
        <v>0.1405322280201903</v>
      </c>
      <c r="C1451">
        <v>0.50551972243192722</v>
      </c>
    </row>
    <row r="1452" spans="1:3">
      <c r="A1452">
        <v>1444</v>
      </c>
      <c r="B1452">
        <v>0.97634485948009986</v>
      </c>
      <c r="C1452">
        <v>0.40213160037001217</v>
      </c>
    </row>
    <row r="1453" spans="1:3">
      <c r="A1453">
        <v>1445</v>
      </c>
      <c r="B1453">
        <v>0.47844433461242453</v>
      </c>
      <c r="C1453">
        <v>0.63888384740675974</v>
      </c>
    </row>
    <row r="1454" spans="1:3">
      <c r="A1454">
        <v>1446</v>
      </c>
      <c r="B1454">
        <v>0.36977997055626005</v>
      </c>
      <c r="C1454">
        <v>0.50591329702820076</v>
      </c>
    </row>
    <row r="1455" spans="1:3">
      <c r="A1455">
        <v>1447</v>
      </c>
      <c r="B1455">
        <v>0.98138665128596747</v>
      </c>
      <c r="C1455">
        <v>0.59237509711968528</v>
      </c>
    </row>
    <row r="1456" spans="1:3">
      <c r="A1456">
        <v>1448</v>
      </c>
      <c r="B1456">
        <v>0.6915104891105347</v>
      </c>
      <c r="C1456">
        <v>0.42282699529994261</v>
      </c>
    </row>
    <row r="1457" spans="1:3">
      <c r="A1457">
        <v>1449</v>
      </c>
      <c r="B1457">
        <v>0.82323175525782444</v>
      </c>
      <c r="C1457">
        <v>0.35083063230285916</v>
      </c>
    </row>
    <row r="1458" spans="1:3">
      <c r="A1458">
        <v>1450</v>
      </c>
      <c r="B1458">
        <v>0.36244019381949683</v>
      </c>
      <c r="C1458">
        <v>0.59753188959075487</v>
      </c>
    </row>
    <row r="1459" spans="1:3">
      <c r="A1459">
        <v>1451</v>
      </c>
      <c r="B1459">
        <v>0.54840377988843336</v>
      </c>
      <c r="C1459">
        <v>0.98802454395536188</v>
      </c>
    </row>
    <row r="1460" spans="1:3">
      <c r="A1460">
        <v>1452</v>
      </c>
      <c r="B1460">
        <v>0.33782809738969155</v>
      </c>
      <c r="C1460">
        <v>0.12983918878853729</v>
      </c>
    </row>
    <row r="1461" spans="1:3">
      <c r="A1461">
        <v>1453</v>
      </c>
      <c r="B1461">
        <v>0.63761404815940514</v>
      </c>
      <c r="C1461">
        <v>0.11859984632064879</v>
      </c>
    </row>
    <row r="1462" spans="1:3">
      <c r="A1462">
        <v>1454</v>
      </c>
      <c r="B1462">
        <v>0.65697845658449883</v>
      </c>
      <c r="C1462">
        <v>0.80990709521302051</v>
      </c>
    </row>
    <row r="1463" spans="1:3">
      <c r="A1463">
        <v>1455</v>
      </c>
      <c r="B1463">
        <v>0.83546471903018305</v>
      </c>
      <c r="C1463">
        <v>0.26655799020591076</v>
      </c>
    </row>
    <row r="1464" spans="1:3">
      <c r="A1464">
        <v>1456</v>
      </c>
      <c r="B1464">
        <v>0.81336178224407174</v>
      </c>
      <c r="C1464">
        <v>0.86401565256437607</v>
      </c>
    </row>
    <row r="1465" spans="1:3">
      <c r="A1465">
        <v>1457</v>
      </c>
      <c r="B1465">
        <v>0.714367075373737</v>
      </c>
      <c r="C1465">
        <v>0.99722340758853534</v>
      </c>
    </row>
    <row r="1466" spans="1:3">
      <c r="A1466">
        <v>1458</v>
      </c>
      <c r="B1466">
        <v>0.4043344099094473</v>
      </c>
      <c r="C1466">
        <v>0.39341233619961713</v>
      </c>
    </row>
    <row r="1467" spans="1:3">
      <c r="A1467">
        <v>1459</v>
      </c>
      <c r="B1467">
        <v>7.1726637961698383E-2</v>
      </c>
      <c r="C1467">
        <v>0.99534035987471725</v>
      </c>
    </row>
    <row r="1468" spans="1:3">
      <c r="A1468">
        <v>1460</v>
      </c>
      <c r="B1468">
        <v>0.91294189919315794</v>
      </c>
      <c r="C1468">
        <v>0.29936498461393057</v>
      </c>
    </row>
    <row r="1469" spans="1:3">
      <c r="A1469">
        <v>1461</v>
      </c>
      <c r="B1469">
        <v>0.93604118246199597</v>
      </c>
      <c r="C1469">
        <v>3.2805444860969146E-2</v>
      </c>
    </row>
    <row r="1470" spans="1:3">
      <c r="A1470">
        <v>1462</v>
      </c>
      <c r="B1470">
        <v>0.65454092382796603</v>
      </c>
      <c r="C1470">
        <v>0.90318218780703319</v>
      </c>
    </row>
    <row r="1471" spans="1:3">
      <c r="A1471">
        <v>1463</v>
      </c>
      <c r="B1471">
        <v>0.14117647358280991</v>
      </c>
      <c r="C1471">
        <v>0.29491161674468458</v>
      </c>
    </row>
    <row r="1472" spans="1:3">
      <c r="A1472">
        <v>1464</v>
      </c>
      <c r="B1472">
        <v>0.71103756849533817</v>
      </c>
      <c r="C1472">
        <v>0.14178311004070565</v>
      </c>
    </row>
    <row r="1473" spans="1:3">
      <c r="A1473">
        <v>1465</v>
      </c>
      <c r="B1473">
        <v>0.31554132314118122</v>
      </c>
      <c r="C1473">
        <v>0.51107802510068723</v>
      </c>
    </row>
    <row r="1474" spans="1:3">
      <c r="A1474">
        <v>1466</v>
      </c>
      <c r="B1474">
        <v>0.23357030097389833</v>
      </c>
      <c r="C1474">
        <v>4.5966519590365351E-2</v>
      </c>
    </row>
    <row r="1475" spans="1:3">
      <c r="A1475">
        <v>1467</v>
      </c>
      <c r="B1475">
        <v>0.28625284280820118</v>
      </c>
      <c r="C1475">
        <v>0.68887902993174066</v>
      </c>
    </row>
    <row r="1476" spans="1:3">
      <c r="A1476">
        <v>1468</v>
      </c>
      <c r="B1476">
        <v>5.2655407958490642E-2</v>
      </c>
      <c r="C1476">
        <v>0.38661130756736384</v>
      </c>
    </row>
    <row r="1477" spans="1:3">
      <c r="A1477">
        <v>1469</v>
      </c>
      <c r="B1477">
        <v>0.71254133548139165</v>
      </c>
      <c r="C1477">
        <v>0.24632706783359026</v>
      </c>
    </row>
    <row r="1478" spans="1:3">
      <c r="A1478">
        <v>1470</v>
      </c>
      <c r="B1478">
        <v>0.47813665489781104</v>
      </c>
      <c r="C1478">
        <v>0.43701778608192399</v>
      </c>
    </row>
    <row r="1479" spans="1:3">
      <c r="A1479">
        <v>1471</v>
      </c>
      <c r="B1479">
        <v>0.15298068160432873</v>
      </c>
      <c r="C1479">
        <v>0.57837213110997254</v>
      </c>
    </row>
    <row r="1480" spans="1:3">
      <c r="A1480">
        <v>1472</v>
      </c>
      <c r="B1480">
        <v>0.54160243119499696</v>
      </c>
      <c r="C1480">
        <v>5.494189612363698E-2</v>
      </c>
    </row>
    <row r="1481" spans="1:3">
      <c r="A1481">
        <v>1473</v>
      </c>
      <c r="B1481">
        <v>0.44626221088372686</v>
      </c>
      <c r="C1481">
        <v>0.68804880223979126</v>
      </c>
    </row>
    <row r="1482" spans="1:3">
      <c r="A1482">
        <v>1474</v>
      </c>
      <c r="B1482">
        <v>0.7556857134875109</v>
      </c>
      <c r="C1482">
        <v>0.17027384118409827</v>
      </c>
    </row>
    <row r="1483" spans="1:3">
      <c r="A1483">
        <v>1475</v>
      </c>
      <c r="B1483">
        <v>9.5946603759086355E-2</v>
      </c>
      <c r="C1483">
        <v>0.53653415479038813</v>
      </c>
    </row>
    <row r="1484" spans="1:3">
      <c r="A1484">
        <v>1476</v>
      </c>
      <c r="B1484">
        <v>0.79864715418313803</v>
      </c>
      <c r="C1484">
        <v>0.23337024190732336</v>
      </c>
    </row>
    <row r="1485" spans="1:3">
      <c r="A1485">
        <v>1477</v>
      </c>
      <c r="B1485">
        <v>0.42590254099008223</v>
      </c>
      <c r="C1485">
        <v>0.68039864510228654</v>
      </c>
    </row>
    <row r="1486" spans="1:3">
      <c r="A1486">
        <v>1478</v>
      </c>
      <c r="B1486">
        <v>0.70009222687349937</v>
      </c>
      <c r="C1486">
        <v>0.18365611712579266</v>
      </c>
    </row>
    <row r="1487" spans="1:3">
      <c r="A1487">
        <v>1479</v>
      </c>
      <c r="B1487">
        <v>0.28963592702393326</v>
      </c>
      <c r="C1487">
        <v>0.37651247181111103</v>
      </c>
    </row>
    <row r="1488" spans="1:3">
      <c r="A1488">
        <v>1480</v>
      </c>
      <c r="B1488">
        <v>0.82921949194656208</v>
      </c>
      <c r="C1488">
        <v>0.570103976291648</v>
      </c>
    </row>
    <row r="1489" spans="1:3">
      <c r="A1489">
        <v>1481</v>
      </c>
      <c r="B1489">
        <v>0.55221392613579845</v>
      </c>
      <c r="C1489">
        <v>0.31970036135498958</v>
      </c>
    </row>
    <row r="1490" spans="1:3">
      <c r="A1490">
        <v>1482</v>
      </c>
      <c r="B1490">
        <v>0.94948620258106053</v>
      </c>
      <c r="C1490">
        <v>0.41300603279250936</v>
      </c>
    </row>
    <row r="1491" spans="1:3">
      <c r="A1491">
        <v>1483</v>
      </c>
      <c r="B1491">
        <v>0.64494388230017941</v>
      </c>
      <c r="C1491">
        <v>0.87766503774400917</v>
      </c>
    </row>
    <row r="1492" spans="1:3">
      <c r="A1492">
        <v>1484</v>
      </c>
      <c r="B1492">
        <v>0.53610334480891553</v>
      </c>
      <c r="C1492">
        <v>0.95748066515716346</v>
      </c>
    </row>
    <row r="1493" spans="1:3">
      <c r="A1493">
        <v>1485</v>
      </c>
      <c r="B1493">
        <v>0.59597021575141007</v>
      </c>
      <c r="C1493">
        <v>0.60451513439875271</v>
      </c>
    </row>
    <row r="1494" spans="1:3">
      <c r="A1494">
        <v>1486</v>
      </c>
      <c r="B1494">
        <v>1.5641490408135927E-3</v>
      </c>
      <c r="C1494">
        <v>5.6663850491531775E-3</v>
      </c>
    </row>
    <row r="1495" spans="1:3">
      <c r="A1495">
        <v>1487</v>
      </c>
      <c r="B1495">
        <v>0.39142715678755824</v>
      </c>
      <c r="C1495">
        <v>0.37203998065524502</v>
      </c>
    </row>
    <row r="1496" spans="1:3">
      <c r="A1496">
        <v>1488</v>
      </c>
      <c r="B1496">
        <v>0.22261146781216642</v>
      </c>
      <c r="C1496">
        <v>0.40783237423875107</v>
      </c>
    </row>
    <row r="1497" spans="1:3">
      <c r="A1497">
        <v>1489</v>
      </c>
      <c r="B1497">
        <v>3.2770128059939042E-2</v>
      </c>
      <c r="C1497">
        <v>0.89148737980940496</v>
      </c>
    </row>
    <row r="1498" spans="1:3">
      <c r="A1498">
        <v>1490</v>
      </c>
      <c r="B1498">
        <v>0.97423089637715166</v>
      </c>
      <c r="C1498">
        <v>0.4411461115887505</v>
      </c>
    </row>
    <row r="1499" spans="1:3">
      <c r="A1499">
        <v>1491</v>
      </c>
      <c r="B1499">
        <v>8.7227827399789321E-2</v>
      </c>
      <c r="C1499">
        <v>0.19957362829427439</v>
      </c>
    </row>
    <row r="1500" spans="1:3">
      <c r="A1500">
        <v>1492</v>
      </c>
      <c r="B1500">
        <v>0.66890163328067898</v>
      </c>
      <c r="C1500">
        <v>0.79470759627474763</v>
      </c>
    </row>
    <row r="1501" spans="1:3">
      <c r="A1501">
        <v>1493</v>
      </c>
      <c r="B1501">
        <v>0.38443319480466498</v>
      </c>
      <c r="C1501">
        <v>0.64759983002750232</v>
      </c>
    </row>
    <row r="1502" spans="1:3">
      <c r="A1502">
        <v>1494</v>
      </c>
      <c r="B1502">
        <v>0.50486574322792366</v>
      </c>
      <c r="C1502">
        <v>3.780877079043421E-2</v>
      </c>
    </row>
    <row r="1503" spans="1:3">
      <c r="A1503">
        <v>1495</v>
      </c>
      <c r="B1503">
        <v>0.22122881434346292</v>
      </c>
      <c r="C1503">
        <v>0.68914851735371485</v>
      </c>
    </row>
    <row r="1504" spans="1:3">
      <c r="A1504">
        <v>1496</v>
      </c>
      <c r="B1504">
        <v>0.43889710776049112</v>
      </c>
      <c r="C1504">
        <v>0.33017067774744646</v>
      </c>
    </row>
    <row r="1505" spans="1:3">
      <c r="A1505">
        <v>1497</v>
      </c>
      <c r="B1505">
        <v>0.43757610671398606</v>
      </c>
      <c r="C1505">
        <v>0.27794938789247681</v>
      </c>
    </row>
    <row r="1506" spans="1:3">
      <c r="A1506">
        <v>1498</v>
      </c>
      <c r="B1506">
        <v>0.6392787701063507</v>
      </c>
      <c r="C1506">
        <v>0.77820413403969724</v>
      </c>
    </row>
    <row r="1507" spans="1:3">
      <c r="A1507">
        <v>1499</v>
      </c>
      <c r="B1507">
        <v>0.97184998587412996</v>
      </c>
      <c r="C1507">
        <v>0.26971331514050689</v>
      </c>
    </row>
    <row r="1508" spans="1:3">
      <c r="A1508">
        <v>1500</v>
      </c>
      <c r="B1508">
        <v>0.20968233045173865</v>
      </c>
      <c r="C1508">
        <v>0.37580322274334321</v>
      </c>
    </row>
    <row r="1509" spans="1:3">
      <c r="A1509">
        <v>1501</v>
      </c>
      <c r="B1509">
        <v>0.96620635824469059</v>
      </c>
      <c r="C1509">
        <v>0.401227755302898</v>
      </c>
    </row>
    <row r="1510" spans="1:3">
      <c r="A1510">
        <v>1502</v>
      </c>
      <c r="B1510">
        <v>0.17311749493272915</v>
      </c>
      <c r="C1510">
        <v>5.1606116330731311E-3</v>
      </c>
    </row>
    <row r="1511" spans="1:3">
      <c r="A1511">
        <v>1503</v>
      </c>
      <c r="B1511">
        <v>0.57733156171094901</v>
      </c>
      <c r="C1511">
        <v>0.31842671231424902</v>
      </c>
    </row>
    <row r="1512" spans="1:3">
      <c r="A1512">
        <v>1504</v>
      </c>
      <c r="B1512">
        <v>0.44941755799628275</v>
      </c>
      <c r="C1512">
        <v>0.35767604342527193</v>
      </c>
    </row>
    <row r="1513" spans="1:3">
      <c r="A1513">
        <v>1505</v>
      </c>
      <c r="B1513">
        <v>3.7797965665766499E-3</v>
      </c>
      <c r="C1513">
        <v>0.15988705951349402</v>
      </c>
    </row>
    <row r="1514" spans="1:3">
      <c r="A1514">
        <v>1506</v>
      </c>
      <c r="B1514">
        <v>0.65369038742242624</v>
      </c>
      <c r="C1514">
        <v>0.8496778687740516</v>
      </c>
    </row>
    <row r="1515" spans="1:3">
      <c r="A1515">
        <v>1507</v>
      </c>
      <c r="B1515">
        <v>0.95034299008020739</v>
      </c>
      <c r="C1515">
        <v>0.54658085156188463</v>
      </c>
    </row>
    <row r="1516" spans="1:3">
      <c r="A1516">
        <v>1508</v>
      </c>
      <c r="B1516">
        <v>0.92170251581736429</v>
      </c>
      <c r="C1516">
        <v>0.33416154701899359</v>
      </c>
    </row>
    <row r="1517" spans="1:3">
      <c r="A1517">
        <v>1509</v>
      </c>
      <c r="B1517">
        <v>0.96199318548762081</v>
      </c>
      <c r="C1517">
        <v>0.58091477986999962</v>
      </c>
    </row>
    <row r="1518" spans="1:3">
      <c r="A1518">
        <v>1510</v>
      </c>
      <c r="B1518">
        <v>7.1217397705003946E-2</v>
      </c>
      <c r="C1518">
        <v>0.96703693738618313</v>
      </c>
    </row>
    <row r="1519" spans="1:3">
      <c r="A1519">
        <v>1511</v>
      </c>
      <c r="B1519">
        <v>0.26571521643458756</v>
      </c>
      <c r="C1519">
        <v>0.97173783645121148</v>
      </c>
    </row>
    <row r="1520" spans="1:3">
      <c r="A1520">
        <v>1512</v>
      </c>
      <c r="B1520">
        <v>0.60353871871124454</v>
      </c>
      <c r="C1520">
        <v>0.27450275682622305</v>
      </c>
    </row>
    <row r="1521" spans="1:3">
      <c r="A1521">
        <v>1513</v>
      </c>
      <c r="B1521">
        <v>0.83611273824170063</v>
      </c>
      <c r="C1521">
        <v>0.47912148390969378</v>
      </c>
    </row>
    <row r="1522" spans="1:3">
      <c r="A1522">
        <v>1514</v>
      </c>
      <c r="B1522">
        <v>0.57839303170470358</v>
      </c>
      <c r="C1522">
        <v>0.78533471484024631</v>
      </c>
    </row>
    <row r="1523" spans="1:3">
      <c r="A1523">
        <v>1515</v>
      </c>
      <c r="B1523">
        <v>0.90981603816906376</v>
      </c>
      <c r="C1523">
        <v>0.95047535477897327</v>
      </c>
    </row>
    <row r="1524" spans="1:3">
      <c r="A1524">
        <v>1516</v>
      </c>
      <c r="B1524">
        <v>0.55169477333009587</v>
      </c>
      <c r="C1524">
        <v>0.161593033401914</v>
      </c>
    </row>
    <row r="1525" spans="1:3">
      <c r="A1525">
        <v>1517</v>
      </c>
      <c r="B1525">
        <v>0.97012153214773211</v>
      </c>
      <c r="C1525">
        <v>0.18037519789504586</v>
      </c>
    </row>
    <row r="1526" spans="1:3">
      <c r="A1526">
        <v>1518</v>
      </c>
      <c r="B1526">
        <v>0.84074705033580466</v>
      </c>
      <c r="C1526">
        <v>0.68702000725443213</v>
      </c>
    </row>
    <row r="1527" spans="1:3">
      <c r="A1527">
        <v>1519</v>
      </c>
      <c r="B1527">
        <v>0.38479474067413127</v>
      </c>
      <c r="C1527">
        <v>0.53519935191616241</v>
      </c>
    </row>
    <row r="1528" spans="1:3">
      <c r="A1528">
        <v>1520</v>
      </c>
      <c r="B1528">
        <v>0.20835537239461099</v>
      </c>
      <c r="C1528">
        <v>0.69518265140959556</v>
      </c>
    </row>
    <row r="1529" spans="1:3">
      <c r="A1529">
        <v>1521</v>
      </c>
      <c r="B1529">
        <v>0.16880678506978014</v>
      </c>
      <c r="C1529">
        <v>0.12367015215204447</v>
      </c>
    </row>
    <row r="1530" spans="1:3">
      <c r="A1530">
        <v>1522</v>
      </c>
      <c r="B1530">
        <v>0.20237239060140502</v>
      </c>
      <c r="C1530">
        <v>5.7848285722684523E-2</v>
      </c>
    </row>
    <row r="1531" spans="1:3">
      <c r="A1531">
        <v>1523</v>
      </c>
      <c r="B1531">
        <v>0.64038126089334979</v>
      </c>
      <c r="C1531">
        <v>0.62125451198335213</v>
      </c>
    </row>
    <row r="1532" spans="1:3">
      <c r="A1532">
        <v>1524</v>
      </c>
      <c r="B1532">
        <v>0.3049575570231205</v>
      </c>
      <c r="C1532">
        <v>0.61029652497472853</v>
      </c>
    </row>
    <row r="1533" spans="1:3">
      <c r="A1533">
        <v>1525</v>
      </c>
      <c r="B1533">
        <v>0.93265141413259589</v>
      </c>
      <c r="C1533">
        <v>0.2761110135470517</v>
      </c>
    </row>
    <row r="1534" spans="1:3">
      <c r="A1534">
        <v>1526</v>
      </c>
      <c r="B1534">
        <v>0.79015137715222117</v>
      </c>
      <c r="C1534">
        <v>0.28024890134383895</v>
      </c>
    </row>
    <row r="1535" spans="1:3">
      <c r="A1535">
        <v>1527</v>
      </c>
      <c r="B1535">
        <v>0.10311968954096543</v>
      </c>
      <c r="C1535">
        <v>0.31364401403152442</v>
      </c>
    </row>
    <row r="1536" spans="1:3">
      <c r="A1536">
        <v>1528</v>
      </c>
      <c r="B1536">
        <v>0.31860010796030985</v>
      </c>
      <c r="C1536">
        <v>0.69875645892625471</v>
      </c>
    </row>
    <row r="1537" spans="1:3">
      <c r="A1537">
        <v>1529</v>
      </c>
      <c r="B1537">
        <v>0.52322015271159361</v>
      </c>
      <c r="C1537">
        <v>0.71937784989498255</v>
      </c>
    </row>
    <row r="1538" spans="1:3">
      <c r="A1538">
        <v>1530</v>
      </c>
      <c r="B1538">
        <v>0.49931439543341155</v>
      </c>
      <c r="C1538">
        <v>0.74785678930675203</v>
      </c>
    </row>
    <row r="1539" spans="1:3">
      <c r="A1539">
        <v>1531</v>
      </c>
      <c r="B1539">
        <v>8.9496441342750664E-3</v>
      </c>
      <c r="C1539">
        <v>0.17970133410290146</v>
      </c>
    </row>
    <row r="1540" spans="1:3">
      <c r="A1540">
        <v>1532</v>
      </c>
      <c r="B1540">
        <v>0.99085758329039852</v>
      </c>
      <c r="C1540">
        <v>0.4019693766204</v>
      </c>
    </row>
    <row r="1541" spans="1:3">
      <c r="A1541">
        <v>1533</v>
      </c>
      <c r="B1541">
        <v>0.53288478416667429</v>
      </c>
      <c r="C1541">
        <v>0.69841763319618622</v>
      </c>
    </row>
    <row r="1542" spans="1:3">
      <c r="A1542">
        <v>1534</v>
      </c>
      <c r="B1542">
        <v>0.36024175752271942</v>
      </c>
      <c r="C1542">
        <v>0.396238736297164</v>
      </c>
    </row>
    <row r="1543" spans="1:3">
      <c r="A1543">
        <v>1535</v>
      </c>
      <c r="B1543">
        <v>0.24802276653773683</v>
      </c>
      <c r="C1543">
        <v>0.72425480969286582</v>
      </c>
    </row>
    <row r="1544" spans="1:3">
      <c r="A1544">
        <v>1536</v>
      </c>
      <c r="B1544">
        <v>0.53576097666597011</v>
      </c>
      <c r="C1544">
        <v>0.70212641607668047</v>
      </c>
    </row>
    <row r="1545" spans="1:3">
      <c r="A1545">
        <v>1537</v>
      </c>
      <c r="B1545">
        <v>0.13500521613615685</v>
      </c>
      <c r="C1545">
        <v>0.87532405450838269</v>
      </c>
    </row>
    <row r="1546" spans="1:3">
      <c r="A1546">
        <v>1538</v>
      </c>
      <c r="B1546">
        <v>0.13879003750942415</v>
      </c>
      <c r="C1546">
        <v>0.62333146895161917</v>
      </c>
    </row>
    <row r="1547" spans="1:3">
      <c r="A1547">
        <v>1539</v>
      </c>
      <c r="B1547">
        <v>0.46853345197791552</v>
      </c>
      <c r="C1547">
        <v>5.8125961162659223E-2</v>
      </c>
    </row>
    <row r="1548" spans="1:3">
      <c r="A1548">
        <v>1540</v>
      </c>
      <c r="B1548">
        <v>0.51433091411360787</v>
      </c>
      <c r="C1548">
        <v>0.78746095725546184</v>
      </c>
    </row>
    <row r="1549" spans="1:3">
      <c r="A1549">
        <v>1541</v>
      </c>
      <c r="B1549">
        <v>0.42758017454980407</v>
      </c>
      <c r="C1549">
        <v>0.53632008159729594</v>
      </c>
    </row>
    <row r="1550" spans="1:3">
      <c r="A1550">
        <v>1542</v>
      </c>
      <c r="B1550">
        <v>0.52492482678320374</v>
      </c>
      <c r="C1550">
        <v>0.30446289760766376</v>
      </c>
    </row>
    <row r="1551" spans="1:3">
      <c r="A1551">
        <v>1543</v>
      </c>
      <c r="B1551">
        <v>0.60991302832800731</v>
      </c>
      <c r="C1551">
        <v>0.68945577933936875</v>
      </c>
    </row>
    <row r="1552" spans="1:3">
      <c r="A1552">
        <v>1544</v>
      </c>
      <c r="B1552">
        <v>0.74092650001876204</v>
      </c>
      <c r="C1552">
        <v>0.23543755238279118</v>
      </c>
    </row>
    <row r="1553" spans="1:3">
      <c r="A1553">
        <v>1545</v>
      </c>
      <c r="B1553">
        <v>0.4291295107855298</v>
      </c>
      <c r="C1553">
        <v>0.92399954913616966</v>
      </c>
    </row>
    <row r="1554" spans="1:3">
      <c r="A1554">
        <v>1546</v>
      </c>
      <c r="B1554">
        <v>1.4128116838105048E-2</v>
      </c>
      <c r="C1554">
        <v>0.72814278542318789</v>
      </c>
    </row>
    <row r="1555" spans="1:3">
      <c r="A1555">
        <v>1547</v>
      </c>
      <c r="B1555">
        <v>0.89824172405042724</v>
      </c>
      <c r="C1555">
        <v>2.7744066756895336E-2</v>
      </c>
    </row>
    <row r="1556" spans="1:3">
      <c r="A1556">
        <v>1548</v>
      </c>
      <c r="B1556">
        <v>0.80837739504794059</v>
      </c>
      <c r="C1556">
        <v>0.51183955604210496</v>
      </c>
    </row>
    <row r="1557" spans="1:3">
      <c r="A1557">
        <v>1549</v>
      </c>
      <c r="B1557">
        <v>0.59856028600860389</v>
      </c>
      <c r="C1557">
        <v>0.94477838924285606</v>
      </c>
    </row>
    <row r="1558" spans="1:3">
      <c r="A1558">
        <v>1550</v>
      </c>
      <c r="B1558">
        <v>0.37812926751778675</v>
      </c>
      <c r="C1558">
        <v>0.56482290662006562</v>
      </c>
    </row>
    <row r="1559" spans="1:3">
      <c r="A1559">
        <v>1551</v>
      </c>
      <c r="B1559">
        <v>0.19620316758211775</v>
      </c>
      <c r="C1559">
        <v>0.17912767280176922</v>
      </c>
    </row>
    <row r="1560" spans="1:3">
      <c r="A1560">
        <v>1552</v>
      </c>
      <c r="B1560">
        <v>0.50850690481753713</v>
      </c>
      <c r="C1560">
        <v>0.99012456171567464</v>
      </c>
    </row>
    <row r="1561" spans="1:3">
      <c r="A1561">
        <v>1553</v>
      </c>
      <c r="B1561">
        <v>0.77192755888358866</v>
      </c>
      <c r="C1561">
        <v>0.66542526905686827</v>
      </c>
    </row>
    <row r="1562" spans="1:3">
      <c r="A1562">
        <v>1554</v>
      </c>
      <c r="B1562">
        <v>0.20138054120237486</v>
      </c>
      <c r="C1562">
        <v>0.1719382226392554</v>
      </c>
    </row>
    <row r="1563" spans="1:3">
      <c r="A1563">
        <v>1555</v>
      </c>
      <c r="B1563">
        <v>0.83823398322738563</v>
      </c>
      <c r="C1563">
        <v>0.81623632888840802</v>
      </c>
    </row>
    <row r="1564" spans="1:3">
      <c r="A1564">
        <v>1556</v>
      </c>
      <c r="B1564">
        <v>0.22354990107741901</v>
      </c>
      <c r="C1564">
        <v>0.30088624809013709</v>
      </c>
    </row>
    <row r="1565" spans="1:3">
      <c r="A1565">
        <v>1557</v>
      </c>
      <c r="B1565">
        <v>0.59117677848007921</v>
      </c>
      <c r="C1565">
        <v>0.8369699159047741</v>
      </c>
    </row>
    <row r="1566" spans="1:3">
      <c r="A1566">
        <v>1558</v>
      </c>
      <c r="B1566">
        <v>0.75849865667528915</v>
      </c>
      <c r="C1566">
        <v>0.26404383886165306</v>
      </c>
    </row>
    <row r="1567" spans="1:3">
      <c r="A1567">
        <v>1559</v>
      </c>
      <c r="B1567">
        <v>0.11110933413028469</v>
      </c>
      <c r="C1567">
        <v>1.1035830137188896E-2</v>
      </c>
    </row>
    <row r="1568" spans="1:3">
      <c r="A1568">
        <v>1560</v>
      </c>
      <c r="B1568">
        <v>0.62827483176749088</v>
      </c>
      <c r="C1568">
        <v>0.54793129382690609</v>
      </c>
    </row>
    <row r="1569" spans="1:3">
      <c r="A1569">
        <v>1561</v>
      </c>
      <c r="B1569">
        <v>0.93078566842558463</v>
      </c>
      <c r="C1569">
        <v>0.3264224997283236</v>
      </c>
    </row>
    <row r="1570" spans="1:3">
      <c r="A1570">
        <v>1562</v>
      </c>
      <c r="B1570">
        <v>0.35130978038588301</v>
      </c>
      <c r="C1570">
        <v>0.81879891125754511</v>
      </c>
    </row>
    <row r="1571" spans="1:3">
      <c r="A1571">
        <v>1563</v>
      </c>
      <c r="B1571">
        <v>0.16244380928432658</v>
      </c>
      <c r="C1571">
        <v>0.8215577718710847</v>
      </c>
    </row>
    <row r="1572" spans="1:3">
      <c r="A1572">
        <v>1564</v>
      </c>
      <c r="B1572">
        <v>0.6237374736871425</v>
      </c>
      <c r="C1572">
        <v>0.12144389099648834</v>
      </c>
    </row>
    <row r="1573" spans="1:3">
      <c r="A1573">
        <v>1565</v>
      </c>
      <c r="B1573">
        <v>0.55742611165024014</v>
      </c>
      <c r="C1573">
        <v>0.55310636752983555</v>
      </c>
    </row>
    <row r="1574" spans="1:3">
      <c r="A1574">
        <v>1566</v>
      </c>
      <c r="B1574">
        <v>0.79541433776081871</v>
      </c>
      <c r="C1574">
        <v>0.98167831532464334</v>
      </c>
    </row>
    <row r="1575" spans="1:3">
      <c r="A1575">
        <v>1567</v>
      </c>
      <c r="B1575">
        <v>0.1181358490078095</v>
      </c>
      <c r="C1575">
        <v>0.38635116381374246</v>
      </c>
    </row>
    <row r="1576" spans="1:3">
      <c r="A1576">
        <v>1568</v>
      </c>
      <c r="B1576">
        <v>0.86246194903810081</v>
      </c>
      <c r="C1576">
        <v>0.71886417629684729</v>
      </c>
    </row>
    <row r="1577" spans="1:3">
      <c r="A1577">
        <v>1569</v>
      </c>
      <c r="B1577">
        <v>0.65957408381397231</v>
      </c>
      <c r="C1577">
        <v>0.45911059613081306</v>
      </c>
    </row>
    <row r="1578" spans="1:3">
      <c r="A1578">
        <v>1570</v>
      </c>
      <c r="B1578">
        <v>0.1626157526996489</v>
      </c>
      <c r="C1578">
        <v>0.58529127045767382</v>
      </c>
    </row>
    <row r="1579" spans="1:3">
      <c r="A1579">
        <v>1571</v>
      </c>
      <c r="B1579">
        <v>0.24273682360172666</v>
      </c>
      <c r="C1579">
        <v>0.69417652441461541</v>
      </c>
    </row>
    <row r="1580" spans="1:3">
      <c r="A1580">
        <v>1572</v>
      </c>
      <c r="B1580">
        <v>0.7419424943403673</v>
      </c>
      <c r="C1580">
        <v>0.5974112122439692</v>
      </c>
    </row>
    <row r="1581" spans="1:3">
      <c r="A1581">
        <v>1573</v>
      </c>
      <c r="B1581">
        <v>0.34467739029034911</v>
      </c>
      <c r="C1581">
        <v>3.7620920445095685E-2</v>
      </c>
    </row>
    <row r="1582" spans="1:3">
      <c r="A1582">
        <v>1574</v>
      </c>
      <c r="B1582">
        <v>0.3710834856927589</v>
      </c>
      <c r="C1582">
        <v>0.38904194708084106</v>
      </c>
    </row>
    <row r="1583" spans="1:3">
      <c r="A1583">
        <v>1575</v>
      </c>
      <c r="B1583">
        <v>0.51537865077489486</v>
      </c>
      <c r="C1583">
        <v>0.43321410422413464</v>
      </c>
    </row>
    <row r="1584" spans="1:3">
      <c r="A1584">
        <v>1576</v>
      </c>
      <c r="B1584">
        <v>0.66816969139589222</v>
      </c>
      <c r="C1584">
        <v>0.89862592983081413</v>
      </c>
    </row>
    <row r="1585" spans="1:3">
      <c r="A1585">
        <v>1577</v>
      </c>
      <c r="B1585">
        <v>0.4453558028870625</v>
      </c>
      <c r="C1585">
        <v>0.89583188251799584</v>
      </c>
    </row>
    <row r="1586" spans="1:3">
      <c r="A1586">
        <v>1578</v>
      </c>
      <c r="B1586">
        <v>0.90648681709796342</v>
      </c>
      <c r="C1586">
        <v>0.61607290472602472</v>
      </c>
    </row>
    <row r="1587" spans="1:3">
      <c r="A1587">
        <v>1579</v>
      </c>
      <c r="B1587">
        <v>0.33381426113779056</v>
      </c>
      <c r="C1587">
        <v>0.99557943933450588</v>
      </c>
    </row>
    <row r="1588" spans="1:3">
      <c r="A1588">
        <v>1580</v>
      </c>
      <c r="B1588">
        <v>0.68395473168491261</v>
      </c>
      <c r="C1588">
        <v>4.5166341436924995E-2</v>
      </c>
    </row>
    <row r="1589" spans="1:3">
      <c r="A1589">
        <v>1581</v>
      </c>
      <c r="B1589">
        <v>0.59423929596409186</v>
      </c>
      <c r="C1589">
        <v>0.49583556909510662</v>
      </c>
    </row>
    <row r="1590" spans="1:3">
      <c r="A1590">
        <v>1582</v>
      </c>
      <c r="B1590">
        <v>0.81860819733869472</v>
      </c>
      <c r="C1590">
        <v>0.23472805676647113</v>
      </c>
    </row>
    <row r="1591" spans="1:3">
      <c r="A1591">
        <v>1583</v>
      </c>
      <c r="B1591">
        <v>0.4933682479830851</v>
      </c>
      <c r="C1591">
        <v>0.9470329651294378</v>
      </c>
    </row>
    <row r="1592" spans="1:3">
      <c r="A1592">
        <v>1584</v>
      </c>
      <c r="B1592">
        <v>7.9084103509989581E-2</v>
      </c>
      <c r="C1592">
        <v>0.51308635435816541</v>
      </c>
    </row>
    <row r="1593" spans="1:3">
      <c r="A1593">
        <v>1585</v>
      </c>
      <c r="B1593">
        <v>0.36145794149419713</v>
      </c>
      <c r="C1593">
        <v>0.27224961785486812</v>
      </c>
    </row>
    <row r="1594" spans="1:3">
      <c r="A1594">
        <v>1586</v>
      </c>
      <c r="B1594">
        <v>0.1029436925375703</v>
      </c>
      <c r="C1594">
        <v>0.23502677772921743</v>
      </c>
    </row>
    <row r="1595" spans="1:3">
      <c r="A1595">
        <v>1587</v>
      </c>
      <c r="B1595">
        <v>0.86714505610231896</v>
      </c>
      <c r="C1595">
        <v>0.77779003248269873</v>
      </c>
    </row>
    <row r="1596" spans="1:3">
      <c r="A1596">
        <v>1588</v>
      </c>
      <c r="B1596">
        <v>0.657743572515469</v>
      </c>
      <c r="C1596">
        <v>0.29809136569565453</v>
      </c>
    </row>
    <row r="1597" spans="1:3">
      <c r="A1597">
        <v>1589</v>
      </c>
      <c r="B1597">
        <v>0.24022160036247728</v>
      </c>
      <c r="C1597">
        <v>0.77180531641170091</v>
      </c>
    </row>
    <row r="1598" spans="1:3">
      <c r="A1598">
        <v>1590</v>
      </c>
      <c r="B1598">
        <v>0.81773829946181231</v>
      </c>
      <c r="C1598">
        <v>0.83356561381606298</v>
      </c>
    </row>
    <row r="1599" spans="1:3">
      <c r="A1599">
        <v>1591</v>
      </c>
      <c r="B1599">
        <v>0.60371591852771023</v>
      </c>
      <c r="C1599">
        <v>3.6258587591873948E-2</v>
      </c>
    </row>
    <row r="1600" spans="1:3">
      <c r="A1600">
        <v>1592</v>
      </c>
      <c r="B1600">
        <v>0.6918931809418587</v>
      </c>
      <c r="C1600">
        <v>0.84603790404344181</v>
      </c>
    </row>
    <row r="1601" spans="1:3">
      <c r="A1601">
        <v>1593</v>
      </c>
      <c r="B1601">
        <v>0.53352684717553833</v>
      </c>
      <c r="C1601">
        <v>0.27002488187463314</v>
      </c>
    </row>
    <row r="1602" spans="1:3">
      <c r="A1602">
        <v>1594</v>
      </c>
      <c r="B1602">
        <v>0.28852196294514504</v>
      </c>
      <c r="C1602">
        <v>0.10150015382987476</v>
      </c>
    </row>
    <row r="1603" spans="1:3">
      <c r="A1603">
        <v>1595</v>
      </c>
      <c r="B1603">
        <v>0.94621887848889896</v>
      </c>
      <c r="C1603">
        <v>1.2802545428712619E-2</v>
      </c>
    </row>
    <row r="1604" spans="1:3">
      <c r="A1604">
        <v>1596</v>
      </c>
      <c r="B1604">
        <v>0.5896977866675932</v>
      </c>
      <c r="C1604">
        <v>0.26865399640428222</v>
      </c>
    </row>
    <row r="1605" spans="1:3">
      <c r="A1605">
        <v>1597</v>
      </c>
      <c r="B1605">
        <v>0.97578803541101244</v>
      </c>
      <c r="C1605">
        <v>3.163518800829479E-2</v>
      </c>
    </row>
    <row r="1606" spans="1:3">
      <c r="A1606">
        <v>1598</v>
      </c>
      <c r="B1606">
        <v>0.9915246914850373</v>
      </c>
      <c r="C1606">
        <v>0.79171308463355672</v>
      </c>
    </row>
    <row r="1607" spans="1:3">
      <c r="A1607">
        <v>1599</v>
      </c>
      <c r="B1607">
        <v>0.17670012420641726</v>
      </c>
      <c r="C1607">
        <v>0.55158947854943108</v>
      </c>
    </row>
    <row r="1608" spans="1:3">
      <c r="A1608">
        <v>1600</v>
      </c>
      <c r="B1608">
        <v>0.15924233592856732</v>
      </c>
      <c r="C1608">
        <v>3.2892082399484934E-2</v>
      </c>
    </row>
    <row r="1609" spans="1:3">
      <c r="A1609">
        <v>1601</v>
      </c>
      <c r="B1609">
        <v>4.5753324589634624E-2</v>
      </c>
      <c r="C1609">
        <v>0.16549358136308001</v>
      </c>
    </row>
    <row r="1610" spans="1:3">
      <c r="A1610">
        <v>1602</v>
      </c>
      <c r="B1610">
        <v>0.92146228462198343</v>
      </c>
      <c r="C1610">
        <v>0.56487696022486489</v>
      </c>
    </row>
    <row r="1611" spans="1:3">
      <c r="A1611">
        <v>1603</v>
      </c>
      <c r="B1611">
        <v>5.8555141885149091E-2</v>
      </c>
      <c r="C1611">
        <v>0.96919664082179224</v>
      </c>
    </row>
    <row r="1612" spans="1:3">
      <c r="A1612">
        <v>1604</v>
      </c>
      <c r="B1612">
        <v>0.50763252679142923</v>
      </c>
      <c r="C1612">
        <v>0.81253325426226297</v>
      </c>
    </row>
    <row r="1613" spans="1:3">
      <c r="A1613">
        <v>1605</v>
      </c>
      <c r="B1613">
        <v>0.22722876878847106</v>
      </c>
      <c r="C1613">
        <v>0.95100714500404138</v>
      </c>
    </row>
    <row r="1614" spans="1:3">
      <c r="A1614">
        <v>1606</v>
      </c>
      <c r="B1614">
        <v>0.47574072249148519</v>
      </c>
      <c r="C1614">
        <v>0.47330480554319365</v>
      </c>
    </row>
    <row r="1615" spans="1:3">
      <c r="A1615">
        <v>1607</v>
      </c>
      <c r="B1615">
        <v>0.78801807063366702</v>
      </c>
      <c r="C1615">
        <v>0.89967735917161917</v>
      </c>
    </row>
    <row r="1616" spans="1:3">
      <c r="A1616">
        <v>1608</v>
      </c>
      <c r="B1616">
        <v>0.9436302788116574</v>
      </c>
      <c r="C1616">
        <v>0.44145450624182558</v>
      </c>
    </row>
    <row r="1617" spans="1:3">
      <c r="A1617">
        <v>1609</v>
      </c>
      <c r="B1617">
        <v>0.11147782584272274</v>
      </c>
      <c r="C1617">
        <v>0.22400777250186366</v>
      </c>
    </row>
    <row r="1618" spans="1:3">
      <c r="A1618">
        <v>1610</v>
      </c>
      <c r="B1618">
        <v>7.9651534068643004E-2</v>
      </c>
      <c r="C1618">
        <v>2.1371671388806135E-2</v>
      </c>
    </row>
    <row r="1619" spans="1:3">
      <c r="A1619">
        <v>1611</v>
      </c>
      <c r="B1619">
        <v>0.80759609537394628</v>
      </c>
      <c r="C1619">
        <v>1.577988816643483E-2</v>
      </c>
    </row>
    <row r="1620" spans="1:3">
      <c r="A1620">
        <v>1612</v>
      </c>
      <c r="B1620">
        <v>0.54931485183078677</v>
      </c>
      <c r="C1620">
        <v>0.3438234602645025</v>
      </c>
    </row>
    <row r="1621" spans="1:3">
      <c r="A1621">
        <v>1613</v>
      </c>
      <c r="B1621">
        <v>0.86879699796647691</v>
      </c>
      <c r="C1621">
        <v>0.90946217581767996</v>
      </c>
    </row>
    <row r="1622" spans="1:3">
      <c r="A1622">
        <v>1614</v>
      </c>
      <c r="B1622">
        <v>0.16025151580391722</v>
      </c>
      <c r="C1622">
        <v>0.51295808021770029</v>
      </c>
    </row>
    <row r="1623" spans="1:3">
      <c r="A1623">
        <v>1615</v>
      </c>
      <c r="B1623">
        <v>0.85713871601832547</v>
      </c>
      <c r="C1623">
        <v>6.3987150898356049E-2</v>
      </c>
    </row>
    <row r="1624" spans="1:3">
      <c r="A1624">
        <v>1616</v>
      </c>
      <c r="B1624">
        <v>0.91880968442321975</v>
      </c>
      <c r="C1624">
        <v>0.12446957633801503</v>
      </c>
    </row>
    <row r="1625" spans="1:3">
      <c r="A1625">
        <v>1617</v>
      </c>
      <c r="B1625">
        <v>0.21159702055253951</v>
      </c>
      <c r="C1625">
        <v>0.49558776794128789</v>
      </c>
    </row>
    <row r="1626" spans="1:3">
      <c r="A1626">
        <v>1618</v>
      </c>
      <c r="B1626">
        <v>0.70318534533022559</v>
      </c>
      <c r="C1626">
        <v>0.62812414743711997</v>
      </c>
    </row>
    <row r="1627" spans="1:3">
      <c r="A1627">
        <v>1619</v>
      </c>
      <c r="B1627">
        <v>0.43692898246173956</v>
      </c>
      <c r="C1627">
        <v>0.92346504686884145</v>
      </c>
    </row>
    <row r="1628" spans="1:3">
      <c r="A1628">
        <v>1620</v>
      </c>
      <c r="B1628">
        <v>0.90936253362814023</v>
      </c>
      <c r="C1628">
        <v>0.89572848163879826</v>
      </c>
    </row>
    <row r="1629" spans="1:3">
      <c r="A1629">
        <v>1621</v>
      </c>
      <c r="B1629">
        <v>0.82088248588970925</v>
      </c>
      <c r="C1629">
        <v>0.46506111069084</v>
      </c>
    </row>
    <row r="1630" spans="1:3">
      <c r="A1630">
        <v>1622</v>
      </c>
      <c r="B1630">
        <v>0.68484642999112755</v>
      </c>
      <c r="C1630">
        <v>0.51591754826040415</v>
      </c>
    </row>
    <row r="1631" spans="1:3">
      <c r="A1631">
        <v>1623</v>
      </c>
      <c r="B1631">
        <v>0.77533983446395482</v>
      </c>
      <c r="C1631">
        <v>0.33367410380833462</v>
      </c>
    </row>
    <row r="1632" spans="1:3">
      <c r="A1632">
        <v>1624</v>
      </c>
      <c r="B1632">
        <v>0.72207827686753079</v>
      </c>
      <c r="C1632">
        <v>0.45119309169240296</v>
      </c>
    </row>
    <row r="1633" spans="1:3">
      <c r="A1633">
        <v>1625</v>
      </c>
      <c r="B1633">
        <v>0.26198789900638814</v>
      </c>
      <c r="C1633">
        <v>0.25080753740894579</v>
      </c>
    </row>
    <row r="1634" spans="1:3">
      <c r="A1634">
        <v>1626</v>
      </c>
      <c r="B1634">
        <v>0.20487707122938642</v>
      </c>
      <c r="C1634">
        <v>0.95978418099730334</v>
      </c>
    </row>
    <row r="1635" spans="1:3">
      <c r="A1635">
        <v>1627</v>
      </c>
      <c r="B1635">
        <v>8.3965974574341892E-2</v>
      </c>
      <c r="C1635">
        <v>0.35379333833861892</v>
      </c>
    </row>
    <row r="1636" spans="1:3">
      <c r="A1636">
        <v>1628</v>
      </c>
      <c r="B1636">
        <v>0.13059146577119629</v>
      </c>
      <c r="C1636">
        <v>0.4261914469570911</v>
      </c>
    </row>
    <row r="1637" spans="1:3">
      <c r="A1637">
        <v>1629</v>
      </c>
      <c r="B1637">
        <v>0.86637381004611347</v>
      </c>
      <c r="C1637">
        <v>0.83247902237781091</v>
      </c>
    </row>
    <row r="1638" spans="1:3">
      <c r="A1638">
        <v>1630</v>
      </c>
      <c r="B1638">
        <v>0.46029347832200429</v>
      </c>
      <c r="C1638">
        <v>0.62675430243962182</v>
      </c>
    </row>
    <row r="1639" spans="1:3">
      <c r="A1639">
        <v>1631</v>
      </c>
      <c r="B1639">
        <v>0.87997707840203709</v>
      </c>
      <c r="C1639">
        <v>0.91872037366738368</v>
      </c>
    </row>
    <row r="1640" spans="1:3">
      <c r="A1640">
        <v>1632</v>
      </c>
      <c r="B1640">
        <v>3.3165890594703588E-2</v>
      </c>
      <c r="C1640">
        <v>0.47738642042986612</v>
      </c>
    </row>
    <row r="1641" spans="1:3">
      <c r="A1641">
        <v>1633</v>
      </c>
      <c r="B1641">
        <v>0.71219892895398629</v>
      </c>
      <c r="C1641">
        <v>0.82730967522002175</v>
      </c>
    </row>
    <row r="1642" spans="1:3">
      <c r="A1642">
        <v>1634</v>
      </c>
      <c r="B1642">
        <v>2.681739123231205E-4</v>
      </c>
      <c r="C1642">
        <v>0.53572418076419126</v>
      </c>
    </row>
    <row r="1643" spans="1:3">
      <c r="A1643">
        <v>1635</v>
      </c>
      <c r="B1643">
        <v>0.58321261365968091</v>
      </c>
      <c r="C1643">
        <v>0.99896067874942673</v>
      </c>
    </row>
    <row r="1644" spans="1:3">
      <c r="A1644">
        <v>1636</v>
      </c>
      <c r="B1644">
        <v>0.22662537703756835</v>
      </c>
      <c r="C1644">
        <v>0.57237865009938105</v>
      </c>
    </row>
    <row r="1645" spans="1:3">
      <c r="A1645">
        <v>1637</v>
      </c>
      <c r="B1645">
        <v>6.7577747261938118E-2</v>
      </c>
      <c r="C1645">
        <v>0.93857140293584962</v>
      </c>
    </row>
    <row r="1646" spans="1:3">
      <c r="A1646">
        <v>1638</v>
      </c>
      <c r="B1646">
        <v>0.59062397564785174</v>
      </c>
      <c r="C1646">
        <v>0.94850561833027314</v>
      </c>
    </row>
    <row r="1647" spans="1:3">
      <c r="A1647">
        <v>1639</v>
      </c>
      <c r="B1647">
        <v>0.96515034542608769</v>
      </c>
      <c r="C1647">
        <v>0.85402731882277294</v>
      </c>
    </row>
    <row r="1648" spans="1:3">
      <c r="A1648">
        <v>1640</v>
      </c>
      <c r="B1648">
        <v>0.17387473577192861</v>
      </c>
      <c r="C1648">
        <v>0.99264510431294184</v>
      </c>
    </row>
    <row r="1649" spans="1:3">
      <c r="A1649">
        <v>1641</v>
      </c>
      <c r="B1649">
        <v>0.37256039569744848</v>
      </c>
      <c r="C1649">
        <v>0.98246662684505282</v>
      </c>
    </row>
    <row r="1650" spans="1:3">
      <c r="A1650">
        <v>1642</v>
      </c>
      <c r="B1650">
        <v>0.73299268729174338</v>
      </c>
      <c r="C1650">
        <v>0.75312790411499009</v>
      </c>
    </row>
    <row r="1651" spans="1:3">
      <c r="A1651">
        <v>1643</v>
      </c>
      <c r="B1651">
        <v>0.27666239928087738</v>
      </c>
      <c r="C1651">
        <v>0.73044423817191273</v>
      </c>
    </row>
    <row r="1652" spans="1:3">
      <c r="A1652">
        <v>1644</v>
      </c>
      <c r="B1652">
        <v>0.76201438074224037</v>
      </c>
      <c r="C1652">
        <v>0.90546598338096373</v>
      </c>
    </row>
    <row r="1653" spans="1:3">
      <c r="A1653">
        <v>1645</v>
      </c>
      <c r="B1653">
        <v>0.15669765999673346</v>
      </c>
      <c r="C1653">
        <v>0.43245587453748158</v>
      </c>
    </row>
    <row r="1654" spans="1:3">
      <c r="A1654">
        <v>1646</v>
      </c>
      <c r="B1654">
        <v>0.52438671623137467</v>
      </c>
      <c r="C1654">
        <v>0.1488469106161574</v>
      </c>
    </row>
    <row r="1655" spans="1:3">
      <c r="A1655">
        <v>1647</v>
      </c>
      <c r="B1655">
        <v>3.6586832470071232E-2</v>
      </c>
      <c r="C1655">
        <v>0.63679028954720707</v>
      </c>
    </row>
    <row r="1656" spans="1:3">
      <c r="A1656">
        <v>1648</v>
      </c>
      <c r="B1656">
        <v>0.74404889969007315</v>
      </c>
      <c r="C1656">
        <v>0.61992957424808992</v>
      </c>
    </row>
    <row r="1657" spans="1:3">
      <c r="A1657">
        <v>1649</v>
      </c>
      <c r="B1657">
        <v>0.49823260844779027</v>
      </c>
      <c r="C1657">
        <v>0.70527704830874427</v>
      </c>
    </row>
    <row r="1658" spans="1:3">
      <c r="A1658">
        <v>1650</v>
      </c>
      <c r="B1658">
        <v>0.69843463407392492</v>
      </c>
      <c r="C1658">
        <v>0.70903831780196924</v>
      </c>
    </row>
    <row r="1659" spans="1:3">
      <c r="A1659">
        <v>1651</v>
      </c>
      <c r="B1659">
        <v>0.42447793329844208</v>
      </c>
      <c r="C1659">
        <v>0.60687865801264707</v>
      </c>
    </row>
    <row r="1660" spans="1:3">
      <c r="A1660">
        <v>1652</v>
      </c>
      <c r="B1660">
        <v>6.6008087105818111E-2</v>
      </c>
      <c r="C1660">
        <v>9.6651620370721503E-2</v>
      </c>
    </row>
    <row r="1661" spans="1:3">
      <c r="A1661">
        <v>1653</v>
      </c>
      <c r="B1661">
        <v>8.1842985875309207E-2</v>
      </c>
      <c r="C1661">
        <v>0.2253157988525345</v>
      </c>
    </row>
    <row r="1662" spans="1:3">
      <c r="A1662">
        <v>1654</v>
      </c>
      <c r="B1662">
        <v>0.66615882119800873</v>
      </c>
      <c r="C1662">
        <v>0.33831218274553976</v>
      </c>
    </row>
    <row r="1663" spans="1:3">
      <c r="A1663">
        <v>1655</v>
      </c>
      <c r="B1663">
        <v>0.22640596924107662</v>
      </c>
      <c r="C1663">
        <v>0.77489471824267753</v>
      </c>
    </row>
    <row r="1664" spans="1:3">
      <c r="A1664">
        <v>1656</v>
      </c>
      <c r="B1664">
        <v>0.27791568558097718</v>
      </c>
      <c r="C1664">
        <v>0.24105537371349328</v>
      </c>
    </row>
    <row r="1665" spans="1:3">
      <c r="A1665">
        <v>1657</v>
      </c>
      <c r="B1665">
        <v>0.94382759989058307</v>
      </c>
      <c r="C1665">
        <v>0.58867677885382363</v>
      </c>
    </row>
    <row r="1666" spans="1:3">
      <c r="A1666">
        <v>1658</v>
      </c>
      <c r="B1666">
        <v>0.25867959721416228</v>
      </c>
      <c r="C1666">
        <v>0.78883239377864811</v>
      </c>
    </row>
    <row r="1667" spans="1:3">
      <c r="A1667">
        <v>1659</v>
      </c>
      <c r="B1667">
        <v>0.50560381419155842</v>
      </c>
      <c r="C1667">
        <v>0.67838329125606833</v>
      </c>
    </row>
    <row r="1668" spans="1:3">
      <c r="A1668">
        <v>1660</v>
      </c>
      <c r="B1668">
        <v>0.84264006768028243</v>
      </c>
      <c r="C1668">
        <v>0.20067640180786839</v>
      </c>
    </row>
    <row r="1669" spans="1:3">
      <c r="A1669">
        <v>1661</v>
      </c>
      <c r="B1669">
        <v>0.87443036134825802</v>
      </c>
      <c r="C1669">
        <v>0.44597723107564491</v>
      </c>
    </row>
    <row r="1670" spans="1:3">
      <c r="A1670">
        <v>1662</v>
      </c>
      <c r="B1670">
        <v>0.78919212876949274</v>
      </c>
      <c r="C1670">
        <v>0.60741649959118149</v>
      </c>
    </row>
    <row r="1671" spans="1:3">
      <c r="A1671">
        <v>1663</v>
      </c>
      <c r="B1671">
        <v>0.14752645500067771</v>
      </c>
      <c r="C1671">
        <v>0.46855667971294679</v>
      </c>
    </row>
    <row r="1672" spans="1:3">
      <c r="A1672">
        <v>1664</v>
      </c>
      <c r="B1672">
        <v>0.70739197052521441</v>
      </c>
      <c r="C1672">
        <v>0.23322992303428691</v>
      </c>
    </row>
    <row r="1673" spans="1:3">
      <c r="A1673">
        <v>1665</v>
      </c>
      <c r="B1673">
        <v>0.96815010564693949</v>
      </c>
      <c r="C1673">
        <v>9.114493515517097E-2</v>
      </c>
    </row>
    <row r="1674" spans="1:3">
      <c r="A1674">
        <v>1666</v>
      </c>
      <c r="B1674">
        <v>0.61448005466896116</v>
      </c>
      <c r="C1674">
        <v>1.3645377172920803E-2</v>
      </c>
    </row>
    <row r="1675" spans="1:3">
      <c r="A1675">
        <v>1667</v>
      </c>
      <c r="B1675">
        <v>0.38691803596590596</v>
      </c>
      <c r="C1675">
        <v>0.58169265030619499</v>
      </c>
    </row>
    <row r="1676" spans="1:3">
      <c r="A1676">
        <v>1668</v>
      </c>
      <c r="B1676">
        <v>0.26507956248523656</v>
      </c>
      <c r="C1676">
        <v>0.48195784071185699</v>
      </c>
    </row>
    <row r="1677" spans="1:3">
      <c r="A1677">
        <v>1669</v>
      </c>
      <c r="B1677">
        <v>4.791075487004378E-2</v>
      </c>
      <c r="C1677">
        <v>0.23024173458679797</v>
      </c>
    </row>
    <row r="1678" spans="1:3">
      <c r="A1678">
        <v>1670</v>
      </c>
      <c r="B1678">
        <v>0.72134541673952368</v>
      </c>
      <c r="C1678">
        <v>0.16903480320479503</v>
      </c>
    </row>
    <row r="1679" spans="1:3">
      <c r="A1679">
        <v>1671</v>
      </c>
      <c r="B1679">
        <v>0.25837786781126121</v>
      </c>
      <c r="C1679">
        <v>0.80252105562203724</v>
      </c>
    </row>
    <row r="1680" spans="1:3">
      <c r="A1680">
        <v>1672</v>
      </c>
      <c r="B1680">
        <v>0.82826673062519784</v>
      </c>
      <c r="C1680">
        <v>0.69330161573270743</v>
      </c>
    </row>
    <row r="1681" spans="1:3">
      <c r="A1681">
        <v>1673</v>
      </c>
      <c r="B1681">
        <v>0.31535913707319629</v>
      </c>
      <c r="C1681">
        <v>0.99453024857393757</v>
      </c>
    </row>
    <row r="1682" spans="1:3">
      <c r="A1682">
        <v>1674</v>
      </c>
      <c r="B1682">
        <v>0.7581438251385334</v>
      </c>
      <c r="C1682">
        <v>0.1684598515248581</v>
      </c>
    </row>
    <row r="1683" spans="1:3">
      <c r="A1683">
        <v>1675</v>
      </c>
      <c r="B1683">
        <v>0.71094879899922503</v>
      </c>
      <c r="C1683">
        <v>6.8695646634296281E-2</v>
      </c>
    </row>
    <row r="1684" spans="1:3">
      <c r="A1684">
        <v>1676</v>
      </c>
      <c r="B1684">
        <v>0.21668582945631018</v>
      </c>
      <c r="C1684">
        <v>0.22381720115663484</v>
      </c>
    </row>
    <row r="1685" spans="1:3">
      <c r="A1685">
        <v>1677</v>
      </c>
      <c r="B1685">
        <v>0.7999134530286568</v>
      </c>
      <c r="C1685">
        <v>0.82708134409313061</v>
      </c>
    </row>
    <row r="1686" spans="1:3">
      <c r="A1686">
        <v>1678</v>
      </c>
      <c r="B1686">
        <v>0.50309101725520822</v>
      </c>
      <c r="C1686">
        <v>0.38710871917464829</v>
      </c>
    </row>
    <row r="1687" spans="1:3">
      <c r="A1687">
        <v>1679</v>
      </c>
      <c r="B1687">
        <v>2.7411909548102856E-2</v>
      </c>
      <c r="C1687">
        <v>0.54449180442861689</v>
      </c>
    </row>
    <row r="1688" spans="1:3">
      <c r="A1688">
        <v>1680</v>
      </c>
      <c r="B1688">
        <v>0.90870062127995788</v>
      </c>
      <c r="C1688">
        <v>0.75613261832222634</v>
      </c>
    </row>
    <row r="1689" spans="1:3">
      <c r="A1689">
        <v>1681</v>
      </c>
      <c r="B1689">
        <v>0.77642114860131894</v>
      </c>
      <c r="C1689">
        <v>0.3523357010244581</v>
      </c>
    </row>
    <row r="1690" spans="1:3">
      <c r="A1690">
        <v>1682</v>
      </c>
      <c r="B1690">
        <v>3.1180346520240498E-2</v>
      </c>
      <c r="C1690">
        <v>0.56824648177644121</v>
      </c>
    </row>
    <row r="1691" spans="1:3">
      <c r="A1691">
        <v>1683</v>
      </c>
      <c r="B1691">
        <v>0.95548670835166394</v>
      </c>
      <c r="C1691">
        <v>0.55567502052781492</v>
      </c>
    </row>
    <row r="1692" spans="1:3">
      <c r="A1692">
        <v>1684</v>
      </c>
      <c r="B1692">
        <v>5.2183974525142458E-2</v>
      </c>
      <c r="C1692">
        <v>0.11567744199965091</v>
      </c>
    </row>
    <row r="1693" spans="1:3">
      <c r="A1693">
        <v>1685</v>
      </c>
      <c r="B1693">
        <v>0.14286486337610169</v>
      </c>
      <c r="C1693">
        <v>0.41758156874948327</v>
      </c>
    </row>
    <row r="1694" spans="1:3">
      <c r="A1694">
        <v>1686</v>
      </c>
      <c r="B1694">
        <v>2.4089030396167426E-2</v>
      </c>
      <c r="C1694">
        <v>0.80510487653373275</v>
      </c>
    </row>
    <row r="1695" spans="1:3">
      <c r="A1695">
        <v>1687</v>
      </c>
      <c r="B1695">
        <v>0.16559309404878716</v>
      </c>
      <c r="C1695">
        <v>0.6477392204287753</v>
      </c>
    </row>
    <row r="1696" spans="1:3">
      <c r="A1696">
        <v>1688</v>
      </c>
      <c r="B1696">
        <v>0.46655816183862237</v>
      </c>
      <c r="C1696">
        <v>0.99548419030088553</v>
      </c>
    </row>
    <row r="1697" spans="1:3">
      <c r="A1697">
        <v>1689</v>
      </c>
      <c r="B1697">
        <v>0.9878307071362693</v>
      </c>
      <c r="C1697">
        <v>0.97505565250867221</v>
      </c>
    </row>
    <row r="1698" spans="1:3">
      <c r="A1698">
        <v>1690</v>
      </c>
      <c r="B1698">
        <v>0.36270500515902065</v>
      </c>
      <c r="C1698">
        <v>0.80570010307746998</v>
      </c>
    </row>
    <row r="1699" spans="1:3">
      <c r="A1699">
        <v>1691</v>
      </c>
      <c r="B1699">
        <v>0.6762406864368451</v>
      </c>
      <c r="C1699">
        <v>5.0397277857882727E-2</v>
      </c>
    </row>
    <row r="1700" spans="1:3">
      <c r="A1700">
        <v>1692</v>
      </c>
      <c r="B1700">
        <v>5.2294998412741121E-2</v>
      </c>
      <c r="C1700">
        <v>0.63438332802979858</v>
      </c>
    </row>
    <row r="1701" spans="1:3">
      <c r="A1701">
        <v>1693</v>
      </c>
      <c r="B1701">
        <v>0.65057738105630902</v>
      </c>
      <c r="C1701">
        <v>0.62520805518488487</v>
      </c>
    </row>
    <row r="1702" spans="1:3">
      <c r="A1702">
        <v>1694</v>
      </c>
      <c r="B1702">
        <v>0.8163260980217546</v>
      </c>
      <c r="C1702">
        <v>0.43057164310994267</v>
      </c>
    </row>
    <row r="1703" spans="1:3">
      <c r="A1703">
        <v>1695</v>
      </c>
      <c r="B1703">
        <v>0.76346437195564254</v>
      </c>
      <c r="C1703">
        <v>0.56426082267171296</v>
      </c>
    </row>
    <row r="1704" spans="1:3">
      <c r="A1704">
        <v>1696</v>
      </c>
      <c r="B1704">
        <v>0.70765998608569147</v>
      </c>
      <c r="C1704">
        <v>0.58470761919033976</v>
      </c>
    </row>
    <row r="1705" spans="1:3">
      <c r="A1705">
        <v>1697</v>
      </c>
      <c r="B1705">
        <v>0.82449934764376354</v>
      </c>
      <c r="C1705">
        <v>0.99722364246918005</v>
      </c>
    </row>
    <row r="1706" spans="1:3">
      <c r="A1706">
        <v>1698</v>
      </c>
      <c r="B1706">
        <v>0.14013465164404704</v>
      </c>
      <c r="C1706">
        <v>0.24183954569798516</v>
      </c>
    </row>
    <row r="1707" spans="1:3">
      <c r="A1707">
        <v>1699</v>
      </c>
      <c r="B1707">
        <v>0.97454074352717512</v>
      </c>
      <c r="C1707">
        <v>7.9964890943301725E-2</v>
      </c>
    </row>
    <row r="1708" spans="1:3">
      <c r="A1708">
        <v>1700</v>
      </c>
      <c r="B1708">
        <v>8.2653831584577869E-2</v>
      </c>
      <c r="C1708">
        <v>0.11527704278068995</v>
      </c>
    </row>
    <row r="1709" spans="1:3">
      <c r="A1709">
        <v>1701</v>
      </c>
      <c r="B1709">
        <v>0.37665671403637541</v>
      </c>
      <c r="C1709">
        <v>0.82189642893354176</v>
      </c>
    </row>
    <row r="1710" spans="1:3">
      <c r="A1710">
        <v>1702</v>
      </c>
      <c r="B1710">
        <v>0.16467017425006958</v>
      </c>
      <c r="C1710">
        <v>0.67794626365775912</v>
      </c>
    </row>
    <row r="1711" spans="1:3">
      <c r="A1711">
        <v>1703</v>
      </c>
      <c r="B1711">
        <v>0.24352901406989644</v>
      </c>
      <c r="C1711">
        <v>0.16529261793948535</v>
      </c>
    </row>
    <row r="1712" spans="1:3">
      <c r="A1712">
        <v>1704</v>
      </c>
      <c r="B1712">
        <v>0.48090495395620936</v>
      </c>
      <c r="C1712">
        <v>0.12160115864844556</v>
      </c>
    </row>
    <row r="1713" spans="1:3">
      <c r="A1713">
        <v>1705</v>
      </c>
      <c r="B1713">
        <v>0.55202969204164798</v>
      </c>
      <c r="C1713">
        <v>4.3237151341600111E-2</v>
      </c>
    </row>
    <row r="1714" spans="1:3">
      <c r="A1714">
        <v>1706</v>
      </c>
      <c r="B1714">
        <v>7.6243725160286699E-2</v>
      </c>
      <c r="C1714">
        <v>0.78659157601850893</v>
      </c>
    </row>
    <row r="1715" spans="1:3">
      <c r="A1715">
        <v>1707</v>
      </c>
      <c r="B1715">
        <v>0.5582611157744799</v>
      </c>
      <c r="C1715">
        <v>0.68150901758599503</v>
      </c>
    </row>
    <row r="1716" spans="1:3">
      <c r="A1716">
        <v>1708</v>
      </c>
      <c r="B1716">
        <v>0.90516521243843362</v>
      </c>
      <c r="C1716">
        <v>0.45009019566441566</v>
      </c>
    </row>
    <row r="1717" spans="1:3">
      <c r="A1717">
        <v>1709</v>
      </c>
      <c r="B1717">
        <v>0.88260983078894439</v>
      </c>
      <c r="C1717">
        <v>0.27856266876916891</v>
      </c>
    </row>
    <row r="1718" spans="1:3">
      <c r="A1718">
        <v>1710</v>
      </c>
      <c r="B1718">
        <v>0.76262181032654408</v>
      </c>
      <c r="C1718">
        <v>0.86320505328740182</v>
      </c>
    </row>
    <row r="1719" spans="1:3">
      <c r="A1719">
        <v>1711</v>
      </c>
      <c r="B1719">
        <v>0.26689112955454997</v>
      </c>
      <c r="C1719">
        <v>0.48989052572687797</v>
      </c>
    </row>
    <row r="1720" spans="1:3">
      <c r="A1720">
        <v>1712</v>
      </c>
      <c r="B1720">
        <v>3.7079184816516744E-2</v>
      </c>
      <c r="C1720">
        <v>0.2781809664247703</v>
      </c>
    </row>
    <row r="1721" spans="1:3">
      <c r="A1721">
        <v>1713</v>
      </c>
      <c r="B1721">
        <v>0.40039166492731115</v>
      </c>
      <c r="C1721">
        <v>0.55568739260070288</v>
      </c>
    </row>
    <row r="1722" spans="1:3">
      <c r="A1722">
        <v>1714</v>
      </c>
      <c r="B1722">
        <v>0.33400637233606689</v>
      </c>
      <c r="C1722">
        <v>0.23651233212513034</v>
      </c>
    </row>
    <row r="1723" spans="1:3">
      <c r="A1723">
        <v>1715</v>
      </c>
      <c r="B1723">
        <v>0.64050224066639838</v>
      </c>
      <c r="C1723">
        <v>0.22058058309539774</v>
      </c>
    </row>
    <row r="1724" spans="1:3">
      <c r="A1724">
        <v>1716</v>
      </c>
      <c r="B1724">
        <v>0.74124974891768058</v>
      </c>
      <c r="C1724">
        <v>0.91146562686299148</v>
      </c>
    </row>
    <row r="1725" spans="1:3">
      <c r="A1725">
        <v>1717</v>
      </c>
      <c r="B1725">
        <v>0.19038483915035259</v>
      </c>
      <c r="C1725">
        <v>0.44580063284320204</v>
      </c>
    </row>
    <row r="1726" spans="1:3">
      <c r="A1726">
        <v>1718</v>
      </c>
      <c r="B1726">
        <v>0.63832204382329294</v>
      </c>
      <c r="C1726">
        <v>0.63929971338802716</v>
      </c>
    </row>
    <row r="1727" spans="1:3">
      <c r="A1727">
        <v>1719</v>
      </c>
      <c r="B1727">
        <v>9.2252780918463312E-2</v>
      </c>
      <c r="C1727">
        <v>0.4712825212000098</v>
      </c>
    </row>
    <row r="1728" spans="1:3">
      <c r="A1728">
        <v>1720</v>
      </c>
      <c r="B1728">
        <v>0.43525412954852316</v>
      </c>
      <c r="C1728">
        <v>0.78975485397859302</v>
      </c>
    </row>
    <row r="1729" spans="1:3">
      <c r="A1729">
        <v>1721</v>
      </c>
      <c r="B1729">
        <v>0.92531517826591503</v>
      </c>
      <c r="C1729">
        <v>0.44891266138893116</v>
      </c>
    </row>
    <row r="1730" spans="1:3">
      <c r="A1730">
        <v>1722</v>
      </c>
      <c r="B1730">
        <v>6.772262893564128E-2</v>
      </c>
      <c r="C1730">
        <v>0.28200814927913598</v>
      </c>
    </row>
    <row r="1731" spans="1:3">
      <c r="A1731">
        <v>1723</v>
      </c>
      <c r="B1731">
        <v>0.50116775493858556</v>
      </c>
      <c r="C1731">
        <v>0.66484733605375368</v>
      </c>
    </row>
    <row r="1732" spans="1:3">
      <c r="A1732">
        <v>1724</v>
      </c>
      <c r="B1732">
        <v>0.47453707269540457</v>
      </c>
      <c r="C1732">
        <v>0.4768994780806679</v>
      </c>
    </row>
    <row r="1733" spans="1:3">
      <c r="A1733">
        <v>1725</v>
      </c>
      <c r="B1733">
        <v>0.87073834103595893</v>
      </c>
      <c r="C1733">
        <v>0.42959225282629632</v>
      </c>
    </row>
    <row r="1734" spans="1:3">
      <c r="A1734">
        <v>1726</v>
      </c>
      <c r="B1734">
        <v>0.59670024982204206</v>
      </c>
      <c r="C1734">
        <v>0.14332839907729067</v>
      </c>
    </row>
    <row r="1735" spans="1:3">
      <c r="A1735">
        <v>1727</v>
      </c>
      <c r="B1735">
        <v>0.8665029967685004</v>
      </c>
      <c r="C1735">
        <v>0.69668918426305027</v>
      </c>
    </row>
    <row r="1736" spans="1:3">
      <c r="A1736">
        <v>1728</v>
      </c>
      <c r="B1736">
        <v>0.44493360959522743</v>
      </c>
      <c r="C1736">
        <v>0.82440530304484128</v>
      </c>
    </row>
    <row r="1737" spans="1:3">
      <c r="A1737">
        <v>1729</v>
      </c>
      <c r="B1737">
        <v>0.2295942560577752</v>
      </c>
      <c r="C1737">
        <v>0.74682650105933135</v>
      </c>
    </row>
    <row r="1738" spans="1:3">
      <c r="A1738">
        <v>1730</v>
      </c>
      <c r="B1738">
        <v>0.83771579431316712</v>
      </c>
      <c r="C1738">
        <v>0.34315223165503994</v>
      </c>
    </row>
    <row r="1739" spans="1:3">
      <c r="A1739">
        <v>1731</v>
      </c>
      <c r="B1739">
        <v>0.68283902349491576</v>
      </c>
      <c r="C1739">
        <v>0.98950322740438423</v>
      </c>
    </row>
    <row r="1740" spans="1:3">
      <c r="A1740">
        <v>1732</v>
      </c>
      <c r="B1740">
        <v>0.3305871762904774</v>
      </c>
      <c r="C1740">
        <v>0.64214554514546762</v>
      </c>
    </row>
    <row r="1741" spans="1:3">
      <c r="A1741">
        <v>1733</v>
      </c>
      <c r="B1741">
        <v>0.16233365366219862</v>
      </c>
      <c r="C1741">
        <v>0.27086514799066208</v>
      </c>
    </row>
    <row r="1742" spans="1:3">
      <c r="A1742">
        <v>1734</v>
      </c>
      <c r="B1742">
        <v>0.30592720154340547</v>
      </c>
      <c r="C1742">
        <v>0.18997661714638525</v>
      </c>
    </row>
    <row r="1743" spans="1:3">
      <c r="A1743">
        <v>1735</v>
      </c>
      <c r="B1743">
        <v>0.90523907904174161</v>
      </c>
      <c r="C1743">
        <v>0.93156448078025278</v>
      </c>
    </row>
    <row r="1744" spans="1:3">
      <c r="A1744">
        <v>1736</v>
      </c>
      <c r="B1744">
        <v>0.71735232623716638</v>
      </c>
      <c r="C1744">
        <v>0.70771372992021497</v>
      </c>
    </row>
    <row r="1745" spans="1:3">
      <c r="A1745">
        <v>1737</v>
      </c>
      <c r="B1745">
        <v>0.76862074586600548</v>
      </c>
      <c r="C1745">
        <v>0.65088111836212192</v>
      </c>
    </row>
    <row r="1746" spans="1:3">
      <c r="A1746">
        <v>1738</v>
      </c>
      <c r="B1746">
        <v>0.68127606799809171</v>
      </c>
      <c r="C1746">
        <v>0.87635192671768891</v>
      </c>
    </row>
    <row r="1747" spans="1:3">
      <c r="A1747">
        <v>1739</v>
      </c>
      <c r="B1747">
        <v>0.93805613317127723</v>
      </c>
      <c r="C1747">
        <v>3.7187934247413068E-2</v>
      </c>
    </row>
    <row r="1748" spans="1:3">
      <c r="A1748">
        <v>1740</v>
      </c>
      <c r="B1748">
        <v>0.27310393915518744</v>
      </c>
      <c r="C1748">
        <v>2.5226823942830379E-2</v>
      </c>
    </row>
    <row r="1749" spans="1:3">
      <c r="A1749">
        <v>1741</v>
      </c>
      <c r="B1749">
        <v>0.89941800374291325</v>
      </c>
      <c r="C1749">
        <v>0.49197754605847877</v>
      </c>
    </row>
    <row r="1750" spans="1:3">
      <c r="A1750">
        <v>1742</v>
      </c>
      <c r="B1750">
        <v>0.39452192740578246</v>
      </c>
      <c r="C1750">
        <v>0.94302221753150661</v>
      </c>
    </row>
    <row r="1751" spans="1:3">
      <c r="A1751">
        <v>1743</v>
      </c>
      <c r="B1751">
        <v>0.98048618388098807</v>
      </c>
      <c r="C1751">
        <v>0.81894219661990064</v>
      </c>
    </row>
    <row r="1752" spans="1:3">
      <c r="A1752">
        <v>1744</v>
      </c>
      <c r="B1752">
        <v>4.3835870103453252E-2</v>
      </c>
      <c r="C1752">
        <v>0.46447122466543078</v>
      </c>
    </row>
    <row r="1753" spans="1:3">
      <c r="A1753">
        <v>1745</v>
      </c>
      <c r="B1753">
        <v>0.18396988991125718</v>
      </c>
      <c r="C1753">
        <v>9.833383252225758E-2</v>
      </c>
    </row>
    <row r="1754" spans="1:3">
      <c r="A1754">
        <v>1746</v>
      </c>
      <c r="B1754">
        <v>0.27629226067557283</v>
      </c>
      <c r="C1754">
        <v>0.11050647862521146</v>
      </c>
    </row>
    <row r="1755" spans="1:3">
      <c r="A1755">
        <v>1747</v>
      </c>
      <c r="B1755">
        <v>0.83740978078358108</v>
      </c>
      <c r="C1755">
        <v>0.39313438233511988</v>
      </c>
    </row>
    <row r="1756" spans="1:3">
      <c r="A1756">
        <v>1748</v>
      </c>
      <c r="B1756">
        <v>0.21200721207875928</v>
      </c>
      <c r="C1756">
        <v>0.41244319979432476</v>
      </c>
    </row>
    <row r="1757" spans="1:3">
      <c r="A1757">
        <v>1749</v>
      </c>
      <c r="B1757">
        <v>0.60840022293883389</v>
      </c>
      <c r="C1757">
        <v>0.52368818576542253</v>
      </c>
    </row>
    <row r="1758" spans="1:3">
      <c r="A1758">
        <v>1750</v>
      </c>
      <c r="B1758">
        <v>0.75789503183511431</v>
      </c>
      <c r="C1758">
        <v>0.20720988326229417</v>
      </c>
    </row>
    <row r="1759" spans="1:3">
      <c r="A1759">
        <v>1751</v>
      </c>
      <c r="B1759">
        <v>0.66682925430453133</v>
      </c>
      <c r="C1759">
        <v>0.33294476977971499</v>
      </c>
    </row>
    <row r="1760" spans="1:3">
      <c r="A1760">
        <v>1752</v>
      </c>
      <c r="B1760">
        <v>0.86591677936611611</v>
      </c>
      <c r="C1760">
        <v>0.29607874632984021</v>
      </c>
    </row>
    <row r="1761" spans="1:3">
      <c r="A1761">
        <v>1753</v>
      </c>
      <c r="B1761">
        <v>0.46590174672359169</v>
      </c>
      <c r="C1761">
        <v>3.5942731614341028E-2</v>
      </c>
    </row>
    <row r="1762" spans="1:3">
      <c r="A1762">
        <v>1754</v>
      </c>
      <c r="B1762">
        <v>6.4082027018834378E-2</v>
      </c>
      <c r="C1762">
        <v>0.40090076376873185</v>
      </c>
    </row>
    <row r="1763" spans="1:3">
      <c r="A1763">
        <v>1755</v>
      </c>
      <c r="B1763">
        <v>0.94016457870960346</v>
      </c>
      <c r="C1763">
        <v>0.53001656040487433</v>
      </c>
    </row>
    <row r="1764" spans="1:3">
      <c r="A1764">
        <v>1756</v>
      </c>
      <c r="B1764">
        <v>0.97664836080433992</v>
      </c>
      <c r="C1764">
        <v>0.15539536125834275</v>
      </c>
    </row>
    <row r="1765" spans="1:3">
      <c r="A1765">
        <v>1757</v>
      </c>
      <c r="B1765">
        <v>8.2447246576903221E-2</v>
      </c>
      <c r="C1765">
        <v>0.16858316290836228</v>
      </c>
    </row>
    <row r="1766" spans="1:3">
      <c r="A1766">
        <v>1758</v>
      </c>
      <c r="B1766">
        <v>0.47265911163730989</v>
      </c>
      <c r="C1766">
        <v>0.60320221052825218</v>
      </c>
    </row>
    <row r="1767" spans="1:3">
      <c r="A1767">
        <v>1759</v>
      </c>
      <c r="B1767">
        <v>0.12868869265017302</v>
      </c>
      <c r="C1767">
        <v>0.95845887751329428</v>
      </c>
    </row>
    <row r="1768" spans="1:3">
      <c r="A1768">
        <v>1760</v>
      </c>
      <c r="B1768">
        <v>0.9071453922298609</v>
      </c>
      <c r="C1768">
        <v>0.55684972960807499</v>
      </c>
    </row>
    <row r="1769" spans="1:3">
      <c r="A1769">
        <v>1761</v>
      </c>
      <c r="B1769">
        <v>7.2521783036487597E-2</v>
      </c>
      <c r="C1769">
        <v>0.56085341631023766</v>
      </c>
    </row>
    <row r="1770" spans="1:3">
      <c r="A1770">
        <v>1762</v>
      </c>
      <c r="B1770">
        <v>0.82914460624641384</v>
      </c>
      <c r="C1770">
        <v>0.10466632984571334</v>
      </c>
    </row>
    <row r="1771" spans="1:3">
      <c r="A1771">
        <v>1763</v>
      </c>
      <c r="B1771">
        <v>3.3432983857773477E-2</v>
      </c>
      <c r="C1771">
        <v>2.8099689626287727E-2</v>
      </c>
    </row>
    <row r="1772" spans="1:3">
      <c r="A1772">
        <v>1764</v>
      </c>
      <c r="B1772">
        <v>0.65385443862035275</v>
      </c>
      <c r="C1772">
        <v>0.21498936349962605</v>
      </c>
    </row>
    <row r="1773" spans="1:3">
      <c r="A1773">
        <v>1765</v>
      </c>
      <c r="B1773">
        <v>0.92992133495889628</v>
      </c>
      <c r="C1773">
        <v>0.6121546642634712</v>
      </c>
    </row>
    <row r="1774" spans="1:3">
      <c r="A1774">
        <v>1766</v>
      </c>
      <c r="B1774">
        <v>0.49245294106105647</v>
      </c>
      <c r="C1774">
        <v>0.81239457814263005</v>
      </c>
    </row>
    <row r="1775" spans="1:3">
      <c r="A1775">
        <v>1767</v>
      </c>
      <c r="B1775">
        <v>0.54722270319448385</v>
      </c>
      <c r="C1775">
        <v>0.49101183814946125</v>
      </c>
    </row>
    <row r="1776" spans="1:3">
      <c r="A1776">
        <v>1768</v>
      </c>
      <c r="B1776">
        <v>0.30544132312756067</v>
      </c>
      <c r="C1776">
        <v>0.26375437999013229</v>
      </c>
    </row>
    <row r="1777" spans="1:3">
      <c r="A1777">
        <v>1769</v>
      </c>
      <c r="B1777">
        <v>0.99525846767296511</v>
      </c>
      <c r="C1777">
        <v>0.32866410062615614</v>
      </c>
    </row>
    <row r="1778" spans="1:3">
      <c r="A1778">
        <v>1770</v>
      </c>
      <c r="B1778">
        <v>0.62332739406706006</v>
      </c>
      <c r="C1778">
        <v>0.14705636881080864</v>
      </c>
    </row>
    <row r="1779" spans="1:3">
      <c r="A1779">
        <v>1771</v>
      </c>
      <c r="B1779">
        <v>0.1657808903735552</v>
      </c>
      <c r="C1779">
        <v>0.51364391247807362</v>
      </c>
    </row>
    <row r="1780" spans="1:3">
      <c r="A1780">
        <v>1772</v>
      </c>
      <c r="B1780">
        <v>0.98295667844041179</v>
      </c>
      <c r="C1780">
        <v>3.9444558523427986E-2</v>
      </c>
    </row>
    <row r="1781" spans="1:3">
      <c r="A1781">
        <v>1773</v>
      </c>
      <c r="B1781">
        <v>0.92813827281895522</v>
      </c>
      <c r="C1781">
        <v>0.73315615766841802</v>
      </c>
    </row>
    <row r="1782" spans="1:3">
      <c r="A1782">
        <v>1774</v>
      </c>
      <c r="B1782">
        <v>0.86015267057836808</v>
      </c>
      <c r="C1782">
        <v>0.56990706131819024</v>
      </c>
    </row>
    <row r="1783" spans="1:3">
      <c r="A1783">
        <v>1775</v>
      </c>
      <c r="B1783">
        <v>0.49119568251562207</v>
      </c>
      <c r="C1783">
        <v>0.53281563637574436</v>
      </c>
    </row>
    <row r="1784" spans="1:3">
      <c r="A1784">
        <v>1776</v>
      </c>
      <c r="B1784">
        <v>0.13590197614489635</v>
      </c>
      <c r="C1784">
        <v>0.48005227690282481</v>
      </c>
    </row>
    <row r="1785" spans="1:3">
      <c r="A1785">
        <v>1777</v>
      </c>
      <c r="B1785">
        <v>0.45126403815617416</v>
      </c>
      <c r="C1785">
        <v>0.65145736999875226</v>
      </c>
    </row>
    <row r="1786" spans="1:3">
      <c r="A1786">
        <v>1778</v>
      </c>
      <c r="B1786">
        <v>0.70399463183102073</v>
      </c>
      <c r="C1786">
        <v>0.55829765318503632</v>
      </c>
    </row>
    <row r="1787" spans="1:3">
      <c r="A1787">
        <v>1779</v>
      </c>
      <c r="B1787">
        <v>9.2611471374335577E-2</v>
      </c>
      <c r="C1787">
        <v>9.4695286137721268E-2</v>
      </c>
    </row>
    <row r="1788" spans="1:3">
      <c r="A1788">
        <v>1780</v>
      </c>
      <c r="B1788">
        <v>0.8295665124408822</v>
      </c>
      <c r="C1788">
        <v>9.2911625097258366E-3</v>
      </c>
    </row>
    <row r="1789" spans="1:3">
      <c r="A1789">
        <v>1781</v>
      </c>
      <c r="B1789">
        <v>0.29553931393607968</v>
      </c>
      <c r="C1789">
        <v>0.17540658871257619</v>
      </c>
    </row>
    <row r="1790" spans="1:3">
      <c r="A1790">
        <v>1782</v>
      </c>
      <c r="B1790">
        <v>0.87057567170750716</v>
      </c>
      <c r="C1790">
        <v>0.554966204320408</v>
      </c>
    </row>
    <row r="1791" spans="1:3">
      <c r="A1791">
        <v>1783</v>
      </c>
      <c r="B1791">
        <v>0.86611179570092622</v>
      </c>
      <c r="C1791">
        <v>0.13169879566703457</v>
      </c>
    </row>
    <row r="1792" spans="1:3">
      <c r="A1792">
        <v>1784</v>
      </c>
      <c r="B1792">
        <v>0.58762391111772128</v>
      </c>
      <c r="C1792">
        <v>4.7844874398833781E-2</v>
      </c>
    </row>
    <row r="1793" spans="1:3">
      <c r="A1793">
        <v>1785</v>
      </c>
      <c r="B1793">
        <v>0.8533645599920221</v>
      </c>
      <c r="C1793">
        <v>0.71815477181553433</v>
      </c>
    </row>
    <row r="1794" spans="1:3">
      <c r="A1794">
        <v>1786</v>
      </c>
      <c r="B1794">
        <v>0.32004724682291208</v>
      </c>
      <c r="C1794">
        <v>0.66723627929331997</v>
      </c>
    </row>
    <row r="1795" spans="1:3">
      <c r="A1795">
        <v>1787</v>
      </c>
      <c r="B1795">
        <v>0.26209236144998399</v>
      </c>
      <c r="C1795">
        <v>0.87559943060114165</v>
      </c>
    </row>
    <row r="1796" spans="1:3">
      <c r="A1796">
        <v>1788</v>
      </c>
      <c r="B1796">
        <v>0.20649415751423084</v>
      </c>
      <c r="C1796">
        <v>0.83577695041367406</v>
      </c>
    </row>
    <row r="1797" spans="1:3">
      <c r="A1797">
        <v>1789</v>
      </c>
      <c r="B1797">
        <v>0.86132669866469846</v>
      </c>
      <c r="C1797">
        <v>0.51025711187503475</v>
      </c>
    </row>
    <row r="1798" spans="1:3">
      <c r="A1798">
        <v>1790</v>
      </c>
      <c r="B1798">
        <v>0.56362283033682559</v>
      </c>
      <c r="C1798">
        <v>0.99644675730905874</v>
      </c>
    </row>
    <row r="1799" spans="1:3">
      <c r="A1799">
        <v>1791</v>
      </c>
      <c r="B1799">
        <v>0.28527033884159064</v>
      </c>
      <c r="C1799">
        <v>0.30647626905556535</v>
      </c>
    </row>
    <row r="1800" spans="1:3">
      <c r="A1800">
        <v>1792</v>
      </c>
      <c r="B1800">
        <v>0.38623701725467974</v>
      </c>
      <c r="C1800">
        <v>0.96190767385542131</v>
      </c>
    </row>
    <row r="1801" spans="1:3">
      <c r="A1801">
        <v>1793</v>
      </c>
      <c r="B1801">
        <v>0.77368021951128729</v>
      </c>
      <c r="C1801">
        <v>0.87996374977412017</v>
      </c>
    </row>
    <row r="1802" spans="1:3">
      <c r="A1802">
        <v>1794</v>
      </c>
      <c r="B1802">
        <v>0.3639514364234524</v>
      </c>
      <c r="C1802">
        <v>5.1402899502136279E-2</v>
      </c>
    </row>
    <row r="1803" spans="1:3">
      <c r="A1803">
        <v>1795</v>
      </c>
      <c r="B1803">
        <v>0.55097555873887039</v>
      </c>
      <c r="C1803">
        <v>0.23661061374423298</v>
      </c>
    </row>
    <row r="1804" spans="1:3">
      <c r="A1804">
        <v>1796</v>
      </c>
      <c r="B1804">
        <v>0.71326784344452154</v>
      </c>
      <c r="C1804">
        <v>0.75328054747842543</v>
      </c>
    </row>
    <row r="1805" spans="1:3">
      <c r="A1805">
        <v>1797</v>
      </c>
      <c r="B1805">
        <v>0.10219570486280036</v>
      </c>
      <c r="C1805">
        <v>0.11609393128037482</v>
      </c>
    </row>
    <row r="1806" spans="1:3">
      <c r="A1806">
        <v>1798</v>
      </c>
      <c r="B1806">
        <v>0.13486560960539282</v>
      </c>
      <c r="C1806">
        <v>0.127894070068578</v>
      </c>
    </row>
    <row r="1807" spans="1:3">
      <c r="A1807">
        <v>1799</v>
      </c>
      <c r="B1807">
        <v>0.43391334010402516</v>
      </c>
      <c r="C1807">
        <v>0.34287731660879217</v>
      </c>
    </row>
    <row r="1808" spans="1:3">
      <c r="A1808">
        <v>1800</v>
      </c>
      <c r="B1808">
        <v>0.46243805584507947</v>
      </c>
      <c r="C1808">
        <v>0.87777357307186321</v>
      </c>
    </row>
    <row r="1809" spans="1:3">
      <c r="A1809">
        <v>1801</v>
      </c>
      <c r="B1809">
        <v>0.1964871156953478</v>
      </c>
      <c r="C1809">
        <v>0.64362932927360816</v>
      </c>
    </row>
    <row r="1810" spans="1:3">
      <c r="A1810">
        <v>1802</v>
      </c>
      <c r="B1810">
        <v>9.5237715914528287E-2</v>
      </c>
      <c r="C1810">
        <v>0.96624398128642497</v>
      </c>
    </row>
    <row r="1811" spans="1:3">
      <c r="A1811">
        <v>1803</v>
      </c>
      <c r="B1811">
        <v>1.4229208845139764E-2</v>
      </c>
      <c r="C1811">
        <v>0.97797019707286381</v>
      </c>
    </row>
    <row r="1812" spans="1:3">
      <c r="A1812">
        <v>1804</v>
      </c>
      <c r="B1812">
        <v>0.9576668107825953</v>
      </c>
      <c r="C1812">
        <v>0.40193579732294893</v>
      </c>
    </row>
    <row r="1813" spans="1:3">
      <c r="A1813">
        <v>1805</v>
      </c>
      <c r="B1813">
        <v>0.57700081735169528</v>
      </c>
      <c r="C1813">
        <v>0.97467651613533235</v>
      </c>
    </row>
    <row r="1814" spans="1:3">
      <c r="A1814">
        <v>1806</v>
      </c>
      <c r="B1814">
        <v>0.59083301979075964</v>
      </c>
      <c r="C1814">
        <v>0.75465417069972318</v>
      </c>
    </row>
    <row r="1815" spans="1:3">
      <c r="A1815">
        <v>1807</v>
      </c>
      <c r="B1815">
        <v>0.47374286820752148</v>
      </c>
      <c r="C1815">
        <v>0.10658503595641378</v>
      </c>
    </row>
    <row r="1816" spans="1:3">
      <c r="A1816">
        <v>1808</v>
      </c>
      <c r="B1816">
        <v>0.83661402708129351</v>
      </c>
      <c r="C1816">
        <v>4.9735800737863656E-2</v>
      </c>
    </row>
    <row r="1817" spans="1:3">
      <c r="A1817">
        <v>1809</v>
      </c>
      <c r="B1817">
        <v>0.95756964100347119</v>
      </c>
      <c r="C1817">
        <v>0.62090403880756639</v>
      </c>
    </row>
    <row r="1818" spans="1:3">
      <c r="A1818">
        <v>1810</v>
      </c>
      <c r="B1818">
        <v>0.75416232961871721</v>
      </c>
      <c r="C1818">
        <v>0.81156575600925862</v>
      </c>
    </row>
    <row r="1819" spans="1:3">
      <c r="A1819">
        <v>1811</v>
      </c>
      <c r="B1819">
        <v>0.86380159312575155</v>
      </c>
      <c r="C1819">
        <v>0.19528989791797358</v>
      </c>
    </row>
    <row r="1820" spans="1:3">
      <c r="A1820">
        <v>1812</v>
      </c>
      <c r="B1820">
        <v>0.16166306945277917</v>
      </c>
      <c r="C1820">
        <v>0.16481276784816146</v>
      </c>
    </row>
    <row r="1821" spans="1:3">
      <c r="A1821">
        <v>1813</v>
      </c>
      <c r="B1821">
        <v>0.84435404746307852</v>
      </c>
      <c r="C1821">
        <v>0.55009130010694207</v>
      </c>
    </row>
    <row r="1822" spans="1:3">
      <c r="A1822">
        <v>1814</v>
      </c>
      <c r="B1822">
        <v>3.3273300606215674E-2</v>
      </c>
      <c r="C1822">
        <v>0.36799975314443145</v>
      </c>
    </row>
    <row r="1823" spans="1:3">
      <c r="A1823">
        <v>1815</v>
      </c>
      <c r="B1823">
        <v>0.69409438924298028</v>
      </c>
      <c r="C1823">
        <v>5.9414636489236727E-3</v>
      </c>
    </row>
    <row r="1824" spans="1:3">
      <c r="A1824">
        <v>1816</v>
      </c>
      <c r="B1824">
        <v>0.24299173974250252</v>
      </c>
      <c r="C1824">
        <v>0.6883989853267849</v>
      </c>
    </row>
    <row r="1825" spans="1:3">
      <c r="A1825">
        <v>1817</v>
      </c>
      <c r="B1825">
        <v>0.29027362916620297</v>
      </c>
      <c r="C1825">
        <v>0.50882830250247935</v>
      </c>
    </row>
    <row r="1826" spans="1:3">
      <c r="A1826">
        <v>1818</v>
      </c>
      <c r="B1826">
        <v>0.4643252422251099</v>
      </c>
      <c r="C1826">
        <v>0.2415095611486322</v>
      </c>
    </row>
    <row r="1827" spans="1:3">
      <c r="A1827">
        <v>1819</v>
      </c>
      <c r="B1827">
        <v>0.90297111388537354</v>
      </c>
      <c r="C1827">
        <v>0.78725346983355848</v>
      </c>
    </row>
    <row r="1828" spans="1:3">
      <c r="A1828">
        <v>1820</v>
      </c>
      <c r="B1828">
        <v>0.10097646179310429</v>
      </c>
      <c r="C1828">
        <v>0.8180989477186813</v>
      </c>
    </row>
    <row r="1829" spans="1:3">
      <c r="A1829">
        <v>1821</v>
      </c>
      <c r="B1829">
        <v>0.41764693582394319</v>
      </c>
      <c r="C1829">
        <v>0.39864900143220439</v>
      </c>
    </row>
    <row r="1830" spans="1:3">
      <c r="A1830">
        <v>1822</v>
      </c>
      <c r="B1830">
        <v>0.81316801860676335</v>
      </c>
      <c r="C1830">
        <v>0.15461969749594573</v>
      </c>
    </row>
    <row r="1831" spans="1:3">
      <c r="A1831">
        <v>1823</v>
      </c>
      <c r="B1831">
        <v>0.54966596386229294</v>
      </c>
      <c r="C1831">
        <v>2.2648867120551586E-2</v>
      </c>
    </row>
    <row r="1832" spans="1:3">
      <c r="A1832">
        <v>1824</v>
      </c>
      <c r="B1832">
        <v>0.41153774588334791</v>
      </c>
      <c r="C1832">
        <v>0.11690804831778223</v>
      </c>
    </row>
    <row r="1833" spans="1:3">
      <c r="A1833">
        <v>1825</v>
      </c>
      <c r="B1833">
        <v>0.56712477953194751</v>
      </c>
      <c r="C1833">
        <v>0.35906551988318824</v>
      </c>
    </row>
    <row r="1834" spans="1:3">
      <c r="A1834">
        <v>1826</v>
      </c>
      <c r="B1834">
        <v>0.66432658490420471</v>
      </c>
      <c r="C1834">
        <v>0.71014621844005887</v>
      </c>
    </row>
    <row r="1835" spans="1:3">
      <c r="A1835">
        <v>1827</v>
      </c>
      <c r="B1835">
        <v>0.55442958881716009</v>
      </c>
      <c r="C1835">
        <v>0.21647512249819556</v>
      </c>
    </row>
    <row r="1836" spans="1:3">
      <c r="A1836">
        <v>1828</v>
      </c>
      <c r="B1836">
        <v>0.43641668965090458</v>
      </c>
      <c r="C1836">
        <v>0.56404960104555357</v>
      </c>
    </row>
    <row r="1837" spans="1:3">
      <c r="A1837">
        <v>1829</v>
      </c>
      <c r="B1837">
        <v>0.59892505749187552</v>
      </c>
      <c r="C1837">
        <v>0.84036667978489277</v>
      </c>
    </row>
    <row r="1838" spans="1:3">
      <c r="A1838">
        <v>1830</v>
      </c>
      <c r="B1838">
        <v>0.41424164336678615</v>
      </c>
      <c r="C1838">
        <v>0.97390550372983853</v>
      </c>
    </row>
    <row r="1839" spans="1:3">
      <c r="A1839">
        <v>1831</v>
      </c>
      <c r="B1839">
        <v>0.36423204118475133</v>
      </c>
      <c r="C1839">
        <v>0.62192624406179675</v>
      </c>
    </row>
    <row r="1840" spans="1:3">
      <c r="A1840">
        <v>1832</v>
      </c>
      <c r="B1840">
        <v>0.48472007341760209</v>
      </c>
      <c r="C1840">
        <v>0.66603982642482151</v>
      </c>
    </row>
    <row r="1841" spans="1:3">
      <c r="A1841">
        <v>1833</v>
      </c>
      <c r="B1841">
        <v>0.75207936770368355</v>
      </c>
      <c r="C1841">
        <v>0.76293088315924251</v>
      </c>
    </row>
    <row r="1842" spans="1:3">
      <c r="A1842">
        <v>1834</v>
      </c>
      <c r="B1842">
        <v>4.8052678509161964E-2</v>
      </c>
      <c r="C1842">
        <v>0.97634391266728926</v>
      </c>
    </row>
    <row r="1843" spans="1:3">
      <c r="A1843">
        <v>1835</v>
      </c>
      <c r="B1843">
        <v>0.73262525151973246</v>
      </c>
      <c r="C1843">
        <v>0.120178755919369</v>
      </c>
    </row>
    <row r="1844" spans="1:3">
      <c r="A1844">
        <v>1836</v>
      </c>
      <c r="B1844">
        <v>0.36498540670564056</v>
      </c>
      <c r="C1844">
        <v>0.28451868754200405</v>
      </c>
    </row>
    <row r="1845" spans="1:3">
      <c r="A1845">
        <v>1837</v>
      </c>
      <c r="B1845">
        <v>0.35475026543176502</v>
      </c>
      <c r="C1845">
        <v>0.99811727657925076</v>
      </c>
    </row>
    <row r="1846" spans="1:3">
      <c r="A1846">
        <v>1838</v>
      </c>
      <c r="B1846">
        <v>0.60636985697121593</v>
      </c>
      <c r="C1846">
        <v>0.38355640984264028</v>
      </c>
    </row>
    <row r="1847" spans="1:3">
      <c r="A1847">
        <v>1839</v>
      </c>
      <c r="B1847">
        <v>0.26015622663967225</v>
      </c>
      <c r="C1847">
        <v>9.5081738004409999E-2</v>
      </c>
    </row>
    <row r="1848" spans="1:3">
      <c r="A1848">
        <v>1840</v>
      </c>
      <c r="B1848">
        <v>0.30371867650209899</v>
      </c>
      <c r="C1848">
        <v>0.65276910530155874</v>
      </c>
    </row>
    <row r="1849" spans="1:3">
      <c r="A1849">
        <v>1841</v>
      </c>
      <c r="B1849">
        <v>0.22078869026596395</v>
      </c>
      <c r="C1849">
        <v>0.19672609654662665</v>
      </c>
    </row>
    <row r="1850" spans="1:3">
      <c r="A1850">
        <v>1842</v>
      </c>
      <c r="B1850">
        <v>0.71938796461485044</v>
      </c>
      <c r="C1850">
        <v>2.7021098870136484E-2</v>
      </c>
    </row>
    <row r="1851" spans="1:3">
      <c r="A1851">
        <v>1843</v>
      </c>
      <c r="B1851">
        <v>0.33542239641105348</v>
      </c>
      <c r="C1851">
        <v>0.68482808350563573</v>
      </c>
    </row>
    <row r="1852" spans="1:3">
      <c r="A1852">
        <v>1844</v>
      </c>
      <c r="B1852">
        <v>0.78861435121684675</v>
      </c>
      <c r="C1852">
        <v>0.14620213475882338</v>
      </c>
    </row>
    <row r="1853" spans="1:3">
      <c r="A1853">
        <v>1845</v>
      </c>
      <c r="B1853">
        <v>0.89686870979482047</v>
      </c>
      <c r="C1853">
        <v>0.48191083116762456</v>
      </c>
    </row>
    <row r="1854" spans="1:3">
      <c r="A1854">
        <v>1846</v>
      </c>
      <c r="B1854">
        <v>0.73749096849325368</v>
      </c>
      <c r="C1854">
        <v>0.13104834661498899</v>
      </c>
    </row>
    <row r="1855" spans="1:3">
      <c r="A1855">
        <v>1847</v>
      </c>
      <c r="B1855">
        <v>0.11040977223878953</v>
      </c>
      <c r="C1855">
        <v>0.40488871933030168</v>
      </c>
    </row>
    <row r="1856" spans="1:3">
      <c r="A1856">
        <v>1848</v>
      </c>
      <c r="B1856">
        <v>0.45754466302197999</v>
      </c>
      <c r="C1856">
        <v>0.39727254951321811</v>
      </c>
    </row>
    <row r="1857" spans="1:3">
      <c r="A1857">
        <v>1849</v>
      </c>
      <c r="B1857">
        <v>0.49397052888939408</v>
      </c>
      <c r="C1857">
        <v>8.2383442492755421E-2</v>
      </c>
    </row>
    <row r="1858" spans="1:3">
      <c r="A1858">
        <v>1850</v>
      </c>
      <c r="B1858">
        <v>0.98571144064560334</v>
      </c>
      <c r="C1858">
        <v>0.41609333872840182</v>
      </c>
    </row>
    <row r="1859" spans="1:3">
      <c r="A1859">
        <v>1851</v>
      </c>
      <c r="B1859">
        <v>0.39049898970944319</v>
      </c>
      <c r="C1859">
        <v>1.3568766437401791E-2</v>
      </c>
    </row>
    <row r="1860" spans="1:3">
      <c r="A1860">
        <v>1852</v>
      </c>
      <c r="B1860">
        <v>0.55863882084242966</v>
      </c>
      <c r="C1860">
        <v>0.52217237783179371</v>
      </c>
    </row>
    <row r="1861" spans="1:3">
      <c r="A1861">
        <v>1853</v>
      </c>
      <c r="B1861">
        <v>0.95529217722115389</v>
      </c>
      <c r="C1861">
        <v>0.38211944171644063</v>
      </c>
    </row>
    <row r="1862" spans="1:3">
      <c r="A1862">
        <v>1854</v>
      </c>
      <c r="B1862">
        <v>0.36311535604435846</v>
      </c>
      <c r="C1862">
        <v>0.94644313053868245</v>
      </c>
    </row>
    <row r="1863" spans="1:3">
      <c r="A1863">
        <v>1855</v>
      </c>
      <c r="B1863">
        <v>0.66357796723842111</v>
      </c>
      <c r="C1863">
        <v>0.86841054544765939</v>
      </c>
    </row>
    <row r="1864" spans="1:3">
      <c r="A1864">
        <v>1856</v>
      </c>
      <c r="B1864">
        <v>0.3279650375039701</v>
      </c>
      <c r="C1864">
        <v>4.2019783122668741E-2</v>
      </c>
    </row>
    <row r="1865" spans="1:3">
      <c r="A1865">
        <v>1857</v>
      </c>
      <c r="B1865">
        <v>1.0878100348049332E-2</v>
      </c>
      <c r="C1865">
        <v>0.75051992744556628</v>
      </c>
    </row>
    <row r="1866" spans="1:3">
      <c r="A1866">
        <v>1858</v>
      </c>
      <c r="B1866">
        <v>0.60507496271111882</v>
      </c>
      <c r="C1866">
        <v>0.24303853130913922</v>
      </c>
    </row>
    <row r="1867" spans="1:3">
      <c r="A1867">
        <v>1859</v>
      </c>
      <c r="B1867">
        <v>0.97831235838935537</v>
      </c>
      <c r="C1867">
        <v>0.43237442531153647</v>
      </c>
    </row>
    <row r="1868" spans="1:3">
      <c r="A1868">
        <v>1860</v>
      </c>
      <c r="B1868">
        <v>0.80972410081939872</v>
      </c>
      <c r="C1868">
        <v>0.29524323795340024</v>
      </c>
    </row>
    <row r="1869" spans="1:3">
      <c r="A1869">
        <v>1861</v>
      </c>
      <c r="B1869">
        <v>8.4147237039252004E-2</v>
      </c>
      <c r="C1869">
        <v>0.9414461300793846</v>
      </c>
    </row>
    <row r="1870" spans="1:3">
      <c r="A1870">
        <v>1862</v>
      </c>
      <c r="B1870">
        <v>0.41175513913555889</v>
      </c>
      <c r="C1870">
        <v>0.62571847764411359</v>
      </c>
    </row>
    <row r="1871" spans="1:3">
      <c r="A1871">
        <v>1863</v>
      </c>
      <c r="B1871">
        <v>0.11839187181028349</v>
      </c>
      <c r="C1871">
        <v>1.8903292502727709E-3</v>
      </c>
    </row>
    <row r="1872" spans="1:3">
      <c r="A1872">
        <v>1864</v>
      </c>
      <c r="B1872">
        <v>0.10103726535375167</v>
      </c>
      <c r="C1872">
        <v>0.41824258455562813</v>
      </c>
    </row>
    <row r="1873" spans="1:3">
      <c r="A1873">
        <v>1865</v>
      </c>
      <c r="B1873">
        <v>0.64658721858267376</v>
      </c>
      <c r="C1873">
        <v>0.62722564456726104</v>
      </c>
    </row>
    <row r="1874" spans="1:3">
      <c r="A1874">
        <v>1866</v>
      </c>
      <c r="B1874">
        <v>2.5806981629227982E-2</v>
      </c>
      <c r="C1874">
        <v>0.75522892182925716</v>
      </c>
    </row>
    <row r="1875" spans="1:3">
      <c r="A1875">
        <v>1867</v>
      </c>
      <c r="B1875">
        <v>0.52188200249557426</v>
      </c>
      <c r="C1875">
        <v>0.70540821948361554</v>
      </c>
    </row>
    <row r="1876" spans="1:3">
      <c r="A1876">
        <v>1868</v>
      </c>
      <c r="B1876">
        <v>0.90675461237839294</v>
      </c>
      <c r="C1876">
        <v>0.7589761227973213</v>
      </c>
    </row>
    <row r="1877" spans="1:3">
      <c r="A1877">
        <v>1869</v>
      </c>
      <c r="B1877">
        <v>0.52675021196383764</v>
      </c>
      <c r="C1877">
        <v>0.35763532078908611</v>
      </c>
    </row>
    <row r="1878" spans="1:3">
      <c r="A1878">
        <v>1870</v>
      </c>
      <c r="B1878">
        <v>8.0081174945617367E-2</v>
      </c>
      <c r="C1878">
        <v>0.8109191137682501</v>
      </c>
    </row>
    <row r="1879" spans="1:3">
      <c r="A1879">
        <v>1871</v>
      </c>
      <c r="B1879">
        <v>0.19501194930943005</v>
      </c>
      <c r="C1879">
        <v>0.88648018846379273</v>
      </c>
    </row>
    <row r="1880" spans="1:3">
      <c r="A1880">
        <v>1872</v>
      </c>
      <c r="B1880">
        <v>0.40850129698535925</v>
      </c>
      <c r="C1880">
        <v>2.168048667954281E-3</v>
      </c>
    </row>
    <row r="1881" spans="1:3">
      <c r="A1881">
        <v>1873</v>
      </c>
      <c r="B1881">
        <v>0.15274481563892794</v>
      </c>
      <c r="C1881">
        <v>0.33399735749389947</v>
      </c>
    </row>
    <row r="1882" spans="1:3">
      <c r="A1882">
        <v>1874</v>
      </c>
      <c r="B1882">
        <v>0.7436824208482361</v>
      </c>
      <c r="C1882">
        <v>0.60732774499956577</v>
      </c>
    </row>
    <row r="1883" spans="1:3">
      <c r="A1883">
        <v>1875</v>
      </c>
      <c r="B1883">
        <v>0.64217637167069519</v>
      </c>
      <c r="C1883">
        <v>0.37549657079671306</v>
      </c>
    </row>
    <row r="1884" spans="1:3">
      <c r="A1884">
        <v>1876</v>
      </c>
      <c r="B1884">
        <v>0.67701653557466723</v>
      </c>
      <c r="C1884">
        <v>0.72524639164112159</v>
      </c>
    </row>
    <row r="1885" spans="1:3">
      <c r="A1885">
        <v>1877</v>
      </c>
      <c r="B1885">
        <v>0.66700643893224332</v>
      </c>
      <c r="C1885">
        <v>0.46880949086973089</v>
      </c>
    </row>
    <row r="1886" spans="1:3">
      <c r="A1886">
        <v>1878</v>
      </c>
      <c r="B1886">
        <v>0.28132674504595967</v>
      </c>
      <c r="C1886">
        <v>0.82533740763710739</v>
      </c>
    </row>
    <row r="1887" spans="1:3">
      <c r="A1887">
        <v>1879</v>
      </c>
      <c r="B1887">
        <v>0.25004867763641492</v>
      </c>
      <c r="C1887">
        <v>9.9055461975694925E-2</v>
      </c>
    </row>
    <row r="1888" spans="1:3">
      <c r="A1888">
        <v>1880</v>
      </c>
      <c r="B1888">
        <v>0.32317839088974948</v>
      </c>
      <c r="C1888">
        <v>0.93484028047168977</v>
      </c>
    </row>
    <row r="1889" spans="1:3">
      <c r="A1889">
        <v>1881</v>
      </c>
      <c r="B1889">
        <v>0.58393207008380721</v>
      </c>
      <c r="C1889">
        <v>0.78988452568592038</v>
      </c>
    </row>
    <row r="1890" spans="1:3">
      <c r="A1890">
        <v>1882</v>
      </c>
      <c r="B1890">
        <v>0.3005607021453699</v>
      </c>
      <c r="C1890">
        <v>0.9767961491479582</v>
      </c>
    </row>
    <row r="1891" spans="1:3">
      <c r="A1891">
        <v>1883</v>
      </c>
      <c r="B1891">
        <v>0.30420713749630546</v>
      </c>
      <c r="C1891">
        <v>0.41657988087717968</v>
      </c>
    </row>
    <row r="1892" spans="1:3">
      <c r="A1892">
        <v>1884</v>
      </c>
      <c r="B1892">
        <v>0.43047483004324022</v>
      </c>
      <c r="C1892">
        <v>0.63069531225937681</v>
      </c>
    </row>
    <row r="1893" spans="1:3">
      <c r="A1893">
        <v>1885</v>
      </c>
      <c r="B1893">
        <v>0.41257696327054338</v>
      </c>
      <c r="C1893">
        <v>0.98373605170127121</v>
      </c>
    </row>
    <row r="1894" spans="1:3">
      <c r="A1894">
        <v>1886</v>
      </c>
      <c r="B1894">
        <v>0.44257137710819289</v>
      </c>
      <c r="C1894">
        <v>0.27082321033867629</v>
      </c>
    </row>
    <row r="1895" spans="1:3">
      <c r="A1895">
        <v>1887</v>
      </c>
      <c r="B1895">
        <v>0.90199305040542799</v>
      </c>
      <c r="C1895">
        <v>0.51523928627830173</v>
      </c>
    </row>
    <row r="1896" spans="1:3">
      <c r="A1896">
        <v>1888</v>
      </c>
      <c r="B1896">
        <v>0.89527926940812708</v>
      </c>
      <c r="C1896">
        <v>0.3859376447444447</v>
      </c>
    </row>
    <row r="1897" spans="1:3">
      <c r="A1897">
        <v>1889</v>
      </c>
      <c r="B1897">
        <v>0.42087968725694336</v>
      </c>
      <c r="C1897">
        <v>0.72137710026436253</v>
      </c>
    </row>
    <row r="1898" spans="1:3">
      <c r="A1898">
        <v>1890</v>
      </c>
      <c r="B1898">
        <v>0.17924355920163065</v>
      </c>
      <c r="C1898">
        <v>0.19867142420480377</v>
      </c>
    </row>
    <row r="1899" spans="1:3">
      <c r="A1899">
        <v>1891</v>
      </c>
      <c r="B1899">
        <v>0.61371712689584057</v>
      </c>
      <c r="C1899">
        <v>0.99991806140951667</v>
      </c>
    </row>
    <row r="1900" spans="1:3">
      <c r="A1900">
        <v>1892</v>
      </c>
      <c r="B1900">
        <v>0.95248560940951243</v>
      </c>
      <c r="C1900">
        <v>0.34429170449402591</v>
      </c>
    </row>
    <row r="1901" spans="1:3">
      <c r="A1901">
        <v>1893</v>
      </c>
      <c r="B1901">
        <v>0.59909997088571543</v>
      </c>
      <c r="C1901">
        <v>0.22675265482484974</v>
      </c>
    </row>
    <row r="1902" spans="1:3">
      <c r="A1902">
        <v>1894</v>
      </c>
      <c r="B1902">
        <v>0.37738166441265064</v>
      </c>
      <c r="C1902">
        <v>0.63998945659841411</v>
      </c>
    </row>
    <row r="1903" spans="1:3">
      <c r="A1903">
        <v>1895</v>
      </c>
      <c r="B1903">
        <v>0.73561072714911091</v>
      </c>
      <c r="C1903">
        <v>4.3205175006733043E-4</v>
      </c>
    </row>
    <row r="1904" spans="1:3">
      <c r="A1904">
        <v>1896</v>
      </c>
      <c r="B1904">
        <v>0.41555554024576102</v>
      </c>
      <c r="C1904">
        <v>0.44630706880343496</v>
      </c>
    </row>
    <row r="1905" spans="1:3">
      <c r="A1905">
        <v>1897</v>
      </c>
      <c r="B1905">
        <v>0.12650598453304404</v>
      </c>
      <c r="C1905">
        <v>8.31779853469925E-2</v>
      </c>
    </row>
    <row r="1906" spans="1:3">
      <c r="A1906">
        <v>1898</v>
      </c>
      <c r="B1906">
        <v>0.59447362358487987</v>
      </c>
      <c r="C1906">
        <v>0.4331845092410731</v>
      </c>
    </row>
    <row r="1907" spans="1:3">
      <c r="A1907">
        <v>1899</v>
      </c>
      <c r="B1907">
        <v>0.31198231488167827</v>
      </c>
      <c r="C1907">
        <v>0.82794179183292727</v>
      </c>
    </row>
    <row r="1908" spans="1:3">
      <c r="A1908">
        <v>1900</v>
      </c>
      <c r="B1908">
        <v>0.67657978817191433</v>
      </c>
      <c r="C1908">
        <v>0.93869184208324441</v>
      </c>
    </row>
    <row r="1909" spans="1:3">
      <c r="A1909">
        <v>1901</v>
      </c>
      <c r="B1909">
        <v>0.1669503579760786</v>
      </c>
      <c r="C1909">
        <v>0.82329512418436934</v>
      </c>
    </row>
    <row r="1910" spans="1:3">
      <c r="A1910">
        <v>1902</v>
      </c>
      <c r="B1910">
        <v>0.35162398494887726</v>
      </c>
      <c r="C1910">
        <v>0.68920396600788081</v>
      </c>
    </row>
    <row r="1911" spans="1:3">
      <c r="A1911">
        <v>1903</v>
      </c>
      <c r="B1911">
        <v>0.32692003977660095</v>
      </c>
      <c r="C1911">
        <v>2.8333220689091831E-4</v>
      </c>
    </row>
    <row r="1912" spans="1:3">
      <c r="A1912">
        <v>1904</v>
      </c>
      <c r="B1912">
        <v>0.89090672596993559</v>
      </c>
      <c r="C1912">
        <v>0.6664727321067403</v>
      </c>
    </row>
    <row r="1913" spans="1:3">
      <c r="A1913">
        <v>1905</v>
      </c>
      <c r="B1913">
        <v>0.67109583595355404</v>
      </c>
      <c r="C1913">
        <v>0.88253755091318453</v>
      </c>
    </row>
    <row r="1914" spans="1:3">
      <c r="A1914">
        <v>1906</v>
      </c>
      <c r="B1914">
        <v>0.90208840383069777</v>
      </c>
      <c r="C1914">
        <v>0.73794246337365621</v>
      </c>
    </row>
    <row r="1915" spans="1:3">
      <c r="A1915">
        <v>1907</v>
      </c>
      <c r="B1915">
        <v>0.22490175675235263</v>
      </c>
      <c r="C1915">
        <v>0.16653090461113607</v>
      </c>
    </row>
    <row r="1916" spans="1:3">
      <c r="A1916">
        <v>1908</v>
      </c>
      <c r="B1916">
        <v>0.56299099957565568</v>
      </c>
      <c r="C1916">
        <v>0.20434957789893815</v>
      </c>
    </row>
    <row r="1917" spans="1:3">
      <c r="A1917">
        <v>1909</v>
      </c>
      <c r="B1917">
        <v>0.88734857036116266</v>
      </c>
      <c r="C1917">
        <v>0.3583608568424097</v>
      </c>
    </row>
    <row r="1918" spans="1:3">
      <c r="A1918">
        <v>1910</v>
      </c>
      <c r="B1918">
        <v>0.106433742400872</v>
      </c>
      <c r="C1918">
        <v>0.10340208795332728</v>
      </c>
    </row>
    <row r="1919" spans="1:3">
      <c r="A1919">
        <v>1911</v>
      </c>
      <c r="B1919">
        <v>0.21128755730336707</v>
      </c>
      <c r="C1919">
        <v>0.21163108824839583</v>
      </c>
    </row>
    <row r="1920" spans="1:3">
      <c r="A1920">
        <v>1912</v>
      </c>
      <c r="B1920">
        <v>0.57686950178231799</v>
      </c>
      <c r="C1920">
        <v>0.96334437146560958</v>
      </c>
    </row>
    <row r="1921" spans="1:3">
      <c r="A1921">
        <v>1913</v>
      </c>
      <c r="B1921">
        <v>0.55076353103149767</v>
      </c>
      <c r="C1921">
        <v>0.16610549837241706</v>
      </c>
    </row>
    <row r="1922" spans="1:3">
      <c r="A1922">
        <v>1914</v>
      </c>
      <c r="B1922">
        <v>0.16499122635004837</v>
      </c>
      <c r="C1922">
        <v>0.73842192416213948</v>
      </c>
    </row>
    <row r="1923" spans="1:3">
      <c r="A1923">
        <v>1915</v>
      </c>
      <c r="B1923">
        <v>0.4500918231723578</v>
      </c>
      <c r="C1923">
        <v>0.30023545861695311</v>
      </c>
    </row>
    <row r="1924" spans="1:3">
      <c r="A1924">
        <v>1916</v>
      </c>
      <c r="B1924">
        <v>0.78251034693636701</v>
      </c>
      <c r="C1924">
        <v>0.3223514204573803</v>
      </c>
    </row>
    <row r="1925" spans="1:3">
      <c r="A1925">
        <v>1917</v>
      </c>
      <c r="B1925">
        <v>0.19993408386025904</v>
      </c>
      <c r="C1925">
        <v>0.52206532548552786</v>
      </c>
    </row>
    <row r="1926" spans="1:3">
      <c r="A1926">
        <v>1918</v>
      </c>
      <c r="B1926">
        <v>0.12274938508401378</v>
      </c>
      <c r="C1926">
        <v>0.74164930265487783</v>
      </c>
    </row>
    <row r="1927" spans="1:3">
      <c r="A1927">
        <v>1919</v>
      </c>
      <c r="B1927">
        <v>0.71231072981243737</v>
      </c>
      <c r="C1927">
        <v>0.87133102028747089</v>
      </c>
    </row>
    <row r="1928" spans="1:3">
      <c r="A1928">
        <v>1920</v>
      </c>
      <c r="B1928">
        <v>0.56482903782069427</v>
      </c>
      <c r="C1928">
        <v>0.1277626048276943</v>
      </c>
    </row>
    <row r="1929" spans="1:3">
      <c r="A1929">
        <v>1921</v>
      </c>
      <c r="B1929">
        <v>0.51460759672485468</v>
      </c>
      <c r="C1929">
        <v>0.45296081824380963</v>
      </c>
    </row>
    <row r="1930" spans="1:3">
      <c r="A1930">
        <v>1922</v>
      </c>
      <c r="B1930">
        <v>0.55468250370684136</v>
      </c>
      <c r="C1930">
        <v>0.54756025349161064</v>
      </c>
    </row>
    <row r="1931" spans="1:3">
      <c r="A1931">
        <v>1923</v>
      </c>
      <c r="B1931">
        <v>0.4948733370512895</v>
      </c>
      <c r="C1931">
        <v>0.71108708111660235</v>
      </c>
    </row>
    <row r="1932" spans="1:3">
      <c r="A1932">
        <v>1924</v>
      </c>
      <c r="B1932">
        <v>0.87272367965707631</v>
      </c>
      <c r="C1932">
        <v>0.66590788730536588</v>
      </c>
    </row>
    <row r="1933" spans="1:3">
      <c r="A1933">
        <v>1925</v>
      </c>
      <c r="B1933">
        <v>0.77491245071518056</v>
      </c>
      <c r="C1933">
        <v>0.6617252462056058</v>
      </c>
    </row>
    <row r="1934" spans="1:3">
      <c r="A1934">
        <v>1926</v>
      </c>
      <c r="B1934">
        <v>0.37202056201282435</v>
      </c>
      <c r="C1934">
        <v>0.75265095687700523</v>
      </c>
    </row>
    <row r="1935" spans="1:3">
      <c r="A1935">
        <v>1927</v>
      </c>
      <c r="B1935">
        <v>0.24198626877967883</v>
      </c>
      <c r="C1935">
        <v>0.17358118414813362</v>
      </c>
    </row>
    <row r="1936" spans="1:3">
      <c r="A1936">
        <v>1928</v>
      </c>
      <c r="B1936">
        <v>0.57086863662294784</v>
      </c>
      <c r="C1936">
        <v>6.9473328689127811E-2</v>
      </c>
    </row>
    <row r="1937" spans="1:3">
      <c r="A1937">
        <v>1929</v>
      </c>
      <c r="B1937">
        <v>0.21324327927791592</v>
      </c>
      <c r="C1937">
        <v>2.0594457285369572E-2</v>
      </c>
    </row>
    <row r="1938" spans="1:3">
      <c r="A1938">
        <v>1930</v>
      </c>
      <c r="B1938">
        <v>0.24049857535001323</v>
      </c>
      <c r="C1938">
        <v>0.87491900848181103</v>
      </c>
    </row>
    <row r="1939" spans="1:3">
      <c r="A1939">
        <v>1931</v>
      </c>
      <c r="B1939">
        <v>0.4840577834411659</v>
      </c>
      <c r="C1939">
        <v>0.48491684580858418</v>
      </c>
    </row>
    <row r="1940" spans="1:3">
      <c r="A1940">
        <v>1932</v>
      </c>
      <c r="B1940">
        <v>0.48622619763976571</v>
      </c>
      <c r="C1940">
        <v>0.22799407767706725</v>
      </c>
    </row>
    <row r="1941" spans="1:3">
      <c r="A1941">
        <v>1933</v>
      </c>
      <c r="B1941">
        <v>0.174233748700757</v>
      </c>
      <c r="C1941">
        <v>4.0095543744428142E-2</v>
      </c>
    </row>
    <row r="1942" spans="1:3">
      <c r="A1942">
        <v>1934</v>
      </c>
      <c r="B1942">
        <v>0.76142846775120787</v>
      </c>
      <c r="C1942">
        <v>0.83194607818586519</v>
      </c>
    </row>
    <row r="1943" spans="1:3">
      <c r="A1943">
        <v>1935</v>
      </c>
      <c r="B1943">
        <v>0.34304525637292427</v>
      </c>
      <c r="C1943">
        <v>0.82545619114171132</v>
      </c>
    </row>
    <row r="1944" spans="1:3">
      <c r="A1944">
        <v>1936</v>
      </c>
      <c r="B1944">
        <v>7.5303122099745809E-2</v>
      </c>
      <c r="C1944">
        <v>0.98199585931342881</v>
      </c>
    </row>
    <row r="1945" spans="1:3">
      <c r="A1945">
        <v>1937</v>
      </c>
      <c r="B1945">
        <v>0.61491711675965166</v>
      </c>
      <c r="C1945">
        <v>0.72670499880587158</v>
      </c>
    </row>
    <row r="1946" spans="1:3">
      <c r="A1946">
        <v>1938</v>
      </c>
      <c r="B1946">
        <v>0.46719730349993271</v>
      </c>
      <c r="C1946">
        <v>6.2073429298834526E-3</v>
      </c>
    </row>
    <row r="1947" spans="1:3">
      <c r="A1947">
        <v>1939</v>
      </c>
      <c r="B1947">
        <v>0.74644517596653781</v>
      </c>
      <c r="C1947">
        <v>8.2119646249338984E-3</v>
      </c>
    </row>
    <row r="1948" spans="1:3">
      <c r="A1948">
        <v>1940</v>
      </c>
      <c r="B1948">
        <v>0.48673101577538319</v>
      </c>
      <c r="C1948">
        <v>0.7048174634719544</v>
      </c>
    </row>
    <row r="1949" spans="1:3">
      <c r="A1949">
        <v>1941</v>
      </c>
      <c r="B1949">
        <v>0.49975691325905663</v>
      </c>
      <c r="C1949">
        <v>0.62925557328890136</v>
      </c>
    </row>
    <row r="1950" spans="1:3">
      <c r="A1950">
        <v>1942</v>
      </c>
      <c r="B1950">
        <v>4.2743651369340635E-2</v>
      </c>
      <c r="C1950">
        <v>0.65481827878556942</v>
      </c>
    </row>
    <row r="1951" spans="1:3">
      <c r="A1951">
        <v>1943</v>
      </c>
      <c r="B1951">
        <v>0.27111176288312105</v>
      </c>
      <c r="C1951">
        <v>0.24873254471822293</v>
      </c>
    </row>
    <row r="1952" spans="1:3">
      <c r="A1952">
        <v>1944</v>
      </c>
      <c r="B1952">
        <v>0.31847438742473594</v>
      </c>
      <c r="C1952">
        <v>0.21698607881990029</v>
      </c>
    </row>
    <row r="1953" spans="1:3">
      <c r="A1953">
        <v>1945</v>
      </c>
      <c r="B1953">
        <v>0.22339388661174894</v>
      </c>
      <c r="C1953">
        <v>0.41517303467389866</v>
      </c>
    </row>
    <row r="1954" spans="1:3">
      <c r="A1954">
        <v>1946</v>
      </c>
      <c r="B1954">
        <v>0.90447940888117995</v>
      </c>
      <c r="C1954">
        <v>0.25755700389163394</v>
      </c>
    </row>
    <row r="1955" spans="1:3">
      <c r="A1955">
        <v>1947</v>
      </c>
      <c r="B1955">
        <v>0.46222219811017212</v>
      </c>
      <c r="C1955">
        <v>0.16096586031017068</v>
      </c>
    </row>
    <row r="1956" spans="1:3">
      <c r="A1956">
        <v>1948</v>
      </c>
      <c r="B1956">
        <v>5.0283116772045174E-2</v>
      </c>
      <c r="C1956">
        <v>0.6804033474991229</v>
      </c>
    </row>
    <row r="1957" spans="1:3">
      <c r="A1957">
        <v>1949</v>
      </c>
      <c r="B1957">
        <v>0.46011996466753069</v>
      </c>
      <c r="C1957">
        <v>0.66139522202865919</v>
      </c>
    </row>
    <row r="1958" spans="1:3">
      <c r="A1958">
        <v>1950</v>
      </c>
      <c r="B1958">
        <v>0.57544010761288</v>
      </c>
      <c r="C1958">
        <v>0.6358955152636554</v>
      </c>
    </row>
    <row r="1959" spans="1:3">
      <c r="A1959">
        <v>1951</v>
      </c>
      <c r="B1959">
        <v>0.81752179098784039</v>
      </c>
      <c r="C1959">
        <v>0.18832593520710361</v>
      </c>
    </row>
    <row r="1960" spans="1:3">
      <c r="A1960">
        <v>1952</v>
      </c>
      <c r="B1960">
        <v>0.30212041124983702</v>
      </c>
      <c r="C1960">
        <v>0.74073192643754737</v>
      </c>
    </row>
    <row r="1961" spans="1:3">
      <c r="A1961">
        <v>1953</v>
      </c>
      <c r="B1961">
        <v>0.97773464173128233</v>
      </c>
      <c r="C1961">
        <v>0.58984742242137145</v>
      </c>
    </row>
    <row r="1962" spans="1:3">
      <c r="A1962">
        <v>1954</v>
      </c>
      <c r="B1962">
        <v>0.71640194092737552</v>
      </c>
      <c r="C1962">
        <v>0.79831242939053482</v>
      </c>
    </row>
    <row r="1963" spans="1:3">
      <c r="A1963">
        <v>1955</v>
      </c>
      <c r="B1963">
        <v>0.98426937674015513</v>
      </c>
      <c r="C1963">
        <v>0.74956709623074858</v>
      </c>
    </row>
    <row r="1964" spans="1:3">
      <c r="A1964">
        <v>1956</v>
      </c>
      <c r="B1964">
        <v>0.54688867261681906</v>
      </c>
      <c r="C1964">
        <v>0.66165572250247351</v>
      </c>
    </row>
    <row r="1965" spans="1:3">
      <c r="A1965">
        <v>1957</v>
      </c>
      <c r="B1965">
        <v>0.80100454645035901</v>
      </c>
      <c r="C1965">
        <v>0.52064990815324563</v>
      </c>
    </row>
    <row r="1966" spans="1:3">
      <c r="A1966">
        <v>1958</v>
      </c>
      <c r="B1966">
        <v>0.93443027985734639</v>
      </c>
      <c r="C1966">
        <v>0.86918222085478192</v>
      </c>
    </row>
    <row r="1967" spans="1:3">
      <c r="A1967">
        <v>1959</v>
      </c>
      <c r="B1967">
        <v>0.93958284878716403</v>
      </c>
      <c r="C1967">
        <v>0.2975937706660261</v>
      </c>
    </row>
    <row r="1968" spans="1:3">
      <c r="A1968">
        <v>1960</v>
      </c>
      <c r="B1968">
        <v>0.68857063104402527</v>
      </c>
      <c r="C1968">
        <v>0.84254275113926269</v>
      </c>
    </row>
    <row r="1969" spans="1:3">
      <c r="A1969">
        <v>1961</v>
      </c>
      <c r="B1969">
        <v>0.88527344184803625</v>
      </c>
      <c r="C1969">
        <v>0.4004280215340259</v>
      </c>
    </row>
    <row r="1970" spans="1:3">
      <c r="A1970">
        <v>1962</v>
      </c>
      <c r="B1970">
        <v>8.7487040350420181E-2</v>
      </c>
      <c r="C1970">
        <v>0.23829127396220429</v>
      </c>
    </row>
    <row r="1971" spans="1:3">
      <c r="A1971">
        <v>1963</v>
      </c>
      <c r="B1971">
        <v>0.9465125784365257</v>
      </c>
      <c r="C1971">
        <v>0.80080663194348745</v>
      </c>
    </row>
    <row r="1972" spans="1:3">
      <c r="A1972">
        <v>1964</v>
      </c>
      <c r="B1972">
        <v>0.12461619288018351</v>
      </c>
      <c r="C1972">
        <v>0.10753355295400979</v>
      </c>
    </row>
    <row r="1973" spans="1:3">
      <c r="A1973">
        <v>1965</v>
      </c>
      <c r="B1973">
        <v>0.51620408160523601</v>
      </c>
      <c r="C1973">
        <v>0.92174221939785639</v>
      </c>
    </row>
    <row r="1974" spans="1:3">
      <c r="A1974">
        <v>1966</v>
      </c>
      <c r="B1974">
        <v>0.53998619319791585</v>
      </c>
      <c r="C1974">
        <v>0.91850926233382779</v>
      </c>
    </row>
    <row r="1975" spans="1:3">
      <c r="A1975">
        <v>1967</v>
      </c>
      <c r="B1975">
        <v>0.64580055649466817</v>
      </c>
      <c r="C1975">
        <v>0.23345363532916963</v>
      </c>
    </row>
    <row r="1976" spans="1:3">
      <c r="A1976">
        <v>1968</v>
      </c>
      <c r="B1976">
        <v>0.94485464992794554</v>
      </c>
      <c r="C1976">
        <v>0.67597681022743927</v>
      </c>
    </row>
    <row r="1977" spans="1:3">
      <c r="A1977">
        <v>1969</v>
      </c>
      <c r="B1977">
        <v>0.41474491574953892</v>
      </c>
      <c r="C1977">
        <v>0.8954940043431634</v>
      </c>
    </row>
    <row r="1978" spans="1:3">
      <c r="A1978">
        <v>1970</v>
      </c>
      <c r="B1978">
        <v>0.59950773700543392</v>
      </c>
      <c r="C1978">
        <v>0.56382995858621143</v>
      </c>
    </row>
    <row r="1979" spans="1:3">
      <c r="A1979">
        <v>1971</v>
      </c>
      <c r="B1979">
        <v>0.11531894827133951</v>
      </c>
      <c r="C1979">
        <v>0.99878585352871596</v>
      </c>
    </row>
    <row r="1980" spans="1:3">
      <c r="A1980">
        <v>1972</v>
      </c>
      <c r="B1980">
        <v>0.89667340077675728</v>
      </c>
      <c r="C1980">
        <v>3.8016453570890008E-2</v>
      </c>
    </row>
    <row r="1981" spans="1:3">
      <c r="A1981">
        <v>1973</v>
      </c>
      <c r="B1981">
        <v>0.52036286079170246</v>
      </c>
      <c r="C1981">
        <v>0.87511495032231323</v>
      </c>
    </row>
    <row r="1982" spans="1:3">
      <c r="A1982">
        <v>1974</v>
      </c>
      <c r="B1982">
        <v>0.43324632143798436</v>
      </c>
      <c r="C1982">
        <v>0.90944080290773854</v>
      </c>
    </row>
    <row r="1983" spans="1:3">
      <c r="A1983">
        <v>1975</v>
      </c>
      <c r="B1983">
        <v>0.94037489150892362</v>
      </c>
      <c r="C1983">
        <v>0.1250796528711362</v>
      </c>
    </row>
    <row r="1984" spans="1:3">
      <c r="A1984">
        <v>1976</v>
      </c>
      <c r="B1984">
        <v>0.45592094996825816</v>
      </c>
      <c r="C1984">
        <v>0.18292884251150099</v>
      </c>
    </row>
    <row r="1985" spans="1:3">
      <c r="A1985">
        <v>1977</v>
      </c>
      <c r="B1985">
        <v>0.71356324040721242</v>
      </c>
      <c r="C1985">
        <v>0.7881213583496276</v>
      </c>
    </row>
    <row r="1986" spans="1:3">
      <c r="A1986">
        <v>1978</v>
      </c>
      <c r="B1986">
        <v>0.78407032982289571</v>
      </c>
      <c r="C1986">
        <v>0.91314125393728318</v>
      </c>
    </row>
    <row r="1987" spans="1:3">
      <c r="A1987">
        <v>1979</v>
      </c>
      <c r="B1987">
        <v>0.12632443699034035</v>
      </c>
      <c r="C1987">
        <v>0.40440958147974015</v>
      </c>
    </row>
    <row r="1988" spans="1:3">
      <c r="A1988">
        <v>1980</v>
      </c>
      <c r="B1988">
        <v>0.40915859638167512</v>
      </c>
      <c r="C1988">
        <v>0.39578807393627358</v>
      </c>
    </row>
    <row r="1989" spans="1:3">
      <c r="A1989">
        <v>1981</v>
      </c>
      <c r="B1989">
        <v>0.51789060373541218</v>
      </c>
      <c r="C1989">
        <v>0.72510999840505974</v>
      </c>
    </row>
    <row r="1990" spans="1:3">
      <c r="A1990">
        <v>1982</v>
      </c>
      <c r="B1990">
        <v>0.90436414767004647</v>
      </c>
      <c r="C1990">
        <v>0.78805688534339424</v>
      </c>
    </row>
    <row r="1991" spans="1:3">
      <c r="A1991">
        <v>1983</v>
      </c>
      <c r="B1991">
        <v>0.79212240611112728</v>
      </c>
      <c r="C1991">
        <v>0.34116886135871027</v>
      </c>
    </row>
    <row r="1992" spans="1:3">
      <c r="A1992">
        <v>1984</v>
      </c>
      <c r="B1992">
        <v>0.5567590342898292</v>
      </c>
      <c r="C1992">
        <v>0.79797667196180555</v>
      </c>
    </row>
    <row r="1993" spans="1:3">
      <c r="A1993">
        <v>1985</v>
      </c>
      <c r="B1993">
        <v>5.6645049808697091E-2</v>
      </c>
      <c r="C1993">
        <v>0.98320821652214363</v>
      </c>
    </row>
    <row r="1994" spans="1:3">
      <c r="A1994">
        <v>1986</v>
      </c>
      <c r="B1994">
        <v>0.88107195735389177</v>
      </c>
      <c r="C1994">
        <v>0.58584747906388657</v>
      </c>
    </row>
    <row r="1995" spans="1:3">
      <c r="A1995">
        <v>1987</v>
      </c>
      <c r="B1995">
        <v>0.29375963902691371</v>
      </c>
      <c r="C1995">
        <v>0.7699153129806291</v>
      </c>
    </row>
    <row r="1996" spans="1:3">
      <c r="A1996">
        <v>1988</v>
      </c>
      <c r="B1996">
        <v>0.67939073791787741</v>
      </c>
      <c r="C1996">
        <v>0.2945206734148087</v>
      </c>
    </row>
    <row r="1997" spans="1:3">
      <c r="A1997">
        <v>1989</v>
      </c>
      <c r="B1997">
        <v>0.55246298914008374</v>
      </c>
      <c r="C1997">
        <v>0.40394142894638208</v>
      </c>
    </row>
    <row r="1998" spans="1:3">
      <c r="A1998">
        <v>1990</v>
      </c>
      <c r="B1998">
        <v>0.91651457627283284</v>
      </c>
      <c r="C1998">
        <v>0.67089465689241479</v>
      </c>
    </row>
    <row r="1999" spans="1:3">
      <c r="A1999">
        <v>1991</v>
      </c>
      <c r="B1999">
        <v>0.69495295922838918</v>
      </c>
      <c r="C1999">
        <v>0.37161121663484664</v>
      </c>
    </row>
    <row r="2000" spans="1:3">
      <c r="A2000">
        <v>1992</v>
      </c>
      <c r="B2000">
        <v>0.20459746293201983</v>
      </c>
      <c r="C2000">
        <v>0.87430885555113491</v>
      </c>
    </row>
    <row r="2001" spans="1:3">
      <c r="A2001">
        <v>1993</v>
      </c>
      <c r="B2001">
        <v>0.68764984186632794</v>
      </c>
      <c r="C2001">
        <v>0.89068511336245137</v>
      </c>
    </row>
    <row r="2002" spans="1:3">
      <c r="A2002">
        <v>1994</v>
      </c>
      <c r="B2002">
        <v>0.89359152089669169</v>
      </c>
      <c r="C2002">
        <v>0.51432209225822589</v>
      </c>
    </row>
    <row r="2003" spans="1:3">
      <c r="A2003">
        <v>1995</v>
      </c>
      <c r="B2003">
        <v>0.88874667730977452</v>
      </c>
      <c r="C2003">
        <v>0.51076192471282411</v>
      </c>
    </row>
    <row r="2004" spans="1:3">
      <c r="A2004">
        <v>1996</v>
      </c>
      <c r="B2004">
        <v>0.7897918890505079</v>
      </c>
      <c r="C2004">
        <v>0.78586016905865108</v>
      </c>
    </row>
    <row r="2005" spans="1:3">
      <c r="A2005">
        <v>1997</v>
      </c>
      <c r="B2005">
        <v>0.30654888779626899</v>
      </c>
      <c r="C2005">
        <v>0.93387955939488165</v>
      </c>
    </row>
    <row r="2006" spans="1:3">
      <c r="A2006">
        <v>1998</v>
      </c>
      <c r="B2006">
        <v>0.91558148574493392</v>
      </c>
      <c r="C2006">
        <v>0.41992389367078431</v>
      </c>
    </row>
    <row r="2007" spans="1:3">
      <c r="A2007">
        <v>1999</v>
      </c>
      <c r="B2007">
        <v>0.25538252468369499</v>
      </c>
      <c r="C2007">
        <v>7.3543379871807701E-2</v>
      </c>
    </row>
    <row r="2008" spans="1:3">
      <c r="A2008">
        <v>2000</v>
      </c>
      <c r="B2008">
        <v>0.62953894716266989</v>
      </c>
      <c r="C2008">
        <v>0.85509396687302797</v>
      </c>
    </row>
    <row r="2009" spans="1:3">
      <c r="A2009">
        <v>2001</v>
      </c>
      <c r="B2009">
        <v>0.4675146086038357</v>
      </c>
      <c r="C2009">
        <v>0.76753290354645287</v>
      </c>
    </row>
    <row r="2010" spans="1:3">
      <c r="A2010">
        <v>2002</v>
      </c>
      <c r="B2010">
        <v>3.4487864175924998E-3</v>
      </c>
      <c r="C2010">
        <v>0.24536045291642949</v>
      </c>
    </row>
    <row r="2011" spans="1:3">
      <c r="A2011">
        <v>2003</v>
      </c>
      <c r="B2011">
        <v>0.35635975396841757</v>
      </c>
      <c r="C2011">
        <v>0.73186971584527782</v>
      </c>
    </row>
    <row r="2012" spans="1:3">
      <c r="A2012">
        <v>2004</v>
      </c>
      <c r="B2012">
        <v>0.8682103893362475</v>
      </c>
      <c r="C2012">
        <v>0.47436823210955481</v>
      </c>
    </row>
    <row r="2013" spans="1:3">
      <c r="A2013">
        <v>2005</v>
      </c>
      <c r="B2013">
        <v>0.98683360516541485</v>
      </c>
      <c r="C2013">
        <v>0.9215244987854021</v>
      </c>
    </row>
    <row r="2014" spans="1:3">
      <c r="A2014">
        <v>2006</v>
      </c>
      <c r="B2014">
        <v>0.61568596578149259</v>
      </c>
      <c r="C2014">
        <v>0.34574031297779584</v>
      </c>
    </row>
    <row r="2015" spans="1:3">
      <c r="A2015">
        <v>2007</v>
      </c>
      <c r="B2015">
        <v>0.94547026467739381</v>
      </c>
      <c r="C2015">
        <v>0.1064640471167877</v>
      </c>
    </row>
    <row r="2016" spans="1:3">
      <c r="A2016">
        <v>2008</v>
      </c>
      <c r="B2016">
        <v>0.30457143851694918</v>
      </c>
      <c r="C2016">
        <v>0.30708580008649733</v>
      </c>
    </row>
    <row r="2017" spans="1:3">
      <c r="A2017">
        <v>2009</v>
      </c>
      <c r="B2017">
        <v>0.14032173230534462</v>
      </c>
      <c r="C2017">
        <v>5.950964626208588E-3</v>
      </c>
    </row>
    <row r="2018" spans="1:3">
      <c r="A2018">
        <v>2010</v>
      </c>
      <c r="B2018">
        <v>0.35805549273594645</v>
      </c>
      <c r="C2018">
        <v>0.84855165228691476</v>
      </c>
    </row>
    <row r="2019" spans="1:3">
      <c r="A2019">
        <v>2011</v>
      </c>
      <c r="B2019">
        <v>0.40705106112883682</v>
      </c>
      <c r="C2019">
        <v>0.43298300888727681</v>
      </c>
    </row>
    <row r="2020" spans="1:3">
      <c r="A2020">
        <v>2012</v>
      </c>
      <c r="B2020">
        <v>0.46088286851553312</v>
      </c>
      <c r="C2020">
        <v>0.92140371560890344</v>
      </c>
    </row>
    <row r="2021" spans="1:3">
      <c r="A2021">
        <v>2013</v>
      </c>
      <c r="B2021">
        <v>0.69965376797221923</v>
      </c>
      <c r="C2021">
        <v>0.44907483886981936</v>
      </c>
    </row>
    <row r="2022" spans="1:3">
      <c r="A2022">
        <v>2014</v>
      </c>
      <c r="B2022">
        <v>7.9243722170135866E-2</v>
      </c>
      <c r="C2022">
        <v>0.72730810641769494</v>
      </c>
    </row>
    <row r="2023" spans="1:3">
      <c r="A2023">
        <v>2015</v>
      </c>
      <c r="B2023">
        <v>6.2802907462884416E-2</v>
      </c>
      <c r="C2023">
        <v>0.98294902720317623</v>
      </c>
    </row>
    <row r="2024" spans="1:3">
      <c r="A2024">
        <v>2016</v>
      </c>
      <c r="B2024">
        <v>0.32099174528419783</v>
      </c>
      <c r="C2024">
        <v>0.23789783118263585</v>
      </c>
    </row>
    <row r="2025" spans="1:3">
      <c r="A2025">
        <v>2017</v>
      </c>
      <c r="B2025">
        <v>2.4829670333869215E-2</v>
      </c>
      <c r="C2025">
        <v>0.9062540479017116</v>
      </c>
    </row>
    <row r="2026" spans="1:3">
      <c r="A2026">
        <v>2018</v>
      </c>
      <c r="B2026">
        <v>0.45884288957497177</v>
      </c>
      <c r="C2026">
        <v>1.0271333321725251E-3</v>
      </c>
    </row>
    <row r="2027" spans="1:3">
      <c r="A2027">
        <v>2019</v>
      </c>
      <c r="B2027">
        <v>0.31010796760374398</v>
      </c>
      <c r="C2027">
        <v>0.54608428392111819</v>
      </c>
    </row>
    <row r="2028" spans="1:3">
      <c r="A2028">
        <v>2020</v>
      </c>
      <c r="B2028">
        <v>0.96647697593608806</v>
      </c>
      <c r="C2028">
        <v>0.60277655341997161</v>
      </c>
    </row>
    <row r="2029" spans="1:3">
      <c r="A2029">
        <v>2021</v>
      </c>
      <c r="B2029">
        <v>0.99915828955559027</v>
      </c>
      <c r="C2029">
        <v>0.72543047858835052</v>
      </c>
    </row>
    <row r="2030" spans="1:3">
      <c r="A2030">
        <v>2022</v>
      </c>
      <c r="B2030">
        <v>0.84541083146087148</v>
      </c>
      <c r="C2030">
        <v>0.56109758331695048</v>
      </c>
    </row>
    <row r="2031" spans="1:3">
      <c r="A2031">
        <v>2023</v>
      </c>
      <c r="B2031">
        <v>2.3894111989274183E-2</v>
      </c>
      <c r="C2031">
        <v>0.31891426546008006</v>
      </c>
    </row>
    <row r="2032" spans="1:3">
      <c r="A2032">
        <v>2024</v>
      </c>
      <c r="B2032">
        <v>0.31607185871332694</v>
      </c>
      <c r="C2032">
        <v>0.14819115633144975</v>
      </c>
    </row>
    <row r="2033" spans="1:3">
      <c r="A2033">
        <v>2025</v>
      </c>
      <c r="B2033">
        <v>0.34120982588930282</v>
      </c>
      <c r="C2033">
        <v>0.53744923224712693</v>
      </c>
    </row>
    <row r="2034" spans="1:3">
      <c r="A2034">
        <v>2026</v>
      </c>
      <c r="B2034">
        <v>0.4468471137863228</v>
      </c>
      <c r="C2034">
        <v>0.38818120993710181</v>
      </c>
    </row>
    <row r="2035" spans="1:3">
      <c r="A2035">
        <v>2027</v>
      </c>
      <c r="B2035">
        <v>0.91426771217181069</v>
      </c>
      <c r="C2035">
        <v>0.16555068891193514</v>
      </c>
    </row>
    <row r="2036" spans="1:3">
      <c r="A2036">
        <v>2028</v>
      </c>
      <c r="B2036">
        <v>0.67405440419284957</v>
      </c>
      <c r="C2036">
        <v>0.61352092668312252</v>
      </c>
    </row>
    <row r="2037" spans="1:3">
      <c r="A2037">
        <v>2029</v>
      </c>
      <c r="B2037">
        <v>0.5600040347379176</v>
      </c>
      <c r="C2037">
        <v>0.9068860897596096</v>
      </c>
    </row>
    <row r="2038" spans="1:3">
      <c r="A2038">
        <v>2030</v>
      </c>
      <c r="B2038">
        <v>0.31508808238741198</v>
      </c>
      <c r="C2038">
        <v>0.26501722429929941</v>
      </c>
    </row>
    <row r="2039" spans="1:3">
      <c r="A2039">
        <v>2031</v>
      </c>
      <c r="B2039">
        <v>0.70415907328528327</v>
      </c>
      <c r="C2039">
        <v>0.31172593363680789</v>
      </c>
    </row>
    <row r="2040" spans="1:3">
      <c r="A2040">
        <v>2032</v>
      </c>
      <c r="B2040">
        <v>0.81804394187518481</v>
      </c>
      <c r="C2040">
        <v>5.2583304299332667E-2</v>
      </c>
    </row>
    <row r="2041" spans="1:3">
      <c r="A2041">
        <v>2033</v>
      </c>
      <c r="B2041">
        <v>0.3393533267727013</v>
      </c>
      <c r="C2041">
        <v>0.28887043332633766</v>
      </c>
    </row>
    <row r="2042" spans="1:3">
      <c r="A2042">
        <v>2034</v>
      </c>
      <c r="B2042">
        <v>0.32542975921552386</v>
      </c>
      <c r="C2042">
        <v>5.9353476699470775E-3</v>
      </c>
    </row>
    <row r="2043" spans="1:3">
      <c r="A2043">
        <v>2035</v>
      </c>
      <c r="B2043">
        <v>0.68518601138195623</v>
      </c>
      <c r="C2043">
        <v>0.99164536551506899</v>
      </c>
    </row>
    <row r="2044" spans="1:3">
      <c r="A2044">
        <v>2036</v>
      </c>
      <c r="B2044">
        <v>0.2788274572826055</v>
      </c>
      <c r="C2044">
        <v>0.71618574826516124</v>
      </c>
    </row>
    <row r="2045" spans="1:3">
      <c r="A2045">
        <v>2037</v>
      </c>
      <c r="B2045">
        <v>0.80946270455742786</v>
      </c>
      <c r="C2045">
        <v>0.59017636327916989</v>
      </c>
    </row>
    <row r="2046" spans="1:3">
      <c r="A2046">
        <v>2038</v>
      </c>
      <c r="B2046">
        <v>6.3669383399437507E-2</v>
      </c>
      <c r="C2046">
        <v>0.63465695811828482</v>
      </c>
    </row>
    <row r="2047" spans="1:3">
      <c r="A2047">
        <v>2039</v>
      </c>
      <c r="B2047">
        <v>0.25125442138022147</v>
      </c>
      <c r="C2047">
        <v>0.14763493099508196</v>
      </c>
    </row>
    <row r="2048" spans="1:3">
      <c r="A2048">
        <v>2040</v>
      </c>
      <c r="B2048">
        <v>0.15538071560561209</v>
      </c>
      <c r="C2048">
        <v>0.63306114596161933</v>
      </c>
    </row>
    <row r="2049" spans="1:3">
      <c r="A2049">
        <v>2041</v>
      </c>
      <c r="B2049">
        <v>0.81957351746456075</v>
      </c>
      <c r="C2049">
        <v>0.71028791116350476</v>
      </c>
    </row>
    <row r="2050" spans="1:3">
      <c r="A2050">
        <v>2042</v>
      </c>
      <c r="B2050">
        <v>0.31239410534258794</v>
      </c>
      <c r="C2050">
        <v>0.28201745882688556</v>
      </c>
    </row>
    <row r="2051" spans="1:3">
      <c r="A2051">
        <v>2043</v>
      </c>
      <c r="B2051">
        <v>0.3902076377992536</v>
      </c>
      <c r="C2051">
        <v>3.1592285277852739E-2</v>
      </c>
    </row>
    <row r="2052" spans="1:3">
      <c r="A2052">
        <v>2044</v>
      </c>
      <c r="B2052">
        <v>0.53583864292601091</v>
      </c>
      <c r="C2052">
        <v>0.74823986256114949</v>
      </c>
    </row>
    <row r="2053" spans="1:3">
      <c r="A2053">
        <v>2045</v>
      </c>
      <c r="B2053">
        <v>0.60328497740078835</v>
      </c>
      <c r="C2053">
        <v>0.92778578919478605</v>
      </c>
    </row>
    <row r="2054" spans="1:3">
      <c r="A2054">
        <v>2046</v>
      </c>
      <c r="B2054">
        <v>0.76945782653616224</v>
      </c>
      <c r="C2054">
        <v>0.73534626706532435</v>
      </c>
    </row>
    <row r="2055" spans="1:3">
      <c r="A2055">
        <v>2047</v>
      </c>
      <c r="B2055">
        <v>0.62260484403297411</v>
      </c>
      <c r="C2055">
        <v>0.9372484711739304</v>
      </c>
    </row>
    <row r="2056" spans="1:3">
      <c r="A2056">
        <v>2048</v>
      </c>
      <c r="B2056">
        <v>0.80196924241980749</v>
      </c>
      <c r="C2056">
        <v>0.52907478453880685</v>
      </c>
    </row>
    <row r="2057" spans="1:3">
      <c r="A2057">
        <v>2049</v>
      </c>
      <c r="B2057">
        <v>0.26174649944304174</v>
      </c>
      <c r="C2057">
        <v>0.78527206249464143</v>
      </c>
    </row>
    <row r="2058" spans="1:3">
      <c r="A2058">
        <v>2050</v>
      </c>
      <c r="B2058">
        <v>0.69664352509911254</v>
      </c>
      <c r="C2058">
        <v>0.87507194846784842</v>
      </c>
    </row>
    <row r="2059" spans="1:3">
      <c r="A2059">
        <v>2051</v>
      </c>
      <c r="B2059">
        <v>0.13687338160483012</v>
      </c>
      <c r="C2059">
        <v>0.43072894708893728</v>
      </c>
    </row>
    <row r="2060" spans="1:3">
      <c r="A2060">
        <v>2052</v>
      </c>
      <c r="B2060">
        <v>0.72693967964875972</v>
      </c>
      <c r="C2060">
        <v>0.5180273084433793</v>
      </c>
    </row>
    <row r="2061" spans="1:3">
      <c r="A2061">
        <v>2053</v>
      </c>
      <c r="B2061">
        <v>0.62580402418351821</v>
      </c>
      <c r="C2061">
        <v>0.40052960680259275</v>
      </c>
    </row>
    <row r="2062" spans="1:3">
      <c r="A2062">
        <v>2054</v>
      </c>
      <c r="B2062">
        <v>0.43823096509581216</v>
      </c>
      <c r="C2062">
        <v>0.36831424766569398</v>
      </c>
    </row>
    <row r="2063" spans="1:3">
      <c r="A2063">
        <v>2055</v>
      </c>
      <c r="B2063">
        <v>0.18093818997497163</v>
      </c>
      <c r="C2063">
        <v>0.45022977321332291</v>
      </c>
    </row>
    <row r="2064" spans="1:3">
      <c r="A2064">
        <v>2056</v>
      </c>
      <c r="B2064">
        <v>0.67285610777937255</v>
      </c>
      <c r="C2064">
        <v>0.13053675600713177</v>
      </c>
    </row>
    <row r="2065" spans="1:3">
      <c r="A2065">
        <v>2057</v>
      </c>
      <c r="B2065">
        <v>0.44988888817175504</v>
      </c>
      <c r="C2065">
        <v>0.35833850632934627</v>
      </c>
    </row>
    <row r="2066" spans="1:3">
      <c r="A2066">
        <v>2058</v>
      </c>
      <c r="B2066">
        <v>0.3676246939177682</v>
      </c>
      <c r="C2066">
        <v>0.24110724751153612</v>
      </c>
    </row>
    <row r="2067" spans="1:3">
      <c r="A2067">
        <v>2059</v>
      </c>
      <c r="B2067">
        <v>0.62306282200414287</v>
      </c>
      <c r="C2067">
        <v>0.34172463686900301</v>
      </c>
    </row>
    <row r="2068" spans="1:3">
      <c r="A2068">
        <v>2060</v>
      </c>
      <c r="B2068">
        <v>0.22038417396177171</v>
      </c>
      <c r="C2068">
        <v>0.44520367230688862</v>
      </c>
    </row>
    <row r="2069" spans="1:3">
      <c r="A2069">
        <v>2061</v>
      </c>
      <c r="B2069">
        <v>0.38110645638259744</v>
      </c>
      <c r="C2069">
        <v>0.70741110368635418</v>
      </c>
    </row>
    <row r="2070" spans="1:3">
      <c r="A2070">
        <v>2062</v>
      </c>
      <c r="B2070">
        <v>0.90489561506241911</v>
      </c>
      <c r="C2070">
        <v>0.98289822546212235</v>
      </c>
    </row>
    <row r="2071" spans="1:3">
      <c r="A2071">
        <v>2063</v>
      </c>
      <c r="B2071">
        <v>0.28953323207826659</v>
      </c>
      <c r="C2071">
        <v>0.97166704940445925</v>
      </c>
    </row>
    <row r="2072" spans="1:3">
      <c r="A2072">
        <v>2064</v>
      </c>
      <c r="B2072">
        <v>0.37183493634574927</v>
      </c>
      <c r="C2072">
        <v>0.92391204473460675</v>
      </c>
    </row>
    <row r="2073" spans="1:3">
      <c r="A2073">
        <v>2065</v>
      </c>
      <c r="B2073">
        <v>0.85036864880071228</v>
      </c>
      <c r="C2073">
        <v>0.1294186827062731</v>
      </c>
    </row>
    <row r="2074" spans="1:3">
      <c r="A2074">
        <v>2066</v>
      </c>
      <c r="B2074">
        <v>0.67381493340237408</v>
      </c>
      <c r="C2074">
        <v>0.53750082553415268</v>
      </c>
    </row>
    <row r="2075" spans="1:3">
      <c r="A2075">
        <v>2067</v>
      </c>
      <c r="B2075">
        <v>0.69067441579654687</v>
      </c>
      <c r="C2075">
        <v>0.5954335507203723</v>
      </c>
    </row>
    <row r="2076" spans="1:3">
      <c r="A2076">
        <v>2068</v>
      </c>
      <c r="B2076">
        <v>0.58876213701739022</v>
      </c>
      <c r="C2076">
        <v>0.5026477820429136</v>
      </c>
    </row>
    <row r="2077" spans="1:3">
      <c r="A2077">
        <v>2069</v>
      </c>
      <c r="B2077">
        <v>0.112791153264649</v>
      </c>
      <c r="C2077">
        <v>0.42845846198451909</v>
      </c>
    </row>
    <row r="2078" spans="1:3">
      <c r="A2078">
        <v>2070</v>
      </c>
      <c r="B2078">
        <v>0.82695912247783487</v>
      </c>
      <c r="C2078">
        <v>0.7796802039101749</v>
      </c>
    </row>
    <row r="2079" spans="1:3">
      <c r="A2079">
        <v>2071</v>
      </c>
      <c r="B2079">
        <v>0.94401501034810553</v>
      </c>
      <c r="C2079">
        <v>0.98090174051776557</v>
      </c>
    </row>
    <row r="2080" spans="1:3">
      <c r="A2080">
        <v>2072</v>
      </c>
      <c r="B2080">
        <v>0.7147961484455494</v>
      </c>
      <c r="C2080">
        <v>0.31409862947111833</v>
      </c>
    </row>
    <row r="2081" spans="1:3">
      <c r="A2081">
        <v>2073</v>
      </c>
      <c r="B2081">
        <v>0.40233741561424397</v>
      </c>
      <c r="C2081">
        <v>0.45829465016049653</v>
      </c>
    </row>
    <row r="2082" spans="1:3">
      <c r="A2082">
        <v>2074</v>
      </c>
      <c r="B2082">
        <v>0.45185195556125884</v>
      </c>
      <c r="C2082">
        <v>0.97708208585936518</v>
      </c>
    </row>
    <row r="2083" spans="1:3">
      <c r="A2083">
        <v>2075</v>
      </c>
      <c r="B2083">
        <v>0.64525422108509911</v>
      </c>
      <c r="C2083">
        <v>0.23144829906323139</v>
      </c>
    </row>
    <row r="2084" spans="1:3">
      <c r="A2084">
        <v>2076</v>
      </c>
      <c r="B2084">
        <v>0.96244386339384214</v>
      </c>
      <c r="C2084">
        <v>0.76434075100405607</v>
      </c>
    </row>
    <row r="2085" spans="1:3">
      <c r="A2085">
        <v>2077</v>
      </c>
      <c r="B2085">
        <v>0.36332441235345891</v>
      </c>
      <c r="C2085">
        <v>0.80567471265658241</v>
      </c>
    </row>
    <row r="2086" spans="1:3">
      <c r="A2086">
        <v>2078</v>
      </c>
      <c r="B2086">
        <v>4.7735178327871296E-2</v>
      </c>
      <c r="C2086">
        <v>0.13203333519959415</v>
      </c>
    </row>
    <row r="2087" spans="1:3">
      <c r="A2087">
        <v>2079</v>
      </c>
      <c r="B2087">
        <v>0.37995212105828152</v>
      </c>
      <c r="C2087">
        <v>0.3069377456604343</v>
      </c>
    </row>
    <row r="2088" spans="1:3">
      <c r="A2088">
        <v>2080</v>
      </c>
      <c r="B2088">
        <v>0.39225164670503038</v>
      </c>
      <c r="C2088">
        <v>0.86774857134514605</v>
      </c>
    </row>
    <row r="2089" spans="1:3">
      <c r="A2089">
        <v>2081</v>
      </c>
      <c r="B2089">
        <v>0.22290441888722229</v>
      </c>
      <c r="C2089">
        <v>0.44510458131026098</v>
      </c>
    </row>
    <row r="2090" spans="1:3">
      <c r="A2090">
        <v>2082</v>
      </c>
      <c r="B2090">
        <v>0.35707949272880318</v>
      </c>
      <c r="C2090">
        <v>0.82715196402386937</v>
      </c>
    </row>
    <row r="2091" spans="1:3">
      <c r="A2091">
        <v>2083</v>
      </c>
      <c r="B2091">
        <v>0.17751079563524361</v>
      </c>
      <c r="C2091">
        <v>0.43737850619891105</v>
      </c>
    </row>
    <row r="2092" spans="1:3">
      <c r="A2092">
        <v>2084</v>
      </c>
      <c r="B2092">
        <v>0.45509845161770901</v>
      </c>
      <c r="C2092">
        <v>0.97463649251585593</v>
      </c>
    </row>
    <row r="2093" spans="1:3">
      <c r="A2093">
        <v>2085</v>
      </c>
      <c r="B2093">
        <v>0.56168459769861878</v>
      </c>
      <c r="C2093">
        <v>0.42252139659377974</v>
      </c>
    </row>
    <row r="2094" spans="1:3">
      <c r="A2094">
        <v>2086</v>
      </c>
      <c r="B2094">
        <v>0.92107227067893205</v>
      </c>
      <c r="C2094">
        <v>0.41638677515857125</v>
      </c>
    </row>
    <row r="2095" spans="1:3">
      <c r="A2095">
        <v>2087</v>
      </c>
      <c r="B2095">
        <v>0.659674779706652</v>
      </c>
      <c r="C2095">
        <v>0.53866925428337709</v>
      </c>
    </row>
    <row r="2096" spans="1:3">
      <c r="A2096">
        <v>2088</v>
      </c>
      <c r="B2096">
        <v>0.93695116750573526</v>
      </c>
      <c r="C2096">
        <v>0.73013360309232667</v>
      </c>
    </row>
    <row r="2097" spans="1:3">
      <c r="A2097">
        <v>2089</v>
      </c>
      <c r="B2097">
        <v>0.87218195911389362</v>
      </c>
      <c r="C2097">
        <v>1.128977817370469E-2</v>
      </c>
    </row>
    <row r="2098" spans="1:3">
      <c r="A2098">
        <v>2090</v>
      </c>
      <c r="B2098">
        <v>0.6154432517982189</v>
      </c>
      <c r="C2098">
        <v>0.14469262562488439</v>
      </c>
    </row>
    <row r="2099" spans="1:3">
      <c r="A2099">
        <v>2091</v>
      </c>
      <c r="B2099">
        <v>9.0122054195246215E-2</v>
      </c>
      <c r="C2099">
        <v>0.30255402616876381</v>
      </c>
    </row>
    <row r="2100" spans="1:3">
      <c r="A2100">
        <v>2092</v>
      </c>
      <c r="B2100">
        <v>0.23929059656222598</v>
      </c>
      <c r="C2100">
        <v>0.20822669493281865</v>
      </c>
    </row>
    <row r="2101" spans="1:3">
      <c r="A2101">
        <v>2093</v>
      </c>
      <c r="B2101">
        <v>0.54240571330674126</v>
      </c>
      <c r="C2101">
        <v>1.3255339254101273E-2</v>
      </c>
    </row>
    <row r="2102" spans="1:3">
      <c r="A2102">
        <v>2094</v>
      </c>
      <c r="B2102">
        <v>0.97894584853135658</v>
      </c>
      <c r="C2102">
        <v>0.47426494606406777</v>
      </c>
    </row>
    <row r="2103" spans="1:3">
      <c r="A2103">
        <v>2095</v>
      </c>
      <c r="B2103">
        <v>0.42810229373027159</v>
      </c>
      <c r="C2103">
        <v>7.1302200972240826E-2</v>
      </c>
    </row>
    <row r="2104" spans="1:3">
      <c r="A2104">
        <v>2096</v>
      </c>
      <c r="B2104">
        <v>0.86688275725969177</v>
      </c>
      <c r="C2104">
        <v>0.73038154315690917</v>
      </c>
    </row>
    <row r="2105" spans="1:3">
      <c r="A2105">
        <v>2097</v>
      </c>
      <c r="B2105">
        <v>0.53530946860939943</v>
      </c>
      <c r="C2105">
        <v>0.32032680828797311</v>
      </c>
    </row>
    <row r="2106" spans="1:3">
      <c r="A2106">
        <v>2098</v>
      </c>
      <c r="B2106">
        <v>0.75306333030519623</v>
      </c>
      <c r="C2106">
        <v>0.12175146193476394</v>
      </c>
    </row>
    <row r="2107" spans="1:3">
      <c r="A2107">
        <v>2099</v>
      </c>
      <c r="B2107">
        <v>0.98035580277986722</v>
      </c>
      <c r="C2107">
        <v>0.36014608852838137</v>
      </c>
    </row>
    <row r="2108" spans="1:3">
      <c r="A2108">
        <v>2100</v>
      </c>
      <c r="B2108">
        <v>0.38959378334772626</v>
      </c>
      <c r="C2108">
        <v>0.24184519165464735</v>
      </c>
    </row>
    <row r="2109" spans="1:3">
      <c r="A2109">
        <v>2101</v>
      </c>
      <c r="B2109">
        <v>0.8916241097069868</v>
      </c>
      <c r="C2109">
        <v>0.72409646794221771</v>
      </c>
    </row>
    <row r="2110" spans="1:3">
      <c r="A2110">
        <v>2102</v>
      </c>
      <c r="B2110">
        <v>0.50886626889683917</v>
      </c>
      <c r="C2110">
        <v>0.56069833392484725</v>
      </c>
    </row>
    <row r="2111" spans="1:3">
      <c r="A2111">
        <v>2103</v>
      </c>
      <c r="B2111">
        <v>0.72496480042174571</v>
      </c>
      <c r="C2111">
        <v>0.30917460442287847</v>
      </c>
    </row>
    <row r="2112" spans="1:3">
      <c r="A2112">
        <v>2104</v>
      </c>
      <c r="B2112">
        <v>0.27443511542906873</v>
      </c>
      <c r="C2112">
        <v>0.93262770155251928</v>
      </c>
    </row>
    <row r="2113" spans="1:3">
      <c r="A2113">
        <v>2105</v>
      </c>
      <c r="B2113">
        <v>0.81004194630636872</v>
      </c>
      <c r="C2113">
        <v>0.89503217031051463</v>
      </c>
    </row>
    <row r="2114" spans="1:3">
      <c r="A2114">
        <v>2106</v>
      </c>
      <c r="B2114">
        <v>0.19499805359239644</v>
      </c>
      <c r="C2114">
        <v>0.39064398837672343</v>
      </c>
    </row>
    <row r="2115" spans="1:3">
      <c r="A2115">
        <v>2107</v>
      </c>
      <c r="B2115">
        <v>0.55925082824645811</v>
      </c>
      <c r="C2115">
        <v>0.51575561176650808</v>
      </c>
    </row>
    <row r="2116" spans="1:3">
      <c r="A2116">
        <v>2108</v>
      </c>
      <c r="B2116">
        <v>0.38649935704104121</v>
      </c>
      <c r="C2116">
        <v>0.83820579910388915</v>
      </c>
    </row>
    <row r="2117" spans="1:3">
      <c r="A2117">
        <v>2109</v>
      </c>
      <c r="B2117">
        <v>0.67997691743033406</v>
      </c>
      <c r="C2117">
        <v>0.97168411206348537</v>
      </c>
    </row>
    <row r="2118" spans="1:3">
      <c r="A2118">
        <v>2110</v>
      </c>
      <c r="B2118">
        <v>0.14067408044377205</v>
      </c>
      <c r="C2118">
        <v>0.55988095999236975</v>
      </c>
    </row>
    <row r="2119" spans="1:3">
      <c r="A2119">
        <v>2111</v>
      </c>
      <c r="B2119">
        <v>0.91570129245927123</v>
      </c>
      <c r="C2119">
        <v>0.27491434874264087</v>
      </c>
    </row>
    <row r="2120" spans="1:3">
      <c r="A2120">
        <v>2112</v>
      </c>
      <c r="B2120">
        <v>0.68897157805766251</v>
      </c>
      <c r="C2120">
        <v>0.99072362889637589</v>
      </c>
    </row>
    <row r="2121" spans="1:3">
      <c r="A2121">
        <v>2113</v>
      </c>
      <c r="B2121">
        <v>0.44820908169690726</v>
      </c>
      <c r="C2121">
        <v>9.2936827756602725E-2</v>
      </c>
    </row>
    <row r="2122" spans="1:3">
      <c r="A2122">
        <v>2114</v>
      </c>
      <c r="B2122">
        <v>9.2109502053332876E-2</v>
      </c>
      <c r="C2122">
        <v>0.16285232779591752</v>
      </c>
    </row>
    <row r="2123" spans="1:3">
      <c r="A2123">
        <v>2115</v>
      </c>
      <c r="B2123">
        <v>0.40315289344018163</v>
      </c>
      <c r="C2123">
        <v>0.82956391203424573</v>
      </c>
    </row>
    <row r="2124" spans="1:3">
      <c r="A2124">
        <v>2116</v>
      </c>
      <c r="B2124">
        <v>0.2595257521847556</v>
      </c>
      <c r="C2124">
        <v>0.68675025453558192</v>
      </c>
    </row>
    <row r="2125" spans="1:3">
      <c r="A2125">
        <v>2117</v>
      </c>
      <c r="B2125">
        <v>0.35060256665777473</v>
      </c>
      <c r="C2125">
        <v>0.58424485067644127</v>
      </c>
    </row>
    <row r="2126" spans="1:3">
      <c r="A2126">
        <v>2118</v>
      </c>
      <c r="B2126">
        <v>0.35297648491938055</v>
      </c>
      <c r="C2126">
        <v>8.1223067210885347E-2</v>
      </c>
    </row>
    <row r="2127" spans="1:3">
      <c r="A2127">
        <v>2119</v>
      </c>
      <c r="B2127">
        <v>0.4193710004417624</v>
      </c>
      <c r="C2127">
        <v>0.94580312153721025</v>
      </c>
    </row>
    <row r="2128" spans="1:3">
      <c r="A2128">
        <v>2120</v>
      </c>
      <c r="B2128">
        <v>9.5839975798930957E-3</v>
      </c>
      <c r="C2128">
        <v>6.5155273830896476E-2</v>
      </c>
    </row>
    <row r="2129" spans="1:3">
      <c r="A2129">
        <v>2121</v>
      </c>
      <c r="B2129">
        <v>0.24368120939160726</v>
      </c>
      <c r="C2129">
        <v>0.6545322368538109</v>
      </c>
    </row>
    <row r="2130" spans="1:3">
      <c r="A2130">
        <v>2122</v>
      </c>
      <c r="B2130">
        <v>0.29903761136420948</v>
      </c>
      <c r="C2130">
        <v>0.86771087394848223</v>
      </c>
    </row>
    <row r="2131" spans="1:3">
      <c r="A2131">
        <v>2123</v>
      </c>
      <c r="B2131">
        <v>8.9191501721737787E-2</v>
      </c>
      <c r="C2131">
        <v>0.35038256115149125</v>
      </c>
    </row>
    <row r="2132" spans="1:3">
      <c r="A2132">
        <v>2124</v>
      </c>
      <c r="B2132">
        <v>6.9222041949402083E-2</v>
      </c>
      <c r="C2132">
        <v>0.67481697899256687</v>
      </c>
    </row>
    <row r="2133" spans="1:3">
      <c r="A2133">
        <v>2125</v>
      </c>
      <c r="B2133">
        <v>0.93627562065121617</v>
      </c>
      <c r="C2133">
        <v>0.60571464400527475</v>
      </c>
    </row>
    <row r="2134" spans="1:3">
      <c r="A2134">
        <v>2126</v>
      </c>
      <c r="B2134">
        <v>0.88843663577172827</v>
      </c>
      <c r="C2134">
        <v>0.78498044653770194</v>
      </c>
    </row>
    <row r="2135" spans="1:3">
      <c r="A2135">
        <v>2127</v>
      </c>
      <c r="B2135">
        <v>0.8890529133903452</v>
      </c>
      <c r="C2135">
        <v>0.20739652554038912</v>
      </c>
    </row>
    <row r="2136" spans="1:3">
      <c r="A2136">
        <v>2128</v>
      </c>
      <c r="B2136">
        <v>0.97392120175923247</v>
      </c>
      <c r="C2136">
        <v>5.6867554379095964E-2</v>
      </c>
    </row>
    <row r="2137" spans="1:3">
      <c r="A2137">
        <v>2129</v>
      </c>
      <c r="B2137">
        <v>0.88572223991898869</v>
      </c>
      <c r="C2137">
        <v>0.36312629517669848</v>
      </c>
    </row>
    <row r="2138" spans="1:3">
      <c r="A2138">
        <v>2130</v>
      </c>
      <c r="B2138">
        <v>0.63305389705431969</v>
      </c>
      <c r="C2138">
        <v>0.7608380022475103</v>
      </c>
    </row>
    <row r="2139" spans="1:3">
      <c r="A2139">
        <v>2131</v>
      </c>
      <c r="B2139">
        <v>0.25059509333530328</v>
      </c>
      <c r="C2139">
        <v>0.9134083706921956</v>
      </c>
    </row>
    <row r="2140" spans="1:3">
      <c r="A2140">
        <v>2132</v>
      </c>
      <c r="B2140">
        <v>0.91055754151040635</v>
      </c>
      <c r="C2140">
        <v>0.42728392668414017</v>
      </c>
    </row>
    <row r="2141" spans="1:3">
      <c r="A2141">
        <v>2133</v>
      </c>
      <c r="B2141">
        <v>5.9068556422383657E-2</v>
      </c>
      <c r="C2141">
        <v>0.76540862925867259</v>
      </c>
    </row>
    <row r="2142" spans="1:3">
      <c r="A2142">
        <v>2134</v>
      </c>
      <c r="B2142">
        <v>0.28141475600032484</v>
      </c>
      <c r="C2142">
        <v>7.5126096789972507E-2</v>
      </c>
    </row>
    <row r="2143" spans="1:3">
      <c r="A2143">
        <v>2135</v>
      </c>
      <c r="B2143">
        <v>0.17472833579949296</v>
      </c>
      <c r="C2143">
        <v>0.22227548042883427</v>
      </c>
    </row>
    <row r="2144" spans="1:3">
      <c r="A2144">
        <v>2136</v>
      </c>
      <c r="B2144">
        <v>0.72889089118207129</v>
      </c>
      <c r="C2144">
        <v>0.94791112286111456</v>
      </c>
    </row>
    <row r="2145" spans="1:3">
      <c r="A2145">
        <v>2137</v>
      </c>
      <c r="B2145">
        <v>0.67880832752860343</v>
      </c>
      <c r="C2145">
        <v>0.67409214671988593</v>
      </c>
    </row>
    <row r="2146" spans="1:3">
      <c r="A2146">
        <v>2138</v>
      </c>
      <c r="B2146">
        <v>0.40396955158979853</v>
      </c>
      <c r="C2146">
        <v>0.68636045521816413</v>
      </c>
    </row>
    <row r="2147" spans="1:3">
      <c r="A2147">
        <v>2139</v>
      </c>
      <c r="B2147">
        <v>0.74003772369093213</v>
      </c>
      <c r="C2147">
        <v>0.69111853133017576</v>
      </c>
    </row>
    <row r="2148" spans="1:3">
      <c r="A2148">
        <v>2140</v>
      </c>
      <c r="B2148">
        <v>0.83976844682697416</v>
      </c>
      <c r="C2148">
        <v>0.61389763280021725</v>
      </c>
    </row>
    <row r="2149" spans="1:3">
      <c r="A2149">
        <v>2141</v>
      </c>
      <c r="B2149">
        <v>0.74047174959161133</v>
      </c>
      <c r="C2149">
        <v>1.1921999709556985E-2</v>
      </c>
    </row>
    <row r="2150" spans="1:3">
      <c r="A2150">
        <v>2142</v>
      </c>
      <c r="B2150">
        <v>0.12981931236330871</v>
      </c>
      <c r="C2150">
        <v>0.96943379410549824</v>
      </c>
    </row>
    <row r="2151" spans="1:3">
      <c r="A2151">
        <v>2143</v>
      </c>
      <c r="B2151">
        <v>0.71149938164947069</v>
      </c>
      <c r="C2151">
        <v>0.65386281361588772</v>
      </c>
    </row>
    <row r="2152" spans="1:3">
      <c r="A2152">
        <v>2144</v>
      </c>
      <c r="B2152">
        <v>0.99377660885638941</v>
      </c>
      <c r="C2152">
        <v>0.65569163183317869</v>
      </c>
    </row>
    <row r="2153" spans="1:3">
      <c r="A2153">
        <v>2145</v>
      </c>
      <c r="B2153">
        <v>0.67136912808412896</v>
      </c>
      <c r="C2153">
        <v>0.8498149866491076</v>
      </c>
    </row>
    <row r="2154" spans="1:3">
      <c r="A2154">
        <v>2146</v>
      </c>
      <c r="B2154">
        <v>0.36656028219637471</v>
      </c>
      <c r="C2154">
        <v>0.7925915372234158</v>
      </c>
    </row>
    <row r="2155" spans="1:3">
      <c r="A2155">
        <v>2147</v>
      </c>
      <c r="B2155">
        <v>0.44910737465752926</v>
      </c>
      <c r="C2155">
        <v>0.39949985026126456</v>
      </c>
    </row>
    <row r="2156" spans="1:3">
      <c r="A2156">
        <v>2148</v>
      </c>
      <c r="B2156">
        <v>0.52773269927635158</v>
      </c>
      <c r="C2156">
        <v>0.90613333286000852</v>
      </c>
    </row>
    <row r="2157" spans="1:3">
      <c r="A2157">
        <v>2149</v>
      </c>
      <c r="B2157">
        <v>0.24923873933279855</v>
      </c>
      <c r="C2157">
        <v>0.65847523592859147</v>
      </c>
    </row>
    <row r="2158" spans="1:3">
      <c r="A2158">
        <v>2150</v>
      </c>
      <c r="B2158">
        <v>0.43099248694726094</v>
      </c>
      <c r="C2158">
        <v>0.50360421838558977</v>
      </c>
    </row>
    <row r="2159" spans="1:3">
      <c r="A2159">
        <v>2151</v>
      </c>
      <c r="B2159">
        <v>7.5509777742789538E-2</v>
      </c>
      <c r="C2159">
        <v>0.69111860228804289</v>
      </c>
    </row>
    <row r="2160" spans="1:3">
      <c r="A2160">
        <v>2152</v>
      </c>
      <c r="B2160">
        <v>0.58753169673288508</v>
      </c>
      <c r="C2160">
        <v>0.47607617657831725</v>
      </c>
    </row>
    <row r="2161" spans="1:3">
      <c r="A2161">
        <v>2153</v>
      </c>
      <c r="B2161">
        <v>0.94721349265957555</v>
      </c>
      <c r="C2161">
        <v>0.59138293353862537</v>
      </c>
    </row>
    <row r="2162" spans="1:3">
      <c r="A2162">
        <v>2154</v>
      </c>
      <c r="B2162">
        <v>0.55683002687809757</v>
      </c>
      <c r="C2162">
        <v>0.61196544513313711</v>
      </c>
    </row>
    <row r="2163" spans="1:3">
      <c r="A2163">
        <v>2155</v>
      </c>
      <c r="B2163">
        <v>0.91031061545100789</v>
      </c>
      <c r="C2163">
        <v>0.13398247509030625</v>
      </c>
    </row>
    <row r="2164" spans="1:3">
      <c r="A2164">
        <v>2156</v>
      </c>
      <c r="B2164">
        <v>0.14324331971505735</v>
      </c>
      <c r="C2164">
        <v>0.96752084687159368</v>
      </c>
    </row>
    <row r="2165" spans="1:3">
      <c r="A2165">
        <v>2157</v>
      </c>
      <c r="B2165">
        <v>0.13425559313517427</v>
      </c>
      <c r="C2165">
        <v>0.90363537016128248</v>
      </c>
    </row>
    <row r="2166" spans="1:3">
      <c r="A2166">
        <v>2158</v>
      </c>
      <c r="B2166">
        <v>0.91443635120551026</v>
      </c>
      <c r="C2166">
        <v>0.73779348108382692</v>
      </c>
    </row>
    <row r="2167" spans="1:3">
      <c r="A2167">
        <v>2159</v>
      </c>
      <c r="B2167">
        <v>0.30085359505667664</v>
      </c>
      <c r="C2167">
        <v>0.35240211949349032</v>
      </c>
    </row>
    <row r="2168" spans="1:3">
      <c r="A2168">
        <v>2160</v>
      </c>
      <c r="B2168">
        <v>0.47229012271624299</v>
      </c>
      <c r="C2168">
        <v>0.89434696651642298</v>
      </c>
    </row>
    <row r="2169" spans="1:3">
      <c r="A2169">
        <v>2161</v>
      </c>
      <c r="B2169">
        <v>0.34487772137450001</v>
      </c>
      <c r="C2169">
        <v>0.33738394733336463</v>
      </c>
    </row>
    <row r="2170" spans="1:3">
      <c r="A2170">
        <v>2162</v>
      </c>
      <c r="B2170">
        <v>0.46914011193964172</v>
      </c>
      <c r="C2170">
        <v>0.36443064735158259</v>
      </c>
    </row>
    <row r="2171" spans="1:3">
      <c r="A2171">
        <v>2163</v>
      </c>
      <c r="B2171">
        <v>0.5393025875931845</v>
      </c>
      <c r="C2171">
        <v>0.35612546723132255</v>
      </c>
    </row>
    <row r="2172" spans="1:3">
      <c r="A2172">
        <v>2164</v>
      </c>
      <c r="B2172">
        <v>9.8938713744501292E-2</v>
      </c>
      <c r="C2172">
        <v>0.80328045777696389</v>
      </c>
    </row>
    <row r="2173" spans="1:3">
      <c r="A2173">
        <v>2165</v>
      </c>
      <c r="B2173">
        <v>0.5340358667052435</v>
      </c>
      <c r="C2173">
        <v>0.89833207355877676</v>
      </c>
    </row>
    <row r="2174" spans="1:3">
      <c r="A2174">
        <v>2166</v>
      </c>
      <c r="B2174">
        <v>0.87403387855809034</v>
      </c>
      <c r="C2174">
        <v>0.41742944062298193</v>
      </c>
    </row>
    <row r="2175" spans="1:3">
      <c r="A2175">
        <v>2167</v>
      </c>
      <c r="B2175">
        <v>0.51878868691888369</v>
      </c>
      <c r="C2175">
        <v>0.91098921374577913</v>
      </c>
    </row>
    <row r="2176" spans="1:3">
      <c r="A2176">
        <v>2168</v>
      </c>
      <c r="B2176">
        <v>0.80286576201847415</v>
      </c>
      <c r="C2176">
        <v>0.17669555198426679</v>
      </c>
    </row>
    <row r="2177" spans="1:3">
      <c r="A2177">
        <v>2169</v>
      </c>
      <c r="B2177">
        <v>0.32646981011584164</v>
      </c>
      <c r="C2177">
        <v>0.37988920044699626</v>
      </c>
    </row>
    <row r="2178" spans="1:3">
      <c r="A2178">
        <v>2170</v>
      </c>
      <c r="B2178">
        <v>0.35720387067124337</v>
      </c>
      <c r="C2178">
        <v>0.48893328475332964</v>
      </c>
    </row>
    <row r="2179" spans="1:3">
      <c r="A2179">
        <v>2171</v>
      </c>
      <c r="B2179">
        <v>0.81573860064585202</v>
      </c>
      <c r="C2179">
        <v>0.19441896637727041</v>
      </c>
    </row>
    <row r="2180" spans="1:3">
      <c r="A2180">
        <v>2172</v>
      </c>
      <c r="B2180">
        <v>0.45687029430509318</v>
      </c>
      <c r="C2180">
        <v>0.9296635381933811</v>
      </c>
    </row>
    <row r="2181" spans="1:3">
      <c r="A2181">
        <v>2173</v>
      </c>
      <c r="B2181">
        <v>2.5209577849090468E-2</v>
      </c>
      <c r="C2181">
        <v>0.98204618050112913</v>
      </c>
    </row>
    <row r="2182" spans="1:3">
      <c r="A2182">
        <v>2174</v>
      </c>
      <c r="B2182">
        <v>0.35377234380547246</v>
      </c>
      <c r="C2182">
        <v>0.33188637724835601</v>
      </c>
    </row>
    <row r="2183" spans="1:3">
      <c r="A2183">
        <v>2175</v>
      </c>
      <c r="B2183">
        <v>0.52290741586897227</v>
      </c>
      <c r="C2183">
        <v>0.65459899641064112</v>
      </c>
    </row>
    <row r="2184" spans="1:3">
      <c r="A2184">
        <v>2176</v>
      </c>
      <c r="B2184">
        <v>0.77995462646902414</v>
      </c>
      <c r="C2184">
        <v>0.7795428644230924</v>
      </c>
    </row>
    <row r="2185" spans="1:3">
      <c r="A2185">
        <v>2177</v>
      </c>
      <c r="B2185">
        <v>0.82109274383338471</v>
      </c>
      <c r="C2185">
        <v>6.5149689282407053E-2</v>
      </c>
    </row>
    <row r="2186" spans="1:3">
      <c r="A2186">
        <v>2178</v>
      </c>
      <c r="B2186">
        <v>0.51041205171742754</v>
      </c>
      <c r="C2186">
        <v>0.73913649779842672</v>
      </c>
    </row>
    <row r="2187" spans="1:3">
      <c r="A2187">
        <v>2179</v>
      </c>
      <c r="B2187">
        <v>0.83917278323061129</v>
      </c>
      <c r="C2187">
        <v>0.28806698413427512</v>
      </c>
    </row>
    <row r="2188" spans="1:3">
      <c r="A2188">
        <v>2180</v>
      </c>
      <c r="B2188">
        <v>0.70610801292744185</v>
      </c>
      <c r="C2188">
        <v>0.91663805972075352</v>
      </c>
    </row>
    <row r="2189" spans="1:3">
      <c r="A2189">
        <v>2181</v>
      </c>
      <c r="B2189">
        <v>7.4790532869377757E-2</v>
      </c>
      <c r="C2189">
        <v>3.8873670466273325E-2</v>
      </c>
    </row>
    <row r="2190" spans="1:3">
      <c r="A2190">
        <v>2182</v>
      </c>
      <c r="B2190">
        <v>0.77506411338794601</v>
      </c>
      <c r="C2190">
        <v>0.97579660529208923</v>
      </c>
    </row>
    <row r="2191" spans="1:3">
      <c r="A2191">
        <v>2183</v>
      </c>
      <c r="B2191">
        <v>0.50176511963181325</v>
      </c>
      <c r="C2191">
        <v>0.12752622937841807</v>
      </c>
    </row>
    <row r="2192" spans="1:3">
      <c r="A2192">
        <v>2184</v>
      </c>
      <c r="B2192">
        <v>4.9311625521516342E-2</v>
      </c>
      <c r="C2192">
        <v>0.6277251853780399</v>
      </c>
    </row>
    <row r="2193" spans="1:3">
      <c r="A2193">
        <v>2185</v>
      </c>
      <c r="B2193">
        <v>0.16812261974856318</v>
      </c>
      <c r="C2193">
        <v>8.4828660046696314E-2</v>
      </c>
    </row>
    <row r="2194" spans="1:3">
      <c r="A2194">
        <v>2186</v>
      </c>
      <c r="B2194">
        <v>0.45463912611455637</v>
      </c>
      <c r="C2194">
        <v>0.50212931342502998</v>
      </c>
    </row>
    <row r="2195" spans="1:3">
      <c r="A2195">
        <v>2187</v>
      </c>
      <c r="B2195">
        <v>9.992522443261119E-2</v>
      </c>
      <c r="C2195">
        <v>0.53748810790514767</v>
      </c>
    </row>
    <row r="2196" spans="1:3">
      <c r="A2196">
        <v>2188</v>
      </c>
      <c r="B2196">
        <v>2.5750033040659041E-2</v>
      </c>
      <c r="C2196">
        <v>0.19718213635763959</v>
      </c>
    </row>
    <row r="2197" spans="1:3">
      <c r="A2197">
        <v>2189</v>
      </c>
      <c r="B2197">
        <v>0.933798121580388</v>
      </c>
      <c r="C2197">
        <v>0.40297510695017991</v>
      </c>
    </row>
    <row r="2198" spans="1:3">
      <c r="A2198">
        <v>2190</v>
      </c>
      <c r="B2198">
        <v>0.19342013130668087</v>
      </c>
      <c r="C2198">
        <v>0.76351387819795491</v>
      </c>
    </row>
    <row r="2199" spans="1:3">
      <c r="A2199">
        <v>2191</v>
      </c>
      <c r="B2199">
        <v>0.22149657769973774</v>
      </c>
      <c r="C2199">
        <v>0.48117849782101985</v>
      </c>
    </row>
    <row r="2200" spans="1:3">
      <c r="A2200">
        <v>2192</v>
      </c>
      <c r="B2200">
        <v>0.44330362218313468</v>
      </c>
      <c r="C2200">
        <v>0.85569159127135208</v>
      </c>
    </row>
    <row r="2201" spans="1:3">
      <c r="A2201">
        <v>2193</v>
      </c>
      <c r="B2201">
        <v>0.12581653277841781</v>
      </c>
      <c r="C2201">
        <v>0.18489949154172791</v>
      </c>
    </row>
    <row r="2202" spans="1:3">
      <c r="A2202">
        <v>2194</v>
      </c>
      <c r="B2202">
        <v>0.48514471642280571</v>
      </c>
      <c r="C2202">
        <v>0.3584953469935499</v>
      </c>
    </row>
    <row r="2203" spans="1:3">
      <c r="A2203">
        <v>2195</v>
      </c>
      <c r="B2203">
        <v>0.11780524252904702</v>
      </c>
      <c r="C2203">
        <v>0.97438119574690063</v>
      </c>
    </row>
    <row r="2204" spans="1:3">
      <c r="A2204">
        <v>2196</v>
      </c>
      <c r="B2204">
        <v>0.14854754203719728</v>
      </c>
      <c r="C2204">
        <v>9.376147175225924E-2</v>
      </c>
    </row>
    <row r="2205" spans="1:3">
      <c r="A2205">
        <v>2197</v>
      </c>
      <c r="B2205">
        <v>4.2987797969483724E-2</v>
      </c>
      <c r="C2205">
        <v>0.25653530197087093</v>
      </c>
    </row>
    <row r="2206" spans="1:3">
      <c r="A2206">
        <v>2198</v>
      </c>
      <c r="B2206">
        <v>0.4041877284852759</v>
      </c>
      <c r="C2206">
        <v>0.85137979396586161</v>
      </c>
    </row>
    <row r="2207" spans="1:3">
      <c r="A2207">
        <v>2199</v>
      </c>
      <c r="B2207">
        <v>0.51183138120170479</v>
      </c>
      <c r="C2207">
        <v>0.43932963505358202</v>
      </c>
    </row>
    <row r="2208" spans="1:3">
      <c r="A2208">
        <v>2200</v>
      </c>
      <c r="B2208">
        <v>0.98478042787108111</v>
      </c>
      <c r="C2208">
        <v>1.6925931584410137E-2</v>
      </c>
    </row>
    <row r="2209" spans="1:3">
      <c r="A2209">
        <v>2201</v>
      </c>
      <c r="B2209">
        <v>0.23870565186634327</v>
      </c>
      <c r="C2209">
        <v>0.99652301250807795</v>
      </c>
    </row>
    <row r="2210" spans="1:3">
      <c r="A2210">
        <v>2202</v>
      </c>
      <c r="B2210">
        <v>0.49699075695420397</v>
      </c>
      <c r="C2210">
        <v>0.2010744437793619</v>
      </c>
    </row>
    <row r="2211" spans="1:3">
      <c r="A2211">
        <v>2203</v>
      </c>
      <c r="B2211">
        <v>0.66241753112525159</v>
      </c>
      <c r="C2211">
        <v>0.81765474064286536</v>
      </c>
    </row>
    <row r="2212" spans="1:3">
      <c r="A2212">
        <v>2204</v>
      </c>
      <c r="B2212">
        <v>0.34164479075089205</v>
      </c>
      <c r="C2212">
        <v>0.78283246290993702</v>
      </c>
    </row>
    <row r="2213" spans="1:3">
      <c r="A2213">
        <v>2205</v>
      </c>
      <c r="B2213">
        <v>0.30254177073774435</v>
      </c>
      <c r="C2213">
        <v>0.18558958758967492</v>
      </c>
    </row>
    <row r="2214" spans="1:3">
      <c r="A2214">
        <v>2206</v>
      </c>
      <c r="B2214">
        <v>0.66954158983550538</v>
      </c>
      <c r="C2214">
        <v>0.20808953352025128</v>
      </c>
    </row>
    <row r="2215" spans="1:3">
      <c r="A2215">
        <v>2207</v>
      </c>
      <c r="B2215">
        <v>0.54452877791713195</v>
      </c>
      <c r="C2215">
        <v>0.36210469271463808</v>
      </c>
    </row>
    <row r="2216" spans="1:3">
      <c r="A2216">
        <v>2208</v>
      </c>
      <c r="B2216">
        <v>0.48869352955247586</v>
      </c>
      <c r="C2216">
        <v>0.74607314284730819</v>
      </c>
    </row>
    <row r="2217" spans="1:3">
      <c r="A2217">
        <v>2209</v>
      </c>
      <c r="B2217">
        <v>0.14568553010380955</v>
      </c>
      <c r="C2217">
        <v>0.32615005956085952</v>
      </c>
    </row>
    <row r="2218" spans="1:3">
      <c r="A2218">
        <v>2210</v>
      </c>
      <c r="B2218">
        <v>0.74707705865224749</v>
      </c>
      <c r="C2218">
        <v>0.87686941753599967</v>
      </c>
    </row>
    <row r="2219" spans="1:3">
      <c r="A2219">
        <v>2211</v>
      </c>
      <c r="B2219">
        <v>0.81463186787130126</v>
      </c>
      <c r="C2219">
        <v>0.59793257002547762</v>
      </c>
    </row>
    <row r="2220" spans="1:3">
      <c r="A2220">
        <v>2212</v>
      </c>
      <c r="B2220">
        <v>0.27172924937376036</v>
      </c>
      <c r="C2220">
        <v>0.69042808392987354</v>
      </c>
    </row>
    <row r="2221" spans="1:3">
      <c r="A2221">
        <v>2213</v>
      </c>
      <c r="B2221">
        <v>0.38973659458834131</v>
      </c>
      <c r="C2221">
        <v>0.32843378293455316</v>
      </c>
    </row>
    <row r="2222" spans="1:3">
      <c r="A2222">
        <v>2214</v>
      </c>
      <c r="B2222">
        <v>0.38593596426866389</v>
      </c>
      <c r="C2222">
        <v>0.43611356058863748</v>
      </c>
    </row>
    <row r="2223" spans="1:3">
      <c r="A2223">
        <v>2215</v>
      </c>
      <c r="B2223">
        <v>0.80602474975353677</v>
      </c>
      <c r="C2223">
        <v>4.516993190645735E-2</v>
      </c>
    </row>
    <row r="2224" spans="1:3">
      <c r="A2224">
        <v>2216</v>
      </c>
      <c r="B2224">
        <v>0.72833466801427649</v>
      </c>
      <c r="C2224">
        <v>0.67451996536328807</v>
      </c>
    </row>
    <row r="2225" spans="1:3">
      <c r="A2225">
        <v>2217</v>
      </c>
      <c r="B2225">
        <v>0.83725825809544385</v>
      </c>
      <c r="C2225">
        <v>0.2811506132266004</v>
      </c>
    </row>
    <row r="2226" spans="1:3">
      <c r="A2226">
        <v>2218</v>
      </c>
      <c r="B2226">
        <v>4.7549049224459808E-2</v>
      </c>
      <c r="C2226">
        <v>0.56467581708238868</v>
      </c>
    </row>
    <row r="2227" spans="1:3">
      <c r="A2227">
        <v>2219</v>
      </c>
      <c r="B2227">
        <v>7.3675541846937392E-2</v>
      </c>
      <c r="C2227">
        <v>0.25820692381330446</v>
      </c>
    </row>
    <row r="2228" spans="1:3">
      <c r="A2228">
        <v>2220</v>
      </c>
      <c r="B2228">
        <v>0.34792983636114044</v>
      </c>
      <c r="C2228">
        <v>0.62445480888709426</v>
      </c>
    </row>
    <row r="2229" spans="1:3">
      <c r="A2229">
        <v>2221</v>
      </c>
      <c r="B2229">
        <v>0.10191786534449036</v>
      </c>
      <c r="C2229">
        <v>0.90238740103359305</v>
      </c>
    </row>
    <row r="2230" spans="1:3">
      <c r="A2230">
        <v>2222</v>
      </c>
      <c r="B2230">
        <v>0.69092406984323729</v>
      </c>
      <c r="C2230">
        <v>0.86145440060863621</v>
      </c>
    </row>
    <row r="2231" spans="1:3">
      <c r="A2231">
        <v>2223</v>
      </c>
      <c r="B2231">
        <v>1.5211204672374577E-2</v>
      </c>
      <c r="C2231">
        <v>0.57946427618935559</v>
      </c>
    </row>
    <row r="2232" spans="1:3">
      <c r="A2232">
        <v>2224</v>
      </c>
      <c r="B2232">
        <v>0.3364295637627201</v>
      </c>
      <c r="C2232">
        <v>0.67476633263140684</v>
      </c>
    </row>
    <row r="2233" spans="1:3">
      <c r="A2233">
        <v>2225</v>
      </c>
      <c r="B2233">
        <v>0.6371080719521055</v>
      </c>
      <c r="C2233">
        <v>0.11935942864056415</v>
      </c>
    </row>
    <row r="2234" spans="1:3">
      <c r="A2234">
        <v>2226</v>
      </c>
      <c r="B2234">
        <v>0.2538055186336407</v>
      </c>
      <c r="C2234">
        <v>9.6153916198090883E-2</v>
      </c>
    </row>
    <row r="2235" spans="1:3">
      <c r="A2235">
        <v>2227</v>
      </c>
      <c r="B2235">
        <v>3.4968580260818956E-2</v>
      </c>
      <c r="C2235">
        <v>7.5820788979399367E-3</v>
      </c>
    </row>
    <row r="2236" spans="1:3">
      <c r="A2236">
        <v>2228</v>
      </c>
      <c r="B2236">
        <v>0.71845921053277784</v>
      </c>
      <c r="C2236">
        <v>0.67674074035130616</v>
      </c>
    </row>
    <row r="2237" spans="1:3">
      <c r="A2237">
        <v>2229</v>
      </c>
      <c r="B2237">
        <v>0.39358208030242986</v>
      </c>
      <c r="C2237">
        <v>0.49792298394550016</v>
      </c>
    </row>
    <row r="2238" spans="1:3">
      <c r="A2238">
        <v>2230</v>
      </c>
      <c r="B2238">
        <v>0.72475875927045907</v>
      </c>
      <c r="C2238">
        <v>0.93012893600825919</v>
      </c>
    </row>
    <row r="2239" spans="1:3">
      <c r="A2239">
        <v>2231</v>
      </c>
      <c r="B2239">
        <v>0.63641218615458628</v>
      </c>
      <c r="C2239">
        <v>0.77344200273637398</v>
      </c>
    </row>
    <row r="2240" spans="1:3">
      <c r="A2240">
        <v>2232</v>
      </c>
      <c r="B2240">
        <v>0.16824567471520177</v>
      </c>
      <c r="C2240">
        <v>0.14268097574313288</v>
      </c>
    </row>
    <row r="2241" spans="1:3">
      <c r="A2241">
        <v>2233</v>
      </c>
      <c r="B2241">
        <v>8.1394816244019855E-2</v>
      </c>
      <c r="C2241">
        <v>0.47121481679550925</v>
      </c>
    </row>
    <row r="2242" spans="1:3">
      <c r="A2242">
        <v>2234</v>
      </c>
      <c r="B2242">
        <v>0.94049332304915712</v>
      </c>
      <c r="C2242">
        <v>0.41915224767399195</v>
      </c>
    </row>
    <row r="2243" spans="1:3">
      <c r="A2243">
        <v>2235</v>
      </c>
      <c r="B2243">
        <v>0.94695926224630311</v>
      </c>
      <c r="C2243">
        <v>0.81679256809820799</v>
      </c>
    </row>
    <row r="2244" spans="1:3">
      <c r="A2244">
        <v>2236</v>
      </c>
      <c r="B2244">
        <v>0.13314656990057477</v>
      </c>
      <c r="C2244">
        <v>0.77120013589592418</v>
      </c>
    </row>
    <row r="2245" spans="1:3">
      <c r="A2245">
        <v>2237</v>
      </c>
      <c r="B2245">
        <v>0.80641516499920174</v>
      </c>
      <c r="C2245">
        <v>0.52619277772737405</v>
      </c>
    </row>
    <row r="2246" spans="1:3">
      <c r="A2246">
        <v>2238</v>
      </c>
      <c r="B2246">
        <v>0.79432741347046742</v>
      </c>
      <c r="C2246">
        <v>5.0669146397922304E-2</v>
      </c>
    </row>
    <row r="2247" spans="1:3">
      <c r="A2247">
        <v>2239</v>
      </c>
      <c r="B2247">
        <v>0.45439190157521325</v>
      </c>
      <c r="C2247">
        <v>0.76528382404376316</v>
      </c>
    </row>
    <row r="2248" spans="1:3">
      <c r="A2248">
        <v>2240</v>
      </c>
      <c r="B2248">
        <v>0.59962311289143355</v>
      </c>
      <c r="C2248">
        <v>0.38303282935157767</v>
      </c>
    </row>
    <row r="2249" spans="1:3">
      <c r="A2249">
        <v>2241</v>
      </c>
      <c r="B2249">
        <v>0.10442367917774796</v>
      </c>
      <c r="C2249">
        <v>0.20973867787597555</v>
      </c>
    </row>
    <row r="2250" spans="1:3">
      <c r="A2250">
        <v>2242</v>
      </c>
      <c r="B2250">
        <v>0.52595781851908141</v>
      </c>
      <c r="C2250">
        <v>0.39437742317932134</v>
      </c>
    </row>
    <row r="2251" spans="1:3">
      <c r="A2251">
        <v>2243</v>
      </c>
      <c r="B2251">
        <v>0.65803773304560176</v>
      </c>
      <c r="C2251">
        <v>0.3775564677798684</v>
      </c>
    </row>
    <row r="2252" spans="1:3">
      <c r="A2252">
        <v>2244</v>
      </c>
      <c r="B2252">
        <v>0.49185049658814689</v>
      </c>
      <c r="C2252">
        <v>0.79050286719302676</v>
      </c>
    </row>
    <row r="2253" spans="1:3">
      <c r="A2253">
        <v>2245</v>
      </c>
      <c r="B2253">
        <v>0.82873227125884319</v>
      </c>
      <c r="C2253">
        <v>0.45679551192370127</v>
      </c>
    </row>
    <row r="2254" spans="1:3">
      <c r="A2254">
        <v>2246</v>
      </c>
      <c r="B2254">
        <v>3.9919424464069174E-2</v>
      </c>
      <c r="C2254">
        <v>0.79517135588594101</v>
      </c>
    </row>
    <row r="2255" spans="1:3">
      <c r="A2255">
        <v>2247</v>
      </c>
      <c r="B2255">
        <v>0.51236316106099711</v>
      </c>
      <c r="C2255">
        <v>0.6914946666565811</v>
      </c>
    </row>
    <row r="2256" spans="1:3">
      <c r="A2256">
        <v>2248</v>
      </c>
      <c r="B2256">
        <v>0.841314405166524</v>
      </c>
      <c r="C2256">
        <v>0.30414642115829338</v>
      </c>
    </row>
    <row r="2257" spans="1:3">
      <c r="A2257">
        <v>2249</v>
      </c>
      <c r="B2257">
        <v>0.89879343150467461</v>
      </c>
      <c r="C2257">
        <v>0.49874188408739428</v>
      </c>
    </row>
    <row r="2258" spans="1:3">
      <c r="A2258">
        <v>2250</v>
      </c>
      <c r="B2258">
        <v>0.79072436313892813</v>
      </c>
      <c r="C2258">
        <v>0.86215952218844905</v>
      </c>
    </row>
    <row r="2259" spans="1:3">
      <c r="A2259">
        <v>2251</v>
      </c>
      <c r="B2259">
        <v>0.10412901250294619</v>
      </c>
      <c r="C2259">
        <v>4.3537187636502495E-2</v>
      </c>
    </row>
    <row r="2260" spans="1:3">
      <c r="A2260">
        <v>2252</v>
      </c>
      <c r="B2260">
        <v>0.88512896341451652</v>
      </c>
      <c r="C2260">
        <v>0.16095253504136053</v>
      </c>
    </row>
    <row r="2261" spans="1:3">
      <c r="A2261">
        <v>2253</v>
      </c>
      <c r="B2261">
        <v>0.96421906814999381</v>
      </c>
      <c r="C2261">
        <v>0.74682862949066475</v>
      </c>
    </row>
    <row r="2262" spans="1:3">
      <c r="A2262">
        <v>2254</v>
      </c>
      <c r="B2262">
        <v>0.21562145240293384</v>
      </c>
      <c r="C2262">
        <v>0.18093637796118855</v>
      </c>
    </row>
    <row r="2263" spans="1:3">
      <c r="A2263">
        <v>2255</v>
      </c>
      <c r="B2263">
        <v>0.60012262680486839</v>
      </c>
      <c r="C2263">
        <v>3.9602600913895003E-2</v>
      </c>
    </row>
    <row r="2264" spans="1:3">
      <c r="A2264">
        <v>2256</v>
      </c>
      <c r="B2264">
        <v>0.31370103722519732</v>
      </c>
      <c r="C2264">
        <v>0.88447707369959971</v>
      </c>
    </row>
    <row r="2265" spans="1:3">
      <c r="A2265">
        <v>2257</v>
      </c>
      <c r="B2265">
        <v>0.92899138531884906</v>
      </c>
      <c r="C2265">
        <v>0.571176019196173</v>
      </c>
    </row>
    <row r="2266" spans="1:3">
      <c r="A2266">
        <v>2258</v>
      </c>
      <c r="B2266">
        <v>0.97619872888121717</v>
      </c>
      <c r="C2266">
        <v>0.26916737936335267</v>
      </c>
    </row>
    <row r="2267" spans="1:3">
      <c r="A2267">
        <v>2259</v>
      </c>
      <c r="B2267">
        <v>0.93675585021547869</v>
      </c>
      <c r="C2267">
        <v>0.32505386153115978</v>
      </c>
    </row>
    <row r="2268" spans="1:3">
      <c r="A2268">
        <v>2260</v>
      </c>
      <c r="B2268">
        <v>0.77345908325497503</v>
      </c>
      <c r="C2268">
        <v>0.24644473922489851</v>
      </c>
    </row>
    <row r="2269" spans="1:3">
      <c r="A2269">
        <v>2261</v>
      </c>
      <c r="B2269">
        <v>0.73453709556668467</v>
      </c>
      <c r="C2269">
        <v>0.88941571914710948</v>
      </c>
    </row>
    <row r="2270" spans="1:3">
      <c r="A2270">
        <v>2262</v>
      </c>
      <c r="B2270">
        <v>0.98618417502329325</v>
      </c>
      <c r="C2270">
        <v>0.36271910469076829</v>
      </c>
    </row>
    <row r="2271" spans="1:3">
      <c r="A2271">
        <v>2263</v>
      </c>
      <c r="B2271">
        <v>0.26463962380770584</v>
      </c>
      <c r="C2271">
        <v>0.73358946850476059</v>
      </c>
    </row>
    <row r="2272" spans="1:3">
      <c r="A2272">
        <v>2264</v>
      </c>
      <c r="B2272">
        <v>0.8275674846859572</v>
      </c>
      <c r="C2272">
        <v>0.15938245974029996</v>
      </c>
    </row>
    <row r="2273" spans="1:3">
      <c r="A2273">
        <v>2265</v>
      </c>
      <c r="B2273">
        <v>0.8708447029741585</v>
      </c>
      <c r="C2273">
        <v>0.52196608573194681</v>
      </c>
    </row>
    <row r="2274" spans="1:3">
      <c r="A2274">
        <v>2266</v>
      </c>
      <c r="B2274">
        <v>0.27055633379927752</v>
      </c>
      <c r="C2274">
        <v>0.76547507286704786</v>
      </c>
    </row>
    <row r="2275" spans="1:3">
      <c r="A2275">
        <v>2267</v>
      </c>
      <c r="B2275">
        <v>0.19665593595529346</v>
      </c>
      <c r="C2275">
        <v>0.90130951777337032</v>
      </c>
    </row>
    <row r="2276" spans="1:3">
      <c r="A2276">
        <v>2268</v>
      </c>
      <c r="B2276">
        <v>7.6910632187852324E-2</v>
      </c>
      <c r="C2276">
        <v>0.92785915334388847</v>
      </c>
    </row>
    <row r="2277" spans="1:3">
      <c r="A2277">
        <v>2269</v>
      </c>
      <c r="B2277">
        <v>0.24759910463858373</v>
      </c>
      <c r="C2277">
        <v>0.67043888290572795</v>
      </c>
    </row>
    <row r="2278" spans="1:3">
      <c r="A2278">
        <v>2270</v>
      </c>
      <c r="B2278">
        <v>0.35876840990119807</v>
      </c>
      <c r="C2278">
        <v>0.75996182349535957</v>
      </c>
    </row>
    <row r="2279" spans="1:3">
      <c r="A2279">
        <v>2271</v>
      </c>
      <c r="B2279">
        <v>0.92631415363832237</v>
      </c>
      <c r="C2279">
        <v>0.57509807521273615</v>
      </c>
    </row>
    <row r="2280" spans="1:3">
      <c r="A2280">
        <v>2272</v>
      </c>
      <c r="B2280">
        <v>0.51992258935950764</v>
      </c>
      <c r="C2280">
        <v>8.6322374800147372E-3</v>
      </c>
    </row>
    <row r="2281" spans="1:3">
      <c r="A2281">
        <v>2273</v>
      </c>
      <c r="B2281">
        <v>0.3926769216239166</v>
      </c>
      <c r="C2281">
        <v>0.3492620882771007</v>
      </c>
    </row>
    <row r="2282" spans="1:3">
      <c r="A2282">
        <v>2274</v>
      </c>
      <c r="B2282">
        <v>0.55651582074358963</v>
      </c>
      <c r="C2282">
        <v>0.3379516522081758</v>
      </c>
    </row>
    <row r="2283" spans="1:3">
      <c r="A2283">
        <v>2275</v>
      </c>
      <c r="B2283">
        <v>0.8794118931563133</v>
      </c>
      <c r="C2283">
        <v>0.35530564958389732</v>
      </c>
    </row>
    <row r="2284" spans="1:3">
      <c r="A2284">
        <v>2276</v>
      </c>
      <c r="B2284">
        <v>5.3657331269201199E-2</v>
      </c>
      <c r="C2284">
        <v>3.5677299631061032E-2</v>
      </c>
    </row>
    <row r="2285" spans="1:3">
      <c r="A2285">
        <v>2277</v>
      </c>
      <c r="B2285">
        <v>4.3074525460338811E-2</v>
      </c>
      <c r="C2285">
        <v>0.2017476925129813</v>
      </c>
    </row>
    <row r="2286" spans="1:3">
      <c r="A2286">
        <v>2278</v>
      </c>
      <c r="B2286">
        <v>0.59382583892015406</v>
      </c>
      <c r="C2286">
        <v>0.5595095110420516</v>
      </c>
    </row>
    <row r="2287" spans="1:3">
      <c r="A2287">
        <v>2279</v>
      </c>
      <c r="B2287">
        <v>0.37239453714135906</v>
      </c>
      <c r="C2287">
        <v>3.4108711483895604E-2</v>
      </c>
    </row>
    <row r="2288" spans="1:3">
      <c r="A2288">
        <v>2280</v>
      </c>
      <c r="B2288">
        <v>0.72621260509193231</v>
      </c>
      <c r="C2288">
        <v>0.81577512962758192</v>
      </c>
    </row>
    <row r="2289" spans="1:3">
      <c r="A2289">
        <v>2281</v>
      </c>
      <c r="B2289">
        <v>0.95490005240717435</v>
      </c>
      <c r="C2289">
        <v>5.0646656039134541E-2</v>
      </c>
    </row>
    <row r="2290" spans="1:3">
      <c r="A2290">
        <v>2282</v>
      </c>
      <c r="B2290">
        <v>0.68118091966816707</v>
      </c>
      <c r="C2290">
        <v>0.58960981535892643</v>
      </c>
    </row>
    <row r="2291" spans="1:3">
      <c r="A2291">
        <v>2283</v>
      </c>
      <c r="B2291">
        <v>0.24201986036585177</v>
      </c>
      <c r="C2291">
        <v>6.5629412210910232E-3</v>
      </c>
    </row>
    <row r="2292" spans="1:3">
      <c r="A2292">
        <v>2284</v>
      </c>
      <c r="B2292">
        <v>0.87227256155486044</v>
      </c>
      <c r="C2292">
        <v>0.13907071235735202</v>
      </c>
    </row>
    <row r="2293" spans="1:3">
      <c r="A2293">
        <v>2285</v>
      </c>
      <c r="B2293">
        <v>8.8786230392192078E-2</v>
      </c>
      <c r="C2293">
        <v>0.88014546328759025</v>
      </c>
    </row>
    <row r="2294" spans="1:3">
      <c r="A2294">
        <v>2286</v>
      </c>
      <c r="B2294">
        <v>0.66295933187984846</v>
      </c>
      <c r="C2294">
        <v>0.98450472467993677</v>
      </c>
    </row>
    <row r="2295" spans="1:3">
      <c r="A2295">
        <v>2287</v>
      </c>
      <c r="B2295">
        <v>0.50505909352168887</v>
      </c>
      <c r="C2295">
        <v>9.7258184975544282E-2</v>
      </c>
    </row>
    <row r="2296" spans="1:3">
      <c r="A2296">
        <v>2288</v>
      </c>
      <c r="B2296">
        <v>0.34211496035547811</v>
      </c>
      <c r="C2296">
        <v>0.91636371971617336</v>
      </c>
    </row>
    <row r="2297" spans="1:3">
      <c r="A2297">
        <v>2289</v>
      </c>
      <c r="B2297">
        <v>0.19158920119949363</v>
      </c>
      <c r="C2297">
        <v>0.71952011343000777</v>
      </c>
    </row>
    <row r="2298" spans="1:3">
      <c r="A2298">
        <v>2290</v>
      </c>
      <c r="B2298">
        <v>9.1620236349203674E-2</v>
      </c>
      <c r="C2298">
        <v>0.67131113992036262</v>
      </c>
    </row>
    <row r="2299" spans="1:3">
      <c r="A2299">
        <v>2291</v>
      </c>
      <c r="B2299">
        <v>0.88760449617202508</v>
      </c>
      <c r="C2299">
        <v>5.9485772116204316E-2</v>
      </c>
    </row>
    <row r="2300" spans="1:3">
      <c r="A2300">
        <v>2292</v>
      </c>
      <c r="B2300">
        <v>0.51926428472275488</v>
      </c>
      <c r="C2300">
        <v>0.17688733262184542</v>
      </c>
    </row>
    <row r="2301" spans="1:3">
      <c r="A2301">
        <v>2293</v>
      </c>
      <c r="B2301">
        <v>0.5127784626823334</v>
      </c>
      <c r="C2301">
        <v>0.15347216411009867</v>
      </c>
    </row>
    <row r="2302" spans="1:3">
      <c r="A2302">
        <v>2294</v>
      </c>
      <c r="B2302">
        <v>0.54982446600790713</v>
      </c>
      <c r="C2302">
        <v>0.75684413262388262</v>
      </c>
    </row>
    <row r="2303" spans="1:3">
      <c r="A2303">
        <v>2295</v>
      </c>
      <c r="B2303">
        <v>0.50803066938897379</v>
      </c>
      <c r="C2303">
        <v>0.66415014307676756</v>
      </c>
    </row>
    <row r="2304" spans="1:3">
      <c r="A2304">
        <v>2296</v>
      </c>
      <c r="B2304">
        <v>0.84223578901897089</v>
      </c>
      <c r="C2304">
        <v>7.8825306977705623E-2</v>
      </c>
    </row>
    <row r="2305" spans="1:3">
      <c r="A2305">
        <v>2297</v>
      </c>
      <c r="B2305">
        <v>0.90915547994746726</v>
      </c>
      <c r="C2305">
        <v>0.73017328894638922</v>
      </c>
    </row>
    <row r="2306" spans="1:3">
      <c r="A2306">
        <v>2298</v>
      </c>
      <c r="B2306">
        <v>0.57107118235744325</v>
      </c>
      <c r="C2306">
        <v>0.14815627910502371</v>
      </c>
    </row>
    <row r="2307" spans="1:3">
      <c r="A2307">
        <v>2299</v>
      </c>
      <c r="B2307">
        <v>0.58807569272701532</v>
      </c>
      <c r="C2307">
        <v>0.78868920563309075</v>
      </c>
    </row>
    <row r="2308" spans="1:3">
      <c r="A2308">
        <v>2300</v>
      </c>
      <c r="B2308">
        <v>0.39505888122130622</v>
      </c>
      <c r="C2308">
        <v>0.33957063399248</v>
      </c>
    </row>
    <row r="2309" spans="1:3">
      <c r="A2309">
        <v>2301</v>
      </c>
      <c r="B2309">
        <v>0.95084552981658965</v>
      </c>
      <c r="C2309">
        <v>1.7018139355997164E-2</v>
      </c>
    </row>
    <row r="2310" spans="1:3">
      <c r="A2310">
        <v>2302</v>
      </c>
      <c r="B2310">
        <v>0.42616674896841095</v>
      </c>
      <c r="C2310">
        <v>0.84914489076879818</v>
      </c>
    </row>
    <row r="2311" spans="1:3">
      <c r="A2311">
        <v>2303</v>
      </c>
      <c r="B2311">
        <v>3.5458661581962057E-2</v>
      </c>
      <c r="C2311">
        <v>0.44791921876321794</v>
      </c>
    </row>
    <row r="2312" spans="1:3">
      <c r="A2312">
        <v>2304</v>
      </c>
      <c r="B2312">
        <v>0.17150584447353748</v>
      </c>
      <c r="C2312">
        <v>2.9405522552224284E-2</v>
      </c>
    </row>
    <row r="2313" spans="1:3">
      <c r="A2313">
        <v>2305</v>
      </c>
      <c r="B2313">
        <v>0.81719501500381042</v>
      </c>
      <c r="C2313">
        <v>0.61246279914303159</v>
      </c>
    </row>
    <row r="2314" spans="1:3">
      <c r="A2314">
        <v>2306</v>
      </c>
      <c r="B2314">
        <v>0.84987783938075367</v>
      </c>
      <c r="C2314">
        <v>0.82141270511874609</v>
      </c>
    </row>
    <row r="2315" spans="1:3">
      <c r="A2315">
        <v>2307</v>
      </c>
      <c r="B2315">
        <v>0.39751686559843757</v>
      </c>
      <c r="C2315">
        <v>0.33350778304156847</v>
      </c>
    </row>
    <row r="2316" spans="1:3">
      <c r="A2316">
        <v>2308</v>
      </c>
      <c r="B2316">
        <v>0.6895263761038255</v>
      </c>
      <c r="C2316">
        <v>0.78696501590002299</v>
      </c>
    </row>
    <row r="2317" spans="1:3">
      <c r="A2317">
        <v>2309</v>
      </c>
      <c r="B2317">
        <v>0.57975495169483016</v>
      </c>
      <c r="C2317">
        <v>0.74539486452158599</v>
      </c>
    </row>
    <row r="2318" spans="1:3">
      <c r="A2318">
        <v>2310</v>
      </c>
      <c r="B2318">
        <v>0.67421973108263222</v>
      </c>
      <c r="C2318">
        <v>0.40752552690264565</v>
      </c>
    </row>
    <row r="2319" spans="1:3">
      <c r="A2319">
        <v>2311</v>
      </c>
      <c r="B2319">
        <v>0.73612901700263123</v>
      </c>
      <c r="C2319">
        <v>1.876882292344817E-2</v>
      </c>
    </row>
    <row r="2320" spans="1:3">
      <c r="A2320">
        <v>2312</v>
      </c>
      <c r="B2320">
        <v>0.95325611621077555</v>
      </c>
      <c r="C2320">
        <v>0.52858457093589095</v>
      </c>
    </row>
    <row r="2321" spans="1:3">
      <c r="A2321">
        <v>2313</v>
      </c>
      <c r="B2321">
        <v>0.43593520004482361</v>
      </c>
      <c r="C2321">
        <v>0.48582751033063687</v>
      </c>
    </row>
    <row r="2322" spans="1:3">
      <c r="A2322">
        <v>2314</v>
      </c>
      <c r="B2322">
        <v>0.55632757913584996</v>
      </c>
      <c r="C2322">
        <v>0.87383759485328483</v>
      </c>
    </row>
    <row r="2323" spans="1:3">
      <c r="A2323">
        <v>2315</v>
      </c>
      <c r="B2323">
        <v>0.99069427832683887</v>
      </c>
      <c r="C2323">
        <v>0.4886567321154871</v>
      </c>
    </row>
    <row r="2324" spans="1:3">
      <c r="A2324">
        <v>2316</v>
      </c>
      <c r="B2324">
        <v>0.81268694517297835</v>
      </c>
      <c r="C2324">
        <v>0.6752897981887287</v>
      </c>
    </row>
    <row r="2325" spans="1:3">
      <c r="A2325">
        <v>2317</v>
      </c>
      <c r="B2325">
        <v>0.75139096150924245</v>
      </c>
      <c r="C2325">
        <v>0.6923644183802935</v>
      </c>
    </row>
    <row r="2326" spans="1:3">
      <c r="A2326">
        <v>2318</v>
      </c>
      <c r="B2326">
        <v>0.31271027049373612</v>
      </c>
      <c r="C2326">
        <v>0.51631755533344403</v>
      </c>
    </row>
    <row r="2327" spans="1:3">
      <c r="A2327">
        <v>2319</v>
      </c>
      <c r="B2327">
        <v>0.20862261251383987</v>
      </c>
      <c r="C2327">
        <v>0.95803528255510173</v>
      </c>
    </row>
    <row r="2328" spans="1:3">
      <c r="A2328">
        <v>2320</v>
      </c>
      <c r="B2328">
        <v>0.51769661732653538</v>
      </c>
      <c r="C2328">
        <v>0.4699554018843628</v>
      </c>
    </row>
    <row r="2329" spans="1:3">
      <c r="A2329">
        <v>2321</v>
      </c>
      <c r="B2329">
        <v>0.49511191614771077</v>
      </c>
      <c r="C2329">
        <v>0.14809227111891232</v>
      </c>
    </row>
    <row r="2330" spans="1:3">
      <c r="A2330">
        <v>2322</v>
      </c>
      <c r="B2330">
        <v>0.80374626348147782</v>
      </c>
      <c r="C2330">
        <v>0.26638907092819863</v>
      </c>
    </row>
    <row r="2331" spans="1:3">
      <c r="A2331">
        <v>2323</v>
      </c>
      <c r="B2331">
        <v>0.47883365921038984</v>
      </c>
      <c r="C2331">
        <v>0.12378238352630433</v>
      </c>
    </row>
    <row r="2332" spans="1:3">
      <c r="A2332">
        <v>2324</v>
      </c>
      <c r="B2332">
        <v>0.94138361089881128</v>
      </c>
      <c r="C2332">
        <v>0.99513812617806252</v>
      </c>
    </row>
    <row r="2333" spans="1:3">
      <c r="A2333">
        <v>2325</v>
      </c>
      <c r="B2333">
        <v>0.66546241339311529</v>
      </c>
      <c r="C2333">
        <v>0.91088191115977679</v>
      </c>
    </row>
    <row r="2334" spans="1:3">
      <c r="A2334">
        <v>2326</v>
      </c>
      <c r="B2334">
        <v>0.17549146599194304</v>
      </c>
      <c r="C2334">
        <v>0.95749701141357946</v>
      </c>
    </row>
    <row r="2335" spans="1:3">
      <c r="A2335">
        <v>2327</v>
      </c>
      <c r="B2335">
        <v>0.69029527400319823</v>
      </c>
      <c r="C2335">
        <v>0.96766036362259911</v>
      </c>
    </row>
    <row r="2336" spans="1:3">
      <c r="A2336">
        <v>2328</v>
      </c>
      <c r="B2336">
        <v>0.17890004711521323</v>
      </c>
      <c r="C2336">
        <v>0.84253453450583038</v>
      </c>
    </row>
    <row r="2337" spans="1:3">
      <c r="A2337">
        <v>2329</v>
      </c>
      <c r="B2337">
        <v>5.1397571786399365E-2</v>
      </c>
      <c r="C2337">
        <v>0.69179366130902054</v>
      </c>
    </row>
    <row r="2338" spans="1:3">
      <c r="A2338">
        <v>2330</v>
      </c>
      <c r="B2338">
        <v>0.27275970032377161</v>
      </c>
      <c r="C2338">
        <v>0.64405194243590813</v>
      </c>
    </row>
    <row r="2339" spans="1:3">
      <c r="A2339">
        <v>2331</v>
      </c>
      <c r="B2339">
        <v>0.3039187331317269</v>
      </c>
      <c r="C2339">
        <v>0.95058711308502097</v>
      </c>
    </row>
    <row r="2340" spans="1:3">
      <c r="A2340">
        <v>2332</v>
      </c>
      <c r="B2340">
        <v>0.87903943732023215</v>
      </c>
      <c r="C2340">
        <v>0.86527969473718258</v>
      </c>
    </row>
    <row r="2341" spans="1:3">
      <c r="A2341">
        <v>2333</v>
      </c>
      <c r="B2341">
        <v>0.49269026023631224</v>
      </c>
      <c r="C2341">
        <v>0.78421278231417091</v>
      </c>
    </row>
    <row r="2342" spans="1:3">
      <c r="A2342">
        <v>2334</v>
      </c>
      <c r="B2342">
        <v>0.40728680387760668</v>
      </c>
      <c r="C2342">
        <v>0.65410616579538328</v>
      </c>
    </row>
    <row r="2343" spans="1:3">
      <c r="A2343">
        <v>2335</v>
      </c>
      <c r="B2343">
        <v>0.96982789340727682</v>
      </c>
      <c r="C2343">
        <v>0.37632587427651742</v>
      </c>
    </row>
    <row r="2344" spans="1:3">
      <c r="A2344">
        <v>2336</v>
      </c>
      <c r="B2344">
        <v>0.39478234798200018</v>
      </c>
      <c r="C2344">
        <v>0.43274582754656876</v>
      </c>
    </row>
    <row r="2345" spans="1:3">
      <c r="A2345">
        <v>2337</v>
      </c>
      <c r="B2345">
        <v>7.9481473690616311E-2</v>
      </c>
      <c r="C2345">
        <v>0.21255358995585993</v>
      </c>
    </row>
    <row r="2346" spans="1:3">
      <c r="A2346">
        <v>2338</v>
      </c>
      <c r="B2346">
        <v>0.75738399774217602</v>
      </c>
      <c r="C2346">
        <v>0.73201738623629353</v>
      </c>
    </row>
    <row r="2347" spans="1:3">
      <c r="A2347">
        <v>2339</v>
      </c>
      <c r="B2347">
        <v>0.84444424954355801</v>
      </c>
      <c r="C2347">
        <v>0.48849318494831095</v>
      </c>
    </row>
    <row r="2348" spans="1:3">
      <c r="A2348">
        <v>2340</v>
      </c>
      <c r="B2348">
        <v>0.46448486582974086</v>
      </c>
      <c r="C2348">
        <v>0.3448124053529682</v>
      </c>
    </row>
    <row r="2349" spans="1:3">
      <c r="A2349">
        <v>2341</v>
      </c>
      <c r="B2349">
        <v>0.72015589012921688</v>
      </c>
      <c r="C2349">
        <v>0.65137936515930051</v>
      </c>
    </row>
    <row r="2350" spans="1:3">
      <c r="A2350">
        <v>2342</v>
      </c>
      <c r="B2350">
        <v>0.98727190066731341</v>
      </c>
      <c r="C2350">
        <v>9.6707295641863311E-2</v>
      </c>
    </row>
    <row r="2351" spans="1:3">
      <c r="A2351">
        <v>2343</v>
      </c>
      <c r="B2351">
        <v>0.45830585004158919</v>
      </c>
      <c r="C2351">
        <v>0.22516464976069983</v>
      </c>
    </row>
    <row r="2352" spans="1:3">
      <c r="A2352">
        <v>2344</v>
      </c>
      <c r="B2352">
        <v>0.94713512465374894</v>
      </c>
      <c r="C2352">
        <v>0.51110602308745001</v>
      </c>
    </row>
    <row r="2353" spans="1:3">
      <c r="A2353">
        <v>2345</v>
      </c>
      <c r="B2353">
        <v>0.65165175601701519</v>
      </c>
      <c r="C2353">
        <v>0.83259133739375102</v>
      </c>
    </row>
    <row r="2354" spans="1:3">
      <c r="A2354">
        <v>2346</v>
      </c>
      <c r="B2354">
        <v>0.42518293211510938</v>
      </c>
      <c r="C2354">
        <v>0.22134380657098518</v>
      </c>
    </row>
    <row r="2355" spans="1:3">
      <c r="A2355">
        <v>2347</v>
      </c>
      <c r="B2355">
        <v>0.25022300495976185</v>
      </c>
      <c r="C2355">
        <v>0.84741490670785424</v>
      </c>
    </row>
    <row r="2356" spans="1:3">
      <c r="A2356">
        <v>2348</v>
      </c>
      <c r="B2356">
        <v>0.50632250116703159</v>
      </c>
      <c r="C2356">
        <v>0.39475698440855922</v>
      </c>
    </row>
    <row r="2357" spans="1:3">
      <c r="A2357">
        <v>2349</v>
      </c>
      <c r="B2357">
        <v>0.9615370075788201</v>
      </c>
      <c r="C2357">
        <v>0.21068074011418503</v>
      </c>
    </row>
    <row r="2358" spans="1:3">
      <c r="A2358">
        <v>2350</v>
      </c>
      <c r="B2358">
        <v>0.46789330183884442</v>
      </c>
      <c r="C2358">
        <v>0.98677954117283662</v>
      </c>
    </row>
    <row r="2359" spans="1:3">
      <c r="A2359">
        <v>2351</v>
      </c>
      <c r="B2359">
        <v>0.45454026621192234</v>
      </c>
      <c r="C2359">
        <v>0.43627805490905303</v>
      </c>
    </row>
    <row r="2360" spans="1:3">
      <c r="A2360">
        <v>2352</v>
      </c>
      <c r="B2360">
        <v>0.91006987370053993</v>
      </c>
      <c r="C2360">
        <v>0.63383854573385179</v>
      </c>
    </row>
    <row r="2361" spans="1:3">
      <c r="A2361">
        <v>2353</v>
      </c>
      <c r="B2361">
        <v>0.96929335124965132</v>
      </c>
      <c r="C2361">
        <v>0.26247844583667757</v>
      </c>
    </row>
    <row r="2362" spans="1:3">
      <c r="A2362">
        <v>2354</v>
      </c>
      <c r="B2362">
        <v>0.73159243420264508</v>
      </c>
      <c r="C2362">
        <v>7.6815793684545497E-2</v>
      </c>
    </row>
    <row r="2363" spans="1:3">
      <c r="A2363">
        <v>2355</v>
      </c>
      <c r="B2363">
        <v>0.35433569805983822</v>
      </c>
      <c r="C2363">
        <v>0.61736393837782089</v>
      </c>
    </row>
    <row r="2364" spans="1:3">
      <c r="A2364">
        <v>2356</v>
      </c>
      <c r="B2364">
        <v>0.81601544152195926</v>
      </c>
      <c r="C2364">
        <v>0.36514351181085658</v>
      </c>
    </row>
    <row r="2365" spans="1:3">
      <c r="A2365">
        <v>2357</v>
      </c>
      <c r="B2365">
        <v>0.98657465634899566</v>
      </c>
      <c r="C2365">
        <v>0.21790845905525202</v>
      </c>
    </row>
    <row r="2366" spans="1:3">
      <c r="A2366">
        <v>2358</v>
      </c>
      <c r="B2366">
        <v>0.987424169552099</v>
      </c>
      <c r="C2366">
        <v>0.46585803153448069</v>
      </c>
    </row>
    <row r="2367" spans="1:3">
      <c r="A2367">
        <v>2359</v>
      </c>
      <c r="B2367">
        <v>0.33216316161764858</v>
      </c>
      <c r="C2367">
        <v>0.31118820690974758</v>
      </c>
    </row>
    <row r="2368" spans="1:3">
      <c r="A2368">
        <v>2360</v>
      </c>
      <c r="B2368">
        <v>0.49457609843019773</v>
      </c>
      <c r="C2368">
        <v>0.99230389290636367</v>
      </c>
    </row>
    <row r="2369" spans="1:3">
      <c r="A2369">
        <v>2361</v>
      </c>
      <c r="B2369">
        <v>0.12702479289644975</v>
      </c>
      <c r="C2369">
        <v>0.10840910531896952</v>
      </c>
    </row>
    <row r="2370" spans="1:3">
      <c r="A2370">
        <v>2362</v>
      </c>
      <c r="B2370">
        <v>0.45258681362392073</v>
      </c>
      <c r="C2370">
        <v>7.7679991627519485E-2</v>
      </c>
    </row>
    <row r="2371" spans="1:3">
      <c r="A2371">
        <v>2363</v>
      </c>
      <c r="B2371">
        <v>0.52375639652781103</v>
      </c>
      <c r="C2371">
        <v>0.38441867474011815</v>
      </c>
    </row>
    <row r="2372" spans="1:3">
      <c r="A2372">
        <v>2364</v>
      </c>
      <c r="B2372">
        <v>0.66740829299250803</v>
      </c>
      <c r="C2372">
        <v>0.38134026852094394</v>
      </c>
    </row>
    <row r="2373" spans="1:3">
      <c r="A2373">
        <v>2365</v>
      </c>
      <c r="B2373">
        <v>0.73473833105492836</v>
      </c>
      <c r="C2373">
        <v>0.59350584230378445</v>
      </c>
    </row>
    <row r="2374" spans="1:3">
      <c r="A2374">
        <v>2366</v>
      </c>
      <c r="B2374">
        <v>0.76296725189559333</v>
      </c>
      <c r="C2374">
        <v>9.491979609538248E-2</v>
      </c>
    </row>
    <row r="2375" spans="1:3">
      <c r="A2375">
        <v>2367</v>
      </c>
      <c r="B2375">
        <v>0.48256859975828992</v>
      </c>
      <c r="C2375">
        <v>3.648773352324497E-3</v>
      </c>
    </row>
    <row r="2376" spans="1:3">
      <c r="A2376">
        <v>2368</v>
      </c>
      <c r="B2376">
        <v>0.3826876466033719</v>
      </c>
      <c r="C2376">
        <v>7.2216669587760407E-2</v>
      </c>
    </row>
    <row r="2377" spans="1:3">
      <c r="A2377">
        <v>2369</v>
      </c>
      <c r="B2377">
        <v>0.21779972267211412</v>
      </c>
      <c r="C2377">
        <v>0.22007221159765322</v>
      </c>
    </row>
    <row r="2378" spans="1:3">
      <c r="A2378">
        <v>2370</v>
      </c>
      <c r="B2378">
        <v>0.62579329591938138</v>
      </c>
      <c r="C2378">
        <v>0.78368751094694744</v>
      </c>
    </row>
    <row r="2379" spans="1:3">
      <c r="A2379">
        <v>2371</v>
      </c>
      <c r="B2379">
        <v>0.17702286069770876</v>
      </c>
      <c r="C2379">
        <v>0.71550761983598932</v>
      </c>
    </row>
    <row r="2380" spans="1:3">
      <c r="A2380">
        <v>2372</v>
      </c>
      <c r="B2380">
        <v>0.33967176487061002</v>
      </c>
      <c r="C2380">
        <v>6.7190702669904567E-2</v>
      </c>
    </row>
    <row r="2381" spans="1:3">
      <c r="A2381">
        <v>2373</v>
      </c>
      <c r="B2381">
        <v>0.92919586904616935</v>
      </c>
      <c r="C2381">
        <v>0.95221114253490668</v>
      </c>
    </row>
    <row r="2382" spans="1:3">
      <c r="A2382">
        <v>2374</v>
      </c>
      <c r="B2382">
        <v>1.0196258423709371E-2</v>
      </c>
      <c r="C2382">
        <v>0.4262619332093891</v>
      </c>
    </row>
    <row r="2383" spans="1:3">
      <c r="A2383">
        <v>2375</v>
      </c>
      <c r="B2383">
        <v>0.35653120096780622</v>
      </c>
      <c r="C2383">
        <v>3.6158167179564771E-2</v>
      </c>
    </row>
    <row r="2384" spans="1:3">
      <c r="A2384">
        <v>2376</v>
      </c>
      <c r="B2384">
        <v>0.81789845185030685</v>
      </c>
      <c r="C2384">
        <v>8.8466190984036075E-2</v>
      </c>
    </row>
    <row r="2385" spans="1:3">
      <c r="A2385">
        <v>2377</v>
      </c>
      <c r="B2385">
        <v>0.23208975853931388</v>
      </c>
      <c r="C2385">
        <v>6.5761918674979825E-2</v>
      </c>
    </row>
    <row r="2386" spans="1:3">
      <c r="A2386">
        <v>2378</v>
      </c>
      <c r="B2386">
        <v>0.41353720208367734</v>
      </c>
      <c r="C2386">
        <v>0.57412185861448961</v>
      </c>
    </row>
    <row r="2387" spans="1:3">
      <c r="A2387">
        <v>2379</v>
      </c>
      <c r="B2387">
        <v>0.36808382456965832</v>
      </c>
      <c r="C2387">
        <v>8.8378358606860274E-2</v>
      </c>
    </row>
    <row r="2388" spans="1:3">
      <c r="A2388">
        <v>2380</v>
      </c>
      <c r="B2388">
        <v>0.9275652379150422</v>
      </c>
      <c r="C2388">
        <v>6.1969017514456937E-2</v>
      </c>
    </row>
    <row r="2389" spans="1:3">
      <c r="A2389">
        <v>2381</v>
      </c>
      <c r="B2389">
        <v>4.0419788455176117E-2</v>
      </c>
      <c r="C2389">
        <v>0.61554519590390555</v>
      </c>
    </row>
    <row r="2390" spans="1:3">
      <c r="A2390">
        <v>2382</v>
      </c>
      <c r="B2390">
        <v>0.5552523674316826</v>
      </c>
      <c r="C2390">
        <v>2.2042790465093276E-2</v>
      </c>
    </row>
    <row r="2391" spans="1:3">
      <c r="A2391">
        <v>2383</v>
      </c>
      <c r="B2391">
        <v>0.17815160793795987</v>
      </c>
      <c r="C2391">
        <v>0.68678429132705787</v>
      </c>
    </row>
    <row r="2392" spans="1:3">
      <c r="A2392">
        <v>2384</v>
      </c>
      <c r="B2392">
        <v>0.27653566391121964</v>
      </c>
      <c r="C2392">
        <v>0.21855744481854344</v>
      </c>
    </row>
    <row r="2393" spans="1:3">
      <c r="A2393">
        <v>2385</v>
      </c>
      <c r="B2393">
        <v>0.74491655760107478</v>
      </c>
      <c r="C2393">
        <v>0.15997618425353721</v>
      </c>
    </row>
    <row r="2394" spans="1:3">
      <c r="A2394">
        <v>2386</v>
      </c>
      <c r="B2394">
        <v>0.64222525287634358</v>
      </c>
      <c r="C2394">
        <v>0.85050188982677355</v>
      </c>
    </row>
    <row r="2395" spans="1:3">
      <c r="A2395">
        <v>2387</v>
      </c>
      <c r="B2395">
        <v>0.86976532822646335</v>
      </c>
      <c r="C2395">
        <v>0.81621923647799122</v>
      </c>
    </row>
    <row r="2396" spans="1:3">
      <c r="A2396">
        <v>2388</v>
      </c>
      <c r="B2396">
        <v>0.48146460498172428</v>
      </c>
      <c r="C2396">
        <v>0.71507928063965664</v>
      </c>
    </row>
    <row r="2397" spans="1:3">
      <c r="A2397">
        <v>2389</v>
      </c>
      <c r="B2397">
        <v>0.8118634432529247</v>
      </c>
      <c r="C2397">
        <v>0.14755689922094462</v>
      </c>
    </row>
    <row r="2398" spans="1:3">
      <c r="A2398">
        <v>2390</v>
      </c>
      <c r="B2398">
        <v>9.2998201598505997E-2</v>
      </c>
      <c r="C2398">
        <v>0.91478275971076073</v>
      </c>
    </row>
    <row r="2399" spans="1:3">
      <c r="A2399">
        <v>2391</v>
      </c>
      <c r="B2399">
        <v>0.39798554932833313</v>
      </c>
      <c r="C2399">
        <v>0.64770088314071472</v>
      </c>
    </row>
    <row r="2400" spans="1:3">
      <c r="A2400">
        <v>2392</v>
      </c>
      <c r="B2400">
        <v>0.47385205737637637</v>
      </c>
      <c r="C2400">
        <v>0.51999963516664138</v>
      </c>
    </row>
    <row r="2401" spans="1:3">
      <c r="A2401">
        <v>2393</v>
      </c>
      <c r="B2401">
        <v>0.9386832439606273</v>
      </c>
      <c r="C2401">
        <v>0.80747849964973284</v>
      </c>
    </row>
    <row r="2402" spans="1:3">
      <c r="A2402">
        <v>2394</v>
      </c>
      <c r="B2402">
        <v>0.66461028561326907</v>
      </c>
      <c r="C2402">
        <v>0.55412924338725134</v>
      </c>
    </row>
    <row r="2403" spans="1:3">
      <c r="A2403">
        <v>2395</v>
      </c>
      <c r="B2403">
        <v>0.80662537788013589</v>
      </c>
      <c r="C2403">
        <v>0.56276372065258329</v>
      </c>
    </row>
    <row r="2404" spans="1:3">
      <c r="A2404">
        <v>2396</v>
      </c>
      <c r="B2404">
        <v>3.6640500576943277E-2</v>
      </c>
      <c r="C2404">
        <v>0.73391819245352963</v>
      </c>
    </row>
    <row r="2405" spans="1:3">
      <c r="A2405">
        <v>2397</v>
      </c>
      <c r="B2405">
        <v>0.78723331232537352</v>
      </c>
      <c r="C2405">
        <v>0.34972462589032105</v>
      </c>
    </row>
    <row r="2406" spans="1:3">
      <c r="A2406">
        <v>2398</v>
      </c>
      <c r="B2406">
        <v>0.31738606360363453</v>
      </c>
      <c r="C2406">
        <v>0.22190011091242923</v>
      </c>
    </row>
    <row r="2407" spans="1:3">
      <c r="A2407">
        <v>2399</v>
      </c>
      <c r="B2407">
        <v>0.16782003574944568</v>
      </c>
      <c r="C2407">
        <v>0.54842647423356539</v>
      </c>
    </row>
    <row r="2408" spans="1:3">
      <c r="A2408">
        <v>2400</v>
      </c>
      <c r="B2408">
        <v>0.87185608528369485</v>
      </c>
      <c r="C2408">
        <v>0.48274416883486992</v>
      </c>
    </row>
    <row r="2409" spans="1:3">
      <c r="A2409">
        <v>2401</v>
      </c>
      <c r="B2409">
        <v>0.7978856697893435</v>
      </c>
      <c r="C2409">
        <v>0.48953306429211807</v>
      </c>
    </row>
    <row r="2410" spans="1:3">
      <c r="A2410">
        <v>2402</v>
      </c>
      <c r="B2410">
        <v>0.94920966460001877</v>
      </c>
      <c r="C2410">
        <v>0.2804002650491384</v>
      </c>
    </row>
    <row r="2411" spans="1:3">
      <c r="A2411">
        <v>2403</v>
      </c>
      <c r="B2411">
        <v>0.67691892610744542</v>
      </c>
      <c r="C2411">
        <v>0.50459236095412052</v>
      </c>
    </row>
    <row r="2412" spans="1:3">
      <c r="A2412">
        <v>2404</v>
      </c>
      <c r="B2412">
        <v>0.95210082110140959</v>
      </c>
      <c r="C2412">
        <v>0.10224305557494517</v>
      </c>
    </row>
    <row r="2413" spans="1:3">
      <c r="A2413">
        <v>2405</v>
      </c>
      <c r="B2413">
        <v>0.48540154353482684</v>
      </c>
      <c r="C2413">
        <v>0.53042252919385646</v>
      </c>
    </row>
    <row r="2414" spans="1:3">
      <c r="A2414">
        <v>2406</v>
      </c>
      <c r="B2414">
        <v>0.31444943476730247</v>
      </c>
      <c r="C2414">
        <v>0.1963176576045953</v>
      </c>
    </row>
    <row r="2415" spans="1:3">
      <c r="A2415">
        <v>2407</v>
      </c>
      <c r="B2415">
        <v>0.40599532412513983</v>
      </c>
      <c r="C2415">
        <v>0.56171373194047192</v>
      </c>
    </row>
    <row r="2416" spans="1:3">
      <c r="A2416">
        <v>2408</v>
      </c>
      <c r="B2416">
        <v>0.89553434664079323</v>
      </c>
      <c r="C2416">
        <v>0.60282323854426068</v>
      </c>
    </row>
    <row r="2417" spans="1:3">
      <c r="A2417">
        <v>2409</v>
      </c>
      <c r="B2417">
        <v>0.33996012504509654</v>
      </c>
      <c r="C2417">
        <v>6.8436697518336587E-2</v>
      </c>
    </row>
    <row r="2418" spans="1:3">
      <c r="A2418">
        <v>2410</v>
      </c>
      <c r="B2418">
        <v>0.12145387223345551</v>
      </c>
      <c r="C2418">
        <v>0.39670507393293519</v>
      </c>
    </row>
    <row r="2419" spans="1:3">
      <c r="A2419">
        <v>2411</v>
      </c>
      <c r="B2419">
        <v>0.40241654494577472</v>
      </c>
      <c r="C2419">
        <v>0.33813790483145567</v>
      </c>
    </row>
    <row r="2420" spans="1:3">
      <c r="A2420">
        <v>2412</v>
      </c>
      <c r="B2420">
        <v>3.0771796666172288E-2</v>
      </c>
      <c r="C2420">
        <v>0.52186225381410623</v>
      </c>
    </row>
    <row r="2421" spans="1:3">
      <c r="A2421">
        <v>2413</v>
      </c>
      <c r="B2421">
        <v>0.39820320294750927</v>
      </c>
      <c r="C2421">
        <v>0.4205525239385679</v>
      </c>
    </row>
    <row r="2422" spans="1:3">
      <c r="A2422">
        <v>2414</v>
      </c>
      <c r="B2422">
        <v>0.17507162578312485</v>
      </c>
      <c r="C2422">
        <v>0.12729804879927542</v>
      </c>
    </row>
    <row r="2423" spans="1:3">
      <c r="A2423">
        <v>2415</v>
      </c>
      <c r="B2423">
        <v>0.66447650254677904</v>
      </c>
      <c r="C2423">
        <v>0.58628454395784502</v>
      </c>
    </row>
    <row r="2424" spans="1:3">
      <c r="A2424">
        <v>2416</v>
      </c>
      <c r="B2424">
        <v>0.21892919988025197</v>
      </c>
      <c r="C2424">
        <v>0.12984913111178287</v>
      </c>
    </row>
    <row r="2425" spans="1:3">
      <c r="A2425">
        <v>2417</v>
      </c>
      <c r="B2425">
        <v>0.14941946309959037</v>
      </c>
      <c r="C2425">
        <v>0.80804310913526933</v>
      </c>
    </row>
    <row r="2426" spans="1:3">
      <c r="A2426">
        <v>2418</v>
      </c>
      <c r="B2426">
        <v>0.36928892142015718</v>
      </c>
      <c r="C2426">
        <v>0.22120070311211748</v>
      </c>
    </row>
    <row r="2427" spans="1:3">
      <c r="A2427">
        <v>2419</v>
      </c>
      <c r="B2427">
        <v>0.88374992079375081</v>
      </c>
      <c r="C2427">
        <v>0.10876177288719191</v>
      </c>
    </row>
    <row r="2428" spans="1:3">
      <c r="A2428">
        <v>2420</v>
      </c>
      <c r="B2428">
        <v>0.79283873796072757</v>
      </c>
      <c r="C2428">
        <v>0.80658812845831562</v>
      </c>
    </row>
    <row r="2429" spans="1:3">
      <c r="A2429">
        <v>2421</v>
      </c>
      <c r="B2429">
        <v>9.6865945044734045E-2</v>
      </c>
      <c r="C2429">
        <v>0.30617017143049452</v>
      </c>
    </row>
    <row r="2430" spans="1:3">
      <c r="A2430">
        <v>2422</v>
      </c>
      <c r="B2430">
        <v>0.69805014949404864</v>
      </c>
      <c r="C2430">
        <v>0.22901928403825877</v>
      </c>
    </row>
    <row r="2431" spans="1:3">
      <c r="A2431">
        <v>2423</v>
      </c>
      <c r="B2431">
        <v>0.52612733487941499</v>
      </c>
      <c r="C2431">
        <v>0.43670255594042828</v>
      </c>
    </row>
    <row r="2432" spans="1:3">
      <c r="A2432">
        <v>2424</v>
      </c>
      <c r="B2432">
        <v>0.82394384385993324</v>
      </c>
      <c r="C2432">
        <v>0.43714993615412823</v>
      </c>
    </row>
    <row r="2433" spans="1:3">
      <c r="A2433">
        <v>2425</v>
      </c>
      <c r="B2433">
        <v>0.54278423984394975</v>
      </c>
      <c r="C2433">
        <v>0.33395531684982416</v>
      </c>
    </row>
    <row r="2434" spans="1:3">
      <c r="A2434">
        <v>2426</v>
      </c>
      <c r="B2434">
        <v>0.68094390978620944</v>
      </c>
      <c r="C2434">
        <v>0.93008448274940747</v>
      </c>
    </row>
    <row r="2435" spans="1:3">
      <c r="A2435">
        <v>2427</v>
      </c>
      <c r="B2435">
        <v>0.46184249137138078</v>
      </c>
      <c r="C2435">
        <v>0.90479597934972844</v>
      </c>
    </row>
    <row r="2436" spans="1:3">
      <c r="A2436">
        <v>2428</v>
      </c>
      <c r="B2436">
        <v>0.82881562737450365</v>
      </c>
      <c r="C2436">
        <v>0.62991097329359036</v>
      </c>
    </row>
    <row r="2437" spans="1:3">
      <c r="A2437">
        <v>2429</v>
      </c>
      <c r="B2437">
        <v>0.18152727029633878</v>
      </c>
      <c r="C2437">
        <v>0.40853438426256616</v>
      </c>
    </row>
    <row r="2438" spans="1:3">
      <c r="A2438">
        <v>2430</v>
      </c>
      <c r="B2438">
        <v>0.84637227190392383</v>
      </c>
      <c r="C2438">
        <v>0.22059815348802658</v>
      </c>
    </row>
    <row r="2439" spans="1:3">
      <c r="A2439">
        <v>2431</v>
      </c>
      <c r="B2439">
        <v>0.92943324914151648</v>
      </c>
      <c r="C2439">
        <v>0.63798038408731372</v>
      </c>
    </row>
    <row r="2440" spans="1:3">
      <c r="A2440">
        <v>2432</v>
      </c>
      <c r="B2440">
        <v>0.46482304274365843</v>
      </c>
      <c r="C2440">
        <v>0.10461947489602608</v>
      </c>
    </row>
    <row r="2441" spans="1:3">
      <c r="A2441">
        <v>2433</v>
      </c>
      <c r="B2441">
        <v>0.97141386120231221</v>
      </c>
      <c r="C2441">
        <v>0.28524255255524622</v>
      </c>
    </row>
    <row r="2442" spans="1:3">
      <c r="A2442">
        <v>2434</v>
      </c>
      <c r="B2442">
        <v>3.868664958357966E-2</v>
      </c>
      <c r="C2442">
        <v>9.8104149668870377E-2</v>
      </c>
    </row>
    <row r="2443" spans="1:3">
      <c r="A2443">
        <v>2435</v>
      </c>
      <c r="B2443">
        <v>0.18574380444510463</v>
      </c>
      <c r="C2443">
        <v>0.32113755860427773</v>
      </c>
    </row>
    <row r="2444" spans="1:3">
      <c r="A2444">
        <v>2436</v>
      </c>
      <c r="B2444">
        <v>0.18204439499677263</v>
      </c>
      <c r="C2444">
        <v>0.80863775451871334</v>
      </c>
    </row>
    <row r="2445" spans="1:3">
      <c r="A2445">
        <v>2437</v>
      </c>
      <c r="B2445">
        <v>0.2147335670907827</v>
      </c>
      <c r="C2445">
        <v>0.15963331909279077</v>
      </c>
    </row>
    <row r="2446" spans="1:3">
      <c r="A2446">
        <v>2438</v>
      </c>
      <c r="B2446">
        <v>0.89211354772684004</v>
      </c>
      <c r="C2446">
        <v>0.7407114522811753</v>
      </c>
    </row>
    <row r="2447" spans="1:3">
      <c r="A2447">
        <v>2439</v>
      </c>
      <c r="B2447">
        <v>0.64088132048265112</v>
      </c>
      <c r="C2447">
        <v>8.7028119375645474E-2</v>
      </c>
    </row>
    <row r="2448" spans="1:3">
      <c r="A2448">
        <v>2440</v>
      </c>
      <c r="B2448">
        <v>0.97376917950328656</v>
      </c>
      <c r="C2448">
        <v>0.98513015755088418</v>
      </c>
    </row>
    <row r="2449" spans="1:3">
      <c r="A2449">
        <v>2441</v>
      </c>
      <c r="B2449">
        <v>5.5574923928029582E-2</v>
      </c>
      <c r="C2449">
        <v>4.007644516241271E-2</v>
      </c>
    </row>
    <row r="2450" spans="1:3">
      <c r="A2450">
        <v>2442</v>
      </c>
      <c r="B2450">
        <v>0.70230073541926707</v>
      </c>
      <c r="C2450">
        <v>0.15701085697583039</v>
      </c>
    </row>
    <row r="2451" spans="1:3">
      <c r="A2451">
        <v>2443</v>
      </c>
      <c r="B2451">
        <v>0.63325783002936697</v>
      </c>
      <c r="C2451">
        <v>0.86975681450621778</v>
      </c>
    </row>
    <row r="2452" spans="1:3">
      <c r="A2452">
        <v>2444</v>
      </c>
      <c r="B2452">
        <v>0.72362591161770418</v>
      </c>
      <c r="C2452">
        <v>0.26316476451574999</v>
      </c>
    </row>
    <row r="2453" spans="1:3">
      <c r="A2453">
        <v>2445</v>
      </c>
      <c r="B2453">
        <v>0.62559409506334784</v>
      </c>
      <c r="C2453">
        <v>0.152308518031532</v>
      </c>
    </row>
    <row r="2454" spans="1:3">
      <c r="A2454">
        <v>2446</v>
      </c>
      <c r="B2454">
        <v>0.36290580190692701</v>
      </c>
      <c r="C2454">
        <v>0.72583165243122494</v>
      </c>
    </row>
    <row r="2455" spans="1:3">
      <c r="A2455">
        <v>2447</v>
      </c>
      <c r="B2455">
        <v>0.37557750091789699</v>
      </c>
      <c r="C2455">
        <v>0.96917756809489219</v>
      </c>
    </row>
    <row r="2456" spans="1:3">
      <c r="A2456">
        <v>2448</v>
      </c>
      <c r="B2456">
        <v>5.7993927098436732E-2</v>
      </c>
      <c r="C2456">
        <v>0.70019068715828325</v>
      </c>
    </row>
    <row r="2457" spans="1:3">
      <c r="A2457">
        <v>2449</v>
      </c>
      <c r="B2457">
        <v>0.13106689516801082</v>
      </c>
      <c r="C2457">
        <v>0.61785417037754087</v>
      </c>
    </row>
    <row r="2458" spans="1:3">
      <c r="A2458">
        <v>2450</v>
      </c>
      <c r="B2458">
        <v>4.2387239697200069E-2</v>
      </c>
      <c r="C2458">
        <v>0.98391156349225639</v>
      </c>
    </row>
    <row r="2459" spans="1:3">
      <c r="A2459">
        <v>2451</v>
      </c>
      <c r="B2459">
        <v>0.40536367450579153</v>
      </c>
      <c r="C2459">
        <v>2.9363424475377542E-2</v>
      </c>
    </row>
    <row r="2460" spans="1:3">
      <c r="A2460">
        <v>2452</v>
      </c>
      <c r="B2460">
        <v>0.62697018546964278</v>
      </c>
      <c r="C2460">
        <v>0.43177177222696628</v>
      </c>
    </row>
    <row r="2461" spans="1:3">
      <c r="A2461">
        <v>2453</v>
      </c>
      <c r="B2461">
        <v>0.26923980045300905</v>
      </c>
      <c r="C2461">
        <v>0.21278045733561157</v>
      </c>
    </row>
    <row r="2462" spans="1:3">
      <c r="A2462">
        <v>2454</v>
      </c>
      <c r="B2462">
        <v>1.4841050967537111E-2</v>
      </c>
      <c r="C2462">
        <v>0.16836327985220123</v>
      </c>
    </row>
    <row r="2463" spans="1:3">
      <c r="A2463">
        <v>2455</v>
      </c>
      <c r="B2463">
        <v>0.20179505053399946</v>
      </c>
      <c r="C2463">
        <v>0.60155674170800921</v>
      </c>
    </row>
    <row r="2464" spans="1:3">
      <c r="A2464">
        <v>2456</v>
      </c>
      <c r="B2464">
        <v>0.887942722699126</v>
      </c>
      <c r="C2464">
        <v>0.16131719921759213</v>
      </c>
    </row>
    <row r="2465" spans="1:3">
      <c r="A2465">
        <v>2457</v>
      </c>
      <c r="B2465">
        <v>0.79602245070646105</v>
      </c>
      <c r="C2465">
        <v>0.58073077735025436</v>
      </c>
    </row>
    <row r="2466" spans="1:3">
      <c r="A2466">
        <v>2458</v>
      </c>
      <c r="B2466">
        <v>0.37763844437432442</v>
      </c>
      <c r="C2466">
        <v>0.87138368754222029</v>
      </c>
    </row>
    <row r="2467" spans="1:3">
      <c r="A2467">
        <v>2459</v>
      </c>
      <c r="B2467">
        <v>0.77096132050635324</v>
      </c>
      <c r="C2467">
        <v>0.65948261230005301</v>
      </c>
    </row>
    <row r="2468" spans="1:3">
      <c r="A2468">
        <v>2460</v>
      </c>
      <c r="B2468">
        <v>0.41487463430442723</v>
      </c>
      <c r="C2468">
        <v>0.22255052438322309</v>
      </c>
    </row>
    <row r="2469" spans="1:3">
      <c r="A2469">
        <v>2461</v>
      </c>
      <c r="B2469">
        <v>0.91996300289820954</v>
      </c>
      <c r="C2469">
        <v>0.35813331734061649</v>
      </c>
    </row>
    <row r="2470" spans="1:3">
      <c r="A2470">
        <v>2462</v>
      </c>
      <c r="B2470">
        <v>0.84398346711173267</v>
      </c>
      <c r="C2470">
        <v>0.16018632176655956</v>
      </c>
    </row>
    <row r="2471" spans="1:3">
      <c r="A2471">
        <v>2463</v>
      </c>
      <c r="B2471">
        <v>0.4066268537478584</v>
      </c>
      <c r="C2471">
        <v>0.81012298361747526</v>
      </c>
    </row>
    <row r="2472" spans="1:3">
      <c r="A2472">
        <v>2464</v>
      </c>
      <c r="B2472">
        <v>0.70115066734984299</v>
      </c>
      <c r="C2472">
        <v>0.71243612599482731</v>
      </c>
    </row>
    <row r="2473" spans="1:3">
      <c r="A2473">
        <v>2465</v>
      </c>
      <c r="B2473">
        <v>0.41276208122390373</v>
      </c>
      <c r="C2473">
        <v>0.62080967868132575</v>
      </c>
    </row>
    <row r="2474" spans="1:3">
      <c r="A2474">
        <v>2466</v>
      </c>
      <c r="B2474">
        <v>0.85878680732892521</v>
      </c>
      <c r="C2474">
        <v>0.38531520650303719</v>
      </c>
    </row>
    <row r="2475" spans="1:3">
      <c r="A2475">
        <v>2467</v>
      </c>
      <c r="B2475">
        <v>0.3041021436421904</v>
      </c>
      <c r="C2475">
        <v>0.34035137106911861</v>
      </c>
    </row>
    <row r="2476" spans="1:3">
      <c r="A2476">
        <v>2468</v>
      </c>
      <c r="B2476">
        <v>0.71668066221961757</v>
      </c>
      <c r="C2476">
        <v>0.68403691788898868</v>
      </c>
    </row>
    <row r="2477" spans="1:3">
      <c r="A2477">
        <v>2469</v>
      </c>
      <c r="B2477">
        <v>0.1865593926014284</v>
      </c>
      <c r="C2477">
        <v>0.35002074335170619</v>
      </c>
    </row>
    <row r="2478" spans="1:3">
      <c r="A2478">
        <v>2470</v>
      </c>
      <c r="B2478">
        <v>0.31405390068382349</v>
      </c>
      <c r="C2478">
        <v>0.73147335279736581</v>
      </c>
    </row>
    <row r="2479" spans="1:3">
      <c r="A2479">
        <v>2471</v>
      </c>
      <c r="B2479">
        <v>0.42963579835324456</v>
      </c>
      <c r="C2479">
        <v>0.87493035538500408</v>
      </c>
    </row>
    <row r="2480" spans="1:3">
      <c r="A2480">
        <v>2472</v>
      </c>
      <c r="B2480">
        <v>0.41631697617567071</v>
      </c>
      <c r="C2480">
        <v>0.1226151280097838</v>
      </c>
    </row>
    <row r="2481" spans="1:3">
      <c r="A2481">
        <v>2473</v>
      </c>
      <c r="B2481">
        <v>0.99646809933415337</v>
      </c>
      <c r="C2481">
        <v>0.59246083159814589</v>
      </c>
    </row>
    <row r="2482" spans="1:3">
      <c r="A2482">
        <v>2474</v>
      </c>
      <c r="B2482">
        <v>0.93988547155817159</v>
      </c>
      <c r="C2482">
        <v>1.8012636838648177E-2</v>
      </c>
    </row>
    <row r="2483" spans="1:3">
      <c r="A2483">
        <v>2475</v>
      </c>
      <c r="B2483">
        <v>0.2077248384035483</v>
      </c>
      <c r="C2483">
        <v>0.76418885739440157</v>
      </c>
    </row>
    <row r="2484" spans="1:3">
      <c r="A2484">
        <v>2476</v>
      </c>
      <c r="B2484">
        <v>4.9943689079383319E-2</v>
      </c>
      <c r="C2484">
        <v>9.1727842118416447E-5</v>
      </c>
    </row>
    <row r="2485" spans="1:3">
      <c r="A2485">
        <v>2477</v>
      </c>
      <c r="B2485">
        <v>0.98002225228208628</v>
      </c>
      <c r="C2485">
        <v>0.45943467677352601</v>
      </c>
    </row>
    <row r="2486" spans="1:3">
      <c r="A2486">
        <v>2478</v>
      </c>
      <c r="B2486">
        <v>0.72655489014628227</v>
      </c>
      <c r="C2486">
        <v>0.12735205355329526</v>
      </c>
    </row>
    <row r="2487" spans="1:3">
      <c r="A2487">
        <v>2479</v>
      </c>
      <c r="B2487">
        <v>0.43816379879339684</v>
      </c>
      <c r="C2487">
        <v>0.54888950686836324</v>
      </c>
    </row>
    <row r="2488" spans="1:3">
      <c r="A2488">
        <v>2480</v>
      </c>
      <c r="B2488">
        <v>6.0455766580639354E-3</v>
      </c>
      <c r="C2488">
        <v>0.10495508617259475</v>
      </c>
    </row>
    <row r="2489" spans="1:3">
      <c r="A2489">
        <v>2481</v>
      </c>
      <c r="B2489">
        <v>0.54379252156582492</v>
      </c>
      <c r="C2489">
        <v>0.59585438346402952</v>
      </c>
    </row>
    <row r="2490" spans="1:3">
      <c r="A2490">
        <v>2482</v>
      </c>
      <c r="B2490">
        <v>0.1498800443920959</v>
      </c>
      <c r="C2490">
        <v>0.68083710928749497</v>
      </c>
    </row>
    <row r="2491" spans="1:3">
      <c r="A2491">
        <v>2483</v>
      </c>
      <c r="B2491">
        <v>0.63267424455198329</v>
      </c>
      <c r="C2491">
        <v>1.9895940322385286E-2</v>
      </c>
    </row>
    <row r="2492" spans="1:3">
      <c r="A2492">
        <v>2484</v>
      </c>
      <c r="B2492">
        <v>0.9797222053114143</v>
      </c>
      <c r="C2492">
        <v>0.42495068546577386</v>
      </c>
    </row>
    <row r="2493" spans="1:3">
      <c r="A2493">
        <v>2485</v>
      </c>
      <c r="B2493">
        <v>0.33280155205568335</v>
      </c>
      <c r="C2493">
        <v>0.78638052758105914</v>
      </c>
    </row>
    <row r="2494" spans="1:3">
      <c r="A2494">
        <v>2486</v>
      </c>
      <c r="B2494">
        <v>0.26672156039688771</v>
      </c>
      <c r="C2494">
        <v>0.26322233182054333</v>
      </c>
    </row>
    <row r="2495" spans="1:3">
      <c r="A2495">
        <v>2487</v>
      </c>
      <c r="B2495">
        <v>0.64251492742968608</v>
      </c>
      <c r="C2495">
        <v>0.16249094627710292</v>
      </c>
    </row>
    <row r="2496" spans="1:3">
      <c r="A2496">
        <v>2488</v>
      </c>
      <c r="B2496">
        <v>0.65727789724629315</v>
      </c>
      <c r="C2496">
        <v>0.49773425941657479</v>
      </c>
    </row>
    <row r="2497" spans="1:3">
      <c r="A2497">
        <v>2489</v>
      </c>
      <c r="B2497">
        <v>0.15335178186142626</v>
      </c>
      <c r="C2497">
        <v>0.58055136655639217</v>
      </c>
    </row>
    <row r="2498" spans="1:3">
      <c r="A2498">
        <v>2490</v>
      </c>
      <c r="B2498">
        <v>0.78621527405442093</v>
      </c>
      <c r="C2498">
        <v>0.90486519771820895</v>
      </c>
    </row>
    <row r="2499" spans="1:3">
      <c r="A2499">
        <v>2491</v>
      </c>
      <c r="B2499">
        <v>0.71043348517055471</v>
      </c>
      <c r="C2499">
        <v>0.12019148286708514</v>
      </c>
    </row>
    <row r="2500" spans="1:3">
      <c r="A2500">
        <v>2492</v>
      </c>
      <c r="B2500">
        <v>0.96884901470897</v>
      </c>
      <c r="C2500">
        <v>0.46019964892093412</v>
      </c>
    </row>
    <row r="2501" spans="1:3">
      <c r="A2501">
        <v>2493</v>
      </c>
      <c r="B2501">
        <v>0.83183843675089031</v>
      </c>
      <c r="C2501">
        <v>0.29216527895732725</v>
      </c>
    </row>
    <row r="2502" spans="1:3">
      <c r="A2502">
        <v>2494</v>
      </c>
      <c r="B2502">
        <v>0.50694735938835589</v>
      </c>
      <c r="C2502">
        <v>0.72639731726758328</v>
      </c>
    </row>
    <row r="2503" spans="1:3">
      <c r="A2503">
        <v>2495</v>
      </c>
      <c r="B2503">
        <v>0.51206067857729753</v>
      </c>
      <c r="C2503">
        <v>0.21370337936969008</v>
      </c>
    </row>
    <row r="2504" spans="1:3">
      <c r="A2504">
        <v>2496</v>
      </c>
      <c r="B2504">
        <v>5.3437653011837428E-2</v>
      </c>
      <c r="C2504">
        <v>0.76007727520754997</v>
      </c>
    </row>
    <row r="2505" spans="1:3">
      <c r="A2505">
        <v>2497</v>
      </c>
      <c r="B2505">
        <v>0.28439077389617234</v>
      </c>
      <c r="C2505">
        <v>0.92168031459368649</v>
      </c>
    </row>
    <row r="2506" spans="1:3">
      <c r="A2506">
        <v>2498</v>
      </c>
      <c r="B2506">
        <v>0.22558180345780723</v>
      </c>
      <c r="C2506">
        <v>0.65637454684383556</v>
      </c>
    </row>
    <row r="2507" spans="1:3">
      <c r="A2507">
        <v>2499</v>
      </c>
      <c r="B2507">
        <v>0.36601115922704597</v>
      </c>
      <c r="C2507">
        <v>1.9780421984251007E-2</v>
      </c>
    </row>
    <row r="2508" spans="1:3">
      <c r="A2508">
        <v>2500</v>
      </c>
      <c r="B2508">
        <v>0.22612512313181654</v>
      </c>
      <c r="C2508">
        <v>0.9477987856234904</v>
      </c>
    </row>
    <row r="2509" spans="1:3">
      <c r="A2509">
        <v>2501</v>
      </c>
      <c r="B2509">
        <v>0.46803406546787218</v>
      </c>
      <c r="C2509">
        <v>0.28196000699244905</v>
      </c>
    </row>
    <row r="2510" spans="1:3">
      <c r="A2510">
        <v>2502</v>
      </c>
      <c r="B2510">
        <v>0.8495449831536378</v>
      </c>
      <c r="C2510">
        <v>0.84042966000833985</v>
      </c>
    </row>
    <row r="2511" spans="1:3">
      <c r="A2511">
        <v>2503</v>
      </c>
      <c r="B2511">
        <v>0.57199457172523127</v>
      </c>
      <c r="C2511">
        <v>0.88886395700137655</v>
      </c>
    </row>
    <row r="2512" spans="1:3">
      <c r="A2512">
        <v>2504</v>
      </c>
      <c r="B2512">
        <v>6.1011817902934695E-2</v>
      </c>
      <c r="C2512">
        <v>0.12587795401213953</v>
      </c>
    </row>
    <row r="2513" spans="1:3">
      <c r="A2513">
        <v>2505</v>
      </c>
      <c r="B2513">
        <v>2.4678895390005524E-2</v>
      </c>
      <c r="C2513">
        <v>0.76663006896342267</v>
      </c>
    </row>
    <row r="2514" spans="1:3">
      <c r="A2514">
        <v>2506</v>
      </c>
      <c r="B2514">
        <v>8.4084056305252959E-3</v>
      </c>
      <c r="C2514">
        <v>0.24022004433936672</v>
      </c>
    </row>
    <row r="2515" spans="1:3">
      <c r="A2515">
        <v>2507</v>
      </c>
      <c r="B2515">
        <v>0.39182486879504863</v>
      </c>
      <c r="C2515">
        <v>0.50640651907724532</v>
      </c>
    </row>
    <row r="2516" spans="1:3">
      <c r="A2516">
        <v>2508</v>
      </c>
      <c r="B2516">
        <v>0.33942693224475418</v>
      </c>
      <c r="C2516">
        <v>0.97252429512627714</v>
      </c>
    </row>
    <row r="2517" spans="1:3">
      <c r="A2517">
        <v>2509</v>
      </c>
      <c r="B2517">
        <v>0.85841995917275093</v>
      </c>
      <c r="C2517">
        <v>0.26276112071172975</v>
      </c>
    </row>
    <row r="2518" spans="1:3">
      <c r="A2518">
        <v>2510</v>
      </c>
      <c r="B2518">
        <v>0.24670117898944327</v>
      </c>
      <c r="C2518">
        <v>6.5478901533424505E-2</v>
      </c>
    </row>
    <row r="2519" spans="1:3">
      <c r="A2519">
        <v>2511</v>
      </c>
      <c r="B2519">
        <v>0.3453904985183362</v>
      </c>
      <c r="C2519">
        <v>0.18634785700669454</v>
      </c>
    </row>
    <row r="2520" spans="1:3">
      <c r="A2520">
        <v>2512</v>
      </c>
      <c r="B2520">
        <v>0.77839213804639695</v>
      </c>
      <c r="C2520">
        <v>0.62196455557023</v>
      </c>
    </row>
    <row r="2521" spans="1:3">
      <c r="A2521">
        <v>2513</v>
      </c>
      <c r="B2521">
        <v>0.99276219449251946</v>
      </c>
      <c r="C2521">
        <v>0.62976563632855687</v>
      </c>
    </row>
    <row r="2522" spans="1:3">
      <c r="A2522">
        <v>2514</v>
      </c>
      <c r="B2522">
        <v>0.37940297643090665</v>
      </c>
      <c r="C2522">
        <v>0.746420302453771</v>
      </c>
    </row>
    <row r="2523" spans="1:3">
      <c r="A2523">
        <v>2515</v>
      </c>
      <c r="B2523">
        <v>0.28748641416339349</v>
      </c>
      <c r="C2523">
        <v>0.52427890895341989</v>
      </c>
    </row>
    <row r="2524" spans="1:3">
      <c r="A2524">
        <v>2516</v>
      </c>
      <c r="B2524">
        <v>0.96295626327822825</v>
      </c>
      <c r="C2524">
        <v>0.61686556505719636</v>
      </c>
    </row>
    <row r="2525" spans="1:3">
      <c r="A2525">
        <v>2517</v>
      </c>
      <c r="B2525">
        <v>0.56392214509568228</v>
      </c>
      <c r="C2525">
        <v>0.51381288725860941</v>
      </c>
    </row>
    <row r="2526" spans="1:3">
      <c r="A2526">
        <v>2518</v>
      </c>
      <c r="B2526">
        <v>0.3360745098304177</v>
      </c>
      <c r="C2526">
        <v>0.48291474403686152</v>
      </c>
    </row>
    <row r="2527" spans="1:3">
      <c r="A2527">
        <v>2519</v>
      </c>
      <c r="B2527">
        <v>0.44658920130291702</v>
      </c>
      <c r="C2527">
        <v>0.37414669721692917</v>
      </c>
    </row>
    <row r="2528" spans="1:3">
      <c r="A2528">
        <v>2520</v>
      </c>
      <c r="B2528">
        <v>0.13445653362769086</v>
      </c>
      <c r="C2528">
        <v>0.53735248742214026</v>
      </c>
    </row>
    <row r="2529" spans="1:3">
      <c r="A2529">
        <v>2521</v>
      </c>
      <c r="B2529">
        <v>0.17447843423794918</v>
      </c>
      <c r="C2529">
        <v>0.27275596435174521</v>
      </c>
    </row>
    <row r="2530" spans="1:3">
      <c r="A2530">
        <v>2522</v>
      </c>
      <c r="B2530">
        <v>1.3378725425661243E-3</v>
      </c>
      <c r="C2530">
        <v>0.19992908066524251</v>
      </c>
    </row>
    <row r="2531" spans="1:3">
      <c r="A2531">
        <v>2523</v>
      </c>
      <c r="B2531">
        <v>0.2110772810691682</v>
      </c>
      <c r="C2531">
        <v>0.51268680919474718</v>
      </c>
    </row>
    <row r="2532" spans="1:3">
      <c r="A2532">
        <v>2524</v>
      </c>
      <c r="B2532">
        <v>0.67206107024631023</v>
      </c>
      <c r="C2532">
        <v>0.5356604633598181</v>
      </c>
    </row>
    <row r="2533" spans="1:3">
      <c r="A2533">
        <v>2525</v>
      </c>
      <c r="B2533">
        <v>0.64911384454940302</v>
      </c>
      <c r="C2533">
        <v>0.86920238369839353</v>
      </c>
    </row>
    <row r="2534" spans="1:3">
      <c r="A2534">
        <v>2526</v>
      </c>
      <c r="B2534">
        <v>0.623584035014078</v>
      </c>
      <c r="C2534">
        <v>0.38642448597238399</v>
      </c>
    </row>
    <row r="2535" spans="1:3">
      <c r="A2535">
        <v>2527</v>
      </c>
      <c r="B2535">
        <v>0.54633897322768787</v>
      </c>
      <c r="C2535">
        <v>0.38554178944013984</v>
      </c>
    </row>
    <row r="2536" spans="1:3">
      <c r="A2536">
        <v>2528</v>
      </c>
      <c r="B2536">
        <v>0.74543050001720679</v>
      </c>
      <c r="C2536">
        <v>0.30177134979203402</v>
      </c>
    </row>
    <row r="2537" spans="1:3">
      <c r="A2537">
        <v>2529</v>
      </c>
      <c r="B2537">
        <v>4.1159398288503152E-2</v>
      </c>
      <c r="C2537">
        <v>0.74743922446670652</v>
      </c>
    </row>
    <row r="2538" spans="1:3">
      <c r="A2538">
        <v>2530</v>
      </c>
      <c r="B2538">
        <v>0.30635020575503591</v>
      </c>
      <c r="C2538">
        <v>0.80727450314202542</v>
      </c>
    </row>
    <row r="2539" spans="1:3">
      <c r="A2539">
        <v>2531</v>
      </c>
      <c r="B2539">
        <v>0.44429988498135936</v>
      </c>
      <c r="C2539">
        <v>0.78189674671716602</v>
      </c>
    </row>
    <row r="2540" spans="1:3">
      <c r="A2540">
        <v>2532</v>
      </c>
      <c r="B2540">
        <v>0.48604455388855294</v>
      </c>
      <c r="C2540">
        <v>0.63693436146058957</v>
      </c>
    </row>
    <row r="2541" spans="1:3">
      <c r="A2541">
        <v>2533</v>
      </c>
      <c r="B2541">
        <v>0.69386329431330396</v>
      </c>
      <c r="C2541">
        <v>0.89284096605751984</v>
      </c>
    </row>
    <row r="2542" spans="1:3">
      <c r="A2542">
        <v>2534</v>
      </c>
      <c r="B2542">
        <v>0.12402664175532448</v>
      </c>
      <c r="C2542">
        <v>0.1799064283604821</v>
      </c>
    </row>
    <row r="2543" spans="1:3">
      <c r="A2543">
        <v>2535</v>
      </c>
      <c r="B2543">
        <v>0.55898819928336618</v>
      </c>
      <c r="C2543">
        <v>0.64746505896710005</v>
      </c>
    </row>
    <row r="2544" spans="1:3">
      <c r="A2544">
        <v>2536</v>
      </c>
      <c r="B2544">
        <v>0.96016078261215265</v>
      </c>
      <c r="C2544">
        <v>0.32327889777661767</v>
      </c>
    </row>
    <row r="2545" spans="1:3">
      <c r="A2545">
        <v>2537</v>
      </c>
      <c r="B2545">
        <v>0.5695547565588156</v>
      </c>
      <c r="C2545">
        <v>0.74136303073009913</v>
      </c>
    </row>
    <row r="2546" spans="1:3">
      <c r="A2546">
        <v>2538</v>
      </c>
      <c r="B2546">
        <v>0.27936163354398724</v>
      </c>
      <c r="C2546">
        <v>0.61360865774076956</v>
      </c>
    </row>
    <row r="2547" spans="1:3">
      <c r="A2547">
        <v>2539</v>
      </c>
      <c r="B2547">
        <v>0.94829486949469299</v>
      </c>
      <c r="C2547">
        <v>4.2092809429959743E-2</v>
      </c>
    </row>
    <row r="2548" spans="1:3">
      <c r="A2548">
        <v>2540</v>
      </c>
      <c r="B2548">
        <v>0.7669553691350286</v>
      </c>
      <c r="C2548">
        <v>0.49477751374161016</v>
      </c>
    </row>
    <row r="2549" spans="1:3">
      <c r="A2549">
        <v>2541</v>
      </c>
      <c r="B2549">
        <v>5.7328163281392345E-3</v>
      </c>
      <c r="C2549">
        <v>0.433340561852674</v>
      </c>
    </row>
    <row r="2550" spans="1:3">
      <c r="A2550">
        <v>2542</v>
      </c>
      <c r="B2550">
        <v>3.3999904913641486E-2</v>
      </c>
      <c r="C2550">
        <v>0.3333855374248742</v>
      </c>
    </row>
    <row r="2551" spans="1:3">
      <c r="A2551">
        <v>2543</v>
      </c>
      <c r="B2551">
        <v>0.3166566284051297</v>
      </c>
      <c r="C2551">
        <v>2.6432833237777231E-2</v>
      </c>
    </row>
    <row r="2552" spans="1:3">
      <c r="A2552">
        <v>2544</v>
      </c>
      <c r="B2552">
        <v>0.20054956783008521</v>
      </c>
      <c r="C2552">
        <v>0.54188345730563015</v>
      </c>
    </row>
    <row r="2553" spans="1:3">
      <c r="A2553">
        <v>2545</v>
      </c>
      <c r="B2553">
        <v>0.83930912406647329</v>
      </c>
      <c r="C2553">
        <v>0.82097477681782038</v>
      </c>
    </row>
    <row r="2554" spans="1:3">
      <c r="A2554">
        <v>2546</v>
      </c>
      <c r="B2554">
        <v>0.46075892571289068</v>
      </c>
      <c r="C2554">
        <v>0.48626298368708376</v>
      </c>
    </row>
    <row r="2555" spans="1:3">
      <c r="A2555">
        <v>2547</v>
      </c>
      <c r="B2555">
        <v>0.68799462298611047</v>
      </c>
      <c r="C2555">
        <v>0.12788923027983401</v>
      </c>
    </row>
    <row r="2556" spans="1:3">
      <c r="A2556">
        <v>2548</v>
      </c>
      <c r="B2556">
        <v>0.95964043761972351</v>
      </c>
      <c r="C2556">
        <v>4.562464148602885E-2</v>
      </c>
    </row>
    <row r="2557" spans="1:3">
      <c r="A2557">
        <v>2549</v>
      </c>
      <c r="B2557">
        <v>0.34253943885051169</v>
      </c>
      <c r="C2557">
        <v>0.91319929381461407</v>
      </c>
    </row>
    <row r="2558" spans="1:3">
      <c r="A2558">
        <v>2550</v>
      </c>
      <c r="B2558">
        <v>0.68065807805705303</v>
      </c>
      <c r="C2558">
        <v>4.1567488851796952E-3</v>
      </c>
    </row>
    <row r="2559" spans="1:3">
      <c r="A2559">
        <v>2551</v>
      </c>
      <c r="B2559">
        <v>0.1817288972657474</v>
      </c>
      <c r="C2559">
        <v>0.69704211598218535</v>
      </c>
    </row>
    <row r="2560" spans="1:3">
      <c r="A2560">
        <v>2552</v>
      </c>
      <c r="B2560">
        <v>0.53456007353941914</v>
      </c>
      <c r="C2560">
        <v>0.88596301084089646</v>
      </c>
    </row>
    <row r="2561" spans="1:3">
      <c r="A2561">
        <v>2553</v>
      </c>
      <c r="B2561">
        <v>0.21499728645035002</v>
      </c>
      <c r="C2561">
        <v>0.62145432813667867</v>
      </c>
    </row>
    <row r="2562" spans="1:3">
      <c r="A2562">
        <v>2554</v>
      </c>
      <c r="B2562">
        <v>0.10608231715058962</v>
      </c>
      <c r="C2562">
        <v>6.3708604084240505E-3</v>
      </c>
    </row>
    <row r="2563" spans="1:3">
      <c r="A2563">
        <v>2555</v>
      </c>
      <c r="B2563">
        <v>0.35976271901739826</v>
      </c>
      <c r="C2563">
        <v>0.73142907587043737</v>
      </c>
    </row>
    <row r="2564" spans="1:3">
      <c r="A2564">
        <v>2556</v>
      </c>
      <c r="B2564">
        <v>0.42007947747741808</v>
      </c>
      <c r="C2564">
        <v>0.84737413446782739</v>
      </c>
    </row>
    <row r="2565" spans="1:3">
      <c r="A2565">
        <v>2557</v>
      </c>
      <c r="B2565">
        <v>0.62059923399616945</v>
      </c>
      <c r="C2565">
        <v>0.96913427352319559</v>
      </c>
    </row>
    <row r="2566" spans="1:3">
      <c r="A2566">
        <v>2558</v>
      </c>
      <c r="B2566">
        <v>0.81212254397108286</v>
      </c>
      <c r="C2566">
        <v>0.94277473393412947</v>
      </c>
    </row>
    <row r="2567" spans="1:3">
      <c r="A2567">
        <v>2559</v>
      </c>
      <c r="B2567">
        <v>0.32937524223457443</v>
      </c>
      <c r="C2567">
        <v>0.94086769427758554</v>
      </c>
    </row>
    <row r="2568" spans="1:3">
      <c r="A2568">
        <v>2560</v>
      </c>
      <c r="B2568">
        <v>0.73527772576847994</v>
      </c>
      <c r="C2568">
        <v>0.26524228504422354</v>
      </c>
    </row>
    <row r="2569" spans="1:3">
      <c r="A2569">
        <v>2561</v>
      </c>
      <c r="B2569">
        <v>0.13740082039865684</v>
      </c>
      <c r="C2569">
        <v>0.62103925678457017</v>
      </c>
    </row>
    <row r="2570" spans="1:3">
      <c r="A2570">
        <v>2562</v>
      </c>
      <c r="B2570">
        <v>1.236965448352733E-2</v>
      </c>
      <c r="C2570">
        <v>0.19571425160302169</v>
      </c>
    </row>
    <row r="2571" spans="1:3">
      <c r="A2571">
        <v>2563</v>
      </c>
      <c r="B2571">
        <v>0.89459468778879259</v>
      </c>
      <c r="C2571">
        <v>0.19817717405931035</v>
      </c>
    </row>
    <row r="2572" spans="1:3">
      <c r="A2572">
        <v>2564</v>
      </c>
      <c r="B2572">
        <v>0.45520167471608186</v>
      </c>
      <c r="C2572">
        <v>0.84101223196284991</v>
      </c>
    </row>
    <row r="2573" spans="1:3">
      <c r="A2573">
        <v>2565</v>
      </c>
      <c r="B2573">
        <v>0.31793550159035611</v>
      </c>
      <c r="C2573">
        <v>0.43273462697106879</v>
      </c>
    </row>
    <row r="2574" spans="1:3">
      <c r="A2574">
        <v>2566</v>
      </c>
      <c r="B2574">
        <v>2.5859924774584344E-3</v>
      </c>
      <c r="C2574">
        <v>0.53164289512278629</v>
      </c>
    </row>
    <row r="2575" spans="1:3">
      <c r="A2575">
        <v>2567</v>
      </c>
      <c r="B2575">
        <v>0.70800453922813866</v>
      </c>
      <c r="C2575">
        <v>0.90479186506763654</v>
      </c>
    </row>
    <row r="2576" spans="1:3">
      <c r="A2576">
        <v>2568</v>
      </c>
      <c r="B2576">
        <v>0.39072665392577799</v>
      </c>
      <c r="C2576">
        <v>0.1427625510677899</v>
      </c>
    </row>
    <row r="2577" spans="1:3">
      <c r="A2577">
        <v>2569</v>
      </c>
      <c r="B2577">
        <v>0.84975864186570016</v>
      </c>
      <c r="C2577">
        <v>0.88196793553015596</v>
      </c>
    </row>
    <row r="2578" spans="1:3">
      <c r="A2578">
        <v>2570</v>
      </c>
      <c r="B2578">
        <v>0.76891476910810796</v>
      </c>
      <c r="C2578">
        <v>0.84861118892878551</v>
      </c>
    </row>
    <row r="2579" spans="1:3">
      <c r="A2579">
        <v>2571</v>
      </c>
      <c r="B2579">
        <v>0.37873574695380768</v>
      </c>
      <c r="C2579">
        <v>2.1701209469483729E-2</v>
      </c>
    </row>
    <row r="2580" spans="1:3">
      <c r="A2580">
        <v>2572</v>
      </c>
      <c r="B2580">
        <v>4.5463747331282063E-3</v>
      </c>
      <c r="C2580">
        <v>6.3603061852518294E-2</v>
      </c>
    </row>
    <row r="2581" spans="1:3">
      <c r="A2581">
        <v>2573</v>
      </c>
      <c r="B2581">
        <v>0.36678142704451022</v>
      </c>
      <c r="C2581">
        <v>0.33912171397605562</v>
      </c>
    </row>
    <row r="2582" spans="1:3">
      <c r="A2582">
        <v>2574</v>
      </c>
      <c r="B2582">
        <v>0.4752281998938015</v>
      </c>
      <c r="C2582">
        <v>0.50406608977118594</v>
      </c>
    </row>
    <row r="2583" spans="1:3">
      <c r="A2583">
        <v>2575</v>
      </c>
      <c r="B2583">
        <v>0.82776276125050208</v>
      </c>
      <c r="C2583">
        <v>0.2711063243023375</v>
      </c>
    </row>
    <row r="2584" spans="1:3">
      <c r="A2584">
        <v>2576</v>
      </c>
      <c r="B2584">
        <v>0.73590324088258274</v>
      </c>
      <c r="C2584">
        <v>0.69290233318679384</v>
      </c>
    </row>
    <row r="2585" spans="1:3">
      <c r="A2585">
        <v>2577</v>
      </c>
      <c r="B2585">
        <v>0.16608383207202046</v>
      </c>
      <c r="C2585">
        <v>1.5927534360343998E-2</v>
      </c>
    </row>
    <row r="2586" spans="1:3">
      <c r="A2586">
        <v>2578</v>
      </c>
      <c r="B2586">
        <v>0.11200455315113174</v>
      </c>
      <c r="C2586">
        <v>0.11189707178527897</v>
      </c>
    </row>
    <row r="2587" spans="1:3">
      <c r="A2587">
        <v>2579</v>
      </c>
      <c r="B2587">
        <v>0.65407733227738118</v>
      </c>
      <c r="C2587">
        <v>0.48779251577889227</v>
      </c>
    </row>
    <row r="2588" spans="1:3">
      <c r="A2588">
        <v>2580</v>
      </c>
      <c r="B2588">
        <v>0.34852800794270072</v>
      </c>
      <c r="C2588">
        <v>0.34775204132893123</v>
      </c>
    </row>
    <row r="2589" spans="1:3">
      <c r="A2589">
        <v>2581</v>
      </c>
      <c r="B2589">
        <v>0.45731771749302691</v>
      </c>
      <c r="C2589">
        <v>0.91145514694198937</v>
      </c>
    </row>
    <row r="2590" spans="1:3">
      <c r="A2590">
        <v>2582</v>
      </c>
      <c r="B2590">
        <v>4.9209621892592316E-3</v>
      </c>
      <c r="C2590">
        <v>0.27625171868749021</v>
      </c>
    </row>
    <row r="2591" spans="1:3">
      <c r="A2591">
        <v>2583</v>
      </c>
      <c r="B2591">
        <v>0.56740201324904382</v>
      </c>
      <c r="C2591">
        <v>0.64149120632373524</v>
      </c>
    </row>
    <row r="2592" spans="1:3">
      <c r="A2592">
        <v>2584</v>
      </c>
      <c r="B2592">
        <v>0.25090822946920716</v>
      </c>
      <c r="C2592">
        <v>0.30691055584247806</v>
      </c>
    </row>
    <row r="2593" spans="1:3">
      <c r="A2593">
        <v>2585</v>
      </c>
      <c r="B2593">
        <v>0.19462972514965332</v>
      </c>
      <c r="C2593">
        <v>0.26434111940670846</v>
      </c>
    </row>
    <row r="2594" spans="1:3">
      <c r="A2594">
        <v>2586</v>
      </c>
      <c r="B2594">
        <v>0.13253579508507063</v>
      </c>
      <c r="C2594">
        <v>9.4421746178340982E-2</v>
      </c>
    </row>
    <row r="2595" spans="1:3">
      <c r="A2595">
        <v>2587</v>
      </c>
      <c r="B2595">
        <v>0.8328857139615542</v>
      </c>
      <c r="C2595">
        <v>0.43189373831501143</v>
      </c>
    </row>
    <row r="2596" spans="1:3">
      <c r="A2596">
        <v>2588</v>
      </c>
      <c r="B2596">
        <v>0.57811510237858521</v>
      </c>
      <c r="C2596">
        <v>0.23421718061581487</v>
      </c>
    </row>
    <row r="2597" spans="1:3">
      <c r="A2597">
        <v>2589</v>
      </c>
      <c r="B2597">
        <v>0.51391093387401454</v>
      </c>
      <c r="C2597">
        <v>0.43526682631181757</v>
      </c>
    </row>
    <row r="2598" spans="1:3">
      <c r="A2598">
        <v>2590</v>
      </c>
      <c r="B2598">
        <v>0.86197412121681827</v>
      </c>
      <c r="C2598">
        <v>0.89566556731369928</v>
      </c>
    </row>
    <row r="2599" spans="1:3">
      <c r="A2599">
        <v>2591</v>
      </c>
      <c r="B2599">
        <v>1.8976617776410798E-2</v>
      </c>
      <c r="C2599">
        <v>0.21277521084175532</v>
      </c>
    </row>
    <row r="2600" spans="1:3">
      <c r="A2600">
        <v>2592</v>
      </c>
      <c r="B2600">
        <v>0.8468756216107578</v>
      </c>
      <c r="C2600">
        <v>0.38853137858495757</v>
      </c>
    </row>
    <row r="2601" spans="1:3">
      <c r="A2601">
        <v>2593</v>
      </c>
      <c r="B2601">
        <v>0.69593995301512535</v>
      </c>
      <c r="C2601">
        <v>0.92165896471942688</v>
      </c>
    </row>
    <row r="2602" spans="1:3">
      <c r="A2602">
        <v>2594</v>
      </c>
      <c r="B2602">
        <v>0.15972411404371359</v>
      </c>
      <c r="C2602">
        <v>0.43231089728215011</v>
      </c>
    </row>
    <row r="2603" spans="1:3">
      <c r="A2603">
        <v>2595</v>
      </c>
      <c r="B2603">
        <v>0.39603330763127503</v>
      </c>
      <c r="C2603">
        <v>0.40604161824285256</v>
      </c>
    </row>
    <row r="2604" spans="1:3">
      <c r="A2604">
        <v>2596</v>
      </c>
      <c r="B2604">
        <v>0.56546315809359382</v>
      </c>
      <c r="C2604">
        <v>0.7159525301267422</v>
      </c>
    </row>
    <row r="2605" spans="1:3">
      <c r="A2605">
        <v>2597</v>
      </c>
      <c r="B2605">
        <v>0.49552966918487329</v>
      </c>
      <c r="C2605">
        <v>1.1015247405339323E-2</v>
      </c>
    </row>
    <row r="2606" spans="1:3">
      <c r="A2606">
        <v>2598</v>
      </c>
      <c r="B2606">
        <v>0.49853322077797102</v>
      </c>
      <c r="C2606">
        <v>0.61097198644347372</v>
      </c>
    </row>
    <row r="2607" spans="1:3">
      <c r="A2607">
        <v>2599</v>
      </c>
      <c r="B2607">
        <v>0.23598150771292425</v>
      </c>
      <c r="C2607">
        <v>0.49195251069522783</v>
      </c>
    </row>
    <row r="2608" spans="1:3">
      <c r="A2608">
        <v>2600</v>
      </c>
      <c r="B2608">
        <v>0.11234141922773361</v>
      </c>
      <c r="C2608">
        <v>0.22370159382080601</v>
      </c>
    </row>
    <row r="2609" spans="1:3">
      <c r="A2609">
        <v>2601</v>
      </c>
      <c r="B2609">
        <v>0.49981634387341711</v>
      </c>
      <c r="C2609">
        <v>2.8895009178995679E-2</v>
      </c>
    </row>
    <row r="2610" spans="1:3">
      <c r="A2610">
        <v>2602</v>
      </c>
      <c r="B2610">
        <v>0.36502938304823573</v>
      </c>
      <c r="C2610">
        <v>0.81495184353843797</v>
      </c>
    </row>
    <row r="2611" spans="1:3">
      <c r="A2611">
        <v>2603</v>
      </c>
      <c r="B2611">
        <v>0.14594404640922884</v>
      </c>
      <c r="C2611">
        <v>0.91169574584910151</v>
      </c>
    </row>
    <row r="2612" spans="1:3">
      <c r="A2612">
        <v>2604</v>
      </c>
      <c r="B2612">
        <v>0.5467516891877986</v>
      </c>
      <c r="C2612">
        <v>0.98205514576147834</v>
      </c>
    </row>
    <row r="2613" spans="1:3">
      <c r="A2613">
        <v>2605</v>
      </c>
      <c r="B2613">
        <v>0.74398433320731494</v>
      </c>
      <c r="C2613">
        <v>0.61676381616143772</v>
      </c>
    </row>
    <row r="2614" spans="1:3">
      <c r="A2614">
        <v>2606</v>
      </c>
      <c r="B2614">
        <v>0.9178815803193211</v>
      </c>
      <c r="C2614">
        <v>0.12119538111801376</v>
      </c>
    </row>
    <row r="2615" spans="1:3">
      <c r="A2615">
        <v>2607</v>
      </c>
      <c r="B2615">
        <v>0.94916438729063701</v>
      </c>
      <c r="C2615">
        <v>0.86510385905421572</v>
      </c>
    </row>
    <row r="2616" spans="1:3">
      <c r="A2616">
        <v>2608</v>
      </c>
      <c r="B2616">
        <v>0.42773717294669178</v>
      </c>
      <c r="C2616">
        <v>0.9686731011415759</v>
      </c>
    </row>
    <row r="2617" spans="1:3">
      <c r="A2617">
        <v>2609</v>
      </c>
      <c r="B2617">
        <v>0.44773079241428776</v>
      </c>
      <c r="C2617">
        <v>0.45968419456221454</v>
      </c>
    </row>
    <row r="2618" spans="1:3">
      <c r="A2618">
        <v>2610</v>
      </c>
      <c r="B2618">
        <v>6.3520977055495836E-2</v>
      </c>
      <c r="C2618">
        <v>0.61755912008629821</v>
      </c>
    </row>
    <row r="2619" spans="1:3">
      <c r="A2619">
        <v>2611</v>
      </c>
      <c r="B2619">
        <v>2.8745055191811416E-2</v>
      </c>
      <c r="C2619">
        <v>0.2715482098656139</v>
      </c>
    </row>
    <row r="2620" spans="1:3">
      <c r="A2620">
        <v>2612</v>
      </c>
      <c r="B2620">
        <v>0.77808450814077734</v>
      </c>
      <c r="C2620">
        <v>0.85879028708586702</v>
      </c>
    </row>
    <row r="2621" spans="1:3">
      <c r="A2621">
        <v>2613</v>
      </c>
      <c r="B2621">
        <v>0.38256849092682094</v>
      </c>
      <c r="C2621">
        <v>0.93059701688889618</v>
      </c>
    </row>
    <row r="2622" spans="1:3">
      <c r="A2622">
        <v>2614</v>
      </c>
      <c r="B2622">
        <v>0.26034782730102257</v>
      </c>
      <c r="C2622">
        <v>0.73024576064381108</v>
      </c>
    </row>
    <row r="2623" spans="1:3">
      <c r="A2623">
        <v>2615</v>
      </c>
      <c r="B2623">
        <v>0.4890095258919544</v>
      </c>
      <c r="C2623">
        <v>0.4285320012104421</v>
      </c>
    </row>
    <row r="2624" spans="1:3">
      <c r="A2624">
        <v>2616</v>
      </c>
      <c r="B2624">
        <v>0.181007814148955</v>
      </c>
      <c r="C2624">
        <v>0.36725874970943551</v>
      </c>
    </row>
    <row r="2625" spans="1:3">
      <c r="A2625">
        <v>2617</v>
      </c>
      <c r="B2625">
        <v>0.34286121341112563</v>
      </c>
      <c r="C2625">
        <v>0.97883545345302991</v>
      </c>
    </row>
    <row r="2626" spans="1:3">
      <c r="A2626">
        <v>2618</v>
      </c>
      <c r="B2626">
        <v>0.46560415516807796</v>
      </c>
      <c r="C2626">
        <v>5.411567472765455E-2</v>
      </c>
    </row>
    <row r="2627" spans="1:3">
      <c r="A2627">
        <v>2619</v>
      </c>
      <c r="B2627">
        <v>0.62523375461381714</v>
      </c>
      <c r="C2627">
        <v>0.64425793320242519</v>
      </c>
    </row>
    <row r="2628" spans="1:3">
      <c r="A2628">
        <v>2620</v>
      </c>
      <c r="B2628">
        <v>0.88469775612319301</v>
      </c>
      <c r="C2628">
        <v>0.34962182236085937</v>
      </c>
    </row>
    <row r="2629" spans="1:3">
      <c r="A2629">
        <v>2621</v>
      </c>
      <c r="B2629">
        <v>0.52506891361858432</v>
      </c>
      <c r="C2629">
        <v>0.11811961291641637</v>
      </c>
    </row>
    <row r="2630" spans="1:3">
      <c r="A2630">
        <v>2622</v>
      </c>
      <c r="B2630">
        <v>0.12312410904935657</v>
      </c>
      <c r="C2630">
        <v>2.9433180935484415E-2</v>
      </c>
    </row>
    <row r="2631" spans="1:3">
      <c r="A2631">
        <v>2623</v>
      </c>
      <c r="B2631">
        <v>0.3419873902945284</v>
      </c>
      <c r="C2631">
        <v>0.59908156900928589</v>
      </c>
    </row>
    <row r="2632" spans="1:3">
      <c r="A2632">
        <v>2624</v>
      </c>
      <c r="B2632">
        <v>0.96368907390662684</v>
      </c>
      <c r="C2632">
        <v>0.76256158882006275</v>
      </c>
    </row>
    <row r="2633" spans="1:3">
      <c r="A2633">
        <v>2625</v>
      </c>
      <c r="B2633">
        <v>0.49121652112864339</v>
      </c>
      <c r="C2633">
        <v>0.14933202145221003</v>
      </c>
    </row>
    <row r="2634" spans="1:3">
      <c r="A2634">
        <v>2626</v>
      </c>
      <c r="B2634">
        <v>0.40268853451416092</v>
      </c>
      <c r="C2634">
        <v>0.93025321847835585</v>
      </c>
    </row>
    <row r="2635" spans="1:3">
      <c r="A2635">
        <v>2627</v>
      </c>
      <c r="B2635">
        <v>0.78043753759973622</v>
      </c>
      <c r="C2635">
        <v>0.29163796886496129</v>
      </c>
    </row>
    <row r="2636" spans="1:3">
      <c r="A2636">
        <v>2628</v>
      </c>
      <c r="B2636">
        <v>0.46931994004745964</v>
      </c>
      <c r="C2636">
        <v>0.66447337684712693</v>
      </c>
    </row>
    <row r="2637" spans="1:3">
      <c r="A2637">
        <v>2629</v>
      </c>
      <c r="B2637">
        <v>0.4119634308370676</v>
      </c>
      <c r="C2637">
        <v>0.34886122949501441</v>
      </c>
    </row>
    <row r="2638" spans="1:3">
      <c r="A2638">
        <v>2630</v>
      </c>
      <c r="B2638">
        <v>0.13268965003613606</v>
      </c>
      <c r="C2638">
        <v>0.47836845122310478</v>
      </c>
    </row>
    <row r="2639" spans="1:3">
      <c r="A2639">
        <v>2631</v>
      </c>
      <c r="B2639">
        <v>0.39376299783204755</v>
      </c>
      <c r="C2639">
        <v>0.15023359908082057</v>
      </c>
    </row>
    <row r="2640" spans="1:3">
      <c r="A2640">
        <v>2632</v>
      </c>
      <c r="B2640">
        <v>0.14265613065502983</v>
      </c>
      <c r="C2640">
        <v>0.32056077623929013</v>
      </c>
    </row>
    <row r="2641" spans="1:3">
      <c r="A2641">
        <v>2633</v>
      </c>
      <c r="B2641">
        <v>0.37790665744890145</v>
      </c>
      <c r="C2641">
        <v>0.90521601640557492</v>
      </c>
    </row>
    <row r="2642" spans="1:3">
      <c r="A2642">
        <v>2634</v>
      </c>
      <c r="B2642">
        <v>0.72564255151009249</v>
      </c>
      <c r="C2642">
        <v>0.74364377361598599</v>
      </c>
    </row>
    <row r="2643" spans="1:3">
      <c r="A2643">
        <v>2635</v>
      </c>
      <c r="B2643">
        <v>0.90950422218584082</v>
      </c>
      <c r="C2643">
        <v>6.2289356334986223E-2</v>
      </c>
    </row>
    <row r="2644" spans="1:3">
      <c r="A2644">
        <v>2636</v>
      </c>
      <c r="B2644">
        <v>0.58111985462157056</v>
      </c>
      <c r="C2644">
        <v>0.26325759945757454</v>
      </c>
    </row>
    <row r="2645" spans="1:3">
      <c r="A2645">
        <v>2637</v>
      </c>
      <c r="B2645">
        <v>0.48895533919864231</v>
      </c>
      <c r="C2645">
        <v>5.4870545510311786E-2</v>
      </c>
    </row>
    <row r="2646" spans="1:3">
      <c r="A2646">
        <v>2638</v>
      </c>
      <c r="B2646">
        <v>0.75933813573684039</v>
      </c>
      <c r="C2646">
        <v>0.42099061199587595</v>
      </c>
    </row>
    <row r="2647" spans="1:3">
      <c r="A2647">
        <v>2639</v>
      </c>
      <c r="B2647">
        <v>0.35413305461931344</v>
      </c>
      <c r="C2647">
        <v>0.63858585180153682</v>
      </c>
    </row>
    <row r="2648" spans="1:3">
      <c r="A2648">
        <v>2640</v>
      </c>
      <c r="B2648">
        <v>0.38308768308765434</v>
      </c>
      <c r="C2648">
        <v>0.40397858859705593</v>
      </c>
    </row>
    <row r="2649" spans="1:3">
      <c r="A2649">
        <v>2641</v>
      </c>
      <c r="B2649">
        <v>0.68263312134343046</v>
      </c>
      <c r="C2649">
        <v>0.68325943929630739</v>
      </c>
    </row>
    <row r="2650" spans="1:3">
      <c r="A2650">
        <v>2642</v>
      </c>
      <c r="B2650">
        <v>0.96475792323592069</v>
      </c>
      <c r="C2650">
        <v>0.37272814350035333</v>
      </c>
    </row>
    <row r="2651" spans="1:3">
      <c r="A2651">
        <v>2643</v>
      </c>
      <c r="B2651">
        <v>0.88026265878329579</v>
      </c>
      <c r="C2651">
        <v>0.78077918538201629</v>
      </c>
    </row>
    <row r="2652" spans="1:3">
      <c r="A2652">
        <v>2644</v>
      </c>
      <c r="B2652">
        <v>0.45284578416977211</v>
      </c>
      <c r="C2652">
        <v>6.5023653860407649E-2</v>
      </c>
    </row>
    <row r="2653" spans="1:3">
      <c r="A2653">
        <v>2645</v>
      </c>
      <c r="B2653">
        <v>0.86950086123577808</v>
      </c>
      <c r="C2653">
        <v>0.86787947403990984</v>
      </c>
    </row>
    <row r="2654" spans="1:3">
      <c r="A2654">
        <v>2646</v>
      </c>
      <c r="B2654">
        <v>0.96616624400098028</v>
      </c>
      <c r="C2654">
        <v>0.92169742793157639</v>
      </c>
    </row>
    <row r="2655" spans="1:3">
      <c r="A2655">
        <v>2647</v>
      </c>
      <c r="B2655">
        <v>0.44452875539542386</v>
      </c>
      <c r="C2655">
        <v>0.18066983080734644</v>
      </c>
    </row>
    <row r="2656" spans="1:3">
      <c r="A2656">
        <v>2648</v>
      </c>
      <c r="B2656">
        <v>0.83333696582851391</v>
      </c>
      <c r="C2656">
        <v>4.4074069257476367E-2</v>
      </c>
    </row>
    <row r="2657" spans="1:3">
      <c r="A2657">
        <v>2649</v>
      </c>
      <c r="B2657">
        <v>0.49039601968121627</v>
      </c>
      <c r="C2657">
        <v>0.96623306478704762</v>
      </c>
    </row>
    <row r="2658" spans="1:3">
      <c r="A2658">
        <v>2650</v>
      </c>
      <c r="B2658">
        <v>0.86774085252348809</v>
      </c>
      <c r="C2658">
        <v>0.87737179597934301</v>
      </c>
    </row>
    <row r="2659" spans="1:3">
      <c r="A2659">
        <v>2651</v>
      </c>
      <c r="B2659">
        <v>0.66209009106836525</v>
      </c>
      <c r="C2659">
        <v>2.5890074442941113E-2</v>
      </c>
    </row>
    <row r="2660" spans="1:3">
      <c r="A2660">
        <v>2652</v>
      </c>
      <c r="B2660">
        <v>0.94246140430356884</v>
      </c>
      <c r="C2660">
        <v>0.92546130040227581</v>
      </c>
    </row>
    <row r="2661" spans="1:3">
      <c r="A2661">
        <v>2653</v>
      </c>
      <c r="B2661">
        <v>0.83136390383126313</v>
      </c>
      <c r="C2661">
        <v>0.52572704509657342</v>
      </c>
    </row>
    <row r="2662" spans="1:3">
      <c r="A2662">
        <v>2654</v>
      </c>
      <c r="B2662">
        <v>0.25769399090481315</v>
      </c>
      <c r="C2662">
        <v>0.84454551428189006</v>
      </c>
    </row>
    <row r="2663" spans="1:3">
      <c r="A2663">
        <v>2655</v>
      </c>
      <c r="B2663">
        <v>0.65888420097615674</v>
      </c>
      <c r="C2663">
        <v>0.364541526980247</v>
      </c>
    </row>
    <row r="2664" spans="1:3">
      <c r="A2664">
        <v>2656</v>
      </c>
      <c r="B2664">
        <v>4.9703249899135729E-2</v>
      </c>
      <c r="C2664">
        <v>0.53820351494232455</v>
      </c>
    </row>
    <row r="2665" spans="1:3">
      <c r="A2665">
        <v>2657</v>
      </c>
      <c r="B2665">
        <v>0.82502449223944552</v>
      </c>
      <c r="C2665">
        <v>0.82707114979348262</v>
      </c>
    </row>
    <row r="2666" spans="1:3">
      <c r="A2666">
        <v>2658</v>
      </c>
      <c r="B2666">
        <v>0.76643054137361011</v>
      </c>
      <c r="C2666">
        <v>0.88539267489159101</v>
      </c>
    </row>
    <row r="2667" spans="1:3">
      <c r="A2667">
        <v>2659</v>
      </c>
      <c r="B2667">
        <v>9.5427146420028794E-2</v>
      </c>
      <c r="C2667">
        <v>0.81132904837249953</v>
      </c>
    </row>
    <row r="2668" spans="1:3">
      <c r="A2668">
        <v>2660</v>
      </c>
      <c r="B2668">
        <v>4.373099743922497E-2</v>
      </c>
      <c r="C2668">
        <v>0.26613543830990238</v>
      </c>
    </row>
    <row r="2669" spans="1:3">
      <c r="A2669">
        <v>2661</v>
      </c>
      <c r="B2669">
        <v>0.16744407301457692</v>
      </c>
      <c r="C2669">
        <v>0.47135802674893057</v>
      </c>
    </row>
    <row r="2670" spans="1:3">
      <c r="A2670">
        <v>2662</v>
      </c>
      <c r="B2670">
        <v>0.20263178698221029</v>
      </c>
      <c r="C2670">
        <v>0.73277018079079426</v>
      </c>
    </row>
    <row r="2671" spans="1:3">
      <c r="A2671">
        <v>2663</v>
      </c>
      <c r="B2671">
        <v>0.89904496720634519</v>
      </c>
      <c r="C2671">
        <v>0.42954781184562307</v>
      </c>
    </row>
    <row r="2672" spans="1:3">
      <c r="A2672">
        <v>2664</v>
      </c>
      <c r="B2672">
        <v>9.8427628757997328E-3</v>
      </c>
      <c r="C2672">
        <v>0.15013595593063656</v>
      </c>
    </row>
    <row r="2673" spans="1:3">
      <c r="A2673">
        <v>2665</v>
      </c>
      <c r="B2673">
        <v>0.60938064726008578</v>
      </c>
      <c r="C2673">
        <v>0.99976388053255505</v>
      </c>
    </row>
    <row r="2674" spans="1:3">
      <c r="A2674">
        <v>2666</v>
      </c>
      <c r="B2674">
        <v>0.93550004959104116</v>
      </c>
      <c r="C2674">
        <v>0.82431153311244998</v>
      </c>
    </row>
    <row r="2675" spans="1:3">
      <c r="A2675">
        <v>2667</v>
      </c>
      <c r="B2675">
        <v>0.17846812281731242</v>
      </c>
      <c r="C2675">
        <v>0.20464220272515377</v>
      </c>
    </row>
    <row r="2676" spans="1:3">
      <c r="A2676">
        <v>2668</v>
      </c>
      <c r="B2676">
        <v>0.32132213216901806</v>
      </c>
      <c r="C2676">
        <v>0.99513181805468776</v>
      </c>
    </row>
    <row r="2677" spans="1:3">
      <c r="A2677">
        <v>2669</v>
      </c>
      <c r="B2677">
        <v>0.75397767085320733</v>
      </c>
      <c r="C2677">
        <v>0.85747840415569954</v>
      </c>
    </row>
    <row r="2678" spans="1:3">
      <c r="A2678">
        <v>2670</v>
      </c>
      <c r="B2678">
        <v>0.87481178134433268</v>
      </c>
      <c r="C2678">
        <v>0.5981009512061064</v>
      </c>
    </row>
    <row r="2679" spans="1:3">
      <c r="A2679">
        <v>2671</v>
      </c>
      <c r="B2679">
        <v>0.84240837270794633</v>
      </c>
      <c r="C2679">
        <v>0.22673286834833561</v>
      </c>
    </row>
    <row r="2680" spans="1:3">
      <c r="A2680">
        <v>2672</v>
      </c>
      <c r="B2680">
        <v>0.39256547314984852</v>
      </c>
      <c r="C2680">
        <v>0.98341220612928737</v>
      </c>
    </row>
    <row r="2681" spans="1:3">
      <c r="A2681">
        <v>2673</v>
      </c>
      <c r="B2681">
        <v>0.80133819873773915</v>
      </c>
      <c r="C2681">
        <v>0.77317304916778085</v>
      </c>
    </row>
    <row r="2682" spans="1:3">
      <c r="A2682">
        <v>2674</v>
      </c>
      <c r="B2682">
        <v>0.16152592063060167</v>
      </c>
      <c r="C2682">
        <v>0.60731532655518095</v>
      </c>
    </row>
    <row r="2683" spans="1:3">
      <c r="A2683">
        <v>2675</v>
      </c>
      <c r="B2683">
        <v>0.18342631556629815</v>
      </c>
      <c r="C2683">
        <v>0.56143718603289017</v>
      </c>
    </row>
    <row r="2684" spans="1:3">
      <c r="A2684">
        <v>2676</v>
      </c>
      <c r="B2684">
        <v>0.15736284483740173</v>
      </c>
      <c r="C2684">
        <v>2.514340130801429E-2</v>
      </c>
    </row>
    <row r="2685" spans="1:3">
      <c r="A2685">
        <v>2677</v>
      </c>
      <c r="B2685">
        <v>0.48327090367792896</v>
      </c>
      <c r="C2685">
        <v>0.87894699589287484</v>
      </c>
    </row>
    <row r="2686" spans="1:3">
      <c r="A2686">
        <v>2678</v>
      </c>
      <c r="B2686">
        <v>0.92030366360934079</v>
      </c>
      <c r="C2686">
        <v>2.332212393048394E-2</v>
      </c>
    </row>
    <row r="2687" spans="1:3">
      <c r="A2687">
        <v>2679</v>
      </c>
      <c r="B2687">
        <v>1.9696447666617215E-2</v>
      </c>
      <c r="C2687">
        <v>0.3984859409620185</v>
      </c>
    </row>
    <row r="2688" spans="1:3">
      <c r="A2688">
        <v>2680</v>
      </c>
      <c r="B2688">
        <v>0.92405128366003086</v>
      </c>
      <c r="C2688">
        <v>0.18004193624801701</v>
      </c>
    </row>
    <row r="2689" spans="1:3">
      <c r="A2689">
        <v>2681</v>
      </c>
      <c r="B2689">
        <v>8.0792097412699854E-2</v>
      </c>
      <c r="C2689">
        <v>0.73008712904538697</v>
      </c>
    </row>
    <row r="2690" spans="1:3">
      <c r="A2690">
        <v>2682</v>
      </c>
      <c r="B2690">
        <v>0.15788868004532733</v>
      </c>
      <c r="C2690">
        <v>0.52674949319225561</v>
      </c>
    </row>
    <row r="2691" spans="1:3">
      <c r="A2691">
        <v>2683</v>
      </c>
      <c r="B2691">
        <v>5.6872835815062944E-2</v>
      </c>
      <c r="C2691">
        <v>0.17459279233025882</v>
      </c>
    </row>
    <row r="2692" spans="1:3">
      <c r="A2692">
        <v>2684</v>
      </c>
      <c r="B2692">
        <v>0.41117190390489339</v>
      </c>
      <c r="C2692">
        <v>0.93922080893753446</v>
      </c>
    </row>
    <row r="2693" spans="1:3">
      <c r="A2693">
        <v>2685</v>
      </c>
      <c r="B2693">
        <v>0.61757249679625326</v>
      </c>
      <c r="C2693">
        <v>0.17682834736388031</v>
      </c>
    </row>
    <row r="2694" spans="1:3">
      <c r="A2694">
        <v>2686</v>
      </c>
      <c r="B2694">
        <v>2.5404028320360005E-2</v>
      </c>
      <c r="C2694">
        <v>0.93339185104377975</v>
      </c>
    </row>
    <row r="2695" spans="1:3">
      <c r="A2695">
        <v>2687</v>
      </c>
      <c r="B2695">
        <v>0.72661834994983354</v>
      </c>
      <c r="C2695">
        <v>0.79976760555382498</v>
      </c>
    </row>
    <row r="2696" spans="1:3">
      <c r="A2696">
        <v>2688</v>
      </c>
      <c r="B2696">
        <v>0.48273684459466876</v>
      </c>
      <c r="C2696">
        <v>0.38545227734721266</v>
      </c>
    </row>
    <row r="2697" spans="1:3">
      <c r="A2697">
        <v>2689</v>
      </c>
      <c r="B2697">
        <v>0.76820687231314533</v>
      </c>
      <c r="C2697">
        <v>0.51664850992074207</v>
      </c>
    </row>
    <row r="2698" spans="1:3">
      <c r="A2698">
        <v>2690</v>
      </c>
      <c r="B2698">
        <v>0.55371222589060476</v>
      </c>
      <c r="C2698">
        <v>0.29999054036488815</v>
      </c>
    </row>
    <row r="2699" spans="1:3">
      <c r="A2699">
        <v>2691</v>
      </c>
      <c r="B2699">
        <v>3.5860197377172345E-2</v>
      </c>
      <c r="C2699">
        <v>0.1777980652595943</v>
      </c>
    </row>
    <row r="2700" spans="1:3">
      <c r="A2700">
        <v>2692</v>
      </c>
      <c r="B2700">
        <v>0.53628041615483357</v>
      </c>
      <c r="C2700">
        <v>0.91124609436155879</v>
      </c>
    </row>
    <row r="2701" spans="1:3">
      <c r="A2701">
        <v>2693</v>
      </c>
      <c r="B2701">
        <v>0.62491785470240702</v>
      </c>
      <c r="C2701">
        <v>0.41242056726241572</v>
      </c>
    </row>
    <row r="2702" spans="1:3">
      <c r="A2702">
        <v>2694</v>
      </c>
      <c r="B2702">
        <v>0.12130267201394369</v>
      </c>
      <c r="C2702">
        <v>0.78087622174462012</v>
      </c>
    </row>
    <row r="2703" spans="1:3">
      <c r="A2703">
        <v>2695</v>
      </c>
      <c r="B2703">
        <v>0.82781302047628291</v>
      </c>
      <c r="C2703">
        <v>0.12831625555736537</v>
      </c>
    </row>
    <row r="2704" spans="1:3">
      <c r="A2704">
        <v>2696</v>
      </c>
      <c r="B2704">
        <v>7.2110811955554133E-2</v>
      </c>
      <c r="C2704">
        <v>0.38133956725232565</v>
      </c>
    </row>
    <row r="2705" spans="1:3">
      <c r="A2705">
        <v>2697</v>
      </c>
      <c r="B2705">
        <v>0.4505874552272231</v>
      </c>
      <c r="C2705">
        <v>0.47543781147760455</v>
      </c>
    </row>
    <row r="2706" spans="1:3">
      <c r="A2706">
        <v>2698</v>
      </c>
      <c r="B2706">
        <v>0.21626045021020354</v>
      </c>
      <c r="C2706">
        <v>0.10811799544080714</v>
      </c>
    </row>
    <row r="2707" spans="1:3">
      <c r="A2707">
        <v>2699</v>
      </c>
      <c r="B2707">
        <v>0.44214406630078895</v>
      </c>
      <c r="C2707">
        <v>0.28998087784384552</v>
      </c>
    </row>
    <row r="2708" spans="1:3">
      <c r="A2708">
        <v>2700</v>
      </c>
      <c r="B2708">
        <v>0.5749692502787731</v>
      </c>
      <c r="C2708">
        <v>0.92090573222321837</v>
      </c>
    </row>
    <row r="2709" spans="1:3">
      <c r="A2709">
        <v>2701</v>
      </c>
      <c r="B2709">
        <v>0.68428643338887163</v>
      </c>
      <c r="C2709">
        <v>0.14000014992052456</v>
      </c>
    </row>
    <row r="2710" spans="1:3">
      <c r="A2710">
        <v>2702</v>
      </c>
      <c r="B2710">
        <v>0.40163825093205979</v>
      </c>
      <c r="C2710">
        <v>0.38447484530843212</v>
      </c>
    </row>
    <row r="2711" spans="1:3">
      <c r="A2711">
        <v>2703</v>
      </c>
      <c r="B2711">
        <v>0.46945668727575257</v>
      </c>
      <c r="C2711">
        <v>0.11260873546325456</v>
      </c>
    </row>
    <row r="2712" spans="1:3">
      <c r="A2712">
        <v>2704</v>
      </c>
      <c r="B2712">
        <v>0.75095078824226524</v>
      </c>
      <c r="C2712">
        <v>0.42604951495559362</v>
      </c>
    </row>
    <row r="2713" spans="1:3">
      <c r="A2713">
        <v>2705</v>
      </c>
      <c r="B2713">
        <v>0.57076501971673332</v>
      </c>
      <c r="C2713">
        <v>0.4533459531094195</v>
      </c>
    </row>
    <row r="2714" spans="1:3">
      <c r="A2714">
        <v>2706</v>
      </c>
      <c r="B2714">
        <v>0.74143582364032878</v>
      </c>
      <c r="C2714">
        <v>0.5057143319863826</v>
      </c>
    </row>
    <row r="2715" spans="1:3">
      <c r="A2715">
        <v>2707</v>
      </c>
      <c r="B2715">
        <v>0.51138986686584298</v>
      </c>
      <c r="C2715">
        <v>0.13617148128378176</v>
      </c>
    </row>
    <row r="2716" spans="1:3">
      <c r="A2716">
        <v>2708</v>
      </c>
      <c r="B2716">
        <v>0.89124428386838284</v>
      </c>
      <c r="C2716">
        <v>0.14023900884239993</v>
      </c>
    </row>
    <row r="2717" spans="1:3">
      <c r="A2717">
        <v>2709</v>
      </c>
      <c r="B2717">
        <v>0.98342712053452319</v>
      </c>
      <c r="C2717">
        <v>8.0940448146066046E-2</v>
      </c>
    </row>
    <row r="2718" spans="1:3">
      <c r="A2718">
        <v>2710</v>
      </c>
      <c r="B2718">
        <v>0.61711428185340822</v>
      </c>
      <c r="C2718">
        <v>6.9438620675100537E-2</v>
      </c>
    </row>
    <row r="2719" spans="1:3">
      <c r="A2719">
        <v>2711</v>
      </c>
      <c r="B2719">
        <v>0.31910110476112485</v>
      </c>
      <c r="C2719">
        <v>8.0209746374748647E-2</v>
      </c>
    </row>
    <row r="2720" spans="1:3">
      <c r="A2720">
        <v>2712</v>
      </c>
      <c r="B2720">
        <v>0.95712804170407539</v>
      </c>
      <c r="C2720">
        <v>0.64989015861920052</v>
      </c>
    </row>
    <row r="2721" spans="1:3">
      <c r="A2721">
        <v>2713</v>
      </c>
      <c r="B2721">
        <v>0.98822034516358292</v>
      </c>
      <c r="C2721">
        <v>0.4989646044796423</v>
      </c>
    </row>
    <row r="2722" spans="1:3">
      <c r="A2722">
        <v>2714</v>
      </c>
      <c r="B2722">
        <v>0.24659943181467228</v>
      </c>
      <c r="C2722">
        <v>0.10675781335612555</v>
      </c>
    </row>
    <row r="2723" spans="1:3">
      <c r="A2723">
        <v>2715</v>
      </c>
      <c r="B2723">
        <v>0.25266610768648468</v>
      </c>
      <c r="C2723">
        <v>0.94257724396084086</v>
      </c>
    </row>
    <row r="2724" spans="1:3">
      <c r="A2724">
        <v>2716</v>
      </c>
      <c r="B2724">
        <v>0.95645192042017624</v>
      </c>
      <c r="C2724">
        <v>0.78883542422317987</v>
      </c>
    </row>
    <row r="2725" spans="1:3">
      <c r="A2725">
        <v>2717</v>
      </c>
      <c r="B2725">
        <v>0.88196534248380121</v>
      </c>
      <c r="C2725">
        <v>0.4977693766104494</v>
      </c>
    </row>
    <row r="2726" spans="1:3">
      <c r="A2726">
        <v>2718</v>
      </c>
      <c r="B2726">
        <v>0.29017748274611715</v>
      </c>
      <c r="C2726">
        <v>4.3580645819929487E-2</v>
      </c>
    </row>
    <row r="2727" spans="1:3">
      <c r="A2727">
        <v>2719</v>
      </c>
      <c r="B2727">
        <v>0.63150662203196128</v>
      </c>
      <c r="C2727">
        <v>0.43983054382988485</v>
      </c>
    </row>
    <row r="2728" spans="1:3">
      <c r="A2728">
        <v>2720</v>
      </c>
      <c r="B2728">
        <v>0.33519931665742758</v>
      </c>
      <c r="C2728">
        <v>0.48223515603876876</v>
      </c>
    </row>
    <row r="2729" spans="1:3">
      <c r="A2729">
        <v>2721</v>
      </c>
      <c r="B2729">
        <v>0.32509462542182171</v>
      </c>
      <c r="C2729">
        <v>7.9172852307237918E-2</v>
      </c>
    </row>
    <row r="2730" spans="1:3">
      <c r="A2730">
        <v>2722</v>
      </c>
      <c r="B2730">
        <v>0.79907889122922882</v>
      </c>
      <c r="C2730">
        <v>0.64772331460608257</v>
      </c>
    </row>
    <row r="2731" spans="1:3">
      <c r="A2731">
        <v>2723</v>
      </c>
      <c r="B2731">
        <v>0.755543601076059</v>
      </c>
      <c r="C2731">
        <v>0.17398255623811565</v>
      </c>
    </row>
    <row r="2732" spans="1:3">
      <c r="A2732">
        <v>2724</v>
      </c>
      <c r="B2732">
        <v>0.71998426939691051</v>
      </c>
      <c r="C2732">
        <v>0.91034748071342619</v>
      </c>
    </row>
    <row r="2733" spans="1:3">
      <c r="A2733">
        <v>2725</v>
      </c>
      <c r="B2733">
        <v>0.71571723367490736</v>
      </c>
      <c r="C2733">
        <v>0.2232111976845772</v>
      </c>
    </row>
    <row r="2734" spans="1:3">
      <c r="A2734">
        <v>2726</v>
      </c>
      <c r="B2734">
        <v>0.42183490599171136</v>
      </c>
      <c r="C2734">
        <v>0.50314176322262938</v>
      </c>
    </row>
    <row r="2735" spans="1:3">
      <c r="A2735">
        <v>2727</v>
      </c>
      <c r="B2735">
        <v>8.1158813066770974E-2</v>
      </c>
      <c r="C2735">
        <v>0.67889491305868432</v>
      </c>
    </row>
    <row r="2736" spans="1:3">
      <c r="A2736">
        <v>2728</v>
      </c>
      <c r="B2736">
        <v>0.93517474083271224</v>
      </c>
      <c r="C2736">
        <v>0.82706145092106453</v>
      </c>
    </row>
    <row r="2737" spans="1:3">
      <c r="A2737">
        <v>2729</v>
      </c>
      <c r="B2737">
        <v>0.38539611151288172</v>
      </c>
      <c r="C2737">
        <v>0.3698733905730478</v>
      </c>
    </row>
    <row r="2738" spans="1:3">
      <c r="A2738">
        <v>2730</v>
      </c>
      <c r="B2738">
        <v>0.18010260889928384</v>
      </c>
      <c r="C2738">
        <v>0.41176942124639027</v>
      </c>
    </row>
    <row r="2739" spans="1:3">
      <c r="A2739">
        <v>2731</v>
      </c>
      <c r="B2739">
        <v>0.8071417953185136</v>
      </c>
      <c r="C2739">
        <v>0.57255790618910396</v>
      </c>
    </row>
    <row r="2740" spans="1:3">
      <c r="A2740">
        <v>2732</v>
      </c>
      <c r="B2740">
        <v>0.25784496524288436</v>
      </c>
      <c r="C2740">
        <v>0.68484420645290811</v>
      </c>
    </row>
    <row r="2741" spans="1:3">
      <c r="A2741">
        <v>2733</v>
      </c>
      <c r="B2741">
        <v>0.24443880521246206</v>
      </c>
      <c r="C2741">
        <v>0.91485166265647422</v>
      </c>
    </row>
    <row r="2742" spans="1:3">
      <c r="A2742">
        <v>2734</v>
      </c>
      <c r="B2742">
        <v>0.93729056251847431</v>
      </c>
      <c r="C2742">
        <v>0.31711606523822411</v>
      </c>
    </row>
    <row r="2743" spans="1:3">
      <c r="A2743">
        <v>2735</v>
      </c>
      <c r="B2743">
        <v>0.41980397780598233</v>
      </c>
      <c r="C2743">
        <v>0.32124197030407231</v>
      </c>
    </row>
    <row r="2744" spans="1:3">
      <c r="A2744">
        <v>2736</v>
      </c>
      <c r="B2744">
        <v>0.77232436628847478</v>
      </c>
      <c r="C2744">
        <v>0.62574004468297062</v>
      </c>
    </row>
    <row r="2745" spans="1:3">
      <c r="A2745">
        <v>2737</v>
      </c>
      <c r="B2745">
        <v>0.51507380702790662</v>
      </c>
      <c r="C2745">
        <v>0.45197191622082755</v>
      </c>
    </row>
    <row r="2746" spans="1:3">
      <c r="A2746">
        <v>2738</v>
      </c>
      <c r="B2746">
        <v>0.8325132449437197</v>
      </c>
      <c r="C2746">
        <v>0.11605109635274857</v>
      </c>
    </row>
    <row r="2747" spans="1:3">
      <c r="A2747">
        <v>2739</v>
      </c>
      <c r="B2747">
        <v>0.77253101648006839</v>
      </c>
      <c r="C2747">
        <v>0.44914219418116663</v>
      </c>
    </row>
    <row r="2748" spans="1:3">
      <c r="A2748">
        <v>2740</v>
      </c>
      <c r="B2748">
        <v>0.93212225480464328</v>
      </c>
      <c r="C2748">
        <v>0.10468751653615982</v>
      </c>
    </row>
    <row r="2749" spans="1:3">
      <c r="A2749">
        <v>2741</v>
      </c>
      <c r="B2749">
        <v>0.33477351643256226</v>
      </c>
      <c r="C2749">
        <v>0.88942594365926197</v>
      </c>
    </row>
    <row r="2750" spans="1:3">
      <c r="A2750">
        <v>2742</v>
      </c>
      <c r="B2750">
        <v>0.57025388059561466</v>
      </c>
      <c r="C2750">
        <v>0.26541421124603914</v>
      </c>
    </row>
    <row r="2751" spans="1:3">
      <c r="A2751">
        <v>2743</v>
      </c>
      <c r="B2751">
        <v>0.88135918303433791</v>
      </c>
      <c r="C2751">
        <v>0.73447128793350203</v>
      </c>
    </row>
    <row r="2752" spans="1:3">
      <c r="A2752">
        <v>2744</v>
      </c>
      <c r="B2752">
        <v>0.82020117219719146</v>
      </c>
      <c r="C2752">
        <v>0.43857562137372952</v>
      </c>
    </row>
    <row r="2753" spans="1:3">
      <c r="A2753">
        <v>2745</v>
      </c>
      <c r="B2753">
        <v>0.40207691972713849</v>
      </c>
      <c r="C2753">
        <v>0.62111229233141785</v>
      </c>
    </row>
    <row r="2754" spans="1:3">
      <c r="A2754">
        <v>2746</v>
      </c>
      <c r="B2754">
        <v>0.74666453018455403</v>
      </c>
      <c r="C2754">
        <v>6.9603076091880212E-2</v>
      </c>
    </row>
    <row r="2755" spans="1:3">
      <c r="A2755">
        <v>2747</v>
      </c>
      <c r="B2755">
        <v>0.59130235943414788</v>
      </c>
      <c r="C2755">
        <v>2.1704471836528683E-2</v>
      </c>
    </row>
    <row r="2756" spans="1:3">
      <c r="A2756">
        <v>2748</v>
      </c>
      <c r="B2756">
        <v>0.55581654796000024</v>
      </c>
      <c r="C2756">
        <v>0.12010865338197618</v>
      </c>
    </row>
    <row r="2757" spans="1:3">
      <c r="A2757">
        <v>2749</v>
      </c>
      <c r="B2757">
        <v>0.97944943064536183</v>
      </c>
      <c r="C2757">
        <v>0.29949178134302201</v>
      </c>
    </row>
    <row r="2758" spans="1:3">
      <c r="A2758">
        <v>2750</v>
      </c>
      <c r="B2758">
        <v>0.9612123171149316</v>
      </c>
      <c r="C2758">
        <v>0.51876748531230987</v>
      </c>
    </row>
    <row r="2759" spans="1:3">
      <c r="A2759">
        <v>2751</v>
      </c>
      <c r="B2759">
        <v>0.50619805006287011</v>
      </c>
      <c r="C2759">
        <v>4.0991275036503794E-2</v>
      </c>
    </row>
    <row r="2760" spans="1:3">
      <c r="A2760">
        <v>2752</v>
      </c>
      <c r="B2760">
        <v>0.39871590403633095</v>
      </c>
      <c r="C2760">
        <v>0.52564376037480542</v>
      </c>
    </row>
    <row r="2761" spans="1:3">
      <c r="A2761">
        <v>2753</v>
      </c>
      <c r="B2761">
        <v>0.97283885688126071</v>
      </c>
      <c r="C2761">
        <v>0.16993655457463319</v>
      </c>
    </row>
    <row r="2762" spans="1:3">
      <c r="A2762">
        <v>2754</v>
      </c>
      <c r="B2762">
        <v>2.2774170024780129E-2</v>
      </c>
      <c r="C2762">
        <v>0.3834436610359262</v>
      </c>
    </row>
    <row r="2763" spans="1:3">
      <c r="A2763">
        <v>2755</v>
      </c>
      <c r="B2763">
        <v>0.45164393591900442</v>
      </c>
      <c r="C2763">
        <v>0.73850045946619503</v>
      </c>
    </row>
    <row r="2764" spans="1:3">
      <c r="A2764">
        <v>2756</v>
      </c>
      <c r="B2764">
        <v>0.96165338145444479</v>
      </c>
      <c r="C2764">
        <v>0.41118752448164742</v>
      </c>
    </row>
    <row r="2765" spans="1:3">
      <c r="A2765">
        <v>2757</v>
      </c>
      <c r="B2765">
        <v>0.6553229075630016</v>
      </c>
      <c r="C2765">
        <v>0.37941752833921782</v>
      </c>
    </row>
    <row r="2766" spans="1:3">
      <c r="A2766">
        <v>2758</v>
      </c>
      <c r="B2766">
        <v>0.86506049850211952</v>
      </c>
      <c r="C2766">
        <v>0.94951775673507655</v>
      </c>
    </row>
    <row r="2767" spans="1:3">
      <c r="A2767">
        <v>2759</v>
      </c>
      <c r="B2767">
        <v>0.62902429957944528</v>
      </c>
      <c r="C2767">
        <v>0.84724686191566434</v>
      </c>
    </row>
    <row r="2768" spans="1:3">
      <c r="A2768">
        <v>2760</v>
      </c>
      <c r="B2768">
        <v>0.21967415644742413</v>
      </c>
      <c r="C2768">
        <v>0.98701648866699543</v>
      </c>
    </row>
    <row r="2769" spans="1:3">
      <c r="A2769">
        <v>2761</v>
      </c>
      <c r="B2769">
        <v>0.37459659206201246</v>
      </c>
      <c r="C2769">
        <v>8.1195811147154018E-2</v>
      </c>
    </row>
    <row r="2770" spans="1:3">
      <c r="A2770">
        <v>2762</v>
      </c>
      <c r="B2770">
        <v>0.24489837801677605</v>
      </c>
      <c r="C2770">
        <v>0.8629828604262002</v>
      </c>
    </row>
    <row r="2771" spans="1:3">
      <c r="A2771">
        <v>2763</v>
      </c>
      <c r="B2771">
        <v>0.63472724579193796</v>
      </c>
      <c r="C2771">
        <v>0.9313499391764708</v>
      </c>
    </row>
    <row r="2772" spans="1:3">
      <c r="A2772">
        <v>2764</v>
      </c>
      <c r="B2772">
        <v>0.93939966815998777</v>
      </c>
      <c r="C2772">
        <v>7.5756467867904576E-2</v>
      </c>
    </row>
    <row r="2773" spans="1:3">
      <c r="A2773">
        <v>2765</v>
      </c>
      <c r="B2773">
        <v>0.10672491517717132</v>
      </c>
      <c r="C2773">
        <v>0.98927417709546717</v>
      </c>
    </row>
    <row r="2774" spans="1:3">
      <c r="A2774">
        <v>2766</v>
      </c>
      <c r="B2774">
        <v>0.98395172689574573</v>
      </c>
      <c r="C2774">
        <v>0.2325178911396506</v>
      </c>
    </row>
    <row r="2775" spans="1:3">
      <c r="A2775">
        <v>2767</v>
      </c>
      <c r="B2775">
        <v>6.790762958738665E-2</v>
      </c>
      <c r="C2775">
        <v>0.94157917622305831</v>
      </c>
    </row>
    <row r="2776" spans="1:3">
      <c r="A2776">
        <v>2768</v>
      </c>
      <c r="B2776">
        <v>0.59699742668261691</v>
      </c>
      <c r="C2776">
        <v>0.56844311294116778</v>
      </c>
    </row>
    <row r="2777" spans="1:3">
      <c r="A2777">
        <v>2769</v>
      </c>
      <c r="B2777">
        <v>0.61663802094455755</v>
      </c>
      <c r="C2777">
        <v>8.4220399056903261E-2</v>
      </c>
    </row>
    <row r="2778" spans="1:3">
      <c r="A2778">
        <v>2770</v>
      </c>
      <c r="B2778">
        <v>0.55985504201083791</v>
      </c>
      <c r="C2778">
        <v>0.39829320345779706</v>
      </c>
    </row>
    <row r="2779" spans="1:3">
      <c r="A2779">
        <v>2771</v>
      </c>
      <c r="B2779">
        <v>0.26592765230264692</v>
      </c>
      <c r="C2779">
        <v>0.34077273199909541</v>
      </c>
    </row>
    <row r="2780" spans="1:3">
      <c r="A2780">
        <v>2772</v>
      </c>
      <c r="B2780">
        <v>0.15884394870741383</v>
      </c>
      <c r="C2780">
        <v>0.81944625687265216</v>
      </c>
    </row>
    <row r="2781" spans="1:3">
      <c r="A2781">
        <v>2773</v>
      </c>
      <c r="B2781">
        <v>0.52804056645958697</v>
      </c>
      <c r="C2781">
        <v>0.4594423775197356</v>
      </c>
    </row>
    <row r="2782" spans="1:3">
      <c r="A2782">
        <v>2774</v>
      </c>
      <c r="B2782">
        <v>0.42357820578184402</v>
      </c>
      <c r="C2782">
        <v>0.16512023313680402</v>
      </c>
    </row>
    <row r="2783" spans="1:3">
      <c r="A2783">
        <v>2775</v>
      </c>
      <c r="B2783">
        <v>0.38177336218510138</v>
      </c>
      <c r="C2783">
        <v>0.83516752677860495</v>
      </c>
    </row>
    <row r="2784" spans="1:3">
      <c r="A2784">
        <v>2776</v>
      </c>
      <c r="B2784">
        <v>0.54814656316231625</v>
      </c>
      <c r="C2784">
        <v>0.94086414527285456</v>
      </c>
    </row>
    <row r="2785" spans="1:3">
      <c r="A2785">
        <v>2777</v>
      </c>
      <c r="B2785">
        <v>0.24243361043139211</v>
      </c>
      <c r="C2785">
        <v>0.79881260731690418</v>
      </c>
    </row>
    <row r="2786" spans="1:3">
      <c r="A2786">
        <v>2778</v>
      </c>
      <c r="B2786">
        <v>0.89569247626673709</v>
      </c>
      <c r="C2786">
        <v>0.87273588804782776</v>
      </c>
    </row>
    <row r="2787" spans="1:3">
      <c r="A2787">
        <v>2779</v>
      </c>
      <c r="B2787">
        <v>0.81347499798952483</v>
      </c>
      <c r="C2787">
        <v>0.73181218988702312</v>
      </c>
    </row>
    <row r="2788" spans="1:3">
      <c r="A2788">
        <v>2780</v>
      </c>
      <c r="B2788">
        <v>0.92833829328006556</v>
      </c>
      <c r="C2788">
        <v>2.5414971867576241E-2</v>
      </c>
    </row>
    <row r="2789" spans="1:3">
      <c r="A2789">
        <v>2781</v>
      </c>
      <c r="B2789">
        <v>0.13993929368973226</v>
      </c>
      <c r="C2789">
        <v>0.82141817704814457</v>
      </c>
    </row>
    <row r="2790" spans="1:3">
      <c r="A2790">
        <v>2782</v>
      </c>
      <c r="B2790">
        <v>0.48134103644763609</v>
      </c>
      <c r="C2790">
        <v>0.33482993594407162</v>
      </c>
    </row>
    <row r="2791" spans="1:3">
      <c r="A2791">
        <v>2783</v>
      </c>
      <c r="B2791">
        <v>0.28562557345168327</v>
      </c>
      <c r="C2791">
        <v>0.14509438483673875</v>
      </c>
    </row>
    <row r="2792" spans="1:3">
      <c r="A2792">
        <v>2784</v>
      </c>
      <c r="B2792">
        <v>0.84372763770514336</v>
      </c>
      <c r="C2792">
        <v>0.78303907683948637</v>
      </c>
    </row>
    <row r="2793" spans="1:3">
      <c r="A2793">
        <v>2785</v>
      </c>
      <c r="B2793">
        <v>0.14699213720019721</v>
      </c>
      <c r="C2793">
        <v>0.63294569116987986</v>
      </c>
    </row>
    <row r="2794" spans="1:3">
      <c r="A2794">
        <v>2786</v>
      </c>
      <c r="B2794">
        <v>0.63522783874897937</v>
      </c>
      <c r="C2794">
        <v>5.689473161692149E-2</v>
      </c>
    </row>
    <row r="2795" spans="1:3">
      <c r="A2795">
        <v>2787</v>
      </c>
      <c r="B2795">
        <v>0.17595184689586793</v>
      </c>
      <c r="C2795">
        <v>0.385410257017611</v>
      </c>
    </row>
    <row r="2796" spans="1:3">
      <c r="A2796">
        <v>2788</v>
      </c>
      <c r="B2796">
        <v>2.8183845016542784E-2</v>
      </c>
      <c r="C2796">
        <v>0.53493284273281461</v>
      </c>
    </row>
    <row r="2797" spans="1:3">
      <c r="A2797">
        <v>2789</v>
      </c>
      <c r="B2797">
        <v>0.93830253718511725</v>
      </c>
      <c r="C2797">
        <v>0.65493422199051565</v>
      </c>
    </row>
    <row r="2798" spans="1:3">
      <c r="A2798">
        <v>2790</v>
      </c>
      <c r="B2798">
        <v>0.85077648126882888</v>
      </c>
      <c r="C2798">
        <v>0.71383670238901686</v>
      </c>
    </row>
    <row r="2799" spans="1:3">
      <c r="A2799">
        <v>2791</v>
      </c>
      <c r="B2799">
        <v>7.7764774714122714E-2</v>
      </c>
      <c r="C2799">
        <v>0.46511542940879735</v>
      </c>
    </row>
    <row r="2800" spans="1:3">
      <c r="A2800">
        <v>2792</v>
      </c>
      <c r="B2800">
        <v>0.17237457474390386</v>
      </c>
      <c r="C2800">
        <v>0.73642275624661124</v>
      </c>
    </row>
    <row r="2801" spans="1:3">
      <c r="A2801">
        <v>2793</v>
      </c>
      <c r="B2801">
        <v>0.62518000826462639</v>
      </c>
      <c r="C2801">
        <v>0.98158748306650523</v>
      </c>
    </row>
    <row r="2802" spans="1:3">
      <c r="A2802">
        <v>2794</v>
      </c>
      <c r="B2802">
        <v>0.15657941213692059</v>
      </c>
      <c r="C2802">
        <v>0.19915886213675549</v>
      </c>
    </row>
    <row r="2803" spans="1:3">
      <c r="A2803">
        <v>2795</v>
      </c>
      <c r="B2803">
        <v>0.34807679324049429</v>
      </c>
      <c r="C2803">
        <v>0.16553366725656815</v>
      </c>
    </row>
    <row r="2804" spans="1:3">
      <c r="A2804">
        <v>2796</v>
      </c>
      <c r="B2804">
        <v>0.13762068616725054</v>
      </c>
      <c r="C2804">
        <v>0.71175854335888289</v>
      </c>
    </row>
    <row r="2805" spans="1:3">
      <c r="A2805">
        <v>2797</v>
      </c>
      <c r="B2805">
        <v>0.61198073672670428</v>
      </c>
      <c r="C2805">
        <v>0.38128086334018008</v>
      </c>
    </row>
    <row r="2806" spans="1:3">
      <c r="A2806">
        <v>2798</v>
      </c>
      <c r="B2806">
        <v>0.53069665741866834</v>
      </c>
      <c r="C2806">
        <v>0.53101815026639088</v>
      </c>
    </row>
    <row r="2807" spans="1:3">
      <c r="A2807">
        <v>2799</v>
      </c>
      <c r="B2807">
        <v>0.77446910914184275</v>
      </c>
      <c r="C2807">
        <v>0.41689034285536763</v>
      </c>
    </row>
    <row r="2808" spans="1:3">
      <c r="A2808">
        <v>2800</v>
      </c>
      <c r="B2808">
        <v>0.3861245834684755</v>
      </c>
      <c r="C2808">
        <v>0.87801225899966084</v>
      </c>
    </row>
    <row r="2809" spans="1:3">
      <c r="A2809">
        <v>2801</v>
      </c>
      <c r="B2809">
        <v>0.85451895405149991</v>
      </c>
      <c r="C2809">
        <v>8.2699735088681336E-2</v>
      </c>
    </row>
    <row r="2810" spans="1:3">
      <c r="A2810">
        <v>2802</v>
      </c>
      <c r="B2810">
        <v>0.12921901134364749</v>
      </c>
      <c r="C2810">
        <v>0.58391308364934957</v>
      </c>
    </row>
    <row r="2811" spans="1:3">
      <c r="A2811">
        <v>2803</v>
      </c>
      <c r="B2811">
        <v>0.68682092491817226</v>
      </c>
      <c r="C2811">
        <v>0.64147075636901718</v>
      </c>
    </row>
    <row r="2812" spans="1:3">
      <c r="A2812">
        <v>2804</v>
      </c>
      <c r="B2812">
        <v>0.81889185663086639</v>
      </c>
      <c r="C2812">
        <v>2.2092718789281207E-2</v>
      </c>
    </row>
    <row r="2813" spans="1:3">
      <c r="A2813">
        <v>2805</v>
      </c>
      <c r="B2813">
        <v>6.7312619871812085E-2</v>
      </c>
      <c r="C2813">
        <v>0.90021996874656907</v>
      </c>
    </row>
    <row r="2814" spans="1:3">
      <c r="A2814">
        <v>2806</v>
      </c>
      <c r="B2814">
        <v>0.67319773858278009</v>
      </c>
      <c r="C2814">
        <v>0.49799281154264463</v>
      </c>
    </row>
    <row r="2815" spans="1:3">
      <c r="A2815">
        <v>2807</v>
      </c>
      <c r="B2815">
        <v>0.97800469939187273</v>
      </c>
      <c r="C2815">
        <v>0.80240462257188483</v>
      </c>
    </row>
    <row r="2816" spans="1:3">
      <c r="A2816">
        <v>2808</v>
      </c>
      <c r="B2816">
        <v>0.85657563759148492</v>
      </c>
      <c r="C2816">
        <v>0.26085148788297374</v>
      </c>
    </row>
    <row r="2817" spans="1:3">
      <c r="A2817">
        <v>2809</v>
      </c>
      <c r="B2817">
        <v>0.81720842195544596</v>
      </c>
      <c r="C2817">
        <v>0.34245575773547898</v>
      </c>
    </row>
    <row r="2818" spans="1:3">
      <c r="A2818">
        <v>2810</v>
      </c>
      <c r="B2818">
        <v>0.54528156043055509</v>
      </c>
      <c r="C2818">
        <v>0.52300834218840464</v>
      </c>
    </row>
    <row r="2819" spans="1:3">
      <c r="A2819">
        <v>2811</v>
      </c>
      <c r="B2819">
        <v>0.4340941995734568</v>
      </c>
      <c r="C2819">
        <v>0.97661735502970259</v>
      </c>
    </row>
    <row r="2820" spans="1:3">
      <c r="A2820">
        <v>2812</v>
      </c>
      <c r="B2820">
        <v>0.81993883063251594</v>
      </c>
      <c r="C2820">
        <v>0.69888274178629217</v>
      </c>
    </row>
    <row r="2821" spans="1:3">
      <c r="A2821">
        <v>2813</v>
      </c>
      <c r="B2821">
        <v>2.9050591824588037E-2</v>
      </c>
      <c r="C2821">
        <v>0.99298906230342254</v>
      </c>
    </row>
    <row r="2822" spans="1:3">
      <c r="A2822">
        <v>2814</v>
      </c>
      <c r="B2822">
        <v>0.20117816279804757</v>
      </c>
      <c r="C2822">
        <v>0.69881003897171468</v>
      </c>
    </row>
    <row r="2823" spans="1:3">
      <c r="A2823">
        <v>2815</v>
      </c>
      <c r="B2823">
        <v>0.18559280593967828</v>
      </c>
      <c r="C2823">
        <v>0.9826202390868275</v>
      </c>
    </row>
    <row r="2824" spans="1:3">
      <c r="A2824">
        <v>2816</v>
      </c>
      <c r="B2824">
        <v>0.7823586621638291</v>
      </c>
      <c r="C2824">
        <v>0.1505982907174257</v>
      </c>
    </row>
    <row r="2825" spans="1:3">
      <c r="A2825">
        <v>2817</v>
      </c>
      <c r="B2825">
        <v>0.22388075919968092</v>
      </c>
      <c r="C2825">
        <v>0.14120201952573552</v>
      </c>
    </row>
    <row r="2826" spans="1:3">
      <c r="A2826">
        <v>2818</v>
      </c>
      <c r="B2826">
        <v>0.59287385574622864</v>
      </c>
      <c r="C2826">
        <v>9.4130073915948742E-2</v>
      </c>
    </row>
    <row r="2827" spans="1:3">
      <c r="A2827">
        <v>2819</v>
      </c>
      <c r="B2827">
        <v>0.38217578672198016</v>
      </c>
      <c r="C2827">
        <v>0.1691124351682447</v>
      </c>
    </row>
    <row r="2828" spans="1:3">
      <c r="A2828">
        <v>2820</v>
      </c>
      <c r="B2828">
        <v>0.7018599596209032</v>
      </c>
      <c r="C2828">
        <v>0.79141643979892251</v>
      </c>
    </row>
    <row r="2829" spans="1:3">
      <c r="A2829">
        <v>2821</v>
      </c>
      <c r="B2829">
        <v>0.61855155957996644</v>
      </c>
      <c r="C2829">
        <v>0.53878809183427734</v>
      </c>
    </row>
    <row r="2830" spans="1:3">
      <c r="A2830">
        <v>2822</v>
      </c>
      <c r="B2830">
        <v>0.43577044110334717</v>
      </c>
      <c r="C2830">
        <v>3.8283699629573675E-2</v>
      </c>
    </row>
    <row r="2831" spans="1:3">
      <c r="A2831">
        <v>2823</v>
      </c>
      <c r="B2831">
        <v>0.60711279216639535</v>
      </c>
      <c r="C2831">
        <v>0.7682098081568256</v>
      </c>
    </row>
    <row r="2832" spans="1:3">
      <c r="A2832">
        <v>2824</v>
      </c>
      <c r="B2832">
        <v>0.17951183676987695</v>
      </c>
      <c r="C2832">
        <v>0.63182321243493789</v>
      </c>
    </row>
    <row r="2833" spans="1:3">
      <c r="A2833">
        <v>2825</v>
      </c>
      <c r="B2833">
        <v>0.43551571429346586</v>
      </c>
      <c r="C2833">
        <v>0.55082651928751147</v>
      </c>
    </row>
    <row r="2834" spans="1:3">
      <c r="A2834">
        <v>2826</v>
      </c>
      <c r="B2834">
        <v>0.1185186669750881</v>
      </c>
      <c r="C2834">
        <v>0.8825883981617153</v>
      </c>
    </row>
    <row r="2835" spans="1:3">
      <c r="A2835">
        <v>2827</v>
      </c>
      <c r="B2835">
        <v>0.36133033431436173</v>
      </c>
      <c r="C2835">
        <v>0.26835434687927773</v>
      </c>
    </row>
    <row r="2836" spans="1:3">
      <c r="A2836">
        <v>2828</v>
      </c>
      <c r="B2836">
        <v>0.83585669270382656</v>
      </c>
      <c r="C2836">
        <v>0.27656595764165104</v>
      </c>
    </row>
    <row r="2837" spans="1:3">
      <c r="A2837">
        <v>2829</v>
      </c>
      <c r="B2837">
        <v>0.70327794678389988</v>
      </c>
      <c r="C2837">
        <v>0.31722589250239253</v>
      </c>
    </row>
    <row r="2838" spans="1:3">
      <c r="A2838">
        <v>2830</v>
      </c>
      <c r="B2838">
        <v>0.87347118130672519</v>
      </c>
      <c r="C2838">
        <v>3.2746183651397587E-3</v>
      </c>
    </row>
    <row r="2839" spans="1:3">
      <c r="A2839">
        <v>2831</v>
      </c>
      <c r="B2839">
        <v>0.17217097061974251</v>
      </c>
      <c r="C2839">
        <v>0.92650761520053493</v>
      </c>
    </row>
    <row r="2840" spans="1:3">
      <c r="A2840">
        <v>2832</v>
      </c>
      <c r="B2840">
        <v>0.34764936483713088</v>
      </c>
      <c r="C2840">
        <v>0.87365313163445535</v>
      </c>
    </row>
    <row r="2841" spans="1:3">
      <c r="A2841">
        <v>2833</v>
      </c>
      <c r="B2841">
        <v>0.12005600063462182</v>
      </c>
      <c r="C2841">
        <v>0.74405213413592719</v>
      </c>
    </row>
    <row r="2842" spans="1:3">
      <c r="A2842">
        <v>2834</v>
      </c>
      <c r="B2842">
        <v>6.1864796244368143E-2</v>
      </c>
      <c r="C2842">
        <v>0.29389918749529897</v>
      </c>
    </row>
    <row r="2843" spans="1:3">
      <c r="A2843">
        <v>2835</v>
      </c>
      <c r="B2843">
        <v>0.4431546119285642</v>
      </c>
      <c r="C2843">
        <v>0.38690781937839347</v>
      </c>
    </row>
    <row r="2844" spans="1:3">
      <c r="A2844">
        <v>2836</v>
      </c>
      <c r="B2844">
        <v>0.6223766513606479</v>
      </c>
      <c r="C2844">
        <v>0.11358883275443077</v>
      </c>
    </row>
    <row r="2845" spans="1:3">
      <c r="A2845">
        <v>2837</v>
      </c>
      <c r="B2845">
        <v>0.2003314008416914</v>
      </c>
      <c r="C2845">
        <v>0.51655878912970365</v>
      </c>
    </row>
    <row r="2846" spans="1:3">
      <c r="A2846">
        <v>2838</v>
      </c>
      <c r="B2846">
        <v>0.4065315139562663</v>
      </c>
      <c r="C2846">
        <v>0.77176604482610855</v>
      </c>
    </row>
    <row r="2847" spans="1:3">
      <c r="A2847">
        <v>2839</v>
      </c>
      <c r="B2847">
        <v>0.10704546414661349</v>
      </c>
      <c r="C2847">
        <v>0.77223259817401413</v>
      </c>
    </row>
    <row r="2848" spans="1:3">
      <c r="A2848">
        <v>2840</v>
      </c>
      <c r="B2848">
        <v>0.62600804287898548</v>
      </c>
      <c r="C2848">
        <v>0.2297215803000654</v>
      </c>
    </row>
    <row r="2849" spans="1:3">
      <c r="A2849">
        <v>2841</v>
      </c>
      <c r="B2849">
        <v>0.12505851419262087</v>
      </c>
      <c r="C2849">
        <v>0.8050569682764035</v>
      </c>
    </row>
    <row r="2850" spans="1:3">
      <c r="A2850">
        <v>2842</v>
      </c>
      <c r="B2850">
        <v>0.48441406532614817</v>
      </c>
      <c r="C2850">
        <v>0.45952806342847907</v>
      </c>
    </row>
    <row r="2851" spans="1:3">
      <c r="A2851">
        <v>2843</v>
      </c>
      <c r="B2851">
        <v>0.79732117882238729</v>
      </c>
      <c r="C2851">
        <v>0.66311248219062691</v>
      </c>
    </row>
    <row r="2852" spans="1:3">
      <c r="A2852">
        <v>2844</v>
      </c>
      <c r="B2852">
        <v>0.920020090876571</v>
      </c>
      <c r="C2852">
        <v>0.82682510454378644</v>
      </c>
    </row>
    <row r="2853" spans="1:3">
      <c r="A2853">
        <v>2845</v>
      </c>
      <c r="B2853">
        <v>0.69910636505389268</v>
      </c>
      <c r="C2853">
        <v>0.64548706817549828</v>
      </c>
    </row>
    <row r="2854" spans="1:3">
      <c r="A2854">
        <v>2846</v>
      </c>
      <c r="B2854">
        <v>0.72813857392820969</v>
      </c>
      <c r="C2854">
        <v>0.67722224155477306</v>
      </c>
    </row>
    <row r="2855" spans="1:3">
      <c r="A2855">
        <v>2847</v>
      </c>
      <c r="B2855">
        <v>0.64568795057174</v>
      </c>
      <c r="C2855">
        <v>0.99685734270772741</v>
      </c>
    </row>
    <row r="2856" spans="1:3">
      <c r="A2856">
        <v>2848</v>
      </c>
      <c r="B2856">
        <v>1.9119830369604712E-2</v>
      </c>
      <c r="C2856">
        <v>0.62415727291136136</v>
      </c>
    </row>
    <row r="2857" spans="1:3">
      <c r="A2857">
        <v>2849</v>
      </c>
      <c r="B2857">
        <v>0.13373054006926963</v>
      </c>
      <c r="C2857">
        <v>0.42128584912097722</v>
      </c>
    </row>
    <row r="2858" spans="1:3">
      <c r="A2858">
        <v>2850</v>
      </c>
      <c r="B2858">
        <v>0.41026958384408374</v>
      </c>
      <c r="C2858">
        <v>0.7403582235065187</v>
      </c>
    </row>
    <row r="2859" spans="1:3">
      <c r="A2859">
        <v>2851</v>
      </c>
      <c r="B2859">
        <v>0.47734142389435819</v>
      </c>
      <c r="C2859">
        <v>0.44804157369799213</v>
      </c>
    </row>
    <row r="2860" spans="1:3">
      <c r="A2860">
        <v>2852</v>
      </c>
      <c r="B2860">
        <v>0.70999576013237142</v>
      </c>
      <c r="C2860">
        <v>0.8185357595602909</v>
      </c>
    </row>
    <row r="2861" spans="1:3">
      <c r="A2861">
        <v>2853</v>
      </c>
      <c r="B2861">
        <v>0.28471433075515418</v>
      </c>
      <c r="C2861">
        <v>0.85132288051136129</v>
      </c>
    </row>
    <row r="2862" spans="1:3">
      <c r="A2862">
        <v>2854</v>
      </c>
      <c r="B2862">
        <v>0.77596530317756474</v>
      </c>
      <c r="C2862">
        <v>5.0884233115539246E-2</v>
      </c>
    </row>
    <row r="2863" spans="1:3">
      <c r="A2863">
        <v>2855</v>
      </c>
      <c r="B2863">
        <v>0.64423247798980032</v>
      </c>
      <c r="C2863">
        <v>0.18859006331695127</v>
      </c>
    </row>
    <row r="2864" spans="1:3">
      <c r="A2864">
        <v>2856</v>
      </c>
      <c r="B2864">
        <v>0.26825588945463669</v>
      </c>
      <c r="C2864">
        <v>0.98010973990221828</v>
      </c>
    </row>
    <row r="2865" spans="1:3">
      <c r="A2865">
        <v>2857</v>
      </c>
      <c r="B2865">
        <v>0.59764643233703596</v>
      </c>
      <c r="C2865">
        <v>0.45790693472918065</v>
      </c>
    </row>
    <row r="2866" spans="1:3">
      <c r="A2866">
        <v>2858</v>
      </c>
      <c r="B2866">
        <v>0.11655432708676772</v>
      </c>
      <c r="C2866">
        <v>0.75498993326709751</v>
      </c>
    </row>
    <row r="2867" spans="1:3">
      <c r="A2867">
        <v>2859</v>
      </c>
      <c r="B2867">
        <v>0.44895013715195237</v>
      </c>
      <c r="C2867">
        <v>0.73747816718241666</v>
      </c>
    </row>
    <row r="2868" spans="1:3">
      <c r="A2868">
        <v>2860</v>
      </c>
      <c r="B2868">
        <v>0.89516726100052879</v>
      </c>
      <c r="C2868">
        <v>0.92379457761398953</v>
      </c>
    </row>
    <row r="2869" spans="1:3">
      <c r="A2869">
        <v>2861</v>
      </c>
      <c r="B2869">
        <v>0.57058909029764804</v>
      </c>
      <c r="C2869">
        <v>0.56283868515492941</v>
      </c>
    </row>
    <row r="2870" spans="1:3">
      <c r="A2870">
        <v>2862</v>
      </c>
      <c r="B2870">
        <v>0.95141586565752878</v>
      </c>
      <c r="C2870">
        <v>0.70035600674418674</v>
      </c>
    </row>
    <row r="2871" spans="1:3">
      <c r="A2871">
        <v>2863</v>
      </c>
      <c r="B2871">
        <v>0.96206222873853109</v>
      </c>
      <c r="C2871">
        <v>0.59190671482156176</v>
      </c>
    </row>
    <row r="2872" spans="1:3">
      <c r="A2872">
        <v>2864</v>
      </c>
      <c r="B2872">
        <v>0.85364277614388684</v>
      </c>
      <c r="C2872">
        <v>0.52817299934395123</v>
      </c>
    </row>
    <row r="2873" spans="1:3">
      <c r="A2873">
        <v>2865</v>
      </c>
      <c r="B2873">
        <v>0.78893846886156549</v>
      </c>
      <c r="C2873">
        <v>0.89523873741836724</v>
      </c>
    </row>
    <row r="2874" spans="1:3">
      <c r="A2874">
        <v>2866</v>
      </c>
      <c r="B2874">
        <v>0.3249719881955469</v>
      </c>
      <c r="C2874">
        <v>0.19583143501404265</v>
      </c>
    </row>
    <row r="2875" spans="1:3">
      <c r="A2875">
        <v>2867</v>
      </c>
      <c r="B2875">
        <v>0.99194566135875539</v>
      </c>
      <c r="C2875">
        <v>0.52269720723143109</v>
      </c>
    </row>
    <row r="2876" spans="1:3">
      <c r="A2876">
        <v>2868</v>
      </c>
      <c r="B2876">
        <v>0.74448977921132231</v>
      </c>
      <c r="C2876">
        <v>3.3139179071440594E-2</v>
      </c>
    </row>
    <row r="2877" spans="1:3">
      <c r="A2877">
        <v>2869</v>
      </c>
      <c r="B2877">
        <v>0.78772937337293503</v>
      </c>
      <c r="C2877">
        <v>0.50052794285056734</v>
      </c>
    </row>
    <row r="2878" spans="1:3">
      <c r="A2878">
        <v>2870</v>
      </c>
      <c r="B2878">
        <v>3.0427798121009909E-2</v>
      </c>
      <c r="C2878">
        <v>0.91422184523071337</v>
      </c>
    </row>
    <row r="2879" spans="1:3">
      <c r="A2879">
        <v>2871</v>
      </c>
      <c r="B2879">
        <v>0.5140589791327852</v>
      </c>
      <c r="C2879">
        <v>0.95725048504482402</v>
      </c>
    </row>
    <row r="2880" spans="1:3">
      <c r="A2880">
        <v>2872</v>
      </c>
      <c r="B2880">
        <v>7.746673506839824E-2</v>
      </c>
      <c r="C2880">
        <v>0.43136133139341837</v>
      </c>
    </row>
    <row r="2881" spans="1:3">
      <c r="A2881">
        <v>2873</v>
      </c>
      <c r="B2881">
        <v>0.441098929121508</v>
      </c>
      <c r="C2881">
        <v>0.47135518549021072</v>
      </c>
    </row>
    <row r="2882" spans="1:3">
      <c r="A2882">
        <v>2874</v>
      </c>
      <c r="B2882">
        <v>0.27061912553552986</v>
      </c>
      <c r="C2882">
        <v>0.46330657448743295</v>
      </c>
    </row>
    <row r="2883" spans="1:3">
      <c r="A2883">
        <v>2875</v>
      </c>
      <c r="B2883">
        <v>0.16044861330600657</v>
      </c>
      <c r="C2883">
        <v>0.23079190407315764</v>
      </c>
    </row>
    <row r="2884" spans="1:3">
      <c r="A2884">
        <v>2876</v>
      </c>
      <c r="B2884">
        <v>0.88449441997145639</v>
      </c>
      <c r="C2884">
        <v>0.43335751260383404</v>
      </c>
    </row>
    <row r="2885" spans="1:3">
      <c r="A2885">
        <v>2877</v>
      </c>
      <c r="B2885">
        <v>0.6751877190094413</v>
      </c>
      <c r="C2885">
        <v>0.26350403668675426</v>
      </c>
    </row>
    <row r="2886" spans="1:3">
      <c r="A2886">
        <v>2878</v>
      </c>
      <c r="B2886">
        <v>0.19863657286559153</v>
      </c>
      <c r="C2886">
        <v>0.57636232711047342</v>
      </c>
    </row>
    <row r="2887" spans="1:3">
      <c r="A2887">
        <v>2879</v>
      </c>
      <c r="B2887">
        <v>0.47352672115842032</v>
      </c>
      <c r="C2887">
        <v>0.82111095293839753</v>
      </c>
    </row>
    <row r="2888" spans="1:3">
      <c r="A2888">
        <v>2880</v>
      </c>
      <c r="B2888">
        <v>0.15106931126352152</v>
      </c>
      <c r="C2888">
        <v>0.22070959460417328</v>
      </c>
    </row>
    <row r="2889" spans="1:3">
      <c r="A2889">
        <v>2881</v>
      </c>
      <c r="B2889">
        <v>0.45571752908139435</v>
      </c>
      <c r="C2889">
        <v>0.39926863811479052</v>
      </c>
    </row>
    <row r="2890" spans="1:3">
      <c r="A2890">
        <v>2882</v>
      </c>
      <c r="B2890">
        <v>0.57134805072507544</v>
      </c>
      <c r="C2890">
        <v>0.92849317932495978</v>
      </c>
    </row>
    <row r="2891" spans="1:3">
      <c r="A2891">
        <v>2883</v>
      </c>
      <c r="B2891">
        <v>0.31170639096365926</v>
      </c>
      <c r="C2891">
        <v>0.69850472417238052</v>
      </c>
    </row>
    <row r="2892" spans="1:3">
      <c r="A2892">
        <v>2884</v>
      </c>
      <c r="B2892">
        <v>0.93294897410239774</v>
      </c>
      <c r="C2892">
        <v>0.54325978527685947</v>
      </c>
    </row>
    <row r="2893" spans="1:3">
      <c r="A2893">
        <v>2885</v>
      </c>
      <c r="B2893">
        <v>0.9183387303485393</v>
      </c>
      <c r="C2893">
        <v>0.54538365695589164</v>
      </c>
    </row>
    <row r="2894" spans="1:3">
      <c r="A2894">
        <v>2886</v>
      </c>
      <c r="B2894">
        <v>0.50345868201918398</v>
      </c>
      <c r="C2894">
        <v>0.75501451008403819</v>
      </c>
    </row>
    <row r="2895" spans="1:3">
      <c r="A2895">
        <v>2887</v>
      </c>
      <c r="B2895">
        <v>0.39675457072084641</v>
      </c>
      <c r="C2895">
        <v>0.49004298441286664</v>
      </c>
    </row>
    <row r="2896" spans="1:3">
      <c r="A2896">
        <v>2888</v>
      </c>
      <c r="B2896">
        <v>5.0581397583703835E-2</v>
      </c>
      <c r="C2896">
        <v>0.21405981404222985</v>
      </c>
    </row>
    <row r="2897" spans="1:3">
      <c r="A2897">
        <v>2889</v>
      </c>
      <c r="B2897">
        <v>0.85148444218576991</v>
      </c>
      <c r="C2897">
        <v>0.83681183140652138</v>
      </c>
    </row>
    <row r="2898" spans="1:3">
      <c r="A2898">
        <v>2890</v>
      </c>
      <c r="B2898">
        <v>0.33802009234265895</v>
      </c>
      <c r="C2898">
        <v>7.1843252487269638E-2</v>
      </c>
    </row>
    <row r="2899" spans="1:3">
      <c r="A2899">
        <v>2891</v>
      </c>
      <c r="B2899">
        <v>0.90107180522551567</v>
      </c>
      <c r="C2899">
        <v>0.40500223538219871</v>
      </c>
    </row>
    <row r="2900" spans="1:3">
      <c r="A2900">
        <v>2892</v>
      </c>
      <c r="B2900">
        <v>0.72970071430488037</v>
      </c>
      <c r="C2900">
        <v>0.18210736398850713</v>
      </c>
    </row>
    <row r="2901" spans="1:3">
      <c r="A2901">
        <v>2893</v>
      </c>
      <c r="B2901">
        <v>0.93003147230344618</v>
      </c>
      <c r="C2901">
        <v>9.7134054652997293E-2</v>
      </c>
    </row>
    <row r="2902" spans="1:3">
      <c r="A2902">
        <v>2894</v>
      </c>
      <c r="B2902">
        <v>0.86906090431210137</v>
      </c>
      <c r="C2902">
        <v>1.5743304876195907E-2</v>
      </c>
    </row>
    <row r="2903" spans="1:3">
      <c r="A2903">
        <v>2895</v>
      </c>
      <c r="B2903">
        <v>0.89476198354190251</v>
      </c>
      <c r="C2903">
        <v>8.1603655629805871E-2</v>
      </c>
    </row>
    <row r="2904" spans="1:3">
      <c r="A2904">
        <v>2896</v>
      </c>
      <c r="B2904">
        <v>3.9592997837763509E-2</v>
      </c>
      <c r="C2904">
        <v>0.81073847716288583</v>
      </c>
    </row>
    <row r="2905" spans="1:3">
      <c r="A2905">
        <v>2897</v>
      </c>
      <c r="B2905">
        <v>0.71628760053936569</v>
      </c>
      <c r="C2905">
        <v>0.61113887115880061</v>
      </c>
    </row>
    <row r="2906" spans="1:3">
      <c r="A2906">
        <v>2898</v>
      </c>
      <c r="B2906">
        <v>0.86174219490353532</v>
      </c>
      <c r="C2906">
        <v>0.96224905907001812</v>
      </c>
    </row>
    <row r="2907" spans="1:3">
      <c r="A2907">
        <v>2899</v>
      </c>
      <c r="B2907">
        <v>0.69778608289402577</v>
      </c>
      <c r="C2907">
        <v>0.30326130469893542</v>
      </c>
    </row>
    <row r="2908" spans="1:3">
      <c r="A2908">
        <v>2900</v>
      </c>
      <c r="B2908">
        <v>0.12617983036776534</v>
      </c>
      <c r="C2908">
        <v>9.4057708378386451E-2</v>
      </c>
    </row>
    <row r="2909" spans="1:3">
      <c r="A2909">
        <v>2901</v>
      </c>
      <c r="B2909">
        <v>4.4787220016258587E-2</v>
      </c>
      <c r="C2909">
        <v>0.37104501249177702</v>
      </c>
    </row>
    <row r="2910" spans="1:3">
      <c r="A2910">
        <v>2902</v>
      </c>
      <c r="B2910">
        <v>0.57459832805544098</v>
      </c>
      <c r="C2910">
        <v>0.49080999880061427</v>
      </c>
    </row>
    <row r="2911" spans="1:3">
      <c r="A2911">
        <v>2903</v>
      </c>
      <c r="B2911">
        <v>0.78004747163980448</v>
      </c>
      <c r="C2911">
        <v>0.92276118970858079</v>
      </c>
    </row>
    <row r="2912" spans="1:3">
      <c r="A2912">
        <v>2904</v>
      </c>
      <c r="B2912">
        <v>0.78202077041059281</v>
      </c>
      <c r="C2912">
        <v>0.29174213360238355</v>
      </c>
    </row>
    <row r="2913" spans="1:3">
      <c r="A2913">
        <v>2905</v>
      </c>
      <c r="B2913">
        <v>0.37023345493195425</v>
      </c>
      <c r="C2913">
        <v>0.43591770429611643</v>
      </c>
    </row>
    <row r="2914" spans="1:3">
      <c r="A2914">
        <v>2906</v>
      </c>
      <c r="B2914">
        <v>0.42100523343565993</v>
      </c>
      <c r="C2914">
        <v>0.13518024883160251</v>
      </c>
    </row>
    <row r="2915" spans="1:3">
      <c r="A2915">
        <v>2907</v>
      </c>
      <c r="B2915">
        <v>0.25579327501221405</v>
      </c>
      <c r="C2915">
        <v>7.4243768089218065E-2</v>
      </c>
    </row>
    <row r="2916" spans="1:3">
      <c r="A2916">
        <v>2908</v>
      </c>
      <c r="B2916">
        <v>0.29219678740682942</v>
      </c>
      <c r="C2916">
        <v>0.97318077579529927</v>
      </c>
    </row>
    <row r="2917" spans="1:3">
      <c r="A2917">
        <v>2909</v>
      </c>
      <c r="B2917">
        <v>9.8225630798010541E-2</v>
      </c>
      <c r="C2917">
        <v>0.29577951726423635</v>
      </c>
    </row>
    <row r="2918" spans="1:3">
      <c r="A2918">
        <v>2910</v>
      </c>
      <c r="B2918">
        <v>0.21998873483119269</v>
      </c>
      <c r="C2918">
        <v>0.47491580785299448</v>
      </c>
    </row>
    <row r="2919" spans="1:3">
      <c r="A2919">
        <v>2911</v>
      </c>
      <c r="B2919">
        <v>0.69254794384016372</v>
      </c>
      <c r="C2919">
        <v>0.83853945005466812</v>
      </c>
    </row>
    <row r="2920" spans="1:3">
      <c r="A2920">
        <v>2912</v>
      </c>
      <c r="B2920">
        <v>0.50389888442035269</v>
      </c>
      <c r="C2920">
        <v>0.74621106872564269</v>
      </c>
    </row>
    <row r="2921" spans="1:3">
      <c r="A2921">
        <v>2913</v>
      </c>
      <c r="B2921">
        <v>0.61723328370271091</v>
      </c>
      <c r="C2921">
        <v>0.65049675598675094</v>
      </c>
    </row>
    <row r="2922" spans="1:3">
      <c r="A2922">
        <v>2914</v>
      </c>
      <c r="B2922">
        <v>0.85250256595013252</v>
      </c>
      <c r="C2922">
        <v>0.89520689581149782</v>
      </c>
    </row>
    <row r="2923" spans="1:3">
      <c r="A2923">
        <v>2915</v>
      </c>
      <c r="B2923">
        <v>7.3521722505223404E-3</v>
      </c>
      <c r="C2923">
        <v>7.1114053837845859E-2</v>
      </c>
    </row>
    <row r="2924" spans="1:3">
      <c r="A2924">
        <v>2916</v>
      </c>
      <c r="B2924">
        <v>0.46526425441453795</v>
      </c>
      <c r="C2924">
        <v>0.48986114633225952</v>
      </c>
    </row>
    <row r="2925" spans="1:3">
      <c r="A2925">
        <v>2917</v>
      </c>
      <c r="B2925">
        <v>0.37279529246403725</v>
      </c>
      <c r="C2925">
        <v>0.86949912086765835</v>
      </c>
    </row>
    <row r="2926" spans="1:3">
      <c r="A2926">
        <v>2918</v>
      </c>
      <c r="B2926">
        <v>0.50287858210026248</v>
      </c>
      <c r="C2926">
        <v>0.61354306859539065</v>
      </c>
    </row>
    <row r="2927" spans="1:3">
      <c r="A2927">
        <v>2919</v>
      </c>
      <c r="B2927">
        <v>0.27424307546006588</v>
      </c>
      <c r="C2927">
        <v>0.97919514218847326</v>
      </c>
    </row>
    <row r="2928" spans="1:3">
      <c r="A2928">
        <v>2920</v>
      </c>
      <c r="B2928">
        <v>0.83091957925286131</v>
      </c>
      <c r="C2928">
        <v>0.76582884211347846</v>
      </c>
    </row>
    <row r="2929" spans="1:3">
      <c r="A2929">
        <v>2921</v>
      </c>
      <c r="B2929">
        <v>0.66038593497536746</v>
      </c>
      <c r="C2929">
        <v>0.57301677679151908</v>
      </c>
    </row>
    <row r="2930" spans="1:3">
      <c r="A2930">
        <v>2922</v>
      </c>
      <c r="B2930">
        <v>0.45938376127034042</v>
      </c>
      <c r="C2930">
        <v>0.72244868031702936</v>
      </c>
    </row>
    <row r="2931" spans="1:3">
      <c r="A2931">
        <v>2923</v>
      </c>
      <c r="B2931">
        <v>0.78820736762238841</v>
      </c>
      <c r="C2931">
        <v>0.90105540602507972</v>
      </c>
    </row>
    <row r="2932" spans="1:3">
      <c r="A2932">
        <v>2924</v>
      </c>
      <c r="B2932">
        <v>0.90639892093385555</v>
      </c>
      <c r="C2932">
        <v>0.33026256752236804</v>
      </c>
    </row>
    <row r="2933" spans="1:3">
      <c r="A2933">
        <v>2925</v>
      </c>
      <c r="B2933">
        <v>0.93711270038348449</v>
      </c>
      <c r="C2933">
        <v>9.462644246104901E-2</v>
      </c>
    </row>
    <row r="2934" spans="1:3">
      <c r="A2934">
        <v>2926</v>
      </c>
      <c r="B2934">
        <v>0.47018816050793705</v>
      </c>
      <c r="C2934">
        <v>0.8279946857401228</v>
      </c>
    </row>
    <row r="2935" spans="1:3">
      <c r="A2935">
        <v>2927</v>
      </c>
      <c r="B2935">
        <v>0.11664556489336435</v>
      </c>
      <c r="C2935">
        <v>0.24864464665643027</v>
      </c>
    </row>
    <row r="2936" spans="1:3">
      <c r="A2936">
        <v>2928</v>
      </c>
      <c r="B2936">
        <v>0.14188290066585943</v>
      </c>
      <c r="C2936">
        <v>0.25353528262166947</v>
      </c>
    </row>
    <row r="2937" spans="1:3">
      <c r="A2937">
        <v>2929</v>
      </c>
      <c r="B2937">
        <v>0.31248608955375062</v>
      </c>
      <c r="C2937">
        <v>0.75576526189342985</v>
      </c>
    </row>
    <row r="2938" spans="1:3">
      <c r="A2938">
        <v>2930</v>
      </c>
      <c r="B2938">
        <v>0.65084824602008995</v>
      </c>
      <c r="C2938">
        <v>0.16660947568743723</v>
      </c>
    </row>
    <row r="2939" spans="1:3">
      <c r="A2939">
        <v>2931</v>
      </c>
      <c r="B2939">
        <v>0.1117792305390302</v>
      </c>
      <c r="C2939">
        <v>0.8553457206389794</v>
      </c>
    </row>
    <row r="2940" spans="1:3">
      <c r="A2940">
        <v>2932</v>
      </c>
      <c r="B2940">
        <v>0.82648518474425314</v>
      </c>
      <c r="C2940">
        <v>0.54810426969561377</v>
      </c>
    </row>
    <row r="2941" spans="1:3">
      <c r="A2941">
        <v>2933</v>
      </c>
      <c r="B2941">
        <v>0.37979522270541527</v>
      </c>
      <c r="C2941">
        <v>0.9617500798403853</v>
      </c>
    </row>
    <row r="2942" spans="1:3">
      <c r="A2942">
        <v>2934</v>
      </c>
      <c r="B2942">
        <v>0.35330227635253741</v>
      </c>
      <c r="C2942">
        <v>0.67327964884862013</v>
      </c>
    </row>
    <row r="2943" spans="1:3">
      <c r="A2943">
        <v>2935</v>
      </c>
      <c r="B2943">
        <v>0.7565214857206497</v>
      </c>
      <c r="C2943">
        <v>0.65340669229863124</v>
      </c>
    </row>
    <row r="2944" spans="1:3">
      <c r="A2944">
        <v>2936</v>
      </c>
      <c r="B2944">
        <v>0.63164492461212096</v>
      </c>
      <c r="C2944">
        <v>0.13295314179413253</v>
      </c>
    </row>
    <row r="2945" spans="1:3">
      <c r="A2945">
        <v>2937</v>
      </c>
      <c r="B2945">
        <v>0.28015479989679409</v>
      </c>
      <c r="C2945">
        <v>0.84598221747273783</v>
      </c>
    </row>
    <row r="2946" spans="1:3">
      <c r="A2946">
        <v>2938</v>
      </c>
      <c r="B2946">
        <v>0.50598433290184108</v>
      </c>
      <c r="C2946">
        <v>0.80756268295590417</v>
      </c>
    </row>
    <row r="2947" spans="1:3">
      <c r="A2947">
        <v>2939</v>
      </c>
      <c r="B2947">
        <v>0.92080042286873809</v>
      </c>
      <c r="C2947">
        <v>0.37875914037431357</v>
      </c>
    </row>
    <row r="2948" spans="1:3">
      <c r="A2948">
        <v>2940</v>
      </c>
      <c r="B2948">
        <v>0.99589482495651915</v>
      </c>
      <c r="C2948">
        <v>0.69235585160913615</v>
      </c>
    </row>
    <row r="2949" spans="1:3">
      <c r="A2949">
        <v>2941</v>
      </c>
      <c r="B2949">
        <v>0.4100643295792547</v>
      </c>
      <c r="C2949">
        <v>0.10487062724314455</v>
      </c>
    </row>
    <row r="2950" spans="1:3">
      <c r="A2950">
        <v>2942</v>
      </c>
      <c r="B2950">
        <v>0.54509552924774951</v>
      </c>
      <c r="C2950">
        <v>0.65301607678429718</v>
      </c>
    </row>
    <row r="2951" spans="1:3">
      <c r="A2951">
        <v>2943</v>
      </c>
      <c r="B2951">
        <v>0.15580067523675986</v>
      </c>
      <c r="C2951">
        <v>0.38264232407891541</v>
      </c>
    </row>
    <row r="2952" spans="1:3">
      <c r="A2952">
        <v>2944</v>
      </c>
      <c r="B2952">
        <v>0.87702412911160477</v>
      </c>
      <c r="C2952">
        <v>0.74788369920770492</v>
      </c>
    </row>
    <row r="2953" spans="1:3">
      <c r="A2953">
        <v>2945</v>
      </c>
      <c r="B2953">
        <v>0.9967671531529555</v>
      </c>
      <c r="C2953">
        <v>0.30779354005608184</v>
      </c>
    </row>
    <row r="2954" spans="1:3">
      <c r="A2954">
        <v>2946</v>
      </c>
      <c r="B2954">
        <v>0.82004967353116953</v>
      </c>
      <c r="C2954">
        <v>0.44885632689783961</v>
      </c>
    </row>
    <row r="2955" spans="1:3">
      <c r="A2955">
        <v>2947</v>
      </c>
      <c r="B2955">
        <v>0.32431153197048967</v>
      </c>
      <c r="C2955">
        <v>0.57672068249667063</v>
      </c>
    </row>
    <row r="2956" spans="1:3">
      <c r="A2956">
        <v>2948</v>
      </c>
      <c r="B2956">
        <v>0.66361449802313333</v>
      </c>
      <c r="C2956">
        <v>0.15035944781629951</v>
      </c>
    </row>
    <row r="2957" spans="1:3">
      <c r="A2957">
        <v>2949</v>
      </c>
      <c r="B2957">
        <v>0.64165305458694999</v>
      </c>
      <c r="C2957">
        <v>0.29018890257339081</v>
      </c>
    </row>
    <row r="2958" spans="1:3">
      <c r="A2958">
        <v>2950</v>
      </c>
      <c r="B2958">
        <v>0.73417480626054454</v>
      </c>
      <c r="C2958">
        <v>0.51050765946092724</v>
      </c>
    </row>
    <row r="2959" spans="1:3">
      <c r="A2959">
        <v>2951</v>
      </c>
      <c r="B2959">
        <v>0.33119317583292562</v>
      </c>
      <c r="C2959">
        <v>0.67901182076548139</v>
      </c>
    </row>
    <row r="2960" spans="1:3">
      <c r="A2960">
        <v>2952</v>
      </c>
      <c r="B2960">
        <v>0.49888497802463483</v>
      </c>
      <c r="C2960">
        <v>0.55583441438648151</v>
      </c>
    </row>
    <row r="2961" spans="1:3">
      <c r="A2961">
        <v>2953</v>
      </c>
      <c r="B2961">
        <v>0.32674079208870904</v>
      </c>
      <c r="C2961">
        <v>0.76238812446081283</v>
      </c>
    </row>
    <row r="2962" spans="1:3">
      <c r="A2962">
        <v>2954</v>
      </c>
      <c r="B2962">
        <v>0.86347920103182063</v>
      </c>
      <c r="C2962">
        <v>0.88243257525209629</v>
      </c>
    </row>
    <row r="2963" spans="1:3">
      <c r="A2963">
        <v>2955</v>
      </c>
      <c r="B2963">
        <v>0.69051251648094325</v>
      </c>
      <c r="C2963">
        <v>0.23797603710863768</v>
      </c>
    </row>
    <row r="2964" spans="1:3">
      <c r="A2964">
        <v>2956</v>
      </c>
      <c r="B2964">
        <v>0.93643510919144268</v>
      </c>
      <c r="C2964">
        <v>0.62669920823464054</v>
      </c>
    </row>
    <row r="2965" spans="1:3">
      <c r="A2965">
        <v>2957</v>
      </c>
      <c r="B2965">
        <v>0.45330905411902561</v>
      </c>
      <c r="C2965">
        <v>0.54422877795877866</v>
      </c>
    </row>
    <row r="2966" spans="1:3">
      <c r="A2966">
        <v>2958</v>
      </c>
      <c r="B2966">
        <v>1.1166526881411329E-2</v>
      </c>
      <c r="C2966">
        <v>0.4669136863985841</v>
      </c>
    </row>
    <row r="2967" spans="1:3">
      <c r="A2967">
        <v>2959</v>
      </c>
      <c r="B2967">
        <v>0.83152292325005928</v>
      </c>
      <c r="C2967">
        <v>0.47261873108254804</v>
      </c>
    </row>
    <row r="2968" spans="1:3">
      <c r="A2968">
        <v>2960</v>
      </c>
      <c r="B2968">
        <v>0.76033527199368345</v>
      </c>
      <c r="C2968">
        <v>0.93048064575577882</v>
      </c>
    </row>
    <row r="2969" spans="1:3">
      <c r="A2969">
        <v>2961</v>
      </c>
      <c r="B2969">
        <v>0.25612504867960817</v>
      </c>
      <c r="C2969">
        <v>0.41952599081923836</v>
      </c>
    </row>
    <row r="2970" spans="1:3">
      <c r="A2970">
        <v>2962</v>
      </c>
      <c r="B2970">
        <v>0.50081082944623445</v>
      </c>
      <c r="C2970">
        <v>8.415394837356871E-2</v>
      </c>
    </row>
    <row r="2971" spans="1:3">
      <c r="A2971">
        <v>2963</v>
      </c>
      <c r="B2971">
        <v>7.1479987255129954E-2</v>
      </c>
      <c r="C2971">
        <v>0.68365182971592731</v>
      </c>
    </row>
    <row r="2972" spans="1:3">
      <c r="A2972">
        <v>2964</v>
      </c>
      <c r="B2972">
        <v>0.20095703080942784</v>
      </c>
      <c r="C2972">
        <v>0.23684171830609557</v>
      </c>
    </row>
    <row r="2973" spans="1:3">
      <c r="A2973">
        <v>2965</v>
      </c>
      <c r="B2973">
        <v>0.80262944985517048</v>
      </c>
      <c r="C2973">
        <v>0.65763132970459992</v>
      </c>
    </row>
    <row r="2974" spans="1:3">
      <c r="A2974">
        <v>2966</v>
      </c>
      <c r="B2974">
        <v>0.28250431779630114</v>
      </c>
      <c r="C2974">
        <v>0.85902761086890678</v>
      </c>
    </row>
    <row r="2975" spans="1:3">
      <c r="A2975">
        <v>2967</v>
      </c>
      <c r="B2975">
        <v>0.67083888665038138</v>
      </c>
      <c r="C2975">
        <v>0.10513071221430437</v>
      </c>
    </row>
    <row r="2976" spans="1:3">
      <c r="A2976">
        <v>2968</v>
      </c>
      <c r="B2976">
        <v>0.37697666896166671</v>
      </c>
      <c r="C2976">
        <v>0.36866933758484777</v>
      </c>
    </row>
    <row r="2977" spans="1:3">
      <c r="A2977">
        <v>2969</v>
      </c>
      <c r="B2977">
        <v>0.8943246641265985</v>
      </c>
      <c r="C2977">
        <v>0.75582380036121322</v>
      </c>
    </row>
    <row r="2978" spans="1:3">
      <c r="A2978">
        <v>2970</v>
      </c>
      <c r="B2978">
        <v>0.76248306822708878</v>
      </c>
      <c r="C2978">
        <v>0.98483198604481004</v>
      </c>
    </row>
    <row r="2979" spans="1:3">
      <c r="A2979">
        <v>2971</v>
      </c>
      <c r="B2979">
        <v>0.68248575673803824</v>
      </c>
      <c r="C2979">
        <v>0.65074855756483885</v>
      </c>
    </row>
    <row r="2980" spans="1:3">
      <c r="A2980">
        <v>2972</v>
      </c>
      <c r="B2980">
        <v>0.4459573981651006</v>
      </c>
      <c r="C2980">
        <v>0.87068603773515818</v>
      </c>
    </row>
    <row r="2981" spans="1:3">
      <c r="A2981">
        <v>2973</v>
      </c>
      <c r="B2981">
        <v>0.63295072965634769</v>
      </c>
      <c r="C2981">
        <v>0.10686412035556714</v>
      </c>
    </row>
    <row r="2982" spans="1:3">
      <c r="A2982">
        <v>2974</v>
      </c>
      <c r="B2982">
        <v>0.99805083355364643</v>
      </c>
      <c r="C2982">
        <v>0.45380777650461823</v>
      </c>
    </row>
    <row r="2983" spans="1:3">
      <c r="A2983">
        <v>2975</v>
      </c>
      <c r="B2983">
        <v>0.30951106430234182</v>
      </c>
      <c r="C2983">
        <v>0.84638732048642851</v>
      </c>
    </row>
    <row r="2984" spans="1:3">
      <c r="A2984">
        <v>2976</v>
      </c>
      <c r="B2984">
        <v>0.53646018809775364</v>
      </c>
      <c r="C2984">
        <v>0.58803603400519933</v>
      </c>
    </row>
    <row r="2985" spans="1:3">
      <c r="A2985">
        <v>2977</v>
      </c>
      <c r="B2985">
        <v>0.82546294915188645</v>
      </c>
      <c r="C2985">
        <v>5.1710556610487401E-2</v>
      </c>
    </row>
    <row r="2986" spans="1:3">
      <c r="A2986">
        <v>2978</v>
      </c>
      <c r="B2986">
        <v>0.70504684552467589</v>
      </c>
      <c r="C2986">
        <v>0.18554066150954895</v>
      </c>
    </row>
    <row r="2987" spans="1:3">
      <c r="A2987">
        <v>2979</v>
      </c>
      <c r="B2987">
        <v>0.88351902980378805</v>
      </c>
      <c r="C2987">
        <v>0.87655045862811676</v>
      </c>
    </row>
    <row r="2988" spans="1:3">
      <c r="A2988">
        <v>2980</v>
      </c>
      <c r="B2988">
        <v>0.40699828568575863</v>
      </c>
      <c r="C2988">
        <v>0.51168813468120788</v>
      </c>
    </row>
    <row r="2989" spans="1:3">
      <c r="A2989">
        <v>2981</v>
      </c>
      <c r="B2989">
        <v>0.42215673975780527</v>
      </c>
      <c r="C2989">
        <v>0.80088237463860423</v>
      </c>
    </row>
    <row r="2990" spans="1:3">
      <c r="A2990">
        <v>2982</v>
      </c>
      <c r="B2990">
        <v>0.99304355597385296</v>
      </c>
      <c r="C2990">
        <v>0.81281403783123096</v>
      </c>
    </row>
    <row r="2991" spans="1:3">
      <c r="A2991">
        <v>2983</v>
      </c>
      <c r="B2991">
        <v>0.22561898040911624</v>
      </c>
      <c r="C2991">
        <v>0.7813111948180449</v>
      </c>
    </row>
    <row r="2992" spans="1:3">
      <c r="A2992">
        <v>2984</v>
      </c>
      <c r="B2992">
        <v>0.85319434836851304</v>
      </c>
      <c r="C2992">
        <v>8.6022940895418287E-3</v>
      </c>
    </row>
    <row r="2993" spans="1:3">
      <c r="A2993">
        <v>2985</v>
      </c>
      <c r="B2993">
        <v>0.34832941601740419</v>
      </c>
      <c r="C2993">
        <v>0.83883177297686373</v>
      </c>
    </row>
    <row r="2994" spans="1:3">
      <c r="A2994">
        <v>2986</v>
      </c>
      <c r="B2994">
        <v>6.5442808154840678E-3</v>
      </c>
      <c r="C2994">
        <v>0.18881376417539286</v>
      </c>
    </row>
    <row r="2995" spans="1:3">
      <c r="A2995">
        <v>2987</v>
      </c>
      <c r="B2995">
        <v>0.42714390831085475</v>
      </c>
      <c r="C2995">
        <v>0.93822240861663886</v>
      </c>
    </row>
    <row r="2996" spans="1:3">
      <c r="A2996">
        <v>2988</v>
      </c>
      <c r="B2996">
        <v>0.61595628688641735</v>
      </c>
      <c r="C2996">
        <v>0.99009342639783426</v>
      </c>
    </row>
    <row r="2997" spans="1:3">
      <c r="A2997">
        <v>2989</v>
      </c>
      <c r="B2997">
        <v>0.21406637008308116</v>
      </c>
      <c r="C2997">
        <v>0.65441194724917295</v>
      </c>
    </row>
    <row r="2998" spans="1:3">
      <c r="A2998">
        <v>2990</v>
      </c>
      <c r="B2998">
        <v>0.10137114896824843</v>
      </c>
      <c r="C2998">
        <v>0.40465897685407981</v>
      </c>
    </row>
    <row r="2999" spans="1:3">
      <c r="A2999">
        <v>2991</v>
      </c>
      <c r="B2999">
        <v>0.88979835839997945</v>
      </c>
      <c r="C2999">
        <v>0.83568903816012607</v>
      </c>
    </row>
    <row r="3000" spans="1:3">
      <c r="A3000">
        <v>2992</v>
      </c>
      <c r="B3000">
        <v>0.86857695970730331</v>
      </c>
      <c r="C3000">
        <v>0.34594987669152033</v>
      </c>
    </row>
    <row r="3001" spans="1:3">
      <c r="A3001">
        <v>2993</v>
      </c>
      <c r="B3001">
        <v>0.1366603612933914</v>
      </c>
      <c r="C3001">
        <v>0.72139639527904365</v>
      </c>
    </row>
    <row r="3002" spans="1:3">
      <c r="A3002">
        <v>2994</v>
      </c>
      <c r="B3002">
        <v>0.4875174342901254</v>
      </c>
      <c r="C3002">
        <v>0.63729670110842562</v>
      </c>
    </row>
    <row r="3003" spans="1:3">
      <c r="A3003">
        <v>2995</v>
      </c>
      <c r="B3003">
        <v>0.12116025567337876</v>
      </c>
      <c r="C3003">
        <v>0.90248945749681297</v>
      </c>
    </row>
    <row r="3004" spans="1:3">
      <c r="A3004">
        <v>2996</v>
      </c>
      <c r="B3004">
        <v>0.59609122146100069</v>
      </c>
      <c r="C3004">
        <v>7.5958749881465337E-2</v>
      </c>
    </row>
    <row r="3005" spans="1:3">
      <c r="A3005">
        <v>2997</v>
      </c>
      <c r="B3005">
        <v>0.3759599625814613</v>
      </c>
      <c r="C3005">
        <v>0.2564145564692808</v>
      </c>
    </row>
    <row r="3006" spans="1:3">
      <c r="A3006">
        <v>2998</v>
      </c>
      <c r="B3006">
        <v>0.27853357366801557</v>
      </c>
      <c r="C3006">
        <v>0.21782672530389391</v>
      </c>
    </row>
    <row r="3007" spans="1:3">
      <c r="A3007">
        <v>2999</v>
      </c>
      <c r="B3007">
        <v>0.30325171323643341</v>
      </c>
      <c r="C3007">
        <v>0.87941500116994575</v>
      </c>
    </row>
    <row r="3008" spans="1:3">
      <c r="A3008">
        <v>3000</v>
      </c>
      <c r="B3008">
        <v>0.23651247852884991</v>
      </c>
      <c r="C3008">
        <v>0.77139522134893923</v>
      </c>
    </row>
    <row r="3009" spans="1:3">
      <c r="A3009">
        <v>3001</v>
      </c>
      <c r="B3009">
        <v>0.41964830621230614</v>
      </c>
      <c r="C3009">
        <v>0.46618651629250962</v>
      </c>
    </row>
    <row r="3010" spans="1:3">
      <c r="A3010">
        <v>3002</v>
      </c>
      <c r="B3010">
        <v>0.24864603770730229</v>
      </c>
      <c r="C3010">
        <v>0.25956111001505633</v>
      </c>
    </row>
    <row r="3011" spans="1:3">
      <c r="A3011">
        <v>3003</v>
      </c>
      <c r="B3011">
        <v>0.99546508255411514</v>
      </c>
      <c r="C3011">
        <v>0.93592703826197976</v>
      </c>
    </row>
    <row r="3012" spans="1:3">
      <c r="A3012">
        <v>3004</v>
      </c>
      <c r="B3012">
        <v>0.19421856446536689</v>
      </c>
      <c r="C3012">
        <v>0.50227871724746365</v>
      </c>
    </row>
    <row r="3013" spans="1:3">
      <c r="A3013">
        <v>3005</v>
      </c>
      <c r="B3013">
        <v>0.31294132889573029</v>
      </c>
      <c r="C3013">
        <v>0.75169046103201254</v>
      </c>
    </row>
    <row r="3014" spans="1:3">
      <c r="A3014">
        <v>3006</v>
      </c>
      <c r="B3014">
        <v>0.74563948541889891</v>
      </c>
      <c r="C3014">
        <v>0.48015560596104478</v>
      </c>
    </row>
    <row r="3015" spans="1:3">
      <c r="A3015">
        <v>3007</v>
      </c>
      <c r="B3015">
        <v>0.12207334617638806</v>
      </c>
      <c r="C3015">
        <v>0.22227022447259515</v>
      </c>
    </row>
    <row r="3016" spans="1:3">
      <c r="A3016">
        <v>3008</v>
      </c>
      <c r="B3016">
        <v>0.88802474756953886</v>
      </c>
      <c r="C3016">
        <v>0.20093600761811103</v>
      </c>
    </row>
    <row r="3017" spans="1:3">
      <c r="A3017">
        <v>3009</v>
      </c>
      <c r="B3017">
        <v>0.45359798467368773</v>
      </c>
      <c r="C3017">
        <v>0.4863336108301155</v>
      </c>
    </row>
    <row r="3018" spans="1:3">
      <c r="A3018">
        <v>3010</v>
      </c>
      <c r="B3018">
        <v>0.10803285953552295</v>
      </c>
      <c r="C3018">
        <v>0.20936457385050744</v>
      </c>
    </row>
    <row r="3019" spans="1:3">
      <c r="A3019">
        <v>3011</v>
      </c>
      <c r="B3019">
        <v>0.67261897457796593</v>
      </c>
      <c r="C3019">
        <v>2.2957247507292777E-2</v>
      </c>
    </row>
    <row r="3020" spans="1:3">
      <c r="A3020">
        <v>3012</v>
      </c>
      <c r="B3020">
        <v>0.77068443722680313</v>
      </c>
      <c r="C3020">
        <v>0.56481011770938494</v>
      </c>
    </row>
    <row r="3021" spans="1:3">
      <c r="A3021">
        <v>3013</v>
      </c>
      <c r="B3021">
        <v>0.82146702070796562</v>
      </c>
      <c r="C3021">
        <v>0.88573015594192839</v>
      </c>
    </row>
    <row r="3022" spans="1:3">
      <c r="A3022">
        <v>3014</v>
      </c>
      <c r="B3022">
        <v>0.56265237912611388</v>
      </c>
      <c r="C3022">
        <v>0.41162904933116806</v>
      </c>
    </row>
    <row r="3023" spans="1:3">
      <c r="A3023">
        <v>3015</v>
      </c>
      <c r="B3023">
        <v>0.28931033859972616</v>
      </c>
      <c r="C3023">
        <v>0.59889794493301451</v>
      </c>
    </row>
    <row r="3024" spans="1:3">
      <c r="A3024">
        <v>3016</v>
      </c>
      <c r="B3024">
        <v>0.29885738379677235</v>
      </c>
      <c r="C3024">
        <v>0.72162501484854147</v>
      </c>
    </row>
    <row r="3025" spans="1:3">
      <c r="A3025">
        <v>3017</v>
      </c>
      <c r="B3025">
        <v>0.19858183997398751</v>
      </c>
      <c r="C3025">
        <v>0.13578865060389944</v>
      </c>
    </row>
    <row r="3026" spans="1:3">
      <c r="A3026">
        <v>3018</v>
      </c>
      <c r="B3026">
        <v>0.2612287486124385</v>
      </c>
      <c r="C3026">
        <v>0.27233044345666713</v>
      </c>
    </row>
    <row r="3027" spans="1:3">
      <c r="A3027">
        <v>3019</v>
      </c>
      <c r="B3027">
        <v>0.12288578435938939</v>
      </c>
      <c r="C3027">
        <v>0.76822643784271349</v>
      </c>
    </row>
    <row r="3028" spans="1:3">
      <c r="A3028">
        <v>3020</v>
      </c>
      <c r="B3028">
        <v>0.23510011605115147</v>
      </c>
      <c r="C3028">
        <v>0.41246884601787315</v>
      </c>
    </row>
    <row r="3029" spans="1:3">
      <c r="A3029">
        <v>3021</v>
      </c>
      <c r="B3029">
        <v>0.31354264547809552</v>
      </c>
      <c r="C3029">
        <v>0.79701826871951198</v>
      </c>
    </row>
    <row r="3030" spans="1:3">
      <c r="A3030">
        <v>3022</v>
      </c>
      <c r="B3030">
        <v>0.81699984458698893</v>
      </c>
      <c r="C3030">
        <v>0.44477336783893406</v>
      </c>
    </row>
    <row r="3031" spans="1:3">
      <c r="A3031">
        <v>3023</v>
      </c>
      <c r="B3031">
        <v>0.1658443633993725</v>
      </c>
      <c r="C3031">
        <v>0.17220580665434682</v>
      </c>
    </row>
    <row r="3032" spans="1:3">
      <c r="A3032">
        <v>3024</v>
      </c>
      <c r="B3032">
        <v>0.14765971478332293</v>
      </c>
      <c r="C3032">
        <v>0.71728854733555636</v>
      </c>
    </row>
    <row r="3033" spans="1:3">
      <c r="A3033">
        <v>3025</v>
      </c>
      <c r="B3033">
        <v>0.92700152919967693</v>
      </c>
      <c r="C3033">
        <v>0.9296821285288388</v>
      </c>
    </row>
    <row r="3034" spans="1:3">
      <c r="A3034">
        <v>3026</v>
      </c>
      <c r="B3034">
        <v>0.81554368501690766</v>
      </c>
      <c r="C3034">
        <v>0.50687546062181355</v>
      </c>
    </row>
    <row r="3035" spans="1:3">
      <c r="A3035">
        <v>3027</v>
      </c>
      <c r="B3035">
        <v>0.11559551036162197</v>
      </c>
      <c r="C3035">
        <v>0.88027724803305318</v>
      </c>
    </row>
    <row r="3036" spans="1:3">
      <c r="A3036">
        <v>3028</v>
      </c>
      <c r="B3036">
        <v>0.21919105370733677</v>
      </c>
      <c r="C3036">
        <v>0.55626691534234851</v>
      </c>
    </row>
    <row r="3037" spans="1:3">
      <c r="A3037">
        <v>3029</v>
      </c>
      <c r="B3037">
        <v>0.13552763230943299</v>
      </c>
      <c r="C3037">
        <v>0.14592372283550503</v>
      </c>
    </row>
    <row r="3038" spans="1:3">
      <c r="A3038">
        <v>3030</v>
      </c>
      <c r="B3038">
        <v>0.69011101142762021</v>
      </c>
      <c r="C3038">
        <v>0.8408232176780075</v>
      </c>
    </row>
    <row r="3039" spans="1:3">
      <c r="A3039">
        <v>3031</v>
      </c>
      <c r="B3039">
        <v>0.90136147052467841</v>
      </c>
      <c r="C3039">
        <v>3.3323473460768582E-2</v>
      </c>
    </row>
    <row r="3040" spans="1:3">
      <c r="A3040">
        <v>3032</v>
      </c>
      <c r="B3040">
        <v>0.53393491897334688</v>
      </c>
      <c r="C3040">
        <v>0.21291219423437724</v>
      </c>
    </row>
    <row r="3041" spans="1:3">
      <c r="A3041">
        <v>3033</v>
      </c>
      <c r="B3041">
        <v>0.91401083076047029</v>
      </c>
      <c r="C3041">
        <v>0.88682155201513524</v>
      </c>
    </row>
    <row r="3042" spans="1:3">
      <c r="A3042">
        <v>3034</v>
      </c>
      <c r="B3042">
        <v>0.98816280449884075</v>
      </c>
      <c r="C3042">
        <v>0.33247494092393026</v>
      </c>
    </row>
    <row r="3043" spans="1:3">
      <c r="A3043">
        <v>3035</v>
      </c>
      <c r="B3043">
        <v>0.38564465402621884</v>
      </c>
      <c r="C3043">
        <v>0.99482575559250108</v>
      </c>
    </row>
    <row r="3044" spans="1:3">
      <c r="A3044">
        <v>3036</v>
      </c>
      <c r="B3044">
        <v>0.54009989319194573</v>
      </c>
      <c r="C3044">
        <v>0.8613931194813631</v>
      </c>
    </row>
    <row r="3045" spans="1:3">
      <c r="A3045">
        <v>3037</v>
      </c>
      <c r="B3045">
        <v>1.5558043311805941E-2</v>
      </c>
      <c r="C3045">
        <v>0.19615022995185427</v>
      </c>
    </row>
    <row r="3046" spans="1:3">
      <c r="A3046">
        <v>3038</v>
      </c>
      <c r="B3046">
        <v>0.89817875537531888</v>
      </c>
      <c r="C3046">
        <v>0.9090011881544342</v>
      </c>
    </row>
    <row r="3047" spans="1:3">
      <c r="A3047">
        <v>3039</v>
      </c>
      <c r="B3047">
        <v>0.42025664301949012</v>
      </c>
      <c r="C3047">
        <v>0.46207733232677128</v>
      </c>
    </row>
    <row r="3048" spans="1:3">
      <c r="A3048">
        <v>3040</v>
      </c>
      <c r="B3048">
        <v>0.75106119548647232</v>
      </c>
      <c r="C3048">
        <v>0.99529070091375615</v>
      </c>
    </row>
    <row r="3049" spans="1:3">
      <c r="A3049">
        <v>3041</v>
      </c>
      <c r="B3049">
        <v>0.3608018342339438</v>
      </c>
      <c r="C3049">
        <v>0.93167931154584949</v>
      </c>
    </row>
    <row r="3050" spans="1:3">
      <c r="A3050">
        <v>3042</v>
      </c>
      <c r="B3050">
        <v>0.78269836929251868</v>
      </c>
      <c r="C3050">
        <v>0.44223281776976364</v>
      </c>
    </row>
    <row r="3051" spans="1:3">
      <c r="A3051">
        <v>3043</v>
      </c>
      <c r="B3051">
        <v>0.45962207355271611</v>
      </c>
      <c r="C3051">
        <v>0.82772658879275696</v>
      </c>
    </row>
    <row r="3052" spans="1:3">
      <c r="A3052">
        <v>3044</v>
      </c>
      <c r="B3052">
        <v>0.49410006224915853</v>
      </c>
      <c r="C3052">
        <v>0.9298975316232827</v>
      </c>
    </row>
    <row r="3053" spans="1:3">
      <c r="A3053">
        <v>3045</v>
      </c>
      <c r="B3053">
        <v>1.2513432318929917E-2</v>
      </c>
      <c r="C3053">
        <v>0.2114902626263131</v>
      </c>
    </row>
    <row r="3054" spans="1:3">
      <c r="A3054">
        <v>3046</v>
      </c>
      <c r="B3054">
        <v>0.62705564013292436</v>
      </c>
      <c r="C3054">
        <v>0.47243925518796459</v>
      </c>
    </row>
    <row r="3055" spans="1:3">
      <c r="A3055">
        <v>3047</v>
      </c>
      <c r="B3055">
        <v>2.220448112492554E-2</v>
      </c>
      <c r="C3055">
        <v>0.23006538138724864</v>
      </c>
    </row>
    <row r="3056" spans="1:3">
      <c r="A3056">
        <v>3048</v>
      </c>
      <c r="B3056">
        <v>0.6841410945569959</v>
      </c>
      <c r="C3056">
        <v>0.58947206539141916</v>
      </c>
    </row>
    <row r="3057" spans="1:3">
      <c r="A3057">
        <v>3049</v>
      </c>
      <c r="B3057">
        <v>0.44362992083072433</v>
      </c>
      <c r="C3057">
        <v>0.75491745504587016</v>
      </c>
    </row>
    <row r="3058" spans="1:3">
      <c r="A3058">
        <v>3050</v>
      </c>
      <c r="B3058">
        <v>0.3157482581295884</v>
      </c>
      <c r="C3058">
        <v>4.3234568486695935E-2</v>
      </c>
    </row>
    <row r="3059" spans="1:3">
      <c r="A3059">
        <v>3051</v>
      </c>
      <c r="B3059">
        <v>0.41871648797609762</v>
      </c>
      <c r="C3059">
        <v>0.72776658239672543</v>
      </c>
    </row>
    <row r="3060" spans="1:3">
      <c r="A3060">
        <v>3052</v>
      </c>
      <c r="B3060">
        <v>0.9097774580628093</v>
      </c>
      <c r="C3060">
        <v>0.1118241138101439</v>
      </c>
    </row>
    <row r="3061" spans="1:3">
      <c r="A3061">
        <v>3053</v>
      </c>
      <c r="B3061">
        <v>0.34390337742546184</v>
      </c>
      <c r="C3061">
        <v>0.69983232012145891</v>
      </c>
    </row>
    <row r="3062" spans="1:3">
      <c r="A3062">
        <v>3054</v>
      </c>
      <c r="B3062">
        <v>0.48693080859280446</v>
      </c>
      <c r="C3062">
        <v>0.34647402704467822</v>
      </c>
    </row>
    <row r="3063" spans="1:3">
      <c r="A3063">
        <v>3055</v>
      </c>
      <c r="B3063">
        <v>0.28807096992686176</v>
      </c>
      <c r="C3063">
        <v>0.87952776423207979</v>
      </c>
    </row>
    <row r="3064" spans="1:3">
      <c r="A3064">
        <v>3056</v>
      </c>
      <c r="B3064">
        <v>0.61827024215368331</v>
      </c>
      <c r="C3064">
        <v>0.47200709924436524</v>
      </c>
    </row>
    <row r="3065" spans="1:3">
      <c r="A3065">
        <v>3057</v>
      </c>
      <c r="B3065">
        <v>0.16092536387735171</v>
      </c>
      <c r="C3065">
        <v>0.43159288076185476</v>
      </c>
    </row>
    <row r="3066" spans="1:3">
      <c r="A3066">
        <v>3058</v>
      </c>
      <c r="B3066">
        <v>0.11479901497787773</v>
      </c>
      <c r="C3066">
        <v>0.42384742321701196</v>
      </c>
    </row>
    <row r="3067" spans="1:3">
      <c r="A3067">
        <v>3059</v>
      </c>
      <c r="B3067">
        <v>0.27761820286242717</v>
      </c>
      <c r="C3067">
        <v>0.10943610276626714</v>
      </c>
    </row>
    <row r="3068" spans="1:3">
      <c r="A3068">
        <v>3060</v>
      </c>
      <c r="B3068">
        <v>6.997078213420947E-3</v>
      </c>
      <c r="C3068">
        <v>0.57923667211252905</v>
      </c>
    </row>
    <row r="3069" spans="1:3">
      <c r="A3069">
        <v>3061</v>
      </c>
      <c r="B3069">
        <v>0.36946659347383926</v>
      </c>
      <c r="C3069">
        <v>0.79617504191355692</v>
      </c>
    </row>
    <row r="3070" spans="1:3">
      <c r="A3070">
        <v>3062</v>
      </c>
      <c r="B3070">
        <v>0.15182071073987072</v>
      </c>
      <c r="C3070">
        <v>0.93054824751015985</v>
      </c>
    </row>
    <row r="3071" spans="1:3">
      <c r="A3071">
        <v>3063</v>
      </c>
      <c r="B3071">
        <v>0.6667759190512299</v>
      </c>
      <c r="C3071">
        <v>0.40321172623498569</v>
      </c>
    </row>
    <row r="3072" spans="1:3">
      <c r="A3072">
        <v>3064</v>
      </c>
      <c r="B3072">
        <v>0.95239068472385191</v>
      </c>
      <c r="C3072">
        <v>0.83619023958635808</v>
      </c>
    </row>
    <row r="3073" spans="1:3">
      <c r="A3073">
        <v>3065</v>
      </c>
      <c r="B3073">
        <v>2.4251652436948299E-2</v>
      </c>
      <c r="C3073">
        <v>0.60410840360873408</v>
      </c>
    </row>
    <row r="3074" spans="1:3">
      <c r="A3074">
        <v>3066</v>
      </c>
      <c r="B3074">
        <v>0.59659114568056326</v>
      </c>
      <c r="C3074">
        <v>0.39469571607696707</v>
      </c>
    </row>
    <row r="3075" spans="1:3">
      <c r="A3075">
        <v>3067</v>
      </c>
      <c r="B3075">
        <v>3.9225566989329073E-2</v>
      </c>
      <c r="C3075">
        <v>0.35252644517368026</v>
      </c>
    </row>
    <row r="3076" spans="1:3">
      <c r="A3076">
        <v>3068</v>
      </c>
      <c r="B3076">
        <v>0.75183172117686636</v>
      </c>
      <c r="C3076">
        <v>0.74314524428882578</v>
      </c>
    </row>
    <row r="3077" spans="1:3">
      <c r="A3077">
        <v>3069</v>
      </c>
      <c r="B3077">
        <v>0.81912000831088994</v>
      </c>
      <c r="C3077">
        <v>3.6926369220964261E-3</v>
      </c>
    </row>
    <row r="3078" spans="1:3">
      <c r="A3078">
        <v>3070</v>
      </c>
      <c r="B3078">
        <v>0.32529401008260761</v>
      </c>
      <c r="C3078">
        <v>0.18601246496837121</v>
      </c>
    </row>
    <row r="3079" spans="1:3">
      <c r="A3079">
        <v>3071</v>
      </c>
      <c r="B3079">
        <v>2.7129933432473319E-3</v>
      </c>
      <c r="C3079">
        <v>5.7684426125888422E-2</v>
      </c>
    </row>
    <row r="3080" spans="1:3">
      <c r="A3080">
        <v>3072</v>
      </c>
      <c r="B3080">
        <v>0.20318339151502202</v>
      </c>
      <c r="C3080">
        <v>0.74860699726013991</v>
      </c>
    </row>
    <row r="3081" spans="1:3">
      <c r="A3081">
        <v>3073</v>
      </c>
      <c r="B3081">
        <v>0.53160047011626899</v>
      </c>
      <c r="C3081">
        <v>0.1334181868342057</v>
      </c>
    </row>
    <row r="3082" spans="1:3">
      <c r="A3082">
        <v>3074</v>
      </c>
      <c r="B3082">
        <v>0.47508017294255089</v>
      </c>
      <c r="C3082">
        <v>6.4160283236560645E-2</v>
      </c>
    </row>
    <row r="3083" spans="1:3">
      <c r="A3083">
        <v>3075</v>
      </c>
      <c r="B3083">
        <v>0.24764138694518278</v>
      </c>
      <c r="C3083">
        <v>0.84452623004381167</v>
      </c>
    </row>
    <row r="3084" spans="1:3">
      <c r="A3084">
        <v>3076</v>
      </c>
      <c r="B3084">
        <v>0.53333186103923524</v>
      </c>
      <c r="C3084">
        <v>7.3581082815508125E-3</v>
      </c>
    </row>
    <row r="3085" spans="1:3">
      <c r="A3085">
        <v>3077</v>
      </c>
      <c r="B3085">
        <v>0.26875882649094768</v>
      </c>
      <c r="C3085">
        <v>0.47785027318695938</v>
      </c>
    </row>
    <row r="3086" spans="1:3">
      <c r="A3086">
        <v>3078</v>
      </c>
      <c r="B3086">
        <v>0.18963201605412924</v>
      </c>
      <c r="C3086">
        <v>8.2442720879043918E-2</v>
      </c>
    </row>
    <row r="3087" spans="1:3">
      <c r="A3087">
        <v>3079</v>
      </c>
      <c r="B3087">
        <v>0.18594305759415566</v>
      </c>
      <c r="C3087">
        <v>0.79653565698754392</v>
      </c>
    </row>
    <row r="3088" spans="1:3">
      <c r="A3088">
        <v>3080</v>
      </c>
      <c r="B3088">
        <v>9.4806251627021998E-2</v>
      </c>
      <c r="C3088">
        <v>0.43213629109959584</v>
      </c>
    </row>
    <row r="3089" spans="1:3">
      <c r="A3089">
        <v>3081</v>
      </c>
      <c r="B3089">
        <v>0.47037006120518082</v>
      </c>
      <c r="C3089">
        <v>0.16402681421004672</v>
      </c>
    </row>
    <row r="3090" spans="1:3">
      <c r="A3090">
        <v>3082</v>
      </c>
      <c r="B3090">
        <v>0.92474575465306319</v>
      </c>
      <c r="C3090">
        <v>0.62980946497737023</v>
      </c>
    </row>
    <row r="3091" spans="1:3">
      <c r="A3091">
        <v>3083</v>
      </c>
      <c r="B3091">
        <v>0.58455387006969051</v>
      </c>
      <c r="C3091">
        <v>0.32461541638349445</v>
      </c>
    </row>
    <row r="3092" spans="1:3">
      <c r="A3092">
        <v>3084</v>
      </c>
      <c r="B3092">
        <v>0.32376024952390237</v>
      </c>
      <c r="C3092">
        <v>0.26904036249106866</v>
      </c>
    </row>
    <row r="3093" spans="1:3">
      <c r="A3093">
        <v>3085</v>
      </c>
      <c r="B3093">
        <v>0.45217735803457382</v>
      </c>
      <c r="C3093">
        <v>0.88155597137574659</v>
      </c>
    </row>
    <row r="3094" spans="1:3">
      <c r="A3094">
        <v>3086</v>
      </c>
      <c r="B3094">
        <v>0.51849906923484501</v>
      </c>
      <c r="C3094">
        <v>0.79326669392867188</v>
      </c>
    </row>
    <row r="3095" spans="1:3">
      <c r="A3095">
        <v>3087</v>
      </c>
      <c r="B3095">
        <v>0.24090986048279092</v>
      </c>
      <c r="C3095">
        <v>0.35356790752211964</v>
      </c>
    </row>
    <row r="3096" spans="1:3">
      <c r="A3096">
        <v>3088</v>
      </c>
      <c r="B3096">
        <v>0.67740925559732346</v>
      </c>
      <c r="C3096">
        <v>0.92843104106577812</v>
      </c>
    </row>
    <row r="3097" spans="1:3">
      <c r="A3097">
        <v>3089</v>
      </c>
      <c r="B3097">
        <v>0.11564696287714107</v>
      </c>
      <c r="C3097">
        <v>0.47724478991131036</v>
      </c>
    </row>
    <row r="3098" spans="1:3">
      <c r="A3098">
        <v>3090</v>
      </c>
      <c r="B3098">
        <v>0.33700056677418777</v>
      </c>
      <c r="C3098">
        <v>5.0458537256417912E-2</v>
      </c>
    </row>
    <row r="3099" spans="1:3">
      <c r="A3099">
        <v>3091</v>
      </c>
      <c r="B3099">
        <v>0.66314156381048761</v>
      </c>
      <c r="C3099">
        <v>0.12289773289830919</v>
      </c>
    </row>
    <row r="3100" spans="1:3">
      <c r="A3100">
        <v>3092</v>
      </c>
      <c r="B3100">
        <v>8.1505396199344063E-2</v>
      </c>
      <c r="C3100">
        <v>0.47093459334791987</v>
      </c>
    </row>
    <row r="3101" spans="1:3">
      <c r="A3101">
        <v>3093</v>
      </c>
      <c r="B3101">
        <v>0.77542956923163253</v>
      </c>
      <c r="C3101">
        <v>0.28169066768805351</v>
      </c>
    </row>
    <row r="3102" spans="1:3">
      <c r="A3102">
        <v>3094</v>
      </c>
      <c r="B3102">
        <v>0.65025616055355784</v>
      </c>
      <c r="C3102">
        <v>0.95439907383843092</v>
      </c>
    </row>
    <row r="3103" spans="1:3">
      <c r="A3103">
        <v>3095</v>
      </c>
      <c r="B3103">
        <v>0.74533546188984423</v>
      </c>
      <c r="C3103">
        <v>0.28521784263557493</v>
      </c>
    </row>
    <row r="3104" spans="1:3">
      <c r="A3104">
        <v>3096</v>
      </c>
      <c r="B3104">
        <v>0.5315221129550417</v>
      </c>
      <c r="C3104">
        <v>7.1460578315964085E-2</v>
      </c>
    </row>
    <row r="3105" spans="1:3">
      <c r="A3105">
        <v>3097</v>
      </c>
      <c r="B3105">
        <v>5.8197129977167847E-2</v>
      </c>
      <c r="C3105">
        <v>0.14707632550289418</v>
      </c>
    </row>
    <row r="3106" spans="1:3">
      <c r="A3106">
        <v>3098</v>
      </c>
      <c r="B3106">
        <v>0.28441307205139033</v>
      </c>
      <c r="C3106">
        <v>0.20412983477217495</v>
      </c>
    </row>
    <row r="3107" spans="1:3">
      <c r="A3107">
        <v>3099</v>
      </c>
      <c r="B3107">
        <v>0.26312891345222689</v>
      </c>
      <c r="C3107">
        <v>0.88214262267774757</v>
      </c>
    </row>
    <row r="3108" spans="1:3">
      <c r="A3108">
        <v>3100</v>
      </c>
      <c r="B3108">
        <v>0.67338089428715897</v>
      </c>
      <c r="C3108">
        <v>0.95805466383899329</v>
      </c>
    </row>
    <row r="3109" spans="1:3">
      <c r="A3109">
        <v>3101</v>
      </c>
      <c r="B3109">
        <v>0.90761347039626294</v>
      </c>
      <c r="C3109">
        <v>0.33169974662723689</v>
      </c>
    </row>
    <row r="3110" spans="1:3">
      <c r="A3110">
        <v>3102</v>
      </c>
      <c r="B3110">
        <v>0.71030382219816179</v>
      </c>
      <c r="C3110">
        <v>0.93928469957791094</v>
      </c>
    </row>
    <row r="3111" spans="1:3">
      <c r="A3111">
        <v>3103</v>
      </c>
      <c r="B3111">
        <v>0.25200089334719838</v>
      </c>
      <c r="C3111">
        <v>0.11753323081666167</v>
      </c>
    </row>
    <row r="3112" spans="1:3">
      <c r="A3112">
        <v>3104</v>
      </c>
      <c r="B3112">
        <v>0.24546797895093167</v>
      </c>
      <c r="C3112">
        <v>5.2272394295869162E-2</v>
      </c>
    </row>
    <row r="3113" spans="1:3">
      <c r="A3113">
        <v>3105</v>
      </c>
      <c r="B3113">
        <v>0.93761265842654107</v>
      </c>
      <c r="C3113">
        <v>0.56963334984811809</v>
      </c>
    </row>
    <row r="3114" spans="1:3">
      <c r="A3114">
        <v>3106</v>
      </c>
      <c r="B3114">
        <v>0.36017563044521389</v>
      </c>
      <c r="C3114">
        <v>0.99360741219970805</v>
      </c>
    </row>
    <row r="3115" spans="1:3">
      <c r="A3115">
        <v>3107</v>
      </c>
      <c r="B3115">
        <v>6.5858695451183877E-2</v>
      </c>
      <c r="C3115">
        <v>0.17255547005424887</v>
      </c>
    </row>
    <row r="3116" spans="1:3">
      <c r="A3116">
        <v>3108</v>
      </c>
      <c r="B3116">
        <v>0.64400863683731491</v>
      </c>
      <c r="C3116">
        <v>0.34312779811443761</v>
      </c>
    </row>
    <row r="3117" spans="1:3">
      <c r="A3117">
        <v>3109</v>
      </c>
      <c r="B3117">
        <v>0.67587539243527583</v>
      </c>
      <c r="C3117">
        <v>0.64334876626071491</v>
      </c>
    </row>
    <row r="3118" spans="1:3">
      <c r="A3118">
        <v>3110</v>
      </c>
      <c r="B3118">
        <v>0.3948461968870941</v>
      </c>
      <c r="C3118">
        <v>0.5373511854231765</v>
      </c>
    </row>
    <row r="3119" spans="1:3">
      <c r="A3119">
        <v>3111</v>
      </c>
      <c r="B3119">
        <v>0.49678567969910464</v>
      </c>
      <c r="C3119">
        <v>0.64736693275244761</v>
      </c>
    </row>
    <row r="3120" spans="1:3">
      <c r="A3120">
        <v>3112</v>
      </c>
      <c r="B3120">
        <v>0.10171637664039535</v>
      </c>
      <c r="C3120">
        <v>0.84888281657731568</v>
      </c>
    </row>
    <row r="3121" spans="1:3">
      <c r="A3121">
        <v>3113</v>
      </c>
      <c r="B3121">
        <v>0.85430826195900067</v>
      </c>
      <c r="C3121">
        <v>0.18834797293038719</v>
      </c>
    </row>
    <row r="3122" spans="1:3">
      <c r="A3122">
        <v>3114</v>
      </c>
      <c r="B3122">
        <v>0.16874667651065314</v>
      </c>
      <c r="C3122">
        <v>0.68231722715427168</v>
      </c>
    </row>
    <row r="3123" spans="1:3">
      <c r="A3123">
        <v>3115</v>
      </c>
      <c r="B3123">
        <v>0.10259000535048313</v>
      </c>
      <c r="C3123">
        <v>0.77166560417663277</v>
      </c>
    </row>
    <row r="3124" spans="1:3">
      <c r="A3124">
        <v>3116</v>
      </c>
      <c r="B3124">
        <v>0.20206850166750803</v>
      </c>
      <c r="C3124">
        <v>0.87449391948211996</v>
      </c>
    </row>
    <row r="3125" spans="1:3">
      <c r="A3125">
        <v>3117</v>
      </c>
      <c r="B3125">
        <v>0.84868953374272438</v>
      </c>
      <c r="C3125">
        <v>0.78235572421272082</v>
      </c>
    </row>
    <row r="3126" spans="1:3">
      <c r="A3126">
        <v>3118</v>
      </c>
      <c r="B3126">
        <v>0.41733110812165103</v>
      </c>
      <c r="C3126">
        <v>0.90912773731179186</v>
      </c>
    </row>
    <row r="3127" spans="1:3">
      <c r="A3127">
        <v>3119</v>
      </c>
      <c r="B3127">
        <v>0.70702989591775234</v>
      </c>
      <c r="C3127">
        <v>0.91047988374248234</v>
      </c>
    </row>
    <row r="3128" spans="1:3">
      <c r="A3128">
        <v>3120</v>
      </c>
      <c r="B3128">
        <v>0.33767767911317703</v>
      </c>
      <c r="C3128">
        <v>0.64773695179428614</v>
      </c>
    </row>
    <row r="3129" spans="1:3">
      <c r="A3129">
        <v>3121</v>
      </c>
      <c r="B3129">
        <v>0.15626093749815154</v>
      </c>
      <c r="C3129">
        <v>0.55151134238349186</v>
      </c>
    </row>
    <row r="3130" spans="1:3">
      <c r="A3130">
        <v>3122</v>
      </c>
      <c r="B3130">
        <v>0.95102855655272234</v>
      </c>
      <c r="C3130">
        <v>0.67330124401632929</v>
      </c>
    </row>
    <row r="3131" spans="1:3">
      <c r="A3131">
        <v>3123</v>
      </c>
      <c r="B3131">
        <v>0.70842932797852654</v>
      </c>
      <c r="C3131">
        <v>0.54937185848757508</v>
      </c>
    </row>
    <row r="3132" spans="1:3">
      <c r="A3132">
        <v>3124</v>
      </c>
      <c r="B3132">
        <v>0.95306766811047405</v>
      </c>
      <c r="C3132">
        <v>0.99684677031473257</v>
      </c>
    </row>
    <row r="3133" spans="1:3">
      <c r="A3133">
        <v>3125</v>
      </c>
      <c r="B3133">
        <v>0.77697642295052682</v>
      </c>
      <c r="C3133">
        <v>0.9061474699728933</v>
      </c>
    </row>
    <row r="3134" spans="1:3">
      <c r="A3134">
        <v>3126</v>
      </c>
      <c r="B3134">
        <v>0.12578723901733457</v>
      </c>
      <c r="C3134">
        <v>0.15866081468448101</v>
      </c>
    </row>
    <row r="3135" spans="1:3">
      <c r="A3135">
        <v>3127</v>
      </c>
      <c r="B3135">
        <v>0.74209276727267837</v>
      </c>
      <c r="C3135">
        <v>0.56298773848266137</v>
      </c>
    </row>
    <row r="3136" spans="1:3">
      <c r="A3136">
        <v>3128</v>
      </c>
      <c r="B3136">
        <v>0.81426674802719312</v>
      </c>
      <c r="C3136">
        <v>0.97788551290068426</v>
      </c>
    </row>
    <row r="3137" spans="1:3">
      <c r="A3137">
        <v>3129</v>
      </c>
      <c r="B3137">
        <v>0.64865081316829909</v>
      </c>
      <c r="C3137">
        <v>0.61375153526660142</v>
      </c>
    </row>
    <row r="3138" spans="1:3">
      <c r="A3138">
        <v>3130</v>
      </c>
      <c r="B3138">
        <v>0.68041718688491204</v>
      </c>
      <c r="C3138">
        <v>0.84528051895722456</v>
      </c>
    </row>
    <row r="3139" spans="1:3">
      <c r="A3139">
        <v>3131</v>
      </c>
      <c r="B3139">
        <v>0.78426158352742481</v>
      </c>
      <c r="C3139">
        <v>0.50559511557457881</v>
      </c>
    </row>
    <row r="3140" spans="1:3">
      <c r="A3140">
        <v>3132</v>
      </c>
      <c r="B3140">
        <v>0.35694389210896194</v>
      </c>
      <c r="C3140">
        <v>0.47296347187511856</v>
      </c>
    </row>
    <row r="3141" spans="1:3">
      <c r="A3141">
        <v>3133</v>
      </c>
      <c r="B3141">
        <v>0.72330921311599883</v>
      </c>
      <c r="C3141">
        <v>0.80161974719794671</v>
      </c>
    </row>
    <row r="3142" spans="1:3">
      <c r="A3142">
        <v>3134</v>
      </c>
      <c r="B3142">
        <v>0.45629176715488823</v>
      </c>
      <c r="C3142">
        <v>0.54423710814626247</v>
      </c>
    </row>
    <row r="3143" spans="1:3">
      <c r="A3143">
        <v>3135</v>
      </c>
      <c r="B3143">
        <v>0.39961687528817375</v>
      </c>
      <c r="C3143">
        <v>0.92345080437098659</v>
      </c>
    </row>
    <row r="3144" spans="1:3">
      <c r="A3144">
        <v>3136</v>
      </c>
      <c r="B3144">
        <v>0.5474159086244218</v>
      </c>
      <c r="C3144">
        <v>0.11391130320771481</v>
      </c>
    </row>
    <row r="3145" spans="1:3">
      <c r="A3145">
        <v>3137</v>
      </c>
      <c r="B3145">
        <v>0.62725847890378406</v>
      </c>
      <c r="C3145">
        <v>0.75258039601521887</v>
      </c>
    </row>
    <row r="3146" spans="1:3">
      <c r="A3146">
        <v>3138</v>
      </c>
      <c r="B3146">
        <v>5.9778045601299505E-2</v>
      </c>
      <c r="C3146">
        <v>0.46869043584410974</v>
      </c>
    </row>
    <row r="3147" spans="1:3">
      <c r="A3147">
        <v>3139</v>
      </c>
      <c r="B3147">
        <v>0.56404840740939799</v>
      </c>
      <c r="C3147">
        <v>0.6618112349697185</v>
      </c>
    </row>
    <row r="3148" spans="1:3">
      <c r="A3148">
        <v>3140</v>
      </c>
      <c r="B3148">
        <v>0.41805805031714455</v>
      </c>
      <c r="C3148">
        <v>0.67532793561713333</v>
      </c>
    </row>
    <row r="3149" spans="1:3">
      <c r="A3149">
        <v>3141</v>
      </c>
      <c r="B3149">
        <v>0.15918136710244729</v>
      </c>
      <c r="C3149">
        <v>0.86557971220099716</v>
      </c>
    </row>
    <row r="3150" spans="1:3">
      <c r="A3150">
        <v>3142</v>
      </c>
      <c r="B3150">
        <v>0.65656211287755573</v>
      </c>
      <c r="C3150">
        <v>0.45143587801339891</v>
      </c>
    </row>
    <row r="3151" spans="1:3">
      <c r="A3151">
        <v>3143</v>
      </c>
      <c r="B3151">
        <v>0.72234078854367623</v>
      </c>
      <c r="C3151">
        <v>0.60366364486253588</v>
      </c>
    </row>
    <row r="3152" spans="1:3">
      <c r="A3152">
        <v>3144</v>
      </c>
      <c r="B3152">
        <v>0.11184117944520926</v>
      </c>
      <c r="C3152">
        <v>0.16511363567678927</v>
      </c>
    </row>
    <row r="3153" spans="1:3">
      <c r="A3153">
        <v>3145</v>
      </c>
      <c r="B3153">
        <v>0.17990327037468162</v>
      </c>
      <c r="C3153">
        <v>0.53184547154707218</v>
      </c>
    </row>
    <row r="3154" spans="1:3">
      <c r="A3154">
        <v>3146</v>
      </c>
      <c r="B3154">
        <v>0.66862054118561109</v>
      </c>
      <c r="C3154">
        <v>0.21438227399494281</v>
      </c>
    </row>
    <row r="3155" spans="1:3">
      <c r="A3155">
        <v>3147</v>
      </c>
      <c r="B3155">
        <v>0.91748033475868418</v>
      </c>
      <c r="C3155">
        <v>5.7044724059778673E-2</v>
      </c>
    </row>
    <row r="3156" spans="1:3">
      <c r="A3156">
        <v>3148</v>
      </c>
      <c r="B3156">
        <v>0.22530439946816874</v>
      </c>
      <c r="C3156">
        <v>0.51207403527769202</v>
      </c>
    </row>
    <row r="3157" spans="1:3">
      <c r="A3157">
        <v>3149</v>
      </c>
      <c r="B3157">
        <v>0.53904279141599376</v>
      </c>
      <c r="C3157">
        <v>0.73141305266562995</v>
      </c>
    </row>
    <row r="3158" spans="1:3">
      <c r="A3158">
        <v>3150</v>
      </c>
      <c r="B3158">
        <v>0.24897764634102995</v>
      </c>
      <c r="C3158">
        <v>0.33825631019138314</v>
      </c>
    </row>
    <row r="3159" spans="1:3">
      <c r="A3159">
        <v>3151</v>
      </c>
      <c r="B3159">
        <v>0.81965594201755154</v>
      </c>
      <c r="C3159">
        <v>0.10064056030205393</v>
      </c>
    </row>
    <row r="3160" spans="1:3">
      <c r="A3160">
        <v>3152</v>
      </c>
      <c r="B3160">
        <v>0.53093107729599143</v>
      </c>
      <c r="C3160">
        <v>0.16590781010836508</v>
      </c>
    </row>
    <row r="3161" spans="1:3">
      <c r="A3161">
        <v>3153</v>
      </c>
      <c r="B3161">
        <v>4.9481261401269877E-2</v>
      </c>
      <c r="C3161">
        <v>5.0884609678178094E-2</v>
      </c>
    </row>
    <row r="3162" spans="1:3">
      <c r="A3162">
        <v>3154</v>
      </c>
      <c r="B3162">
        <v>0.13290972457218678</v>
      </c>
      <c r="C3162">
        <v>0.40729948166972463</v>
      </c>
    </row>
    <row r="3163" spans="1:3">
      <c r="A3163">
        <v>3155</v>
      </c>
      <c r="B3163">
        <v>0.50795180104750948</v>
      </c>
      <c r="C3163">
        <v>0.11050651072036999</v>
      </c>
    </row>
    <row r="3164" spans="1:3">
      <c r="A3164">
        <v>3156</v>
      </c>
      <c r="B3164">
        <v>0.7067777789691877</v>
      </c>
      <c r="C3164">
        <v>0.29928340318019764</v>
      </c>
    </row>
    <row r="3165" spans="1:3">
      <c r="A3165">
        <v>3157</v>
      </c>
      <c r="B3165">
        <v>0.56803739209404158</v>
      </c>
      <c r="C3165">
        <v>0.76465209735397366</v>
      </c>
    </row>
    <row r="3166" spans="1:3">
      <c r="A3166">
        <v>3158</v>
      </c>
      <c r="B3166">
        <v>0.49790966436367246</v>
      </c>
      <c r="C3166">
        <v>0.63247889848571504</v>
      </c>
    </row>
    <row r="3167" spans="1:3">
      <c r="A3167">
        <v>3159</v>
      </c>
      <c r="B3167">
        <v>0.25168526074846398</v>
      </c>
      <c r="C3167">
        <v>0.73478613783208857</v>
      </c>
    </row>
    <row r="3168" spans="1:3">
      <c r="A3168">
        <v>3160</v>
      </c>
      <c r="B3168">
        <v>0.85620873072459558</v>
      </c>
      <c r="C3168">
        <v>0.35027910425742448</v>
      </c>
    </row>
    <row r="3169" spans="1:3">
      <c r="A3169">
        <v>3161</v>
      </c>
      <c r="B3169">
        <v>0.58914482869872475</v>
      </c>
      <c r="C3169">
        <v>0.36448420089166689</v>
      </c>
    </row>
    <row r="3170" spans="1:3">
      <c r="A3170">
        <v>3162</v>
      </c>
      <c r="B3170">
        <v>0.49598652377272645</v>
      </c>
      <c r="C3170">
        <v>0.99473949140428886</v>
      </c>
    </row>
    <row r="3171" spans="1:3">
      <c r="A3171">
        <v>3163</v>
      </c>
      <c r="B3171">
        <v>0.99628648588496416</v>
      </c>
      <c r="C3171">
        <v>0.73100037908261584</v>
      </c>
    </row>
    <row r="3172" spans="1:3">
      <c r="A3172">
        <v>3164</v>
      </c>
      <c r="B3172">
        <v>0.10749691819979271</v>
      </c>
      <c r="C3172">
        <v>0.8093408510185327</v>
      </c>
    </row>
    <row r="3173" spans="1:3">
      <c r="A3173">
        <v>3165</v>
      </c>
      <c r="B3173">
        <v>0.80458200585776518</v>
      </c>
      <c r="C3173">
        <v>0.37856884831856519</v>
      </c>
    </row>
    <row r="3174" spans="1:3">
      <c r="A3174">
        <v>3166</v>
      </c>
      <c r="B3174">
        <v>0.59011088462046135</v>
      </c>
      <c r="C3174">
        <v>0.19283326843833493</v>
      </c>
    </row>
    <row r="3175" spans="1:3">
      <c r="A3175">
        <v>3167</v>
      </c>
      <c r="B3175">
        <v>0.25984591282118247</v>
      </c>
      <c r="C3175">
        <v>0.67584339306722541</v>
      </c>
    </row>
    <row r="3176" spans="1:3">
      <c r="A3176">
        <v>3168</v>
      </c>
      <c r="B3176">
        <v>0.65833290611508599</v>
      </c>
      <c r="C3176">
        <v>0.51627619816281367</v>
      </c>
    </row>
    <row r="3177" spans="1:3">
      <c r="A3177">
        <v>3169</v>
      </c>
      <c r="B3177">
        <v>0.20476657355645825</v>
      </c>
      <c r="C3177">
        <v>0.42443184725108818</v>
      </c>
    </row>
    <row r="3178" spans="1:3">
      <c r="A3178">
        <v>3170</v>
      </c>
      <c r="B3178">
        <v>0.84561531704911397</v>
      </c>
      <c r="C3178">
        <v>4.3849793641129509E-2</v>
      </c>
    </row>
    <row r="3179" spans="1:3">
      <c r="A3179">
        <v>3171</v>
      </c>
      <c r="B3179">
        <v>0.26257292874133514</v>
      </c>
      <c r="C3179">
        <v>0.83756841460399301</v>
      </c>
    </row>
    <row r="3180" spans="1:3">
      <c r="A3180">
        <v>3172</v>
      </c>
      <c r="B3180">
        <v>8.4445769674527868E-2</v>
      </c>
      <c r="C3180">
        <v>0.85393504105195461</v>
      </c>
    </row>
    <row r="3181" spans="1:3">
      <c r="A3181">
        <v>3173</v>
      </c>
      <c r="B3181">
        <v>0.20661124162064198</v>
      </c>
      <c r="C3181">
        <v>0.37824137621464615</v>
      </c>
    </row>
    <row r="3182" spans="1:3">
      <c r="A3182">
        <v>3174</v>
      </c>
      <c r="B3182">
        <v>5.3827307756484323E-3</v>
      </c>
      <c r="C3182">
        <v>0.41421934950722061</v>
      </c>
    </row>
    <row r="3183" spans="1:3">
      <c r="A3183">
        <v>3175</v>
      </c>
      <c r="B3183">
        <v>3.9310449701573337E-3</v>
      </c>
      <c r="C3183">
        <v>0.50450147353694774</v>
      </c>
    </row>
    <row r="3184" spans="1:3">
      <c r="A3184">
        <v>3176</v>
      </c>
      <c r="B3184">
        <v>6.5429428125924768E-2</v>
      </c>
      <c r="C3184">
        <v>0.38007077595375449</v>
      </c>
    </row>
    <row r="3185" spans="1:3">
      <c r="A3185">
        <v>3177</v>
      </c>
      <c r="B3185">
        <v>0.34087352917056379</v>
      </c>
      <c r="C3185">
        <v>0.74826623458102404</v>
      </c>
    </row>
    <row r="3186" spans="1:3">
      <c r="A3186">
        <v>3178</v>
      </c>
      <c r="B3186">
        <v>0.82279698467589846</v>
      </c>
      <c r="C3186">
        <v>0.23994362024404836</v>
      </c>
    </row>
    <row r="3187" spans="1:3">
      <c r="A3187">
        <v>3179</v>
      </c>
      <c r="B3187">
        <v>0.50150244011974487</v>
      </c>
      <c r="C3187">
        <v>0.67036426187041798</v>
      </c>
    </row>
    <row r="3188" spans="1:3">
      <c r="A3188">
        <v>3180</v>
      </c>
      <c r="B3188">
        <v>0.40455002142152519</v>
      </c>
      <c r="C3188">
        <v>0.24231209974732337</v>
      </c>
    </row>
    <row r="3189" spans="1:3">
      <c r="A3189">
        <v>3181</v>
      </c>
      <c r="B3189">
        <v>0.15545808972293931</v>
      </c>
      <c r="C3189">
        <v>0.57160244995429821</v>
      </c>
    </row>
    <row r="3190" spans="1:3">
      <c r="A3190">
        <v>3182</v>
      </c>
      <c r="B3190">
        <v>0.64367947072900811</v>
      </c>
      <c r="C3190">
        <v>0.55306087117878633</v>
      </c>
    </row>
    <row r="3191" spans="1:3">
      <c r="A3191">
        <v>3183</v>
      </c>
      <c r="B3191">
        <v>0.64267870137097283</v>
      </c>
      <c r="C3191">
        <v>0.56483600286446745</v>
      </c>
    </row>
    <row r="3192" spans="1:3">
      <c r="A3192">
        <v>3184</v>
      </c>
      <c r="B3192">
        <v>0.59511416520786331</v>
      </c>
      <c r="C3192">
        <v>0.69721947634752723</v>
      </c>
    </row>
    <row r="3193" spans="1:3">
      <c r="A3193">
        <v>3185</v>
      </c>
      <c r="B3193">
        <v>0.907867626476909</v>
      </c>
      <c r="C3193">
        <v>0.6269932471032007</v>
      </c>
    </row>
    <row r="3194" spans="1:3">
      <c r="A3194">
        <v>3186</v>
      </c>
      <c r="B3194">
        <v>0.88311981980822041</v>
      </c>
      <c r="C3194">
        <v>8.1909929873290821E-2</v>
      </c>
    </row>
    <row r="3195" spans="1:3">
      <c r="A3195">
        <v>3187</v>
      </c>
      <c r="B3195">
        <v>0.7270026701204485</v>
      </c>
      <c r="C3195">
        <v>0.26620540719977726</v>
      </c>
    </row>
    <row r="3196" spans="1:3">
      <c r="A3196">
        <v>3188</v>
      </c>
      <c r="B3196">
        <v>0.8959351052434964</v>
      </c>
      <c r="C3196">
        <v>0.86628320075396914</v>
      </c>
    </row>
    <row r="3197" spans="1:3">
      <c r="A3197">
        <v>3189</v>
      </c>
      <c r="B3197">
        <v>0.45544612944830348</v>
      </c>
      <c r="C3197">
        <v>6.4422553131407767E-2</v>
      </c>
    </row>
    <row r="3198" spans="1:3">
      <c r="A3198">
        <v>3190</v>
      </c>
      <c r="B3198">
        <v>0.46899498599781536</v>
      </c>
      <c r="C3198">
        <v>0.84567074999722536</v>
      </c>
    </row>
    <row r="3199" spans="1:3">
      <c r="A3199">
        <v>3191</v>
      </c>
      <c r="B3199">
        <v>0.62788961924274667</v>
      </c>
      <c r="C3199">
        <v>0.63219810440114088</v>
      </c>
    </row>
    <row r="3200" spans="1:3">
      <c r="A3200">
        <v>3192</v>
      </c>
      <c r="B3200">
        <v>0.90460068606152222</v>
      </c>
      <c r="C3200">
        <v>0.64420463130772987</v>
      </c>
    </row>
    <row r="3201" spans="1:3">
      <c r="A3201">
        <v>3193</v>
      </c>
      <c r="B3201">
        <v>0.22896823141145711</v>
      </c>
      <c r="C3201">
        <v>0.95431412589186948</v>
      </c>
    </row>
    <row r="3202" spans="1:3">
      <c r="A3202">
        <v>3194</v>
      </c>
      <c r="B3202">
        <v>0.36986873005616216</v>
      </c>
      <c r="C3202">
        <v>0.6968933575990377</v>
      </c>
    </row>
    <row r="3203" spans="1:3">
      <c r="A3203">
        <v>3195</v>
      </c>
      <c r="B3203">
        <v>0.78556328149166965</v>
      </c>
      <c r="C3203">
        <v>0.89399940164366853</v>
      </c>
    </row>
    <row r="3204" spans="1:3">
      <c r="A3204">
        <v>3196</v>
      </c>
      <c r="B3204">
        <v>0.83423746434125057</v>
      </c>
      <c r="C3204">
        <v>0.22132042123757856</v>
      </c>
    </row>
    <row r="3205" spans="1:3">
      <c r="A3205">
        <v>3197</v>
      </c>
      <c r="B3205">
        <v>3.4391870404032958E-2</v>
      </c>
      <c r="C3205">
        <v>0.26099492072353314</v>
      </c>
    </row>
    <row r="3206" spans="1:3">
      <c r="A3206">
        <v>3198</v>
      </c>
      <c r="B3206">
        <v>0.89239336053351725</v>
      </c>
      <c r="C3206">
        <v>0.64057296054033941</v>
      </c>
    </row>
    <row r="3207" spans="1:3">
      <c r="A3207">
        <v>3199</v>
      </c>
      <c r="B3207">
        <v>0.18028059546902789</v>
      </c>
      <c r="C3207">
        <v>0.19073337327426998</v>
      </c>
    </row>
    <row r="3208" spans="1:3">
      <c r="A3208">
        <v>3200</v>
      </c>
      <c r="B3208">
        <v>0.19069787762130094</v>
      </c>
      <c r="C3208">
        <v>0.80337904145835637</v>
      </c>
    </row>
    <row r="3209" spans="1:3">
      <c r="A3209">
        <v>3201</v>
      </c>
      <c r="B3209">
        <v>0.67067834332452125</v>
      </c>
      <c r="C3209">
        <v>0.89150352003525768</v>
      </c>
    </row>
    <row r="3210" spans="1:3">
      <c r="A3210">
        <v>3202</v>
      </c>
      <c r="B3210">
        <v>0.79394748857695319</v>
      </c>
      <c r="C3210">
        <v>0.22820949206382579</v>
      </c>
    </row>
    <row r="3211" spans="1:3">
      <c r="A3211">
        <v>3203</v>
      </c>
      <c r="B3211">
        <v>0.9027476790923038</v>
      </c>
      <c r="C3211">
        <v>0.6592586517062955</v>
      </c>
    </row>
    <row r="3212" spans="1:3">
      <c r="A3212">
        <v>3204</v>
      </c>
      <c r="B3212">
        <v>0.58546218192015353</v>
      </c>
      <c r="C3212">
        <v>0.51473407804405724</v>
      </c>
    </row>
    <row r="3213" spans="1:3">
      <c r="A3213">
        <v>3205</v>
      </c>
      <c r="B3213">
        <v>0.89157026816033069</v>
      </c>
      <c r="C3213">
        <v>4.5726720244601893E-2</v>
      </c>
    </row>
    <row r="3214" spans="1:3">
      <c r="A3214">
        <v>3206</v>
      </c>
      <c r="B3214">
        <v>0.68649374695226872</v>
      </c>
      <c r="C3214">
        <v>0.27978093552519567</v>
      </c>
    </row>
    <row r="3215" spans="1:3">
      <c r="A3215">
        <v>3207</v>
      </c>
      <c r="B3215">
        <v>0.73993549100019396</v>
      </c>
      <c r="C3215">
        <v>0.22099610916032475</v>
      </c>
    </row>
    <row r="3216" spans="1:3">
      <c r="A3216">
        <v>3208</v>
      </c>
      <c r="B3216">
        <v>0.55100648157047261</v>
      </c>
      <c r="C3216">
        <v>0.36495086968079704</v>
      </c>
    </row>
    <row r="3217" spans="1:3">
      <c r="A3217">
        <v>3209</v>
      </c>
      <c r="B3217">
        <v>0.93793240656646248</v>
      </c>
      <c r="C3217">
        <v>2.0163308035989758E-3</v>
      </c>
    </row>
    <row r="3218" spans="1:3">
      <c r="A3218">
        <v>3210</v>
      </c>
      <c r="B3218">
        <v>0.77871425394320726</v>
      </c>
      <c r="C3218">
        <v>0.38702194106008392</v>
      </c>
    </row>
    <row r="3219" spans="1:3">
      <c r="A3219">
        <v>3211</v>
      </c>
      <c r="B3219">
        <v>0.8310149784707499</v>
      </c>
      <c r="C3219">
        <v>0.91811398433037539</v>
      </c>
    </row>
    <row r="3220" spans="1:3">
      <c r="A3220">
        <v>3212</v>
      </c>
      <c r="B3220">
        <v>0.74519883539974663</v>
      </c>
      <c r="C3220">
        <v>0.26658130734904262</v>
      </c>
    </row>
    <row r="3221" spans="1:3">
      <c r="A3221">
        <v>3213</v>
      </c>
      <c r="B3221">
        <v>0.39001030404996367</v>
      </c>
      <c r="C3221">
        <v>0.90767952686746867</v>
      </c>
    </row>
    <row r="3222" spans="1:3">
      <c r="A3222">
        <v>3214</v>
      </c>
      <c r="B3222">
        <v>0.24703785472792525</v>
      </c>
      <c r="C3222">
        <v>0.9531654390048061</v>
      </c>
    </row>
    <row r="3223" spans="1:3">
      <c r="A3223">
        <v>3215</v>
      </c>
      <c r="B3223">
        <v>9.5615640472484664E-2</v>
      </c>
      <c r="C3223">
        <v>0.75996989958275663</v>
      </c>
    </row>
    <row r="3224" spans="1:3">
      <c r="A3224">
        <v>3216</v>
      </c>
      <c r="B3224">
        <v>0.12188950685921347</v>
      </c>
      <c r="C3224">
        <v>0.38546632426550786</v>
      </c>
    </row>
    <row r="3225" spans="1:3">
      <c r="A3225">
        <v>3217</v>
      </c>
      <c r="B3225">
        <v>0.63797229708073944</v>
      </c>
      <c r="C3225">
        <v>0.71462424791479862</v>
      </c>
    </row>
    <row r="3226" spans="1:3">
      <c r="A3226">
        <v>3218</v>
      </c>
      <c r="B3226">
        <v>0.56101952456604209</v>
      </c>
      <c r="C3226">
        <v>0.1915253242405015</v>
      </c>
    </row>
    <row r="3227" spans="1:3">
      <c r="A3227">
        <v>3219</v>
      </c>
      <c r="B3227">
        <v>0.65359214540221544</v>
      </c>
      <c r="C3227">
        <v>0.79802556774939148</v>
      </c>
    </row>
    <row r="3228" spans="1:3">
      <c r="A3228">
        <v>3220</v>
      </c>
      <c r="B3228">
        <v>0.24829958527383852</v>
      </c>
      <c r="C3228">
        <v>0.67412810524001543</v>
      </c>
    </row>
    <row r="3229" spans="1:3">
      <c r="A3229">
        <v>3221</v>
      </c>
      <c r="B3229">
        <v>0.93083196077780617</v>
      </c>
      <c r="C3229">
        <v>1.6348713206753018E-2</v>
      </c>
    </row>
    <row r="3230" spans="1:3">
      <c r="A3230">
        <v>3222</v>
      </c>
      <c r="B3230">
        <v>0.3969870749965746</v>
      </c>
      <c r="C3230">
        <v>0.37896295388873114</v>
      </c>
    </row>
    <row r="3231" spans="1:3">
      <c r="A3231">
        <v>3223</v>
      </c>
      <c r="B3231">
        <v>0.8755927182216181</v>
      </c>
      <c r="C3231">
        <v>0.72247502978282796</v>
      </c>
    </row>
    <row r="3232" spans="1:3">
      <c r="A3232">
        <v>3224</v>
      </c>
      <c r="B3232">
        <v>0.90392798064405289</v>
      </c>
      <c r="C3232">
        <v>0.5893275664839166</v>
      </c>
    </row>
    <row r="3233" spans="1:3">
      <c r="A3233">
        <v>3225</v>
      </c>
      <c r="B3233">
        <v>0.79745809056029149</v>
      </c>
      <c r="C3233">
        <v>0.79919336293187371</v>
      </c>
    </row>
    <row r="3234" spans="1:3">
      <c r="A3234">
        <v>3226</v>
      </c>
      <c r="B3234">
        <v>0.31157452321526935</v>
      </c>
      <c r="C3234">
        <v>0.63076245929551078</v>
      </c>
    </row>
    <row r="3235" spans="1:3">
      <c r="A3235">
        <v>3227</v>
      </c>
      <c r="B3235">
        <v>0.78752024383491848</v>
      </c>
      <c r="C3235">
        <v>0.43980108483356162</v>
      </c>
    </row>
    <row r="3236" spans="1:3">
      <c r="A3236">
        <v>3228</v>
      </c>
      <c r="B3236">
        <v>0.48032229572486185</v>
      </c>
      <c r="C3236">
        <v>0.16410555727088649</v>
      </c>
    </row>
    <row r="3237" spans="1:3">
      <c r="A3237">
        <v>3229</v>
      </c>
      <c r="B3237">
        <v>0.75160938760237983</v>
      </c>
      <c r="C3237">
        <v>0.57666065352987061</v>
      </c>
    </row>
    <row r="3238" spans="1:3">
      <c r="A3238">
        <v>3230</v>
      </c>
      <c r="B3238">
        <v>0.45860275006722723</v>
      </c>
      <c r="C3238">
        <v>0.35620031068901881</v>
      </c>
    </row>
    <row r="3239" spans="1:3">
      <c r="A3239">
        <v>3231</v>
      </c>
      <c r="B3239">
        <v>0.28215541041091913</v>
      </c>
      <c r="C3239">
        <v>0.4397392535029212</v>
      </c>
    </row>
    <row r="3240" spans="1:3">
      <c r="A3240">
        <v>3232</v>
      </c>
      <c r="B3240">
        <v>0.65876996691286793</v>
      </c>
      <c r="C3240">
        <v>0.32905933216079575</v>
      </c>
    </row>
    <row r="3241" spans="1:3">
      <c r="A3241">
        <v>3233</v>
      </c>
      <c r="B3241">
        <v>0.69895547370355471</v>
      </c>
      <c r="C3241">
        <v>0.26834528722429241</v>
      </c>
    </row>
    <row r="3242" spans="1:3">
      <c r="A3242">
        <v>3234</v>
      </c>
      <c r="B3242">
        <v>0.40623114791755355</v>
      </c>
      <c r="C3242">
        <v>0.14212412655342632</v>
      </c>
    </row>
    <row r="3243" spans="1:3">
      <c r="A3243">
        <v>3235</v>
      </c>
      <c r="B3243">
        <v>0.23151748923936802</v>
      </c>
      <c r="C3243">
        <v>0.31982867584522978</v>
      </c>
    </row>
    <row r="3244" spans="1:3">
      <c r="A3244">
        <v>3236</v>
      </c>
      <c r="B3244">
        <v>0.41284047511030003</v>
      </c>
      <c r="C3244">
        <v>0.66057750704385398</v>
      </c>
    </row>
    <row r="3245" spans="1:3">
      <c r="A3245">
        <v>3237</v>
      </c>
      <c r="B3245">
        <v>0.80879098198669752</v>
      </c>
      <c r="C3245">
        <v>0.86862309180014563</v>
      </c>
    </row>
    <row r="3246" spans="1:3">
      <c r="A3246">
        <v>3238</v>
      </c>
      <c r="B3246">
        <v>0.36358350499034475</v>
      </c>
      <c r="C3246">
        <v>0.45098743311609724</v>
      </c>
    </row>
    <row r="3247" spans="1:3">
      <c r="A3247">
        <v>3239</v>
      </c>
      <c r="B3247">
        <v>5.2409979225790583E-2</v>
      </c>
      <c r="C3247">
        <v>0.56794854319650767</v>
      </c>
    </row>
    <row r="3248" spans="1:3">
      <c r="A3248">
        <v>3240</v>
      </c>
      <c r="B3248">
        <v>0.81661313629378873</v>
      </c>
      <c r="C3248">
        <v>0.84790611543394334</v>
      </c>
    </row>
    <row r="3249" spans="1:3">
      <c r="A3249">
        <v>3241</v>
      </c>
      <c r="B3249">
        <v>0.9584245661830586</v>
      </c>
      <c r="C3249">
        <v>0.46247366010447877</v>
      </c>
    </row>
    <row r="3250" spans="1:3">
      <c r="A3250">
        <v>3242</v>
      </c>
      <c r="B3250">
        <v>3.2376723369205536E-3</v>
      </c>
      <c r="C3250">
        <v>0.30453576867148513</v>
      </c>
    </row>
    <row r="3251" spans="1:3">
      <c r="A3251">
        <v>3243</v>
      </c>
      <c r="B3251">
        <v>7.4263574717255212E-2</v>
      </c>
      <c r="C3251">
        <v>0.27594376472825388</v>
      </c>
    </row>
    <row r="3252" spans="1:3">
      <c r="A3252">
        <v>3244</v>
      </c>
      <c r="B3252">
        <v>9.5034096743733171E-2</v>
      </c>
      <c r="C3252">
        <v>0.46433408087068528</v>
      </c>
    </row>
    <row r="3253" spans="1:3">
      <c r="A3253">
        <v>3245</v>
      </c>
      <c r="B3253">
        <v>6.0207335562074402E-2</v>
      </c>
      <c r="C3253">
        <v>0.24033696279821015</v>
      </c>
    </row>
    <row r="3254" spans="1:3">
      <c r="A3254">
        <v>3246</v>
      </c>
      <c r="B3254">
        <v>0.4971256476883138</v>
      </c>
      <c r="C3254">
        <v>0.11462781320369686</v>
      </c>
    </row>
    <row r="3255" spans="1:3">
      <c r="A3255">
        <v>3247</v>
      </c>
      <c r="B3255">
        <v>0.7338502075992176</v>
      </c>
      <c r="C3255">
        <v>0.59614454850088805</v>
      </c>
    </row>
    <row r="3256" spans="1:3">
      <c r="A3256">
        <v>3248</v>
      </c>
      <c r="B3256">
        <v>0.42055705722141012</v>
      </c>
      <c r="C3256">
        <v>0.11118313466704421</v>
      </c>
    </row>
    <row r="3257" spans="1:3">
      <c r="A3257">
        <v>3249</v>
      </c>
      <c r="B3257">
        <v>0.43231331765631059</v>
      </c>
      <c r="C3257">
        <v>0.69512063243928424</v>
      </c>
    </row>
    <row r="3258" spans="1:3">
      <c r="A3258">
        <v>3250</v>
      </c>
      <c r="B3258">
        <v>0.68674336194641505</v>
      </c>
      <c r="C3258">
        <v>0.53750558248884772</v>
      </c>
    </row>
    <row r="3259" spans="1:3">
      <c r="A3259">
        <v>3251</v>
      </c>
      <c r="B3259">
        <v>0.68933150161004897</v>
      </c>
      <c r="C3259">
        <v>0.16444394854261191</v>
      </c>
    </row>
    <row r="3260" spans="1:3">
      <c r="A3260">
        <v>3252</v>
      </c>
      <c r="B3260">
        <v>1.1519465230200315E-2</v>
      </c>
      <c r="C3260">
        <v>0.60065366425897082</v>
      </c>
    </row>
    <row r="3261" spans="1:3">
      <c r="A3261">
        <v>3253</v>
      </c>
      <c r="B3261">
        <v>0.89494086614436019</v>
      </c>
      <c r="C3261">
        <v>0.8358948034565401</v>
      </c>
    </row>
    <row r="3262" spans="1:3">
      <c r="A3262">
        <v>3254</v>
      </c>
      <c r="B3262">
        <v>0.36370791005238606</v>
      </c>
      <c r="C3262">
        <v>0.25157393929293903</v>
      </c>
    </row>
    <row r="3263" spans="1:3">
      <c r="A3263">
        <v>3255</v>
      </c>
      <c r="B3263">
        <v>0.5688084219334667</v>
      </c>
      <c r="C3263">
        <v>0.92679467334983201</v>
      </c>
    </row>
    <row r="3264" spans="1:3">
      <c r="A3264">
        <v>3256</v>
      </c>
      <c r="B3264">
        <v>0.43209686209016873</v>
      </c>
      <c r="C3264">
        <v>0.50935223726628465</v>
      </c>
    </row>
    <row r="3265" spans="1:3">
      <c r="A3265">
        <v>3257</v>
      </c>
      <c r="B3265">
        <v>0.35934224694123079</v>
      </c>
      <c r="C3265">
        <v>0.55148293861566344</v>
      </c>
    </row>
    <row r="3266" spans="1:3">
      <c r="A3266">
        <v>3258</v>
      </c>
      <c r="B3266">
        <v>0.61996505118947598</v>
      </c>
      <c r="C3266">
        <v>0.9565152609238794</v>
      </c>
    </row>
    <row r="3267" spans="1:3">
      <c r="A3267">
        <v>3259</v>
      </c>
      <c r="B3267">
        <v>9.9275121375051123E-2</v>
      </c>
      <c r="C3267">
        <v>0.10471027263156429</v>
      </c>
    </row>
    <row r="3268" spans="1:3">
      <c r="A3268">
        <v>3260</v>
      </c>
      <c r="B3268">
        <v>0.99284234450283515</v>
      </c>
      <c r="C3268">
        <v>0.95379067235353432</v>
      </c>
    </row>
    <row r="3269" spans="1:3">
      <c r="A3269">
        <v>3261</v>
      </c>
      <c r="B3269">
        <v>0.61293601292440103</v>
      </c>
      <c r="C3269">
        <v>0.48905147697587381</v>
      </c>
    </row>
    <row r="3270" spans="1:3">
      <c r="A3270">
        <v>3262</v>
      </c>
      <c r="B3270">
        <v>0.29719921165052782</v>
      </c>
      <c r="C3270">
        <v>0.45445006160207413</v>
      </c>
    </row>
    <row r="3271" spans="1:3">
      <c r="A3271">
        <v>3263</v>
      </c>
      <c r="B3271">
        <v>0.782856304898778</v>
      </c>
      <c r="C3271">
        <v>0.25358632152165228</v>
      </c>
    </row>
    <row r="3272" spans="1:3">
      <c r="A3272">
        <v>3264</v>
      </c>
      <c r="B3272">
        <v>0.14497165680573593</v>
      </c>
      <c r="C3272">
        <v>0.37352499437292863</v>
      </c>
    </row>
    <row r="3273" spans="1:3">
      <c r="A3273">
        <v>3265</v>
      </c>
      <c r="B3273">
        <v>0.64603338295771584</v>
      </c>
      <c r="C3273">
        <v>0.94502472954354744</v>
      </c>
    </row>
    <row r="3274" spans="1:3">
      <c r="A3274">
        <v>3266</v>
      </c>
      <c r="B3274">
        <v>0.14713452531568114</v>
      </c>
      <c r="C3274">
        <v>9.6471941735217115E-2</v>
      </c>
    </row>
    <row r="3275" spans="1:3">
      <c r="A3275">
        <v>3267</v>
      </c>
      <c r="B3275">
        <v>0.64478222081339498</v>
      </c>
      <c r="C3275">
        <v>0.19952029549949657</v>
      </c>
    </row>
    <row r="3276" spans="1:3">
      <c r="A3276">
        <v>3268</v>
      </c>
      <c r="B3276">
        <v>2.9595487637164884E-2</v>
      </c>
      <c r="C3276">
        <v>0.8303360923218861</v>
      </c>
    </row>
    <row r="3277" spans="1:3">
      <c r="A3277">
        <v>3269</v>
      </c>
      <c r="B3277">
        <v>0.23435880378697971</v>
      </c>
      <c r="C3277">
        <v>0.2183967396567823</v>
      </c>
    </row>
    <row r="3278" spans="1:3">
      <c r="A3278">
        <v>3270</v>
      </c>
      <c r="B3278">
        <v>0.93357970749726049</v>
      </c>
      <c r="C3278">
        <v>0.44347814866344493</v>
      </c>
    </row>
    <row r="3279" spans="1:3">
      <c r="A3279">
        <v>3271</v>
      </c>
      <c r="B3279">
        <v>0.82572219449074979</v>
      </c>
      <c r="C3279">
        <v>0.84311455673548608</v>
      </c>
    </row>
    <row r="3280" spans="1:3">
      <c r="A3280">
        <v>3272</v>
      </c>
      <c r="B3280">
        <v>0.69544997040542078</v>
      </c>
      <c r="C3280">
        <v>0.96346384969865539</v>
      </c>
    </row>
    <row r="3281" spans="1:3">
      <c r="A3281">
        <v>3273</v>
      </c>
      <c r="B3281">
        <v>0.24382570806886669</v>
      </c>
      <c r="C3281">
        <v>5.0710205647192197E-2</v>
      </c>
    </row>
    <row r="3282" spans="1:3">
      <c r="A3282">
        <v>3274</v>
      </c>
      <c r="B3282">
        <v>0.18477970545952666</v>
      </c>
      <c r="C3282">
        <v>0.8722478171766852</v>
      </c>
    </row>
    <row r="3283" spans="1:3">
      <c r="A3283">
        <v>3275</v>
      </c>
      <c r="B3283">
        <v>0.61976193572356419</v>
      </c>
      <c r="C3283">
        <v>0.7883228425453126</v>
      </c>
    </row>
    <row r="3284" spans="1:3">
      <c r="A3284">
        <v>3276</v>
      </c>
      <c r="B3284">
        <v>0.45852114506548297</v>
      </c>
      <c r="C3284">
        <v>0.12727077561341105</v>
      </c>
    </row>
    <row r="3285" spans="1:3">
      <c r="A3285">
        <v>3277</v>
      </c>
      <c r="B3285">
        <v>0.75433045264005905</v>
      </c>
      <c r="C3285">
        <v>0.59642756427638233</v>
      </c>
    </row>
    <row r="3286" spans="1:3">
      <c r="A3286">
        <v>3278</v>
      </c>
      <c r="B3286">
        <v>0.56996177301992701</v>
      </c>
      <c r="C3286">
        <v>0.88385713863317505</v>
      </c>
    </row>
    <row r="3287" spans="1:3">
      <c r="A3287">
        <v>3279</v>
      </c>
      <c r="B3287">
        <v>0.64985067748223679</v>
      </c>
      <c r="C3287">
        <v>0.51306773558371788</v>
      </c>
    </row>
    <row r="3288" spans="1:3">
      <c r="A3288">
        <v>3280</v>
      </c>
      <c r="B3288">
        <v>0.12732974718751613</v>
      </c>
      <c r="C3288">
        <v>0.80041870998502418</v>
      </c>
    </row>
    <row r="3289" spans="1:3">
      <c r="A3289">
        <v>3281</v>
      </c>
      <c r="B3289">
        <v>0.84282378164525684</v>
      </c>
      <c r="C3289">
        <v>0.79850407981757598</v>
      </c>
    </row>
    <row r="3290" spans="1:3">
      <c r="A3290">
        <v>3282</v>
      </c>
      <c r="B3290">
        <v>0.27513634093542033</v>
      </c>
      <c r="C3290">
        <v>7.3759355557740491E-2</v>
      </c>
    </row>
    <row r="3291" spans="1:3">
      <c r="A3291">
        <v>3283</v>
      </c>
      <c r="B3291">
        <v>0.4805950735786918</v>
      </c>
      <c r="C3291">
        <v>0.55976869211372104</v>
      </c>
    </row>
    <row r="3292" spans="1:3">
      <c r="A3292">
        <v>3284</v>
      </c>
      <c r="B3292">
        <v>0.47433761881374231</v>
      </c>
      <c r="C3292">
        <v>0.63196938657347346</v>
      </c>
    </row>
    <row r="3293" spans="1:3">
      <c r="A3293">
        <v>3285</v>
      </c>
      <c r="B3293">
        <v>0.31392932848789012</v>
      </c>
      <c r="C3293">
        <v>0.15461446217796038</v>
      </c>
    </row>
    <row r="3294" spans="1:3">
      <c r="A3294">
        <v>3286</v>
      </c>
      <c r="B3294">
        <v>4.5398132364451456E-2</v>
      </c>
      <c r="C3294">
        <v>6.9254972100679879E-2</v>
      </c>
    </row>
    <row r="3295" spans="1:3">
      <c r="A3295">
        <v>3287</v>
      </c>
      <c r="B3295">
        <v>0.73863267628840001</v>
      </c>
      <c r="C3295">
        <v>0.28613845951349504</v>
      </c>
    </row>
    <row r="3296" spans="1:3">
      <c r="A3296">
        <v>3288</v>
      </c>
      <c r="B3296">
        <v>0.98882280647587562</v>
      </c>
      <c r="C3296">
        <v>0.87903867415661807</v>
      </c>
    </row>
    <row r="3297" spans="1:3">
      <c r="A3297">
        <v>3289</v>
      </c>
      <c r="B3297">
        <v>0.50982379142642575</v>
      </c>
      <c r="C3297">
        <v>0.61709807300849207</v>
      </c>
    </row>
    <row r="3298" spans="1:3">
      <c r="A3298">
        <v>3290</v>
      </c>
      <c r="B3298">
        <v>5.5685410379545157E-2</v>
      </c>
      <c r="C3298">
        <v>0.10806914195563877</v>
      </c>
    </row>
    <row r="3299" spans="1:3">
      <c r="A3299">
        <v>3291</v>
      </c>
      <c r="B3299">
        <v>0.38429207165229412</v>
      </c>
      <c r="C3299">
        <v>0.60230758240140858</v>
      </c>
    </row>
    <row r="3300" spans="1:3">
      <c r="A3300">
        <v>3292</v>
      </c>
      <c r="B3300">
        <v>0.78478172074574548</v>
      </c>
      <c r="C3300">
        <v>0.14271847825057193</v>
      </c>
    </row>
    <row r="3301" spans="1:3">
      <c r="A3301">
        <v>3293</v>
      </c>
      <c r="B3301">
        <v>0.43256504389219108</v>
      </c>
      <c r="C3301">
        <v>3.9271062594707473E-2</v>
      </c>
    </row>
    <row r="3302" spans="1:3">
      <c r="A3302">
        <v>3294</v>
      </c>
      <c r="B3302">
        <v>0.10514808828545456</v>
      </c>
      <c r="C3302">
        <v>0.75289125261861045</v>
      </c>
    </row>
    <row r="3303" spans="1:3">
      <c r="A3303">
        <v>3295</v>
      </c>
      <c r="B3303">
        <v>0.30471210014031086</v>
      </c>
      <c r="C3303">
        <v>0.44847645047411788</v>
      </c>
    </row>
    <row r="3304" spans="1:3">
      <c r="A3304">
        <v>3296</v>
      </c>
      <c r="B3304">
        <v>3.6939925692961534E-2</v>
      </c>
      <c r="C3304">
        <v>0.78810779385457863</v>
      </c>
    </row>
    <row r="3305" spans="1:3">
      <c r="A3305">
        <v>3297</v>
      </c>
      <c r="B3305">
        <v>0.4312788540996329</v>
      </c>
      <c r="C3305">
        <v>0.66079826659552054</v>
      </c>
    </row>
    <row r="3306" spans="1:3">
      <c r="A3306">
        <v>3298</v>
      </c>
      <c r="B3306">
        <v>0.67779982997886834</v>
      </c>
      <c r="C3306">
        <v>0.47075162919190916</v>
      </c>
    </row>
    <row r="3307" spans="1:3">
      <c r="A3307">
        <v>3299</v>
      </c>
      <c r="B3307">
        <v>0.47212967388130017</v>
      </c>
      <c r="C3307">
        <v>0.25598703537434631</v>
      </c>
    </row>
    <row r="3308" spans="1:3">
      <c r="A3308">
        <v>3300</v>
      </c>
      <c r="B3308">
        <v>0.27156780549841181</v>
      </c>
      <c r="C3308">
        <v>0.76704524040997057</v>
      </c>
    </row>
    <row r="3309" spans="1:3">
      <c r="A3309">
        <v>3301</v>
      </c>
      <c r="B3309">
        <v>0.64356264603761082</v>
      </c>
      <c r="C3309">
        <v>0.11001420866159606</v>
      </c>
    </row>
    <row r="3310" spans="1:3">
      <c r="A3310">
        <v>3302</v>
      </c>
      <c r="B3310">
        <v>0.80036087758121099</v>
      </c>
      <c r="C3310">
        <v>0.1312319751295945</v>
      </c>
    </row>
    <row r="3311" spans="1:3">
      <c r="A3311">
        <v>3303</v>
      </c>
      <c r="B3311">
        <v>0.35023141808799269</v>
      </c>
      <c r="C3311">
        <v>0.98082481400888355</v>
      </c>
    </row>
    <row r="3312" spans="1:3">
      <c r="A3312">
        <v>3304</v>
      </c>
      <c r="B3312">
        <v>0.55734499488830214</v>
      </c>
      <c r="C3312">
        <v>0.3042366537711132</v>
      </c>
    </row>
    <row r="3313" spans="1:3">
      <c r="A3313">
        <v>3305</v>
      </c>
      <c r="B3313">
        <v>0.85839890795201046</v>
      </c>
      <c r="C3313">
        <v>3.7280091913999058E-2</v>
      </c>
    </row>
    <row r="3314" spans="1:3">
      <c r="A3314">
        <v>3306</v>
      </c>
      <c r="B3314">
        <v>0.52150486261427975</v>
      </c>
      <c r="C3314">
        <v>0.26036956768348318</v>
      </c>
    </row>
    <row r="3315" spans="1:3">
      <c r="A3315">
        <v>3307</v>
      </c>
      <c r="B3315">
        <v>0.66059662031256516</v>
      </c>
      <c r="C3315">
        <v>0.96633301667498017</v>
      </c>
    </row>
    <row r="3316" spans="1:3">
      <c r="A3316">
        <v>3308</v>
      </c>
      <c r="B3316">
        <v>0.46057552121634954</v>
      </c>
      <c r="C3316">
        <v>0.84744005429547542</v>
      </c>
    </row>
    <row r="3317" spans="1:3">
      <c r="A3317">
        <v>3309</v>
      </c>
      <c r="B3317">
        <v>0.98543575251717952</v>
      </c>
      <c r="C3317">
        <v>0.80328390888826107</v>
      </c>
    </row>
    <row r="3318" spans="1:3">
      <c r="A3318">
        <v>3310</v>
      </c>
      <c r="B3318">
        <v>0.17371645591266371</v>
      </c>
      <c r="C3318">
        <v>0.35580916866365442</v>
      </c>
    </row>
    <row r="3319" spans="1:3">
      <c r="A3319">
        <v>3311</v>
      </c>
      <c r="B3319">
        <v>0.30891115927205215</v>
      </c>
      <c r="C3319">
        <v>0.49386369281091902</v>
      </c>
    </row>
    <row r="3320" spans="1:3">
      <c r="A3320">
        <v>3312</v>
      </c>
      <c r="B3320">
        <v>6.3347707902255398E-2</v>
      </c>
      <c r="C3320">
        <v>0.21726162710638164</v>
      </c>
    </row>
    <row r="3321" spans="1:3">
      <c r="A3321">
        <v>3313</v>
      </c>
      <c r="B3321">
        <v>0.99215285130034969</v>
      </c>
      <c r="C3321">
        <v>0.21996947281149914</v>
      </c>
    </row>
    <row r="3322" spans="1:3">
      <c r="A3322">
        <v>3314</v>
      </c>
      <c r="B3322">
        <v>0.90322597243828373</v>
      </c>
      <c r="C3322">
        <v>2.8921851709128532E-2</v>
      </c>
    </row>
    <row r="3323" spans="1:3">
      <c r="A3323">
        <v>3315</v>
      </c>
      <c r="B3323">
        <v>0.25674068770514352</v>
      </c>
      <c r="C3323">
        <v>0.65827612490284082</v>
      </c>
    </row>
    <row r="3324" spans="1:3">
      <c r="A3324">
        <v>3316</v>
      </c>
      <c r="B3324">
        <v>0.53024242571379121</v>
      </c>
      <c r="C3324">
        <v>1.5825004299585999E-2</v>
      </c>
    </row>
    <row r="3325" spans="1:3">
      <c r="A3325">
        <v>3317</v>
      </c>
      <c r="B3325">
        <v>0.96782519140323275</v>
      </c>
      <c r="C3325">
        <v>0.28931390234720311</v>
      </c>
    </row>
    <row r="3326" spans="1:3">
      <c r="A3326">
        <v>3318</v>
      </c>
      <c r="B3326">
        <v>0.65421835362860425</v>
      </c>
      <c r="C3326">
        <v>0.72692613063463796</v>
      </c>
    </row>
    <row r="3327" spans="1:3">
      <c r="A3327">
        <v>3319</v>
      </c>
      <c r="B3327">
        <v>0.42296101068886016</v>
      </c>
      <c r="C3327">
        <v>0.4375663819591864</v>
      </c>
    </row>
    <row r="3328" spans="1:3">
      <c r="A3328">
        <v>3320</v>
      </c>
      <c r="B3328">
        <v>0.17022917439807886</v>
      </c>
      <c r="C3328">
        <v>1.951285026370897E-2</v>
      </c>
    </row>
    <row r="3329" spans="1:3">
      <c r="A3329">
        <v>3321</v>
      </c>
      <c r="B3329">
        <v>0.27748212480500389</v>
      </c>
      <c r="C3329">
        <v>0.52872055001989793</v>
      </c>
    </row>
    <row r="3330" spans="1:3">
      <c r="A3330">
        <v>3322</v>
      </c>
      <c r="B3330">
        <v>0.435002922061552</v>
      </c>
      <c r="C3330">
        <v>7.9256354880271829E-2</v>
      </c>
    </row>
    <row r="3331" spans="1:3">
      <c r="A3331">
        <v>3323</v>
      </c>
      <c r="B3331">
        <v>0.94161658004722937</v>
      </c>
      <c r="C3331">
        <v>0.65138503103025869</v>
      </c>
    </row>
    <row r="3332" spans="1:3">
      <c r="A3332">
        <v>3324</v>
      </c>
      <c r="B3332">
        <v>0.27122283997349972</v>
      </c>
      <c r="C3332">
        <v>1.6403022222220898E-2</v>
      </c>
    </row>
    <row r="3333" spans="1:3">
      <c r="A3333">
        <v>3325</v>
      </c>
      <c r="B3333">
        <v>0.16118803006019164</v>
      </c>
      <c r="C3333">
        <v>0.89764756470958673</v>
      </c>
    </row>
    <row r="3334" spans="1:3">
      <c r="A3334">
        <v>3326</v>
      </c>
      <c r="B3334">
        <v>0.45075157587080067</v>
      </c>
      <c r="C3334">
        <v>0.83047172883561871</v>
      </c>
    </row>
    <row r="3335" spans="1:3">
      <c r="A3335">
        <v>3327</v>
      </c>
      <c r="B3335">
        <v>0.66729621180149168</v>
      </c>
      <c r="C3335">
        <v>0.15169681345741992</v>
      </c>
    </row>
    <row r="3336" spans="1:3">
      <c r="A3336">
        <v>3328</v>
      </c>
      <c r="B3336">
        <v>0.93410310794708862</v>
      </c>
      <c r="C3336">
        <v>0.5928339207348472</v>
      </c>
    </row>
    <row r="3337" spans="1:3">
      <c r="A3337">
        <v>3329</v>
      </c>
      <c r="B3337">
        <v>0.2000507862308181</v>
      </c>
      <c r="C3337">
        <v>3.6910603454998636E-2</v>
      </c>
    </row>
    <row r="3338" spans="1:3">
      <c r="A3338">
        <v>3330</v>
      </c>
      <c r="B3338">
        <v>0.27983883935977677</v>
      </c>
      <c r="C3338">
        <v>0.46957137627580892</v>
      </c>
    </row>
    <row r="3339" spans="1:3">
      <c r="A3339">
        <v>3331</v>
      </c>
      <c r="B3339">
        <v>0.35821774320747185</v>
      </c>
      <c r="C3339">
        <v>0.30100541130741476</v>
      </c>
    </row>
    <row r="3340" spans="1:3">
      <c r="A3340">
        <v>3332</v>
      </c>
      <c r="B3340">
        <v>0.18783749031457991</v>
      </c>
      <c r="C3340">
        <v>0.42735259416713234</v>
      </c>
    </row>
    <row r="3341" spans="1:3">
      <c r="A3341">
        <v>3333</v>
      </c>
      <c r="B3341">
        <v>0.56583282906935384</v>
      </c>
      <c r="C3341">
        <v>0.9877724673042394</v>
      </c>
    </row>
    <row r="3342" spans="1:3">
      <c r="A3342">
        <v>3334</v>
      </c>
      <c r="B3342">
        <v>0.69658030602656784</v>
      </c>
      <c r="C3342">
        <v>0.60768491498402</v>
      </c>
    </row>
    <row r="3343" spans="1:3">
      <c r="A3343">
        <v>3335</v>
      </c>
      <c r="B3343">
        <v>0.47765611066176933</v>
      </c>
      <c r="C3343">
        <v>0.21749795781215653</v>
      </c>
    </row>
    <row r="3344" spans="1:3">
      <c r="A3344">
        <v>3336</v>
      </c>
      <c r="B3344">
        <v>0.20958849157290266</v>
      </c>
      <c r="C3344">
        <v>0.16211244336227537</v>
      </c>
    </row>
    <row r="3345" spans="1:3">
      <c r="A3345">
        <v>3337</v>
      </c>
      <c r="B3345">
        <v>0.29441686147847607</v>
      </c>
      <c r="C3345">
        <v>0.91304027003116062</v>
      </c>
    </row>
    <row r="3346" spans="1:3">
      <c r="A3346">
        <v>3338</v>
      </c>
      <c r="B3346">
        <v>5.3198532077669759E-2</v>
      </c>
      <c r="C3346">
        <v>0.79846422682749107</v>
      </c>
    </row>
    <row r="3347" spans="1:3">
      <c r="A3347">
        <v>3339</v>
      </c>
      <c r="B3347">
        <v>0.57588814350587514</v>
      </c>
      <c r="C3347">
        <v>3.4009920901553414E-2</v>
      </c>
    </row>
    <row r="3348" spans="1:3">
      <c r="A3348">
        <v>3340</v>
      </c>
      <c r="B3348">
        <v>0.82226175236591648</v>
      </c>
      <c r="C3348">
        <v>0.7952781654548744</v>
      </c>
    </row>
    <row r="3349" spans="1:3">
      <c r="A3349">
        <v>3341</v>
      </c>
      <c r="B3349">
        <v>0.39802073579184261</v>
      </c>
      <c r="C3349">
        <v>0.55378593200748583</v>
      </c>
    </row>
    <row r="3350" spans="1:3">
      <c r="A3350">
        <v>3342</v>
      </c>
      <c r="B3350">
        <v>0.52900076232347659</v>
      </c>
      <c r="C3350">
        <v>0.98155189183671609</v>
      </c>
    </row>
    <row r="3351" spans="1:3">
      <c r="A3351">
        <v>3343</v>
      </c>
      <c r="B3351">
        <v>0.96385353833377685</v>
      </c>
      <c r="C3351">
        <v>0.33213064516166924</v>
      </c>
    </row>
    <row r="3352" spans="1:3">
      <c r="A3352">
        <v>3344</v>
      </c>
      <c r="B3352">
        <v>0.99022952043233203</v>
      </c>
      <c r="C3352">
        <v>0.84326874787348061</v>
      </c>
    </row>
    <row r="3353" spans="1:3">
      <c r="A3353">
        <v>3345</v>
      </c>
      <c r="B3353">
        <v>0.95787111254261603</v>
      </c>
      <c r="C3353">
        <v>0.85293582927442912</v>
      </c>
    </row>
    <row r="3354" spans="1:3">
      <c r="A3354">
        <v>3346</v>
      </c>
      <c r="B3354">
        <v>0.70694531835749408</v>
      </c>
      <c r="C3354">
        <v>0.78359392833681341</v>
      </c>
    </row>
    <row r="3355" spans="1:3">
      <c r="A3355">
        <v>3347</v>
      </c>
      <c r="B3355">
        <v>9.3079470854084814E-2</v>
      </c>
      <c r="C3355">
        <v>0.64447204535463243</v>
      </c>
    </row>
    <row r="3356" spans="1:3">
      <c r="A3356">
        <v>3348</v>
      </c>
      <c r="B3356">
        <v>0.67042058545384109</v>
      </c>
      <c r="C3356">
        <v>0.88230368455606367</v>
      </c>
    </row>
    <row r="3357" spans="1:3">
      <c r="A3357">
        <v>3349</v>
      </c>
      <c r="B3357">
        <v>0.5465645017978652</v>
      </c>
      <c r="C3357">
        <v>0.63901752779929666</v>
      </c>
    </row>
    <row r="3358" spans="1:3">
      <c r="A3358">
        <v>3350</v>
      </c>
      <c r="B3358">
        <v>0.41302957333420165</v>
      </c>
      <c r="C3358">
        <v>0.38292049787833093</v>
      </c>
    </row>
    <row r="3359" spans="1:3">
      <c r="A3359">
        <v>3351</v>
      </c>
      <c r="B3359">
        <v>0.87967432591209049</v>
      </c>
      <c r="C3359">
        <v>0.46437020036864851</v>
      </c>
    </row>
    <row r="3360" spans="1:3">
      <c r="A3360">
        <v>3352</v>
      </c>
      <c r="B3360">
        <v>0.54297782125179139</v>
      </c>
      <c r="C3360">
        <v>0.98601047532883968</v>
      </c>
    </row>
    <row r="3361" spans="1:3">
      <c r="A3361">
        <v>3353</v>
      </c>
      <c r="B3361">
        <v>6.319961317060506E-2</v>
      </c>
      <c r="C3361">
        <v>0.192130409526726</v>
      </c>
    </row>
    <row r="3362" spans="1:3">
      <c r="A3362">
        <v>3354</v>
      </c>
      <c r="B3362">
        <v>0.6557324410593911</v>
      </c>
      <c r="C3362">
        <v>0.79664141214652773</v>
      </c>
    </row>
    <row r="3363" spans="1:3">
      <c r="A3363">
        <v>3355</v>
      </c>
      <c r="B3363">
        <v>0.28351059653337823</v>
      </c>
      <c r="C3363">
        <v>0.32988239777296258</v>
      </c>
    </row>
    <row r="3364" spans="1:3">
      <c r="A3364">
        <v>3356</v>
      </c>
      <c r="B3364">
        <v>0.62635208146575649</v>
      </c>
      <c r="C3364">
        <v>5.1149204636232071E-2</v>
      </c>
    </row>
    <row r="3365" spans="1:3">
      <c r="A3365">
        <v>3357</v>
      </c>
      <c r="B3365">
        <v>0.60256026561790155</v>
      </c>
      <c r="C3365">
        <v>0.25635722953666118</v>
      </c>
    </row>
    <row r="3366" spans="1:3">
      <c r="A3366">
        <v>3358</v>
      </c>
      <c r="B3366">
        <v>0.52526281637797667</v>
      </c>
      <c r="C3366">
        <v>0.70786052718904102</v>
      </c>
    </row>
    <row r="3367" spans="1:3">
      <c r="A3367">
        <v>3359</v>
      </c>
      <c r="B3367">
        <v>0.29332389162222944</v>
      </c>
      <c r="C3367">
        <v>0.69507835375679861</v>
      </c>
    </row>
    <row r="3368" spans="1:3">
      <c r="A3368">
        <v>3360</v>
      </c>
      <c r="B3368">
        <v>0.50279863877990261</v>
      </c>
      <c r="C3368">
        <v>4.090400954191864E-2</v>
      </c>
    </row>
    <row r="3369" spans="1:3">
      <c r="A3369">
        <v>3361</v>
      </c>
      <c r="B3369">
        <v>0.80216524835204828</v>
      </c>
      <c r="C3369">
        <v>7.4620263822907873E-2</v>
      </c>
    </row>
    <row r="3370" spans="1:3">
      <c r="A3370">
        <v>3362</v>
      </c>
      <c r="B3370">
        <v>0.56255807984754402</v>
      </c>
      <c r="C3370">
        <v>0.36640065638857777</v>
      </c>
    </row>
    <row r="3371" spans="1:3">
      <c r="A3371">
        <v>3363</v>
      </c>
      <c r="B3371">
        <v>0.86578936635618775</v>
      </c>
      <c r="C3371">
        <v>0.72001621429717488</v>
      </c>
    </row>
    <row r="3372" spans="1:3">
      <c r="A3372">
        <v>3364</v>
      </c>
      <c r="B3372">
        <v>0.31042060392201426</v>
      </c>
      <c r="C3372">
        <v>4.2901205923044472E-2</v>
      </c>
    </row>
    <row r="3373" spans="1:3">
      <c r="A3373">
        <v>3365</v>
      </c>
      <c r="B3373">
        <v>0.13164338923670429</v>
      </c>
      <c r="C3373">
        <v>3.4640259765183146E-2</v>
      </c>
    </row>
    <row r="3374" spans="1:3">
      <c r="A3374">
        <v>3366</v>
      </c>
      <c r="B3374">
        <v>0.8345008318655428</v>
      </c>
      <c r="C3374">
        <v>0.82742327118467074</v>
      </c>
    </row>
    <row r="3375" spans="1:3">
      <c r="A3375">
        <v>3367</v>
      </c>
      <c r="B3375">
        <v>0.49537799896718426</v>
      </c>
      <c r="C3375">
        <v>0.75532082624249597</v>
      </c>
    </row>
    <row r="3376" spans="1:3">
      <c r="A3376">
        <v>3368</v>
      </c>
      <c r="B3376">
        <v>3.753275772070809E-2</v>
      </c>
      <c r="C3376">
        <v>0.25333224860878545</v>
      </c>
    </row>
    <row r="3377" spans="1:3">
      <c r="A3377">
        <v>3369</v>
      </c>
      <c r="B3377">
        <v>0.38507632028848782</v>
      </c>
      <c r="C3377">
        <v>0.37538585017227888</v>
      </c>
    </row>
    <row r="3378" spans="1:3">
      <c r="A3378">
        <v>3370</v>
      </c>
      <c r="B3378">
        <v>0.49722615241278573</v>
      </c>
      <c r="C3378">
        <v>3.8603100407271995E-2</v>
      </c>
    </row>
    <row r="3379" spans="1:3">
      <c r="A3379">
        <v>3371</v>
      </c>
      <c r="B3379">
        <v>0.55972041750897661</v>
      </c>
      <c r="C3379">
        <v>0.20095578550626669</v>
      </c>
    </row>
    <row r="3380" spans="1:3">
      <c r="A3380">
        <v>3372</v>
      </c>
      <c r="B3380">
        <v>2.9740926683820067E-2</v>
      </c>
      <c r="C3380">
        <v>0.12730560592899565</v>
      </c>
    </row>
    <row r="3381" spans="1:3">
      <c r="A3381">
        <v>3373</v>
      </c>
      <c r="B3381">
        <v>0.72404968737625741</v>
      </c>
      <c r="C3381">
        <v>0.76671000886199181</v>
      </c>
    </row>
    <row r="3382" spans="1:3">
      <c r="A3382">
        <v>3374</v>
      </c>
      <c r="B3382">
        <v>0.18291822720894549</v>
      </c>
      <c r="C3382">
        <v>0.58172121656299947</v>
      </c>
    </row>
    <row r="3383" spans="1:3">
      <c r="A3383">
        <v>3375</v>
      </c>
      <c r="B3383">
        <v>0.68229422879589119</v>
      </c>
      <c r="C3383">
        <v>0.41906723135980428</v>
      </c>
    </row>
    <row r="3384" spans="1:3">
      <c r="A3384">
        <v>3376</v>
      </c>
      <c r="B3384">
        <v>0.52015956676107822</v>
      </c>
      <c r="C3384">
        <v>0.71507895079412265</v>
      </c>
    </row>
    <row r="3385" spans="1:3">
      <c r="A3385">
        <v>3377</v>
      </c>
      <c r="B3385">
        <v>0.94775826266816787</v>
      </c>
      <c r="C3385">
        <v>0.31134004672276205</v>
      </c>
    </row>
    <row r="3386" spans="1:3">
      <c r="A3386">
        <v>3378</v>
      </c>
      <c r="B3386">
        <v>0.73779959333222356</v>
      </c>
      <c r="C3386">
        <v>0.41048683049939427</v>
      </c>
    </row>
    <row r="3387" spans="1:3">
      <c r="A3387">
        <v>3379</v>
      </c>
      <c r="B3387">
        <v>0.34901504178126691</v>
      </c>
      <c r="C3387">
        <v>0.39790411016110738</v>
      </c>
    </row>
    <row r="3388" spans="1:3">
      <c r="A3388">
        <v>3380</v>
      </c>
      <c r="B3388">
        <v>0.47879071571016468</v>
      </c>
      <c r="C3388">
        <v>0.57726421457664401</v>
      </c>
    </row>
    <row r="3389" spans="1:3">
      <c r="A3389">
        <v>3381</v>
      </c>
      <c r="B3389">
        <v>0.71762918759030969</v>
      </c>
      <c r="C3389">
        <v>0.58278993685689784</v>
      </c>
    </row>
    <row r="3390" spans="1:3">
      <c r="A3390">
        <v>3382</v>
      </c>
      <c r="B3390">
        <v>0.83402100439267723</v>
      </c>
      <c r="C3390">
        <v>8.6006379435275448E-2</v>
      </c>
    </row>
    <row r="3391" spans="1:3">
      <c r="A3391">
        <v>3383</v>
      </c>
      <c r="B3391">
        <v>0.12973027835808001</v>
      </c>
      <c r="C3391">
        <v>0.33873433095777727</v>
      </c>
    </row>
    <row r="3392" spans="1:3">
      <c r="A3392">
        <v>3384</v>
      </c>
      <c r="B3392">
        <v>0.51020097242649665</v>
      </c>
      <c r="C3392">
        <v>0.8804983512727631</v>
      </c>
    </row>
    <row r="3393" spans="1:3">
      <c r="A3393">
        <v>3385</v>
      </c>
      <c r="B3393">
        <v>0.47135978958652347</v>
      </c>
      <c r="C3393">
        <v>6.0723982592207904E-2</v>
      </c>
    </row>
    <row r="3394" spans="1:3">
      <c r="A3394">
        <v>3386</v>
      </c>
      <c r="B3394">
        <v>0.64185272255415393</v>
      </c>
      <c r="C3394">
        <v>0.15300425146415364</v>
      </c>
    </row>
    <row r="3395" spans="1:3">
      <c r="A3395">
        <v>3387</v>
      </c>
      <c r="B3395">
        <v>0.47180843693455882</v>
      </c>
      <c r="C3395">
        <v>0.68537037335318018</v>
      </c>
    </row>
    <row r="3396" spans="1:3">
      <c r="A3396">
        <v>3388</v>
      </c>
      <c r="B3396">
        <v>0.11459006620892091</v>
      </c>
      <c r="C3396">
        <v>0.42636520352425578</v>
      </c>
    </row>
    <row r="3397" spans="1:3">
      <c r="A3397">
        <v>3389</v>
      </c>
      <c r="B3397">
        <v>0.2865345647744682</v>
      </c>
      <c r="C3397">
        <v>0.99295588434779347</v>
      </c>
    </row>
    <row r="3398" spans="1:3">
      <c r="A3398">
        <v>3390</v>
      </c>
      <c r="B3398">
        <v>0.27180374586749906</v>
      </c>
      <c r="C3398">
        <v>0.10477154159525526</v>
      </c>
    </row>
    <row r="3399" spans="1:3">
      <c r="A3399">
        <v>3391</v>
      </c>
      <c r="B3399">
        <v>0.29150700043456329</v>
      </c>
      <c r="C3399">
        <v>0.15352586567314574</v>
      </c>
    </row>
    <row r="3400" spans="1:3">
      <c r="A3400">
        <v>3392</v>
      </c>
      <c r="B3400">
        <v>0.8033982252986166</v>
      </c>
      <c r="C3400">
        <v>0.27111268027147162</v>
      </c>
    </row>
    <row r="3401" spans="1:3">
      <c r="A3401">
        <v>3393</v>
      </c>
      <c r="B3401">
        <v>0.75073211985959953</v>
      </c>
      <c r="C3401">
        <v>0.91566038140354067</v>
      </c>
    </row>
    <row r="3402" spans="1:3">
      <c r="A3402">
        <v>3394</v>
      </c>
      <c r="B3402">
        <v>0.37400257344516052</v>
      </c>
      <c r="C3402">
        <v>0.47428662871789129</v>
      </c>
    </row>
    <row r="3403" spans="1:3">
      <c r="A3403">
        <v>3395</v>
      </c>
      <c r="B3403">
        <v>0.54425431478634811</v>
      </c>
      <c r="C3403">
        <v>0.89454849371486489</v>
      </c>
    </row>
    <row r="3404" spans="1:3">
      <c r="A3404">
        <v>3396</v>
      </c>
      <c r="B3404">
        <v>0.85269518997708693</v>
      </c>
      <c r="C3404">
        <v>0.64083377890347037</v>
      </c>
    </row>
    <row r="3405" spans="1:3">
      <c r="A3405">
        <v>3397</v>
      </c>
      <c r="B3405">
        <v>0.27602054262748466</v>
      </c>
      <c r="C3405">
        <v>0.72251033412157994</v>
      </c>
    </row>
    <row r="3406" spans="1:3">
      <c r="A3406">
        <v>3398</v>
      </c>
      <c r="B3406">
        <v>0.60536654833312298</v>
      </c>
      <c r="C3406">
        <v>0.59089906575900386</v>
      </c>
    </row>
    <row r="3407" spans="1:3">
      <c r="A3407">
        <v>3399</v>
      </c>
      <c r="B3407">
        <v>0.95735242460448111</v>
      </c>
      <c r="C3407">
        <v>0.54756992921375058</v>
      </c>
    </row>
    <row r="3408" spans="1:3">
      <c r="A3408">
        <v>3400</v>
      </c>
      <c r="B3408">
        <v>0.76446018555040007</v>
      </c>
      <c r="C3408">
        <v>0.41755267899679893</v>
      </c>
    </row>
    <row r="3409" spans="1:3">
      <c r="A3409">
        <v>3401</v>
      </c>
      <c r="B3409">
        <v>4.1402732546348762E-2</v>
      </c>
      <c r="C3409">
        <v>0.56047434501124371</v>
      </c>
    </row>
    <row r="3410" spans="1:3">
      <c r="A3410">
        <v>3402</v>
      </c>
      <c r="B3410">
        <v>0.72522005146216129</v>
      </c>
      <c r="C3410">
        <v>0.44791005419210705</v>
      </c>
    </row>
    <row r="3411" spans="1:3">
      <c r="A3411">
        <v>3403</v>
      </c>
      <c r="B3411">
        <v>0.81535371605203344</v>
      </c>
      <c r="C3411">
        <v>0.11691144017913757</v>
      </c>
    </row>
    <row r="3412" spans="1:3">
      <c r="A3412">
        <v>3404</v>
      </c>
      <c r="B3412">
        <v>0.38181505844258123</v>
      </c>
      <c r="C3412">
        <v>0.63133818047208479</v>
      </c>
    </row>
    <row r="3413" spans="1:3">
      <c r="A3413">
        <v>3405</v>
      </c>
      <c r="B3413">
        <v>0.90408840710229432</v>
      </c>
      <c r="C3413">
        <v>0.19226635904760769</v>
      </c>
    </row>
    <row r="3414" spans="1:3">
      <c r="A3414">
        <v>3406</v>
      </c>
      <c r="B3414">
        <v>0.82481998994569772</v>
      </c>
      <c r="C3414">
        <v>0.31345178889932868</v>
      </c>
    </row>
    <row r="3415" spans="1:3">
      <c r="A3415">
        <v>3407</v>
      </c>
      <c r="B3415">
        <v>0.4801663456618242</v>
      </c>
      <c r="C3415">
        <v>6.1882270802016137E-3</v>
      </c>
    </row>
    <row r="3416" spans="1:3">
      <c r="A3416">
        <v>3408</v>
      </c>
      <c r="B3416">
        <v>0.45948331502282136</v>
      </c>
      <c r="C3416">
        <v>0.69692158797352022</v>
      </c>
    </row>
    <row r="3417" spans="1:3">
      <c r="A3417">
        <v>3409</v>
      </c>
      <c r="B3417">
        <v>0.4394361006313553</v>
      </c>
      <c r="C3417">
        <v>0.59686700824386207</v>
      </c>
    </row>
    <row r="3418" spans="1:3">
      <c r="A3418">
        <v>3410</v>
      </c>
      <c r="B3418">
        <v>0.1672215193172501</v>
      </c>
      <c r="C3418">
        <v>7.7715131769764412E-2</v>
      </c>
    </row>
    <row r="3419" spans="1:3">
      <c r="A3419">
        <v>3411</v>
      </c>
      <c r="B3419">
        <v>2.6639697372736339E-2</v>
      </c>
      <c r="C3419">
        <v>3.4344111994869309E-2</v>
      </c>
    </row>
    <row r="3420" spans="1:3">
      <c r="A3420">
        <v>3412</v>
      </c>
      <c r="B3420">
        <v>0.85675745029350692</v>
      </c>
      <c r="C3420">
        <v>0.10905943060697609</v>
      </c>
    </row>
    <row r="3421" spans="1:3">
      <c r="A3421">
        <v>3413</v>
      </c>
      <c r="B3421">
        <v>0.64332663746227658</v>
      </c>
      <c r="C3421">
        <v>0.86262609415098268</v>
      </c>
    </row>
    <row r="3422" spans="1:3">
      <c r="A3422">
        <v>3414</v>
      </c>
      <c r="B3422">
        <v>0.64787841332910545</v>
      </c>
      <c r="C3422">
        <v>0.56183967153720005</v>
      </c>
    </row>
    <row r="3423" spans="1:3">
      <c r="A3423">
        <v>3415</v>
      </c>
      <c r="B3423">
        <v>0.23024072660399619</v>
      </c>
      <c r="C3423">
        <v>0.20699231317121303</v>
      </c>
    </row>
    <row r="3424" spans="1:3">
      <c r="A3424">
        <v>3416</v>
      </c>
      <c r="B3424">
        <v>0.19966729151640722</v>
      </c>
      <c r="C3424">
        <v>0.2715354794590894</v>
      </c>
    </row>
    <row r="3425" spans="1:3">
      <c r="A3425">
        <v>3417</v>
      </c>
      <c r="B3425">
        <v>0.31827153107926054</v>
      </c>
      <c r="C3425">
        <v>0.11940883424722415</v>
      </c>
    </row>
    <row r="3426" spans="1:3">
      <c r="A3426">
        <v>3418</v>
      </c>
      <c r="B3426">
        <v>0.53735520032671169</v>
      </c>
      <c r="C3426">
        <v>0.18952303907735768</v>
      </c>
    </row>
    <row r="3427" spans="1:3">
      <c r="A3427">
        <v>3419</v>
      </c>
      <c r="B3427">
        <v>0.58010464889688995</v>
      </c>
      <c r="C3427">
        <v>0.21201387155088014</v>
      </c>
    </row>
    <row r="3428" spans="1:3">
      <c r="A3428">
        <v>3420</v>
      </c>
      <c r="B3428">
        <v>5.5824704270955337E-2</v>
      </c>
      <c r="C3428">
        <v>0.87439433099552843</v>
      </c>
    </row>
    <row r="3429" spans="1:3">
      <c r="A3429">
        <v>3421</v>
      </c>
      <c r="B3429">
        <v>6.8344398623086597E-2</v>
      </c>
      <c r="C3429">
        <v>0.85452208716560563</v>
      </c>
    </row>
    <row r="3430" spans="1:3">
      <c r="A3430">
        <v>3422</v>
      </c>
      <c r="B3430">
        <v>0.67814890865258615</v>
      </c>
      <c r="C3430">
        <v>0.81628226483098842</v>
      </c>
    </row>
    <row r="3431" spans="1:3">
      <c r="A3431">
        <v>3423</v>
      </c>
      <c r="B3431">
        <v>0.74282926046676689</v>
      </c>
      <c r="C3431">
        <v>1.7446736077545211E-2</v>
      </c>
    </row>
    <row r="3432" spans="1:3">
      <c r="A3432">
        <v>3424</v>
      </c>
      <c r="B3432">
        <v>0.74976406914497817</v>
      </c>
      <c r="C3432">
        <v>0.43929596690850303</v>
      </c>
    </row>
    <row r="3433" spans="1:3">
      <c r="A3433">
        <v>3425</v>
      </c>
      <c r="B3433">
        <v>0.70970279483704424</v>
      </c>
      <c r="C3433">
        <v>0.89933193462820782</v>
      </c>
    </row>
    <row r="3434" spans="1:3">
      <c r="A3434">
        <v>3426</v>
      </c>
      <c r="B3434">
        <v>0.38413789454860098</v>
      </c>
      <c r="C3434">
        <v>0.1252213877351096</v>
      </c>
    </row>
    <row r="3435" spans="1:3">
      <c r="A3435">
        <v>3427</v>
      </c>
      <c r="B3435">
        <v>0.16425458000531759</v>
      </c>
      <c r="C3435">
        <v>0.83751661712085479</v>
      </c>
    </row>
    <row r="3436" spans="1:3">
      <c r="A3436">
        <v>3428</v>
      </c>
      <c r="B3436">
        <v>0.99404699588414447</v>
      </c>
      <c r="C3436">
        <v>0.14219354980014032</v>
      </c>
    </row>
    <row r="3437" spans="1:3">
      <c r="A3437">
        <v>3429</v>
      </c>
      <c r="B3437">
        <v>0.72096589000322064</v>
      </c>
      <c r="C3437">
        <v>0.71425890188675112</v>
      </c>
    </row>
    <row r="3438" spans="1:3">
      <c r="A3438">
        <v>3430</v>
      </c>
      <c r="B3438">
        <v>0.91587869487113294</v>
      </c>
      <c r="C3438">
        <v>0.97768727141556155</v>
      </c>
    </row>
    <row r="3439" spans="1:3">
      <c r="A3439">
        <v>3431</v>
      </c>
      <c r="B3439">
        <v>0.16662681938568755</v>
      </c>
      <c r="C3439">
        <v>6.5318597288751334E-2</v>
      </c>
    </row>
    <row r="3440" spans="1:3">
      <c r="A3440">
        <v>3432</v>
      </c>
      <c r="B3440">
        <v>0.19936026496602227</v>
      </c>
      <c r="C3440">
        <v>0.10105952343656099</v>
      </c>
    </row>
    <row r="3441" spans="1:3">
      <c r="A3441">
        <v>3433</v>
      </c>
      <c r="B3441">
        <v>0.33570378676604101</v>
      </c>
      <c r="C3441">
        <v>0.95394730077441636</v>
      </c>
    </row>
    <row r="3442" spans="1:3">
      <c r="A3442">
        <v>3434</v>
      </c>
      <c r="B3442">
        <v>0.80512070978221495</v>
      </c>
      <c r="C3442">
        <v>0.2275118726756773</v>
      </c>
    </row>
    <row r="3443" spans="1:3">
      <c r="A3443">
        <v>3435</v>
      </c>
      <c r="B3443">
        <v>0.27558040379667198</v>
      </c>
      <c r="C3443">
        <v>0.85759917017549014</v>
      </c>
    </row>
    <row r="3444" spans="1:3">
      <c r="A3444">
        <v>3436</v>
      </c>
      <c r="B3444">
        <v>0.24135275786899793</v>
      </c>
      <c r="C3444">
        <v>0.22313274697989982</v>
      </c>
    </row>
    <row r="3445" spans="1:3">
      <c r="A3445">
        <v>3437</v>
      </c>
      <c r="B3445">
        <v>0.97984966169396648</v>
      </c>
      <c r="C3445">
        <v>1.6750566585869819E-2</v>
      </c>
    </row>
    <row r="3446" spans="1:3">
      <c r="A3446">
        <v>3438</v>
      </c>
      <c r="B3446">
        <v>0.83699552297321966</v>
      </c>
      <c r="C3446">
        <v>0.81263176575521356</v>
      </c>
    </row>
    <row r="3447" spans="1:3">
      <c r="A3447">
        <v>3439</v>
      </c>
      <c r="B3447">
        <v>9.6090065629661575E-2</v>
      </c>
      <c r="C3447">
        <v>0.43024615930244181</v>
      </c>
    </row>
    <row r="3448" spans="1:3">
      <c r="A3448">
        <v>3440</v>
      </c>
      <c r="B3448">
        <v>0.59749102902135132</v>
      </c>
      <c r="C3448">
        <v>0.57530155756649037</v>
      </c>
    </row>
    <row r="3449" spans="1:3">
      <c r="A3449">
        <v>3441</v>
      </c>
      <c r="B3449">
        <v>0.1370904708451802</v>
      </c>
      <c r="C3449">
        <v>0.53662301058739104</v>
      </c>
    </row>
    <row r="3450" spans="1:3">
      <c r="A3450">
        <v>3442</v>
      </c>
      <c r="B3450">
        <v>0.75243453142993022</v>
      </c>
      <c r="C3450">
        <v>9.2517982906429097E-2</v>
      </c>
    </row>
    <row r="3451" spans="1:3">
      <c r="A3451">
        <v>3443</v>
      </c>
      <c r="B3451">
        <v>0.3585510207941176</v>
      </c>
      <c r="C3451">
        <v>0.67861550025099859</v>
      </c>
    </row>
    <row r="3452" spans="1:3">
      <c r="A3452">
        <v>3444</v>
      </c>
      <c r="B3452">
        <v>0.91814237175209967</v>
      </c>
      <c r="C3452">
        <v>0.80267330922106339</v>
      </c>
    </row>
    <row r="3453" spans="1:3">
      <c r="A3453">
        <v>3445</v>
      </c>
      <c r="B3453">
        <v>0.82817520133735967</v>
      </c>
      <c r="C3453">
        <v>0.73705694430555013</v>
      </c>
    </row>
    <row r="3454" spans="1:3">
      <c r="A3454">
        <v>3446</v>
      </c>
      <c r="B3454">
        <v>8.3654373646726454E-2</v>
      </c>
      <c r="C3454">
        <v>7.3077867131360108E-2</v>
      </c>
    </row>
    <row r="3455" spans="1:3">
      <c r="A3455">
        <v>3447</v>
      </c>
      <c r="B3455">
        <v>0.69135350664885564</v>
      </c>
      <c r="C3455">
        <v>0.28596973211733712</v>
      </c>
    </row>
    <row r="3456" spans="1:3">
      <c r="A3456">
        <v>3448</v>
      </c>
      <c r="B3456">
        <v>0.91933319343699438</v>
      </c>
      <c r="C3456">
        <v>0.45284863727101765</v>
      </c>
    </row>
    <row r="3457" spans="1:3">
      <c r="A3457">
        <v>3449</v>
      </c>
      <c r="B3457">
        <v>6.1303204892599772E-2</v>
      </c>
      <c r="C3457">
        <v>0.65683210726456309</v>
      </c>
    </row>
    <row r="3458" spans="1:3">
      <c r="A3458">
        <v>3450</v>
      </c>
      <c r="B3458">
        <v>0.79100273277559385</v>
      </c>
      <c r="C3458">
        <v>0.10864433146070951</v>
      </c>
    </row>
    <row r="3459" spans="1:3">
      <c r="A3459">
        <v>3451</v>
      </c>
      <c r="B3459">
        <v>2.8583773251758832E-2</v>
      </c>
      <c r="C3459">
        <v>0.63464478637979482</v>
      </c>
    </row>
    <row r="3460" spans="1:3">
      <c r="A3460">
        <v>3452</v>
      </c>
      <c r="B3460">
        <v>0.5955081151552285</v>
      </c>
      <c r="C3460">
        <v>0.65851801518056163</v>
      </c>
    </row>
    <row r="3461" spans="1:3">
      <c r="A3461">
        <v>3453</v>
      </c>
      <c r="B3461">
        <v>0.92870179276617748</v>
      </c>
      <c r="C3461">
        <v>0.96782473598250363</v>
      </c>
    </row>
    <row r="3462" spans="1:3">
      <c r="A3462">
        <v>3454</v>
      </c>
      <c r="B3462">
        <v>0.60091333881740305</v>
      </c>
      <c r="C3462">
        <v>0.91315528263749002</v>
      </c>
    </row>
    <row r="3463" spans="1:3">
      <c r="A3463">
        <v>3455</v>
      </c>
      <c r="B3463">
        <v>9.1444455776979322E-2</v>
      </c>
      <c r="C3463">
        <v>0.96984267789957812</v>
      </c>
    </row>
    <row r="3464" spans="1:3">
      <c r="A3464">
        <v>3456</v>
      </c>
      <c r="B3464">
        <v>0.68906160848114217</v>
      </c>
      <c r="C3464">
        <v>0.54544137120956293</v>
      </c>
    </row>
    <row r="3465" spans="1:3">
      <c r="A3465">
        <v>3457</v>
      </c>
      <c r="B3465">
        <v>0.12088510155232741</v>
      </c>
      <c r="C3465">
        <v>0.67811626782531675</v>
      </c>
    </row>
    <row r="3466" spans="1:3">
      <c r="A3466">
        <v>3458</v>
      </c>
      <c r="B3466">
        <v>6.229100005274895E-2</v>
      </c>
      <c r="C3466">
        <v>4.3269016763588297E-2</v>
      </c>
    </row>
    <row r="3467" spans="1:3">
      <c r="A3467">
        <v>3459</v>
      </c>
      <c r="B3467">
        <v>0.80075795490722124</v>
      </c>
      <c r="C3467">
        <v>0.98728901036702155</v>
      </c>
    </row>
    <row r="3468" spans="1:3">
      <c r="A3468">
        <v>3460</v>
      </c>
      <c r="B3468">
        <v>6.0556758247911173E-2</v>
      </c>
      <c r="C3468">
        <v>0.24965396403149498</v>
      </c>
    </row>
    <row r="3469" spans="1:3">
      <c r="A3469">
        <v>3461</v>
      </c>
      <c r="B3469">
        <v>0.1390038800968332</v>
      </c>
      <c r="C3469">
        <v>0.96830410839538672</v>
      </c>
    </row>
    <row r="3470" spans="1:3">
      <c r="A3470">
        <v>3462</v>
      </c>
      <c r="B3470">
        <v>0.62163760157116632</v>
      </c>
      <c r="C3470">
        <v>0.43864450343971839</v>
      </c>
    </row>
    <row r="3471" spans="1:3">
      <c r="A3471">
        <v>3463</v>
      </c>
      <c r="B3471">
        <v>0.38797968707461367</v>
      </c>
      <c r="C3471">
        <v>0.58313069428095332</v>
      </c>
    </row>
    <row r="3472" spans="1:3">
      <c r="A3472">
        <v>3464</v>
      </c>
      <c r="B3472">
        <v>0.25240887826080638</v>
      </c>
      <c r="C3472">
        <v>0.93347210930551228</v>
      </c>
    </row>
    <row r="3473" spans="1:3">
      <c r="A3473">
        <v>3465</v>
      </c>
      <c r="B3473">
        <v>0.85534231901460844</v>
      </c>
      <c r="C3473">
        <v>0.93340673877992231</v>
      </c>
    </row>
    <row r="3474" spans="1:3">
      <c r="A3474">
        <v>3466</v>
      </c>
      <c r="B3474">
        <v>0.58425456855852498</v>
      </c>
      <c r="C3474">
        <v>0.36395489188362262</v>
      </c>
    </row>
    <row r="3475" spans="1:3">
      <c r="A3475">
        <v>3467</v>
      </c>
      <c r="B3475">
        <v>0.82343612604761407</v>
      </c>
      <c r="C3475">
        <v>0.81914806800978113</v>
      </c>
    </row>
    <row r="3476" spans="1:3">
      <c r="A3476">
        <v>3468</v>
      </c>
      <c r="B3476">
        <v>0.92963909687563751</v>
      </c>
      <c r="C3476">
        <v>0.72157421646079456</v>
      </c>
    </row>
    <row r="3477" spans="1:3">
      <c r="A3477">
        <v>3469</v>
      </c>
      <c r="B3477">
        <v>0.95586738540000915</v>
      </c>
      <c r="C3477">
        <v>0.56834049662666075</v>
      </c>
    </row>
    <row r="3478" spans="1:3">
      <c r="A3478">
        <v>3470</v>
      </c>
      <c r="B3478">
        <v>0.48204140254842148</v>
      </c>
      <c r="C3478">
        <v>8.5450771759497002E-2</v>
      </c>
    </row>
    <row r="3479" spans="1:3">
      <c r="A3479">
        <v>3471</v>
      </c>
      <c r="B3479">
        <v>0.92685756130806585</v>
      </c>
      <c r="C3479">
        <v>0.1678298477527278</v>
      </c>
    </row>
    <row r="3480" spans="1:3">
      <c r="A3480">
        <v>3472</v>
      </c>
      <c r="B3480">
        <v>0.36823241378297855</v>
      </c>
      <c r="C3480">
        <v>0.15699215351833118</v>
      </c>
    </row>
    <row r="3481" spans="1:3">
      <c r="A3481">
        <v>3473</v>
      </c>
      <c r="B3481">
        <v>2.3406958351658416E-2</v>
      </c>
      <c r="C3481">
        <v>0.79080882229027338</v>
      </c>
    </row>
    <row r="3482" spans="1:3">
      <c r="A3482">
        <v>3474</v>
      </c>
      <c r="B3482">
        <v>0.6038851186057751</v>
      </c>
      <c r="C3482">
        <v>0.64798381514629</v>
      </c>
    </row>
    <row r="3483" spans="1:3">
      <c r="A3483">
        <v>3475</v>
      </c>
      <c r="B3483">
        <v>0.87837775207301094</v>
      </c>
      <c r="C3483">
        <v>0.43872479630863381</v>
      </c>
    </row>
    <row r="3484" spans="1:3">
      <c r="A3484">
        <v>3476</v>
      </c>
      <c r="B3484">
        <v>0.35483615692575371</v>
      </c>
      <c r="C3484">
        <v>0.42624018530295871</v>
      </c>
    </row>
    <row r="3485" spans="1:3">
      <c r="A3485">
        <v>3477</v>
      </c>
      <c r="B3485">
        <v>0.83265174328872271</v>
      </c>
      <c r="C3485">
        <v>0.38591124132744881</v>
      </c>
    </row>
    <row r="3486" spans="1:3">
      <c r="A3486">
        <v>3478</v>
      </c>
      <c r="B3486">
        <v>0.76744812010816488</v>
      </c>
      <c r="C3486">
        <v>0.25910593875596533</v>
      </c>
    </row>
    <row r="3487" spans="1:3">
      <c r="A3487">
        <v>3479</v>
      </c>
      <c r="B3487">
        <v>0.15615052322832645</v>
      </c>
      <c r="C3487">
        <v>0.6976084525913393</v>
      </c>
    </row>
    <row r="3488" spans="1:3">
      <c r="A3488">
        <v>3480</v>
      </c>
      <c r="B3488">
        <v>0.63218672930933228</v>
      </c>
      <c r="C3488">
        <v>0.435557690450878</v>
      </c>
    </row>
    <row r="3489" spans="1:3">
      <c r="A3489">
        <v>3481</v>
      </c>
      <c r="B3489">
        <v>0.6610200422850484</v>
      </c>
      <c r="C3489">
        <v>6.0987992791524448E-2</v>
      </c>
    </row>
    <row r="3490" spans="1:3">
      <c r="A3490">
        <v>3482</v>
      </c>
      <c r="B3490">
        <v>0.5354210254476921</v>
      </c>
      <c r="C3490">
        <v>0.54826319384665112</v>
      </c>
    </row>
    <row r="3491" spans="1:3">
      <c r="A3491">
        <v>3483</v>
      </c>
      <c r="B3491">
        <v>0.50758081376808251</v>
      </c>
      <c r="C3491">
        <v>0.93109565152462892</v>
      </c>
    </row>
    <row r="3492" spans="1:3">
      <c r="A3492">
        <v>3484</v>
      </c>
      <c r="B3492">
        <v>0.24151395645866028</v>
      </c>
      <c r="C3492">
        <v>0.23517729485138261</v>
      </c>
    </row>
    <row r="3493" spans="1:3">
      <c r="A3493">
        <v>3485</v>
      </c>
      <c r="B3493">
        <v>5.6249369156185856E-2</v>
      </c>
      <c r="C3493">
        <v>0.59659258708506968</v>
      </c>
    </row>
    <row r="3494" spans="1:3">
      <c r="A3494">
        <v>3486</v>
      </c>
      <c r="B3494">
        <v>0.22372842435169232</v>
      </c>
      <c r="C3494">
        <v>0.75761489207798149</v>
      </c>
    </row>
    <row r="3495" spans="1:3">
      <c r="A3495">
        <v>3487</v>
      </c>
      <c r="B3495">
        <v>0.72113753711351603</v>
      </c>
      <c r="C3495">
        <v>0.54337501210375194</v>
      </c>
    </row>
    <row r="3496" spans="1:3">
      <c r="A3496">
        <v>3488</v>
      </c>
      <c r="B3496">
        <v>0.36573221937821532</v>
      </c>
      <c r="C3496">
        <v>0.23708596069809573</v>
      </c>
    </row>
    <row r="3497" spans="1:3">
      <c r="A3497">
        <v>3489</v>
      </c>
      <c r="B3497">
        <v>0.18074219315958726</v>
      </c>
      <c r="C3497">
        <v>0.88787909850816504</v>
      </c>
    </row>
    <row r="3498" spans="1:3">
      <c r="A3498">
        <v>3490</v>
      </c>
      <c r="B3498">
        <v>4.5497708586393321E-2</v>
      </c>
      <c r="C3498">
        <v>0.68126076761473087</v>
      </c>
    </row>
    <row r="3499" spans="1:3">
      <c r="A3499">
        <v>3491</v>
      </c>
      <c r="B3499">
        <v>0.931039275951972</v>
      </c>
      <c r="C3499">
        <v>0.6645142525439951</v>
      </c>
    </row>
    <row r="3500" spans="1:3">
      <c r="A3500">
        <v>3492</v>
      </c>
      <c r="B3500">
        <v>0.42310519890214898</v>
      </c>
      <c r="C3500">
        <v>0.69098356160793628</v>
      </c>
    </row>
    <row r="3501" spans="1:3">
      <c r="A3501">
        <v>3493</v>
      </c>
      <c r="B3501">
        <v>0.96586384710405582</v>
      </c>
      <c r="C3501">
        <v>0.62596664053216955</v>
      </c>
    </row>
    <row r="3502" spans="1:3">
      <c r="A3502">
        <v>3494</v>
      </c>
      <c r="B3502">
        <v>0.64107457915131805</v>
      </c>
      <c r="C3502">
        <v>0.58165220560476882</v>
      </c>
    </row>
    <row r="3503" spans="1:3">
      <c r="A3503">
        <v>3495</v>
      </c>
      <c r="B3503">
        <v>1.0793668417957069E-2</v>
      </c>
      <c r="C3503">
        <v>0.12546680788636877</v>
      </c>
    </row>
    <row r="3504" spans="1:3">
      <c r="A3504">
        <v>3496</v>
      </c>
      <c r="B3504">
        <v>0.39110581063244165</v>
      </c>
      <c r="C3504">
        <v>0.32628636063782324</v>
      </c>
    </row>
    <row r="3505" spans="1:3">
      <c r="A3505">
        <v>3497</v>
      </c>
      <c r="B3505">
        <v>0.75504919805336956</v>
      </c>
      <c r="C3505">
        <v>0.50330070692598383</v>
      </c>
    </row>
    <row r="3506" spans="1:3">
      <c r="A3506">
        <v>3498</v>
      </c>
      <c r="B3506">
        <v>0.60644969386715664</v>
      </c>
      <c r="C3506">
        <v>0.11307205253615393</v>
      </c>
    </row>
    <row r="3507" spans="1:3">
      <c r="A3507">
        <v>3499</v>
      </c>
      <c r="B3507">
        <v>8.7849365170451194E-2</v>
      </c>
      <c r="C3507">
        <v>0.55113871606499742</v>
      </c>
    </row>
    <row r="3508" spans="1:3">
      <c r="A3508">
        <v>3500</v>
      </c>
      <c r="B3508">
        <v>0.50426608661610306</v>
      </c>
      <c r="C3508">
        <v>0.41188943344423024</v>
      </c>
    </row>
    <row r="3509" spans="1:3">
      <c r="A3509">
        <v>3501</v>
      </c>
      <c r="B3509">
        <v>0.99258654881752717</v>
      </c>
      <c r="C3509">
        <v>0.51725832172180031</v>
      </c>
    </row>
    <row r="3510" spans="1:3">
      <c r="A3510">
        <v>3502</v>
      </c>
      <c r="B3510">
        <v>0.1503441761482377</v>
      </c>
      <c r="C3510">
        <v>0.70908633589533565</v>
      </c>
    </row>
    <row r="3511" spans="1:3">
      <c r="A3511">
        <v>3503</v>
      </c>
      <c r="B3511">
        <v>8.6883338058340212E-2</v>
      </c>
      <c r="C3511">
        <v>0.12468164551137306</v>
      </c>
    </row>
    <row r="3512" spans="1:3">
      <c r="A3512">
        <v>3504</v>
      </c>
      <c r="B3512">
        <v>0.58957008566823088</v>
      </c>
      <c r="C3512">
        <v>0.19560243395699217</v>
      </c>
    </row>
    <row r="3513" spans="1:3">
      <c r="A3513">
        <v>3505</v>
      </c>
      <c r="B3513">
        <v>0.4986533013934859</v>
      </c>
      <c r="C3513">
        <v>0.47077301145691308</v>
      </c>
    </row>
    <row r="3514" spans="1:3">
      <c r="A3514">
        <v>3506</v>
      </c>
      <c r="B3514">
        <v>0.7300256988931042</v>
      </c>
      <c r="C3514">
        <v>2.311018251839414E-2</v>
      </c>
    </row>
    <row r="3515" spans="1:3">
      <c r="A3515">
        <v>3507</v>
      </c>
      <c r="B3515">
        <v>0.10585079817577517</v>
      </c>
      <c r="C3515">
        <v>0.90891859238581674</v>
      </c>
    </row>
    <row r="3516" spans="1:3">
      <c r="A3516">
        <v>3508</v>
      </c>
      <c r="B3516">
        <v>0.70251697632933896</v>
      </c>
      <c r="C3516">
        <v>0.72485854312435549</v>
      </c>
    </row>
    <row r="3517" spans="1:3">
      <c r="A3517">
        <v>3509</v>
      </c>
      <c r="B3517">
        <v>0.81512041150110781</v>
      </c>
      <c r="C3517">
        <v>8.1553069333494932E-2</v>
      </c>
    </row>
    <row r="3518" spans="1:3">
      <c r="A3518">
        <v>3510</v>
      </c>
      <c r="B3518">
        <v>0.47677954573430581</v>
      </c>
      <c r="C3518">
        <v>0.56963954298043973</v>
      </c>
    </row>
    <row r="3519" spans="1:3">
      <c r="A3519">
        <v>3511</v>
      </c>
      <c r="B3519">
        <v>0.23492806740662273</v>
      </c>
      <c r="C3519">
        <v>2.2262887432589196E-2</v>
      </c>
    </row>
    <row r="3520" spans="1:3">
      <c r="A3520">
        <v>3512</v>
      </c>
      <c r="B3520">
        <v>0.46691051750357976</v>
      </c>
      <c r="C3520">
        <v>0.24515319323472795</v>
      </c>
    </row>
    <row r="3521" spans="1:3">
      <c r="A3521">
        <v>3513</v>
      </c>
      <c r="B3521">
        <v>0.18911545899000845</v>
      </c>
      <c r="C3521">
        <v>0.38672921129091264</v>
      </c>
    </row>
    <row r="3522" spans="1:3">
      <c r="A3522">
        <v>3514</v>
      </c>
      <c r="B3522">
        <v>0.58187655340970412</v>
      </c>
      <c r="C3522">
        <v>0.67213780099700671</v>
      </c>
    </row>
    <row r="3523" spans="1:3">
      <c r="A3523">
        <v>3515</v>
      </c>
      <c r="B3523">
        <v>0.57434617572560587</v>
      </c>
      <c r="C3523">
        <v>0.75928454257064004</v>
      </c>
    </row>
    <row r="3524" spans="1:3">
      <c r="A3524">
        <v>3516</v>
      </c>
      <c r="B3524">
        <v>0.2209390270496111</v>
      </c>
      <c r="C3524">
        <v>0.81490290043620917</v>
      </c>
    </row>
    <row r="3525" spans="1:3">
      <c r="A3525">
        <v>3517</v>
      </c>
      <c r="B3525">
        <v>0.50863848916754095</v>
      </c>
      <c r="C3525">
        <v>0.79839684468424821</v>
      </c>
    </row>
    <row r="3526" spans="1:3">
      <c r="A3526">
        <v>3518</v>
      </c>
      <c r="B3526">
        <v>0.88151423300842613</v>
      </c>
      <c r="C3526">
        <v>6.7637172915055999E-3</v>
      </c>
    </row>
    <row r="3527" spans="1:3">
      <c r="A3527">
        <v>3519</v>
      </c>
      <c r="B3527">
        <v>0.8459192142924572</v>
      </c>
      <c r="C3527">
        <v>0.7347555711021414</v>
      </c>
    </row>
    <row r="3528" spans="1:3">
      <c r="A3528">
        <v>3520</v>
      </c>
      <c r="B3528">
        <v>0.74945634672168093</v>
      </c>
      <c r="C3528">
        <v>0.29618941211356287</v>
      </c>
    </row>
    <row r="3529" spans="1:3">
      <c r="A3529">
        <v>3521</v>
      </c>
      <c r="B3529">
        <v>0.48922750729816672</v>
      </c>
      <c r="C3529">
        <v>0.146081953202156</v>
      </c>
    </row>
    <row r="3530" spans="1:3">
      <c r="A3530">
        <v>3522</v>
      </c>
      <c r="B3530">
        <v>0.76182231887486351</v>
      </c>
      <c r="C3530">
        <v>0.19101676878017315</v>
      </c>
    </row>
    <row r="3531" spans="1:3">
      <c r="A3531">
        <v>3523</v>
      </c>
      <c r="B3531">
        <v>0.2831518955439683</v>
      </c>
      <c r="C3531">
        <v>0.26172829775987339</v>
      </c>
    </row>
    <row r="3532" spans="1:3">
      <c r="A3532">
        <v>3524</v>
      </c>
      <c r="B3532">
        <v>0.88067563792003223</v>
      </c>
      <c r="C3532">
        <v>0.88996240128471982</v>
      </c>
    </row>
    <row r="3533" spans="1:3">
      <c r="A3533">
        <v>3525</v>
      </c>
      <c r="B3533">
        <v>0.97742044800343464</v>
      </c>
      <c r="C3533">
        <v>0.164576954021868</v>
      </c>
    </row>
    <row r="3534" spans="1:3">
      <c r="A3534">
        <v>3526</v>
      </c>
      <c r="B3534">
        <v>0.637506917350671</v>
      </c>
      <c r="C3534">
        <v>0.42301640968980792</v>
      </c>
    </row>
    <row r="3535" spans="1:3">
      <c r="A3535">
        <v>3527</v>
      </c>
      <c r="B3535">
        <v>0.64765273014159241</v>
      </c>
      <c r="C3535">
        <v>0.89489103333198727</v>
      </c>
    </row>
    <row r="3536" spans="1:3">
      <c r="A3536">
        <v>3528</v>
      </c>
      <c r="B3536">
        <v>0.95943109716079922</v>
      </c>
      <c r="C3536">
        <v>3.4258118063007714E-2</v>
      </c>
    </row>
    <row r="3537" spans="1:3">
      <c r="A3537">
        <v>3529</v>
      </c>
      <c r="B3537">
        <v>0.18888390300434174</v>
      </c>
      <c r="C3537">
        <v>6.8282703904515074E-2</v>
      </c>
    </row>
    <row r="3538" spans="1:3">
      <c r="A3538">
        <v>3530</v>
      </c>
      <c r="B3538">
        <v>0.62134486935868505</v>
      </c>
      <c r="C3538">
        <v>0.16679563581237744</v>
      </c>
    </row>
    <row r="3539" spans="1:3">
      <c r="A3539">
        <v>3531</v>
      </c>
      <c r="B3539">
        <v>2.7813681914194876E-2</v>
      </c>
      <c r="C3539">
        <v>3.6125357314631401E-2</v>
      </c>
    </row>
    <row r="3540" spans="1:3">
      <c r="A3540">
        <v>3532</v>
      </c>
      <c r="B3540">
        <v>0.63003720075004666</v>
      </c>
      <c r="C3540">
        <v>0.49079780291503994</v>
      </c>
    </row>
    <row r="3541" spans="1:3">
      <c r="A3541">
        <v>3533</v>
      </c>
      <c r="B3541">
        <v>0.95293617744830805</v>
      </c>
      <c r="C3541">
        <v>0.89519227816617786</v>
      </c>
    </row>
    <row r="3542" spans="1:3">
      <c r="A3542">
        <v>3534</v>
      </c>
      <c r="B3542">
        <v>0.76665602962441182</v>
      </c>
      <c r="C3542">
        <v>0.2174389711162803</v>
      </c>
    </row>
    <row r="3543" spans="1:3">
      <c r="A3543">
        <v>3535</v>
      </c>
      <c r="B3543">
        <v>0.82290373039513454</v>
      </c>
      <c r="C3543">
        <v>3.7502665782994882E-2</v>
      </c>
    </row>
    <row r="3544" spans="1:3">
      <c r="A3544">
        <v>3536</v>
      </c>
      <c r="B3544">
        <v>0.25072885435492009</v>
      </c>
      <c r="C3544">
        <v>0.84556763327782392</v>
      </c>
    </row>
    <row r="3545" spans="1:3">
      <c r="A3545">
        <v>3537</v>
      </c>
      <c r="B3545">
        <v>0.23323178510629383</v>
      </c>
      <c r="C3545">
        <v>0.9441647505873334</v>
      </c>
    </row>
    <row r="3546" spans="1:3">
      <c r="A3546">
        <v>3538</v>
      </c>
      <c r="B3546">
        <v>0.2388477287990152</v>
      </c>
      <c r="C3546">
        <v>0.58446697913132084</v>
      </c>
    </row>
    <row r="3547" spans="1:3">
      <c r="A3547">
        <v>3539</v>
      </c>
      <c r="B3547">
        <v>0.83860074353376424</v>
      </c>
      <c r="C3547">
        <v>0.32595362377560377</v>
      </c>
    </row>
    <row r="3548" spans="1:3">
      <c r="A3548">
        <v>3540</v>
      </c>
      <c r="B3548">
        <v>0.75897878543589703</v>
      </c>
      <c r="C3548">
        <v>0.47915640048449859</v>
      </c>
    </row>
    <row r="3549" spans="1:3">
      <c r="A3549">
        <v>3541</v>
      </c>
      <c r="B3549">
        <v>0.12918535500359379</v>
      </c>
      <c r="C3549">
        <v>0.58576158259802469</v>
      </c>
    </row>
    <row r="3550" spans="1:3">
      <c r="A3550">
        <v>3542</v>
      </c>
      <c r="B3550">
        <v>0.48177386841642994</v>
      </c>
      <c r="C3550">
        <v>0.32122934315157181</v>
      </c>
    </row>
    <row r="3551" spans="1:3">
      <c r="A3551">
        <v>3543</v>
      </c>
      <c r="B3551">
        <v>0.26998599499496306</v>
      </c>
      <c r="C3551">
        <v>0.26982698530355265</v>
      </c>
    </row>
    <row r="3552" spans="1:3">
      <c r="A3552">
        <v>3544</v>
      </c>
      <c r="B3552">
        <v>0.75596315473051823</v>
      </c>
      <c r="C3552">
        <v>0.6363138433698623</v>
      </c>
    </row>
    <row r="3553" spans="1:3">
      <c r="A3553">
        <v>3545</v>
      </c>
      <c r="B3553">
        <v>0.85680042942655288</v>
      </c>
      <c r="C3553">
        <v>0.2848681904060868</v>
      </c>
    </row>
    <row r="3554" spans="1:3">
      <c r="A3554">
        <v>3546</v>
      </c>
      <c r="B3554">
        <v>0.91675394264868315</v>
      </c>
      <c r="C3554">
        <v>0.25851382035580173</v>
      </c>
    </row>
    <row r="3555" spans="1:3">
      <c r="A3555">
        <v>3547</v>
      </c>
      <c r="B3555">
        <v>4.171456536224917E-2</v>
      </c>
      <c r="C3555">
        <v>0.98427310982606286</v>
      </c>
    </row>
    <row r="3556" spans="1:3">
      <c r="A3556">
        <v>3548</v>
      </c>
      <c r="B3556">
        <v>0.67916899435058453</v>
      </c>
      <c r="C3556">
        <v>0.20695950091612758</v>
      </c>
    </row>
    <row r="3557" spans="1:3">
      <c r="A3557">
        <v>3549</v>
      </c>
      <c r="B3557">
        <v>0.53691629936083141</v>
      </c>
      <c r="C3557">
        <v>9.3215253855305491E-4</v>
      </c>
    </row>
    <row r="3558" spans="1:3">
      <c r="A3558">
        <v>3550</v>
      </c>
      <c r="B3558">
        <v>0.7126424599448784</v>
      </c>
      <c r="C3558">
        <v>7.5374384849055787E-2</v>
      </c>
    </row>
    <row r="3559" spans="1:3">
      <c r="A3559">
        <v>3551</v>
      </c>
      <c r="B3559">
        <v>0.16192548499459528</v>
      </c>
      <c r="C3559">
        <v>0.37352895570532496</v>
      </c>
    </row>
    <row r="3560" spans="1:3">
      <c r="A3560">
        <v>3552</v>
      </c>
      <c r="B3560">
        <v>0.80464471967929152</v>
      </c>
      <c r="C3560">
        <v>0.92813822283551417</v>
      </c>
    </row>
    <row r="3561" spans="1:3">
      <c r="A3561">
        <v>3553</v>
      </c>
      <c r="B3561">
        <v>0.16939637796846135</v>
      </c>
      <c r="C3561">
        <v>0.8487309645042842</v>
      </c>
    </row>
    <row r="3562" spans="1:3">
      <c r="A3562">
        <v>3554</v>
      </c>
      <c r="B3562">
        <v>0.2479998513022903</v>
      </c>
      <c r="C3562">
        <v>0.73506400479618605</v>
      </c>
    </row>
    <row r="3563" spans="1:3">
      <c r="A3563">
        <v>3555</v>
      </c>
      <c r="B3563">
        <v>0.4717048757469991</v>
      </c>
      <c r="C3563">
        <v>0.37669705761072692</v>
      </c>
    </row>
    <row r="3564" spans="1:3">
      <c r="A3564">
        <v>3556</v>
      </c>
      <c r="B3564">
        <v>0.368595792916323</v>
      </c>
      <c r="C3564">
        <v>0.42558090364309464</v>
      </c>
    </row>
    <row r="3565" spans="1:3">
      <c r="A3565">
        <v>3557</v>
      </c>
      <c r="B3565">
        <v>0.49146353747455024</v>
      </c>
      <c r="C3565">
        <v>0.13359485055298137</v>
      </c>
    </row>
    <row r="3566" spans="1:3">
      <c r="A3566">
        <v>3558</v>
      </c>
      <c r="B3566">
        <v>0.74854365823584235</v>
      </c>
      <c r="C3566">
        <v>0.12841126215516852</v>
      </c>
    </row>
    <row r="3567" spans="1:3">
      <c r="A3567">
        <v>3559</v>
      </c>
      <c r="B3567">
        <v>0.97053592852892723</v>
      </c>
      <c r="C3567">
        <v>0.32424634961716947</v>
      </c>
    </row>
    <row r="3568" spans="1:3">
      <c r="A3568">
        <v>3560</v>
      </c>
      <c r="B3568">
        <v>0.76806243193770352</v>
      </c>
      <c r="C3568">
        <v>0.89450792104616994</v>
      </c>
    </row>
    <row r="3569" spans="1:3">
      <c r="A3569">
        <v>3561</v>
      </c>
      <c r="B3569">
        <v>0.45266149173841375</v>
      </c>
      <c r="C3569">
        <v>0.26471095905708353</v>
      </c>
    </row>
    <row r="3570" spans="1:3">
      <c r="A3570">
        <v>3562</v>
      </c>
      <c r="B3570">
        <v>0.43186901246459902</v>
      </c>
      <c r="C3570">
        <v>0.82943886885368556</v>
      </c>
    </row>
    <row r="3571" spans="1:3">
      <c r="A3571">
        <v>3563</v>
      </c>
      <c r="B3571">
        <v>0.63882348433356351</v>
      </c>
      <c r="C3571">
        <v>0.83149729651358939</v>
      </c>
    </row>
    <row r="3572" spans="1:3">
      <c r="A3572">
        <v>3564</v>
      </c>
      <c r="B3572">
        <v>0.88399719220395123</v>
      </c>
      <c r="C3572">
        <v>0.17635237842841889</v>
      </c>
    </row>
    <row r="3573" spans="1:3">
      <c r="A3573">
        <v>3565</v>
      </c>
      <c r="B3573">
        <v>7.7850678629067416E-2</v>
      </c>
      <c r="C3573">
        <v>0.72365847544188</v>
      </c>
    </row>
    <row r="3574" spans="1:3">
      <c r="A3574">
        <v>3566</v>
      </c>
      <c r="B3574">
        <v>0.55948717131160364</v>
      </c>
      <c r="C3574">
        <v>0.2929309785595251</v>
      </c>
    </row>
    <row r="3575" spans="1:3">
      <c r="A3575">
        <v>3567</v>
      </c>
      <c r="B3575">
        <v>0.10330394590159503</v>
      </c>
      <c r="C3575">
        <v>0.40048352193934988</v>
      </c>
    </row>
    <row r="3576" spans="1:3">
      <c r="A3576">
        <v>3568</v>
      </c>
      <c r="B3576">
        <v>0.69116347521216681</v>
      </c>
      <c r="C3576">
        <v>4.6488171021337621E-2</v>
      </c>
    </row>
    <row r="3577" spans="1:3">
      <c r="A3577">
        <v>3569</v>
      </c>
      <c r="B3577">
        <v>0.35222729067863601</v>
      </c>
      <c r="C3577">
        <v>0.14456307357158948</v>
      </c>
    </row>
    <row r="3578" spans="1:3">
      <c r="A3578">
        <v>3570</v>
      </c>
      <c r="B3578">
        <v>0.77610574084792894</v>
      </c>
      <c r="C3578">
        <v>0.39779037337029877</v>
      </c>
    </row>
    <row r="3579" spans="1:3">
      <c r="A3579">
        <v>3571</v>
      </c>
      <c r="B3579">
        <v>0.64459473632280595</v>
      </c>
      <c r="C3579">
        <v>0.53472656748363079</v>
      </c>
    </row>
    <row r="3580" spans="1:3">
      <c r="A3580">
        <v>3572</v>
      </c>
      <c r="B3580">
        <v>0.17160383311654528</v>
      </c>
      <c r="C3580">
        <v>0.96383154175782693</v>
      </c>
    </row>
    <row r="3581" spans="1:3">
      <c r="A3581">
        <v>3573</v>
      </c>
      <c r="B3581">
        <v>0.32193857240382079</v>
      </c>
      <c r="C3581">
        <v>0.88125344020136254</v>
      </c>
    </row>
    <row r="3582" spans="1:3">
      <c r="A3582">
        <v>3574</v>
      </c>
      <c r="B3582">
        <v>0.81234794334898419</v>
      </c>
      <c r="C3582">
        <v>0.12183292185363825</v>
      </c>
    </row>
    <row r="3583" spans="1:3">
      <c r="A3583">
        <v>3575</v>
      </c>
      <c r="B3583">
        <v>0.11740685263117935</v>
      </c>
      <c r="C3583">
        <v>0.27814802316700593</v>
      </c>
    </row>
    <row r="3584" spans="1:3">
      <c r="A3584">
        <v>3576</v>
      </c>
      <c r="B3584">
        <v>0.7174488274420725</v>
      </c>
      <c r="C3584">
        <v>0.91287334338812798</v>
      </c>
    </row>
    <row r="3585" spans="1:3">
      <c r="A3585">
        <v>3577</v>
      </c>
      <c r="B3585">
        <v>0.17658287226566646</v>
      </c>
      <c r="C3585">
        <v>0.91617319623128424</v>
      </c>
    </row>
    <row r="3586" spans="1:3">
      <c r="A3586">
        <v>3578</v>
      </c>
      <c r="B3586">
        <v>0.34428171164460519</v>
      </c>
      <c r="C3586">
        <v>0.85206450388795929</v>
      </c>
    </row>
    <row r="3587" spans="1:3">
      <c r="A3587">
        <v>3579</v>
      </c>
      <c r="B3587">
        <v>0.60443847857528332</v>
      </c>
      <c r="C3587">
        <v>0.91694710704450699</v>
      </c>
    </row>
    <row r="3588" spans="1:3">
      <c r="A3588">
        <v>3580</v>
      </c>
      <c r="B3588">
        <v>0.60281674716039957</v>
      </c>
      <c r="C3588">
        <v>0.75023815434724384</v>
      </c>
    </row>
    <row r="3589" spans="1:3">
      <c r="A3589">
        <v>3581</v>
      </c>
      <c r="B3589">
        <v>0.13180702429497779</v>
      </c>
      <c r="C3589">
        <v>0.1853769719864431</v>
      </c>
    </row>
    <row r="3590" spans="1:3">
      <c r="A3590">
        <v>3582</v>
      </c>
      <c r="B3590">
        <v>0.63542014728868856</v>
      </c>
      <c r="C3590">
        <v>0.51040866349286773</v>
      </c>
    </row>
    <row r="3591" spans="1:3">
      <c r="A3591">
        <v>3583</v>
      </c>
      <c r="B3591">
        <v>0.86054963082385949</v>
      </c>
      <c r="C3591">
        <v>0.77279062917841657</v>
      </c>
    </row>
    <row r="3592" spans="1:3">
      <c r="A3592">
        <v>3584</v>
      </c>
      <c r="B3592">
        <v>0.931351665276138</v>
      </c>
      <c r="C3592">
        <v>0.36077916775411722</v>
      </c>
    </row>
    <row r="3593" spans="1:3">
      <c r="A3593">
        <v>3585</v>
      </c>
      <c r="B3593">
        <v>0.24986454101006139</v>
      </c>
      <c r="C3593">
        <v>1.5922470924124354E-2</v>
      </c>
    </row>
    <row r="3594" spans="1:3">
      <c r="A3594">
        <v>3586</v>
      </c>
      <c r="B3594">
        <v>3.8533648389655548E-2</v>
      </c>
      <c r="C3594">
        <v>0.70018639126556081</v>
      </c>
    </row>
    <row r="3595" spans="1:3">
      <c r="A3595">
        <v>3587</v>
      </c>
      <c r="B3595">
        <v>0.23221098179910588</v>
      </c>
      <c r="C3595">
        <v>0.87429195680125815</v>
      </c>
    </row>
    <row r="3596" spans="1:3">
      <c r="A3596">
        <v>3588</v>
      </c>
      <c r="B3596">
        <v>0.91139760411246629</v>
      </c>
      <c r="C3596">
        <v>0.85953886917923228</v>
      </c>
    </row>
    <row r="3597" spans="1:3">
      <c r="A3597">
        <v>3589</v>
      </c>
      <c r="B3597">
        <v>0.80058022806630003</v>
      </c>
      <c r="C3597">
        <v>0.89183070067429071</v>
      </c>
    </row>
    <row r="3598" spans="1:3">
      <c r="A3598">
        <v>3590</v>
      </c>
      <c r="B3598">
        <v>0.60879491788335027</v>
      </c>
      <c r="C3598">
        <v>4.6816042040518369E-2</v>
      </c>
    </row>
    <row r="3599" spans="1:3">
      <c r="A3599">
        <v>3591</v>
      </c>
      <c r="B3599">
        <v>0.59925091201380143</v>
      </c>
      <c r="C3599">
        <v>0.58053458867016161</v>
      </c>
    </row>
    <row r="3600" spans="1:3">
      <c r="A3600">
        <v>3592</v>
      </c>
      <c r="B3600">
        <v>0.32894137791011979</v>
      </c>
      <c r="C3600">
        <v>5.1004168002691586E-2</v>
      </c>
    </row>
    <row r="3601" spans="1:3">
      <c r="A3601">
        <v>3593</v>
      </c>
      <c r="B3601">
        <v>0.42867231506567266</v>
      </c>
      <c r="C3601">
        <v>0.65263010006583499</v>
      </c>
    </row>
    <row r="3602" spans="1:3">
      <c r="A3602">
        <v>3594</v>
      </c>
      <c r="B3602">
        <v>0.63053234738142516</v>
      </c>
      <c r="C3602">
        <v>0.32819880251372524</v>
      </c>
    </row>
    <row r="3603" spans="1:3">
      <c r="A3603">
        <v>3595</v>
      </c>
      <c r="B3603">
        <v>0.14970749098023109</v>
      </c>
      <c r="C3603">
        <v>0.78769972556438006</v>
      </c>
    </row>
    <row r="3604" spans="1:3">
      <c r="A3604">
        <v>3596</v>
      </c>
      <c r="B3604">
        <v>0.75342563129184437</v>
      </c>
      <c r="C3604">
        <v>0.30930423734480428</v>
      </c>
    </row>
    <row r="3605" spans="1:3">
      <c r="A3605">
        <v>3597</v>
      </c>
      <c r="B3605">
        <v>0.96695966368321318</v>
      </c>
      <c r="C3605">
        <v>0.27884911173168803</v>
      </c>
    </row>
    <row r="3606" spans="1:3">
      <c r="A3606">
        <v>3598</v>
      </c>
      <c r="B3606">
        <v>0.88414612058981934</v>
      </c>
      <c r="C3606">
        <v>0.97270417831441591</v>
      </c>
    </row>
    <row r="3607" spans="1:3">
      <c r="A3607">
        <v>3599</v>
      </c>
      <c r="B3607">
        <v>0.31773715556914384</v>
      </c>
      <c r="C3607">
        <v>0.29525396257122338</v>
      </c>
    </row>
    <row r="3608" spans="1:3">
      <c r="A3608">
        <v>3600</v>
      </c>
      <c r="B3608">
        <v>0.48366455556332705</v>
      </c>
      <c r="C3608">
        <v>5.2854468519399234E-2</v>
      </c>
    </row>
    <row r="3609" spans="1:3">
      <c r="A3609">
        <v>3601</v>
      </c>
      <c r="B3609">
        <v>0.27954558661364615</v>
      </c>
      <c r="C3609">
        <v>0.35215235627765651</v>
      </c>
    </row>
    <row r="3610" spans="1:3">
      <c r="A3610">
        <v>3602</v>
      </c>
      <c r="B3610">
        <v>0.59528278995782202</v>
      </c>
      <c r="C3610">
        <v>0.25946726510210283</v>
      </c>
    </row>
    <row r="3611" spans="1:3">
      <c r="A3611">
        <v>3603</v>
      </c>
      <c r="B3611">
        <v>0.66019267987836916</v>
      </c>
      <c r="C3611">
        <v>0.13686211532876769</v>
      </c>
    </row>
    <row r="3612" spans="1:3">
      <c r="A3612">
        <v>3604</v>
      </c>
      <c r="B3612">
        <v>4.9006191735809251E-2</v>
      </c>
      <c r="C3612">
        <v>0.64503515228079777</v>
      </c>
    </row>
    <row r="3613" spans="1:3">
      <c r="A3613">
        <v>3605</v>
      </c>
      <c r="B3613">
        <v>0.1440133343683587</v>
      </c>
      <c r="C3613">
        <v>6.5464314699056558E-2</v>
      </c>
    </row>
    <row r="3614" spans="1:3">
      <c r="A3614">
        <v>3606</v>
      </c>
      <c r="B3614">
        <v>0.29783931878927145</v>
      </c>
      <c r="C3614">
        <v>0.18408411850668926</v>
      </c>
    </row>
    <row r="3615" spans="1:3">
      <c r="A3615">
        <v>3607</v>
      </c>
      <c r="B3615">
        <v>1.95436472723595E-2</v>
      </c>
      <c r="C3615">
        <v>0.9289162056047644</v>
      </c>
    </row>
    <row r="3616" spans="1:3">
      <c r="A3616">
        <v>3608</v>
      </c>
      <c r="B3616">
        <v>0.2677244378929316</v>
      </c>
      <c r="C3616">
        <v>4.5924943608952162E-2</v>
      </c>
    </row>
    <row r="3617" spans="1:3">
      <c r="A3617">
        <v>3609</v>
      </c>
      <c r="B3617">
        <v>5.3383669174272494E-2</v>
      </c>
      <c r="C3617">
        <v>0.97807604418451888</v>
      </c>
    </row>
    <row r="3618" spans="1:3">
      <c r="A3618">
        <v>3610</v>
      </c>
      <c r="B3618">
        <v>0.88708454414263471</v>
      </c>
      <c r="C3618">
        <v>0.16179209875190281</v>
      </c>
    </row>
    <row r="3619" spans="1:3">
      <c r="A3619">
        <v>3611</v>
      </c>
      <c r="B3619">
        <v>0.48718003118629105</v>
      </c>
      <c r="C3619">
        <v>0.2342219316842602</v>
      </c>
    </row>
    <row r="3620" spans="1:3">
      <c r="A3620">
        <v>3612</v>
      </c>
      <c r="B3620">
        <v>0.58377610879735464</v>
      </c>
      <c r="C3620">
        <v>0.69515091428002052</v>
      </c>
    </row>
    <row r="3621" spans="1:3">
      <c r="A3621">
        <v>3613</v>
      </c>
      <c r="B3621">
        <v>0.65329533091618108</v>
      </c>
      <c r="C3621">
        <v>0.81601664637219073</v>
      </c>
    </row>
    <row r="3622" spans="1:3">
      <c r="A3622">
        <v>3614</v>
      </c>
      <c r="B3622">
        <v>0.60683152520373274</v>
      </c>
      <c r="C3622">
        <v>0.24146963019302348</v>
      </c>
    </row>
    <row r="3623" spans="1:3">
      <c r="A3623">
        <v>3615</v>
      </c>
      <c r="B3623">
        <v>3.2563799733334176E-2</v>
      </c>
      <c r="C3623">
        <v>0.75945945544935967</v>
      </c>
    </row>
    <row r="3624" spans="1:3">
      <c r="A3624">
        <v>3616</v>
      </c>
      <c r="B3624">
        <v>0.65708829324154372</v>
      </c>
      <c r="C3624">
        <v>0.66042342002219812</v>
      </c>
    </row>
    <row r="3625" spans="1:3">
      <c r="A3625">
        <v>3617</v>
      </c>
      <c r="B3625">
        <v>0.73204605814224255</v>
      </c>
      <c r="C3625">
        <v>0.42011680360610626</v>
      </c>
    </row>
    <row r="3626" spans="1:3">
      <c r="A3626">
        <v>3618</v>
      </c>
      <c r="B3626">
        <v>0.10916113576985922</v>
      </c>
      <c r="C3626">
        <v>0.97017476094697486</v>
      </c>
    </row>
    <row r="3627" spans="1:3">
      <c r="A3627">
        <v>3619</v>
      </c>
      <c r="B3627">
        <v>0.87655987363112164</v>
      </c>
      <c r="C3627">
        <v>0.1618003438343294</v>
      </c>
    </row>
    <row r="3628" spans="1:3">
      <c r="A3628">
        <v>3620</v>
      </c>
      <c r="B3628">
        <v>0.42140799075951979</v>
      </c>
      <c r="C3628">
        <v>0.92448104871709802</v>
      </c>
    </row>
    <row r="3629" spans="1:3">
      <c r="A3629">
        <v>3621</v>
      </c>
      <c r="B3629">
        <v>1.8533678373818675E-2</v>
      </c>
      <c r="C3629">
        <v>0.25355745545859065</v>
      </c>
    </row>
    <row r="3630" spans="1:3">
      <c r="A3630">
        <v>3622</v>
      </c>
      <c r="B3630">
        <v>0.25914648540153784</v>
      </c>
      <c r="C3630">
        <v>0.82395077114051674</v>
      </c>
    </row>
    <row r="3631" spans="1:3">
      <c r="A3631">
        <v>3623</v>
      </c>
      <c r="B3631">
        <v>0.42273011505639413</v>
      </c>
      <c r="C3631">
        <v>0.54409416044927639</v>
      </c>
    </row>
    <row r="3632" spans="1:3">
      <c r="A3632">
        <v>3624</v>
      </c>
      <c r="B3632">
        <v>0.62035345379862783</v>
      </c>
      <c r="C3632">
        <v>0.48547742880509759</v>
      </c>
    </row>
    <row r="3633" spans="1:3">
      <c r="A3633">
        <v>3625</v>
      </c>
      <c r="B3633">
        <v>0.17497553936386845</v>
      </c>
      <c r="C3633">
        <v>0.46502621623676532</v>
      </c>
    </row>
    <row r="3634" spans="1:3">
      <c r="A3634">
        <v>3626</v>
      </c>
      <c r="B3634">
        <v>0.23999928124928829</v>
      </c>
      <c r="C3634">
        <v>0.33311793722168659</v>
      </c>
    </row>
    <row r="3635" spans="1:3">
      <c r="A3635">
        <v>3627</v>
      </c>
      <c r="B3635">
        <v>0.35007895655065752</v>
      </c>
      <c r="C3635">
        <v>0.132144672569666</v>
      </c>
    </row>
    <row r="3636" spans="1:3">
      <c r="A3636">
        <v>3628</v>
      </c>
      <c r="B3636">
        <v>0.82425752940435382</v>
      </c>
      <c r="C3636">
        <v>1.9399032300526642E-2</v>
      </c>
    </row>
    <row r="3637" spans="1:3">
      <c r="A3637">
        <v>3629</v>
      </c>
      <c r="B3637">
        <v>0.59184020186551856</v>
      </c>
      <c r="C3637">
        <v>0.86003869965134072</v>
      </c>
    </row>
    <row r="3638" spans="1:3">
      <c r="A3638">
        <v>3630</v>
      </c>
      <c r="B3638">
        <v>0.21225639430709567</v>
      </c>
      <c r="C3638">
        <v>0.14899429803972453</v>
      </c>
    </row>
    <row r="3639" spans="1:3">
      <c r="A3639">
        <v>3631</v>
      </c>
      <c r="B3639">
        <v>7.0719022620450489E-2</v>
      </c>
      <c r="C3639">
        <v>9.1658698225742796E-2</v>
      </c>
    </row>
    <row r="3640" spans="1:3">
      <c r="A3640">
        <v>3632</v>
      </c>
      <c r="B3640">
        <v>6.4906171709323807E-2</v>
      </c>
      <c r="C3640">
        <v>0.17968529527752253</v>
      </c>
    </row>
    <row r="3641" spans="1:3">
      <c r="A3641">
        <v>3633</v>
      </c>
      <c r="B3641">
        <v>0.59876234883823487</v>
      </c>
      <c r="C3641">
        <v>0.26825685639505537</v>
      </c>
    </row>
    <row r="3642" spans="1:3">
      <c r="A3642">
        <v>3634</v>
      </c>
      <c r="B3642">
        <v>0.68973463820422409</v>
      </c>
      <c r="C3642">
        <v>0.11864122613405925</v>
      </c>
    </row>
    <row r="3643" spans="1:3">
      <c r="A3643">
        <v>3635</v>
      </c>
      <c r="B3643">
        <v>0.94792834297286532</v>
      </c>
      <c r="C3643">
        <v>4.8051139259769116E-2</v>
      </c>
    </row>
    <row r="3644" spans="1:3">
      <c r="A3644">
        <v>3636</v>
      </c>
      <c r="B3644">
        <v>1.6780089191901517E-2</v>
      </c>
      <c r="C3644">
        <v>0.4677079824714383</v>
      </c>
    </row>
    <row r="3645" spans="1:3">
      <c r="A3645">
        <v>3637</v>
      </c>
      <c r="B3645">
        <v>0.59216477916663623</v>
      </c>
      <c r="C3645">
        <v>0.86988997424850822</v>
      </c>
    </row>
    <row r="3646" spans="1:3">
      <c r="A3646">
        <v>3638</v>
      </c>
      <c r="B3646">
        <v>0.30153307952278596</v>
      </c>
      <c r="C3646">
        <v>0.17007496923088183</v>
      </c>
    </row>
    <row r="3647" spans="1:3">
      <c r="A3647">
        <v>3639</v>
      </c>
      <c r="B3647">
        <v>0.64510987836632638</v>
      </c>
      <c r="C3647">
        <v>0.66366482811281458</v>
      </c>
    </row>
    <row r="3648" spans="1:3">
      <c r="A3648">
        <v>3640</v>
      </c>
      <c r="B3648">
        <v>0.74784259639909556</v>
      </c>
      <c r="C3648">
        <v>0.43550548260373034</v>
      </c>
    </row>
    <row r="3649" spans="1:3">
      <c r="A3649">
        <v>3641</v>
      </c>
      <c r="B3649">
        <v>0.2484310142854301</v>
      </c>
      <c r="C3649">
        <v>0.75530526923284924</v>
      </c>
    </row>
    <row r="3650" spans="1:3">
      <c r="A3650">
        <v>3642</v>
      </c>
      <c r="B3650">
        <v>0.17722095243619312</v>
      </c>
      <c r="C3650">
        <v>0.64615604978916963</v>
      </c>
    </row>
    <row r="3651" spans="1:3">
      <c r="A3651">
        <v>3643</v>
      </c>
      <c r="B3651">
        <v>0.76844764814661992</v>
      </c>
      <c r="C3651">
        <v>9.4843892791686812E-2</v>
      </c>
    </row>
    <row r="3652" spans="1:3">
      <c r="A3652">
        <v>3644</v>
      </c>
      <c r="B3652">
        <v>0.9819041574484445</v>
      </c>
      <c r="C3652">
        <v>0.88254751217664307</v>
      </c>
    </row>
    <row r="3653" spans="1:3">
      <c r="A3653">
        <v>3645</v>
      </c>
      <c r="B3653">
        <v>0.65154641301993899</v>
      </c>
      <c r="C3653">
        <v>0.97299936192393943</v>
      </c>
    </row>
    <row r="3654" spans="1:3">
      <c r="A3654">
        <v>3646</v>
      </c>
      <c r="B3654">
        <v>0.81821881283522091</v>
      </c>
      <c r="C3654">
        <v>0.72184619156996632</v>
      </c>
    </row>
    <row r="3655" spans="1:3">
      <c r="A3655">
        <v>3647</v>
      </c>
      <c r="B3655">
        <v>5.380128910178348E-2</v>
      </c>
      <c r="C3655">
        <v>0.20365924912766786</v>
      </c>
    </row>
    <row r="3656" spans="1:3">
      <c r="A3656">
        <v>3648</v>
      </c>
      <c r="B3656">
        <v>0.70553757088429703</v>
      </c>
      <c r="C3656">
        <v>0.73785225887968409</v>
      </c>
    </row>
    <row r="3657" spans="1:3">
      <c r="A3657">
        <v>3649</v>
      </c>
      <c r="B3657">
        <v>0.1395185712564547</v>
      </c>
      <c r="C3657">
        <v>8.0687008887252887E-2</v>
      </c>
    </row>
    <row r="3658" spans="1:3">
      <c r="A3658">
        <v>3650</v>
      </c>
      <c r="B3658">
        <v>8.6106179533504468E-2</v>
      </c>
      <c r="C3658">
        <v>0.86193694392295583</v>
      </c>
    </row>
    <row r="3659" spans="1:3">
      <c r="A3659">
        <v>3651</v>
      </c>
      <c r="B3659">
        <v>0.9769921867134963</v>
      </c>
      <c r="C3659">
        <v>0.38462467085264507</v>
      </c>
    </row>
    <row r="3660" spans="1:3">
      <c r="A3660">
        <v>3652</v>
      </c>
      <c r="B3660">
        <v>0.15858604510938423</v>
      </c>
      <c r="C3660">
        <v>0.88443287709287688</v>
      </c>
    </row>
    <row r="3661" spans="1:3">
      <c r="A3661">
        <v>3653</v>
      </c>
      <c r="B3661">
        <v>8.4366591122412724E-2</v>
      </c>
      <c r="C3661">
        <v>0.25910407666196988</v>
      </c>
    </row>
    <row r="3662" spans="1:3">
      <c r="A3662">
        <v>3654</v>
      </c>
      <c r="B3662">
        <v>0.6524955741008035</v>
      </c>
      <c r="C3662">
        <v>0.59931756589594443</v>
      </c>
    </row>
    <row r="3663" spans="1:3">
      <c r="A3663">
        <v>3655</v>
      </c>
      <c r="B3663">
        <v>0.10620632467018588</v>
      </c>
      <c r="C3663">
        <v>0.96931208805472124</v>
      </c>
    </row>
    <row r="3664" spans="1:3">
      <c r="A3664">
        <v>3656</v>
      </c>
      <c r="B3664">
        <v>0.20858490342893288</v>
      </c>
      <c r="C3664">
        <v>0.55356359256529686</v>
      </c>
    </row>
    <row r="3665" spans="1:3">
      <c r="A3665">
        <v>3657</v>
      </c>
      <c r="B3665">
        <v>0.77112492036561597</v>
      </c>
      <c r="C3665">
        <v>3.7373812849182286E-2</v>
      </c>
    </row>
    <row r="3666" spans="1:3">
      <c r="A3666">
        <v>3658</v>
      </c>
      <c r="B3666">
        <v>0.62472598494666776</v>
      </c>
      <c r="C3666">
        <v>0.39598547429068276</v>
      </c>
    </row>
    <row r="3667" spans="1:3">
      <c r="A3667">
        <v>3659</v>
      </c>
      <c r="B3667">
        <v>0.57841868414795461</v>
      </c>
      <c r="C3667">
        <v>0.13799605526219239</v>
      </c>
    </row>
    <row r="3668" spans="1:3">
      <c r="A3668">
        <v>3660</v>
      </c>
      <c r="B3668">
        <v>0.12346953234636912</v>
      </c>
      <c r="C3668">
        <v>0.98234530917397933</v>
      </c>
    </row>
    <row r="3669" spans="1:3">
      <c r="A3669">
        <v>3661</v>
      </c>
      <c r="B3669">
        <v>2.7121837251149541E-2</v>
      </c>
      <c r="C3669">
        <v>0.35553158538459684</v>
      </c>
    </row>
    <row r="3670" spans="1:3">
      <c r="A3670">
        <v>3662</v>
      </c>
      <c r="B3670">
        <v>0.21033919075833152</v>
      </c>
      <c r="C3670">
        <v>0.74507758731397189</v>
      </c>
    </row>
    <row r="3671" spans="1:3">
      <c r="A3671">
        <v>3663</v>
      </c>
      <c r="B3671">
        <v>0.32261809433424338</v>
      </c>
      <c r="C3671">
        <v>9.6730420342282741E-2</v>
      </c>
    </row>
    <row r="3672" spans="1:3">
      <c r="A3672">
        <v>3664</v>
      </c>
      <c r="B3672">
        <v>0.56128727642066945</v>
      </c>
      <c r="C3672">
        <v>3.9364180834127183E-2</v>
      </c>
    </row>
    <row r="3673" spans="1:3">
      <c r="A3673">
        <v>3665</v>
      </c>
      <c r="B3673">
        <v>0.74110321207998864</v>
      </c>
      <c r="C3673">
        <v>0.98847988228953909</v>
      </c>
    </row>
    <row r="3674" spans="1:3">
      <c r="A3674">
        <v>3666</v>
      </c>
      <c r="B3674">
        <v>0.88898986517349021</v>
      </c>
      <c r="C3674">
        <v>8.8190235243928328E-2</v>
      </c>
    </row>
    <row r="3675" spans="1:3">
      <c r="A3675">
        <v>3667</v>
      </c>
      <c r="B3675">
        <v>0.7035718330167634</v>
      </c>
      <c r="C3675">
        <v>0.58980572207110527</v>
      </c>
    </row>
    <row r="3676" spans="1:3">
      <c r="A3676">
        <v>3668</v>
      </c>
      <c r="B3676">
        <v>0.38141786602656769</v>
      </c>
      <c r="C3676">
        <v>0.87911056136817933</v>
      </c>
    </row>
    <row r="3677" spans="1:3">
      <c r="A3677">
        <v>3669</v>
      </c>
      <c r="B3677">
        <v>1.1818319295676965E-2</v>
      </c>
      <c r="C3677">
        <v>0.65646537432985497</v>
      </c>
    </row>
    <row r="3678" spans="1:3">
      <c r="A3678">
        <v>3670</v>
      </c>
      <c r="B3678">
        <v>0.21684043326369495</v>
      </c>
      <c r="C3678">
        <v>0.77046584714025812</v>
      </c>
    </row>
    <row r="3679" spans="1:3">
      <c r="A3679">
        <v>3671</v>
      </c>
      <c r="B3679">
        <v>0.34970138695158559</v>
      </c>
      <c r="C3679">
        <v>3.0432865472903359E-2</v>
      </c>
    </row>
    <row r="3680" spans="1:3">
      <c r="A3680">
        <v>3672</v>
      </c>
      <c r="B3680">
        <v>0.76526860990055579</v>
      </c>
      <c r="C3680">
        <v>0.84963312773561483</v>
      </c>
    </row>
    <row r="3681" spans="1:3">
      <c r="A3681">
        <v>3673</v>
      </c>
      <c r="B3681">
        <v>0.17128822158651616</v>
      </c>
      <c r="C3681">
        <v>7.273145361978095E-3</v>
      </c>
    </row>
    <row r="3682" spans="1:3">
      <c r="A3682">
        <v>3674</v>
      </c>
      <c r="B3682">
        <v>0.86154213732926688</v>
      </c>
      <c r="C3682">
        <v>0.38323895315534173</v>
      </c>
    </row>
    <row r="3683" spans="1:3">
      <c r="A3683">
        <v>3675</v>
      </c>
      <c r="B3683">
        <v>0.75680020687640659</v>
      </c>
      <c r="C3683">
        <v>0.88794280374895607</v>
      </c>
    </row>
    <row r="3684" spans="1:3">
      <c r="A3684">
        <v>3676</v>
      </c>
      <c r="B3684">
        <v>2.291361674981043E-2</v>
      </c>
      <c r="C3684">
        <v>0.42487689108838822</v>
      </c>
    </row>
    <row r="3685" spans="1:3">
      <c r="A3685">
        <v>3677</v>
      </c>
      <c r="B3685">
        <v>0.84832084467185687</v>
      </c>
      <c r="C3685">
        <v>0.1730714171389991</v>
      </c>
    </row>
    <row r="3686" spans="1:3">
      <c r="A3686">
        <v>3678</v>
      </c>
      <c r="B3686">
        <v>0.23064535137821113</v>
      </c>
      <c r="C3686">
        <v>0.15845550103313144</v>
      </c>
    </row>
    <row r="3687" spans="1:3">
      <c r="A3687">
        <v>3679</v>
      </c>
      <c r="B3687">
        <v>0.7331959546018848</v>
      </c>
      <c r="C3687">
        <v>0.81328398011646641</v>
      </c>
    </row>
    <row r="3688" spans="1:3">
      <c r="A3688">
        <v>3680</v>
      </c>
      <c r="B3688">
        <v>0.51615285881207151</v>
      </c>
      <c r="C3688">
        <v>0.66305295171423495</v>
      </c>
    </row>
    <row r="3689" spans="1:3">
      <c r="A3689">
        <v>3681</v>
      </c>
      <c r="B3689">
        <v>0.76701360209873259</v>
      </c>
      <c r="C3689">
        <v>0.95799198903841898</v>
      </c>
    </row>
    <row r="3690" spans="1:3">
      <c r="A3690">
        <v>3682</v>
      </c>
      <c r="B3690">
        <v>0.60585662961235653</v>
      </c>
      <c r="C3690">
        <v>0.95907045493640908</v>
      </c>
    </row>
    <row r="3691" spans="1:3">
      <c r="A3691">
        <v>3683</v>
      </c>
      <c r="B3691">
        <v>0.61038569947494792</v>
      </c>
      <c r="C3691">
        <v>0.23381667778630799</v>
      </c>
    </row>
    <row r="3692" spans="1:3">
      <c r="A3692">
        <v>3684</v>
      </c>
      <c r="B3692">
        <v>0.36793647572871685</v>
      </c>
      <c r="C3692">
        <v>0.25046279245452752</v>
      </c>
    </row>
    <row r="3693" spans="1:3">
      <c r="A3693">
        <v>3685</v>
      </c>
      <c r="B3693">
        <v>0.42996500927334763</v>
      </c>
      <c r="C3693">
        <v>0.3513833145298122</v>
      </c>
    </row>
    <row r="3694" spans="1:3">
      <c r="A3694">
        <v>3686</v>
      </c>
      <c r="B3694">
        <v>0.172745317781797</v>
      </c>
      <c r="C3694">
        <v>0.24501249903460121</v>
      </c>
    </row>
    <row r="3695" spans="1:3">
      <c r="A3695">
        <v>3687</v>
      </c>
      <c r="B3695">
        <v>0.28727265224523674</v>
      </c>
      <c r="C3695">
        <v>0.32372387987379625</v>
      </c>
    </row>
    <row r="3696" spans="1:3">
      <c r="A3696">
        <v>3688</v>
      </c>
      <c r="B3696">
        <v>0.1923278070358857</v>
      </c>
      <c r="C3696">
        <v>0.80637213169487154</v>
      </c>
    </row>
    <row r="3697" spans="1:3">
      <c r="A3697">
        <v>3689</v>
      </c>
      <c r="B3697">
        <v>0.69176928785992065</v>
      </c>
      <c r="C3697">
        <v>0.40591004729049018</v>
      </c>
    </row>
    <row r="3698" spans="1:3">
      <c r="A3698">
        <v>3690</v>
      </c>
      <c r="B3698">
        <v>0.97864119262803384</v>
      </c>
      <c r="C3698">
        <v>0.85244865417553228</v>
      </c>
    </row>
    <row r="3699" spans="1:3">
      <c r="A3699">
        <v>3691</v>
      </c>
      <c r="B3699">
        <v>0.96532428509744916</v>
      </c>
      <c r="C3699">
        <v>0.28333518180352257</v>
      </c>
    </row>
    <row r="3700" spans="1:3">
      <c r="A3700">
        <v>3692</v>
      </c>
      <c r="B3700">
        <v>0.21944188549826896</v>
      </c>
      <c r="C3700">
        <v>0.91150198863579135</v>
      </c>
    </row>
    <row r="3701" spans="1:3">
      <c r="A3701">
        <v>3693</v>
      </c>
      <c r="B3701">
        <v>0.46269152860862467</v>
      </c>
      <c r="C3701">
        <v>0.86221720853882289</v>
      </c>
    </row>
    <row r="3702" spans="1:3">
      <c r="A3702">
        <v>3694</v>
      </c>
      <c r="B3702">
        <v>0.62740700934496874</v>
      </c>
      <c r="C3702">
        <v>0.18611435102502583</v>
      </c>
    </row>
    <row r="3703" spans="1:3">
      <c r="A3703">
        <v>3695</v>
      </c>
      <c r="B3703">
        <v>0.55139537937147431</v>
      </c>
      <c r="C3703">
        <v>0.27018416809369228</v>
      </c>
    </row>
    <row r="3704" spans="1:3">
      <c r="A3704">
        <v>3696</v>
      </c>
      <c r="B3704">
        <v>0.43073521786456348</v>
      </c>
      <c r="C3704">
        <v>0.27210805627601076</v>
      </c>
    </row>
    <row r="3705" spans="1:3">
      <c r="A3705">
        <v>3697</v>
      </c>
      <c r="B3705">
        <v>8.8189577360355667E-2</v>
      </c>
      <c r="C3705">
        <v>0.73160197151264583</v>
      </c>
    </row>
    <row r="3706" spans="1:3">
      <c r="A3706">
        <v>3698</v>
      </c>
      <c r="B3706">
        <v>0.51074963441662247</v>
      </c>
      <c r="C3706">
        <v>0.21478456771092169</v>
      </c>
    </row>
    <row r="3707" spans="1:3">
      <c r="A3707">
        <v>3699</v>
      </c>
      <c r="B3707">
        <v>0.8692786249578649</v>
      </c>
      <c r="C3707">
        <v>0.1248961906239856</v>
      </c>
    </row>
    <row r="3708" spans="1:3">
      <c r="A3708">
        <v>3700</v>
      </c>
      <c r="B3708">
        <v>0.19363870134335912</v>
      </c>
      <c r="C3708">
        <v>0.97195615884538711</v>
      </c>
    </row>
    <row r="3709" spans="1:3">
      <c r="A3709">
        <v>3701</v>
      </c>
      <c r="B3709">
        <v>0.23579728890084597</v>
      </c>
      <c r="C3709">
        <v>0.33468500867820694</v>
      </c>
    </row>
    <row r="3710" spans="1:3">
      <c r="A3710">
        <v>3702</v>
      </c>
      <c r="B3710">
        <v>0.79576585112110854</v>
      </c>
      <c r="C3710">
        <v>0.29822621402763616</v>
      </c>
    </row>
    <row r="3711" spans="1:3">
      <c r="A3711">
        <v>3703</v>
      </c>
      <c r="B3711">
        <v>0.29866950519230906</v>
      </c>
      <c r="C3711">
        <v>0.29732371242971567</v>
      </c>
    </row>
    <row r="3712" spans="1:3">
      <c r="A3712">
        <v>3704</v>
      </c>
      <c r="B3712">
        <v>0.60812160814812444</v>
      </c>
      <c r="C3712">
        <v>0.63881002421931044</v>
      </c>
    </row>
    <row r="3713" spans="1:3">
      <c r="A3713">
        <v>3705</v>
      </c>
      <c r="B3713">
        <v>0.97903657733812854</v>
      </c>
      <c r="C3713">
        <v>0.39992006053216755</v>
      </c>
    </row>
    <row r="3714" spans="1:3">
      <c r="A3714">
        <v>3706</v>
      </c>
      <c r="B3714">
        <v>0.18951086458119351</v>
      </c>
      <c r="C3714">
        <v>0.18357064639258169</v>
      </c>
    </row>
    <row r="3715" spans="1:3">
      <c r="A3715">
        <v>3707</v>
      </c>
      <c r="B3715">
        <v>0.58077533395364311</v>
      </c>
      <c r="C3715">
        <v>0.52408665712027869</v>
      </c>
    </row>
    <row r="3716" spans="1:3">
      <c r="A3716">
        <v>3708</v>
      </c>
      <c r="B3716">
        <v>0.34939954842980941</v>
      </c>
      <c r="C3716">
        <v>0.72297636645544117</v>
      </c>
    </row>
    <row r="3717" spans="1:3">
      <c r="A3717">
        <v>3709</v>
      </c>
      <c r="B3717">
        <v>0.73040275876564043</v>
      </c>
      <c r="C3717">
        <v>0.11568401719341637</v>
      </c>
    </row>
    <row r="3718" spans="1:3">
      <c r="A3718">
        <v>3710</v>
      </c>
      <c r="B3718">
        <v>0.21098728812974582</v>
      </c>
      <c r="C3718">
        <v>0.75458175123549154</v>
      </c>
    </row>
    <row r="3719" spans="1:3">
      <c r="A3719">
        <v>3711</v>
      </c>
      <c r="B3719">
        <v>0.84905901071574985</v>
      </c>
      <c r="C3719">
        <v>0.88918621494485706</v>
      </c>
    </row>
    <row r="3720" spans="1:3">
      <c r="A3720">
        <v>3712</v>
      </c>
      <c r="B3720">
        <v>0.52572161254610905</v>
      </c>
      <c r="C3720">
        <v>0.30838419899464498</v>
      </c>
    </row>
    <row r="3721" spans="1:3">
      <c r="A3721">
        <v>3713</v>
      </c>
      <c r="B3721">
        <v>0.66632969054601376</v>
      </c>
      <c r="C3721">
        <v>0.1368464583720197</v>
      </c>
    </row>
    <row r="3722" spans="1:3">
      <c r="A3722">
        <v>3714</v>
      </c>
      <c r="B3722">
        <v>0.49622824386591746</v>
      </c>
      <c r="C3722">
        <v>0.82323490803173627</v>
      </c>
    </row>
    <row r="3723" spans="1:3">
      <c r="A3723">
        <v>3715</v>
      </c>
      <c r="B3723">
        <v>0.87614130886442532</v>
      </c>
      <c r="C3723">
        <v>0.10393883229608036</v>
      </c>
    </row>
    <row r="3724" spans="1:3">
      <c r="A3724">
        <v>3716</v>
      </c>
      <c r="B3724">
        <v>0.87685925629699124</v>
      </c>
      <c r="C3724">
        <v>0.38499798879456648</v>
      </c>
    </row>
    <row r="3725" spans="1:3">
      <c r="A3725">
        <v>3717</v>
      </c>
      <c r="B3725">
        <v>0.59576706497184173</v>
      </c>
      <c r="C3725">
        <v>0.59356482031671476</v>
      </c>
    </row>
    <row r="3726" spans="1:3">
      <c r="A3726">
        <v>3718</v>
      </c>
      <c r="B3726">
        <v>0.9563956039095286</v>
      </c>
      <c r="C3726">
        <v>0.8210253650759114</v>
      </c>
    </row>
    <row r="3727" spans="1:3">
      <c r="A3727">
        <v>3719</v>
      </c>
      <c r="B3727">
        <v>3.1510920713355511E-2</v>
      </c>
      <c r="C3727">
        <v>0.3060222415251701</v>
      </c>
    </row>
    <row r="3728" spans="1:3">
      <c r="A3728">
        <v>3720</v>
      </c>
      <c r="B3728">
        <v>0.21195987021060658</v>
      </c>
      <c r="C3728">
        <v>9.7505495254154084E-2</v>
      </c>
    </row>
    <row r="3729" spans="1:3">
      <c r="A3729">
        <v>3721</v>
      </c>
      <c r="B3729">
        <v>0.517486486617589</v>
      </c>
      <c r="C3729">
        <v>0.40027777719569713</v>
      </c>
    </row>
    <row r="3730" spans="1:3">
      <c r="A3730">
        <v>3722</v>
      </c>
      <c r="B3730">
        <v>5.7113074487706902E-2</v>
      </c>
      <c r="C3730">
        <v>0.65952903248216899</v>
      </c>
    </row>
    <row r="3731" spans="1:3">
      <c r="A3731">
        <v>3723</v>
      </c>
      <c r="B3731">
        <v>0.31478901742584747</v>
      </c>
      <c r="C3731">
        <v>0.48126028925071296</v>
      </c>
    </row>
    <row r="3732" spans="1:3">
      <c r="A3732">
        <v>3724</v>
      </c>
      <c r="B3732">
        <v>0.61313919018631313</v>
      </c>
      <c r="C3732">
        <v>0.49848045383714634</v>
      </c>
    </row>
    <row r="3733" spans="1:3">
      <c r="A3733">
        <v>3725</v>
      </c>
      <c r="B3733">
        <v>0.48779915034379789</v>
      </c>
      <c r="C3733">
        <v>0.2832370176583936</v>
      </c>
    </row>
    <row r="3734" spans="1:3">
      <c r="A3734">
        <v>3726</v>
      </c>
      <c r="B3734">
        <v>0.31303437881130597</v>
      </c>
      <c r="C3734">
        <v>0.87728133534164954</v>
      </c>
    </row>
    <row r="3735" spans="1:3">
      <c r="A3735">
        <v>3727</v>
      </c>
      <c r="B3735">
        <v>0.70582286406662853</v>
      </c>
      <c r="C3735">
        <v>0.5477681214306358</v>
      </c>
    </row>
    <row r="3736" spans="1:3">
      <c r="A3736">
        <v>3728</v>
      </c>
      <c r="B3736">
        <v>0.73485574641829721</v>
      </c>
      <c r="C3736">
        <v>0.91294890455992572</v>
      </c>
    </row>
    <row r="3737" spans="1:3">
      <c r="A3737">
        <v>3729</v>
      </c>
      <c r="B3737">
        <v>0.8452241497266163</v>
      </c>
      <c r="C3737">
        <v>0.58768415267695673</v>
      </c>
    </row>
    <row r="3738" spans="1:3">
      <c r="A3738">
        <v>3730</v>
      </c>
      <c r="B3738">
        <v>0.2836644993846455</v>
      </c>
      <c r="C3738">
        <v>0.71164224236053997</v>
      </c>
    </row>
    <row r="3739" spans="1:3">
      <c r="A3739">
        <v>3731</v>
      </c>
      <c r="B3739">
        <v>0.23536233379472102</v>
      </c>
      <c r="C3739">
        <v>0.92793725433057261</v>
      </c>
    </row>
    <row r="3740" spans="1:3">
      <c r="A3740">
        <v>3732</v>
      </c>
      <c r="B3740">
        <v>0.42469270036395002</v>
      </c>
      <c r="C3740">
        <v>0.63136188851785846</v>
      </c>
    </row>
    <row r="3741" spans="1:3">
      <c r="A3741">
        <v>3733</v>
      </c>
      <c r="B3741">
        <v>0.74990958418592568</v>
      </c>
      <c r="C3741">
        <v>2.9829029083884961E-2</v>
      </c>
    </row>
    <row r="3742" spans="1:3">
      <c r="A3742">
        <v>3734</v>
      </c>
      <c r="B3742">
        <v>0.27096518264649555</v>
      </c>
      <c r="C3742">
        <v>0.85309091949056892</v>
      </c>
    </row>
    <row r="3743" spans="1:3">
      <c r="A3743">
        <v>3735</v>
      </c>
      <c r="B3743">
        <v>0.29760906198257792</v>
      </c>
      <c r="C3743">
        <v>0.26619247447979433</v>
      </c>
    </row>
    <row r="3744" spans="1:3">
      <c r="A3744">
        <v>3736</v>
      </c>
      <c r="B3744">
        <v>6.6850083499040938E-2</v>
      </c>
      <c r="C3744">
        <v>0.45764607438832172</v>
      </c>
    </row>
    <row r="3745" spans="1:3">
      <c r="A3745">
        <v>3737</v>
      </c>
      <c r="B3745">
        <v>0.65634795680673519</v>
      </c>
      <c r="C3745">
        <v>0.79908287137277512</v>
      </c>
    </row>
    <row r="3746" spans="1:3">
      <c r="A3746">
        <v>3738</v>
      </c>
      <c r="B3746">
        <v>0.17186815578222001</v>
      </c>
      <c r="C3746">
        <v>0.92448649331163324</v>
      </c>
    </row>
    <row r="3747" spans="1:3">
      <c r="A3747">
        <v>3739</v>
      </c>
      <c r="B3747">
        <v>0.15812452530537838</v>
      </c>
      <c r="C3747">
        <v>0.20113499786475586</v>
      </c>
    </row>
    <row r="3748" spans="1:3">
      <c r="A3748">
        <v>3740</v>
      </c>
      <c r="B3748">
        <v>0.44509087100613187</v>
      </c>
      <c r="C3748">
        <v>0.83088838248659158</v>
      </c>
    </row>
    <row r="3749" spans="1:3">
      <c r="A3749">
        <v>3741</v>
      </c>
      <c r="B3749">
        <v>0.27582271283576792</v>
      </c>
      <c r="C3749">
        <v>0.19528024470037053</v>
      </c>
    </row>
    <row r="3750" spans="1:3">
      <c r="A3750">
        <v>3742</v>
      </c>
      <c r="B3750">
        <v>0.44268757628465244</v>
      </c>
      <c r="C3750">
        <v>0.55988985445765138</v>
      </c>
    </row>
    <row r="3751" spans="1:3">
      <c r="A3751">
        <v>3743</v>
      </c>
      <c r="B3751">
        <v>0.7013785964242133</v>
      </c>
      <c r="C3751">
        <v>0.40437229250983364</v>
      </c>
    </row>
    <row r="3752" spans="1:3">
      <c r="A3752">
        <v>3744</v>
      </c>
      <c r="B3752">
        <v>4.1912039011510097E-2</v>
      </c>
      <c r="C3752">
        <v>0.2448263343940198</v>
      </c>
    </row>
    <row r="3753" spans="1:3">
      <c r="A3753">
        <v>3745</v>
      </c>
      <c r="B3753">
        <v>8.1734129495391189E-2</v>
      </c>
      <c r="C3753">
        <v>0.12691266275851376</v>
      </c>
    </row>
    <row r="3754" spans="1:3">
      <c r="A3754">
        <v>3746</v>
      </c>
      <c r="B3754">
        <v>0.68811234754452311</v>
      </c>
      <c r="C3754">
        <v>0.7409189407244412</v>
      </c>
    </row>
    <row r="3755" spans="1:3">
      <c r="A3755">
        <v>3747</v>
      </c>
      <c r="B3755">
        <v>0.10482645418882054</v>
      </c>
      <c r="C3755">
        <v>0.40565114138098579</v>
      </c>
    </row>
    <row r="3756" spans="1:3">
      <c r="A3756">
        <v>3748</v>
      </c>
      <c r="B3756">
        <v>0.64127609531108198</v>
      </c>
      <c r="C3756">
        <v>0.40957319589506369</v>
      </c>
    </row>
    <row r="3757" spans="1:3">
      <c r="A3757">
        <v>3749</v>
      </c>
      <c r="B3757">
        <v>0.25157967984182289</v>
      </c>
      <c r="C3757">
        <v>0.6183196552328809</v>
      </c>
    </row>
    <row r="3758" spans="1:3">
      <c r="A3758">
        <v>3750</v>
      </c>
      <c r="B3758">
        <v>0.85200783306807459</v>
      </c>
      <c r="C3758">
        <v>0.24058931735089573</v>
      </c>
    </row>
    <row r="3759" spans="1:3">
      <c r="A3759">
        <v>3751</v>
      </c>
      <c r="B3759">
        <v>0.44417857852638198</v>
      </c>
      <c r="C3759">
        <v>0.22412221416470857</v>
      </c>
    </row>
    <row r="3760" spans="1:3">
      <c r="A3760">
        <v>3752</v>
      </c>
      <c r="B3760">
        <v>0.89398034304142471</v>
      </c>
      <c r="C3760">
        <v>0.75368944583533448</v>
      </c>
    </row>
    <row r="3761" spans="1:3">
      <c r="A3761">
        <v>3753</v>
      </c>
      <c r="B3761">
        <v>0.95888094241853827</v>
      </c>
      <c r="C3761">
        <v>0.66146971323905746</v>
      </c>
    </row>
    <row r="3762" spans="1:3">
      <c r="A3762">
        <v>3754</v>
      </c>
      <c r="B3762">
        <v>0.30187240956818512</v>
      </c>
      <c r="C3762">
        <v>0.34189944057561661</v>
      </c>
    </row>
    <row r="3763" spans="1:3">
      <c r="A3763">
        <v>3755</v>
      </c>
      <c r="B3763">
        <v>0.10361624280647752</v>
      </c>
      <c r="C3763">
        <v>0.84335459873727814</v>
      </c>
    </row>
    <row r="3764" spans="1:3">
      <c r="A3764">
        <v>3756</v>
      </c>
      <c r="B3764">
        <v>0.91771214223497377</v>
      </c>
      <c r="C3764">
        <v>0.39264714182083349</v>
      </c>
    </row>
    <row r="3765" spans="1:3">
      <c r="A3765">
        <v>3757</v>
      </c>
      <c r="B3765">
        <v>0.94500850964687033</v>
      </c>
      <c r="C3765">
        <v>0.65422528525414236</v>
      </c>
    </row>
    <row r="3766" spans="1:3">
      <c r="A3766">
        <v>3758</v>
      </c>
      <c r="B3766">
        <v>0.5650998305163113</v>
      </c>
      <c r="C3766">
        <v>0.63693852102460369</v>
      </c>
    </row>
    <row r="3767" spans="1:3">
      <c r="A3767">
        <v>3759</v>
      </c>
      <c r="B3767">
        <v>0.36890693300448052</v>
      </c>
      <c r="C3767">
        <v>0.82614941022984567</v>
      </c>
    </row>
    <row r="3768" spans="1:3">
      <c r="A3768">
        <v>3760</v>
      </c>
      <c r="B3768">
        <v>0.56927681672309449</v>
      </c>
      <c r="C3768">
        <v>0.98772860472581669</v>
      </c>
    </row>
    <row r="3769" spans="1:3">
      <c r="A3769">
        <v>3761</v>
      </c>
      <c r="B3769">
        <v>8.2376512264268592E-2</v>
      </c>
      <c r="C3769">
        <v>0.13150729879816936</v>
      </c>
    </row>
    <row r="3770" spans="1:3">
      <c r="A3770">
        <v>3762</v>
      </c>
      <c r="B3770">
        <v>0.87393364717753919</v>
      </c>
      <c r="C3770">
        <v>0.46807818800243695</v>
      </c>
    </row>
    <row r="3771" spans="1:3">
      <c r="A3771">
        <v>3763</v>
      </c>
      <c r="B3771">
        <v>0.46836577355306724</v>
      </c>
      <c r="C3771">
        <v>0.47703534034371842</v>
      </c>
    </row>
    <row r="3772" spans="1:3">
      <c r="A3772">
        <v>3764</v>
      </c>
      <c r="B3772">
        <v>0.42068158004197331</v>
      </c>
      <c r="C3772">
        <v>0.96897396126860258</v>
      </c>
    </row>
    <row r="3773" spans="1:3">
      <c r="A3773">
        <v>3765</v>
      </c>
      <c r="B3773">
        <v>0.8560725200021343</v>
      </c>
      <c r="C3773">
        <v>0.3163413302772824</v>
      </c>
    </row>
    <row r="3774" spans="1:3">
      <c r="A3774">
        <v>3766</v>
      </c>
      <c r="B3774">
        <v>0.94563619888723738</v>
      </c>
      <c r="C3774">
        <v>0.75248331990314909</v>
      </c>
    </row>
    <row r="3775" spans="1:3">
      <c r="A3775">
        <v>3767</v>
      </c>
      <c r="B3775">
        <v>0.45708371937411924</v>
      </c>
      <c r="C3775">
        <v>0.34430182267169585</v>
      </c>
    </row>
    <row r="3776" spans="1:3">
      <c r="A3776">
        <v>3768</v>
      </c>
      <c r="B3776">
        <v>0.86378442779504327</v>
      </c>
      <c r="C3776">
        <v>0.69064133900246816</v>
      </c>
    </row>
    <row r="3777" spans="1:3">
      <c r="A3777">
        <v>3769</v>
      </c>
      <c r="B3777">
        <v>0.6495993104344232</v>
      </c>
      <c r="C3777">
        <v>0.81190520523068699</v>
      </c>
    </row>
    <row r="3778" spans="1:3">
      <c r="A3778">
        <v>3770</v>
      </c>
      <c r="B3778">
        <v>0.84929588947899082</v>
      </c>
      <c r="C3778">
        <v>0.88573566571176343</v>
      </c>
    </row>
    <row r="3779" spans="1:3">
      <c r="A3779">
        <v>3771</v>
      </c>
      <c r="B3779">
        <v>0.4012909791534513</v>
      </c>
      <c r="C3779">
        <v>0.56409739100217848</v>
      </c>
    </row>
    <row r="3780" spans="1:3">
      <c r="A3780">
        <v>3772</v>
      </c>
      <c r="B3780">
        <v>0.6107245814035005</v>
      </c>
      <c r="C3780">
        <v>0.45874884731529164</v>
      </c>
    </row>
    <row r="3781" spans="1:3">
      <c r="A3781">
        <v>3773</v>
      </c>
      <c r="B3781">
        <v>0.75827937892379227</v>
      </c>
      <c r="C3781">
        <v>3.7764377279955852E-2</v>
      </c>
    </row>
    <row r="3782" spans="1:3">
      <c r="A3782">
        <v>3774</v>
      </c>
      <c r="B3782">
        <v>4.7300015170895502E-3</v>
      </c>
      <c r="C3782">
        <v>0.37835747037843248</v>
      </c>
    </row>
    <row r="3783" spans="1:3">
      <c r="A3783">
        <v>3775</v>
      </c>
      <c r="B3783">
        <v>0.19522321788161603</v>
      </c>
      <c r="C3783">
        <v>0.22667626005568309</v>
      </c>
    </row>
    <row r="3784" spans="1:3">
      <c r="A3784">
        <v>3776</v>
      </c>
      <c r="B3784">
        <v>0.71197772578750218</v>
      </c>
      <c r="C3784">
        <v>0.56646260330580844</v>
      </c>
    </row>
    <row r="3785" spans="1:3">
      <c r="A3785">
        <v>3777</v>
      </c>
      <c r="B3785">
        <v>0.72053851791665391</v>
      </c>
      <c r="C3785">
        <v>0.29806312617620279</v>
      </c>
    </row>
    <row r="3786" spans="1:3">
      <c r="A3786">
        <v>3778</v>
      </c>
      <c r="B3786">
        <v>0.32723123823679778</v>
      </c>
      <c r="C3786">
        <v>0.92132885458431701</v>
      </c>
    </row>
    <row r="3787" spans="1:3">
      <c r="A3787">
        <v>3779</v>
      </c>
      <c r="B3787">
        <v>0.18614812075066103</v>
      </c>
      <c r="C3787">
        <v>0.49430243920869543</v>
      </c>
    </row>
    <row r="3788" spans="1:3">
      <c r="A3788">
        <v>3780</v>
      </c>
      <c r="B3788">
        <v>0.1381409904610694</v>
      </c>
      <c r="C3788">
        <v>0.57087953576319705</v>
      </c>
    </row>
    <row r="3789" spans="1:3">
      <c r="A3789">
        <v>3781</v>
      </c>
      <c r="B3789">
        <v>0.71122512255218462</v>
      </c>
      <c r="C3789">
        <v>0.12615413270214049</v>
      </c>
    </row>
    <row r="3790" spans="1:3">
      <c r="A3790">
        <v>3782</v>
      </c>
      <c r="B3790">
        <v>0.40468225567412613</v>
      </c>
      <c r="C3790">
        <v>0.93262082486853615</v>
      </c>
    </row>
    <row r="3791" spans="1:3">
      <c r="A3791">
        <v>3783</v>
      </c>
      <c r="B3791">
        <v>0.93971219773816705</v>
      </c>
      <c r="C3791">
        <v>0.22228430048562586</v>
      </c>
    </row>
    <row r="3792" spans="1:3">
      <c r="A3792">
        <v>3784</v>
      </c>
      <c r="B3792">
        <v>0.51160477290731032</v>
      </c>
      <c r="C3792">
        <v>0.62646783114541904</v>
      </c>
    </row>
    <row r="3793" spans="1:3">
      <c r="A3793">
        <v>3785</v>
      </c>
      <c r="B3793">
        <v>0.85963432830647435</v>
      </c>
      <c r="C3793">
        <v>0.23752591385618871</v>
      </c>
    </row>
    <row r="3794" spans="1:3">
      <c r="A3794">
        <v>3786</v>
      </c>
      <c r="B3794">
        <v>0.52472430089351818</v>
      </c>
      <c r="C3794">
        <v>0.68883815675326332</v>
      </c>
    </row>
    <row r="3795" spans="1:3">
      <c r="A3795">
        <v>3787</v>
      </c>
      <c r="B3795">
        <v>0.45096923308069098</v>
      </c>
      <c r="C3795">
        <v>0.77021547465938056</v>
      </c>
    </row>
    <row r="3796" spans="1:3">
      <c r="A3796">
        <v>3788</v>
      </c>
      <c r="B3796">
        <v>0.12071589070249254</v>
      </c>
      <c r="C3796">
        <v>0.61669164046907099</v>
      </c>
    </row>
    <row r="3797" spans="1:3">
      <c r="A3797">
        <v>3789</v>
      </c>
      <c r="B3797">
        <v>0.90047012298569784</v>
      </c>
      <c r="C3797">
        <v>0.19599721840768325</v>
      </c>
    </row>
    <row r="3798" spans="1:3">
      <c r="A3798">
        <v>3790</v>
      </c>
      <c r="B3798">
        <v>0.92667423741213839</v>
      </c>
      <c r="C3798">
        <v>6.7007729176111752E-2</v>
      </c>
    </row>
    <row r="3799" spans="1:3">
      <c r="A3799">
        <v>3791</v>
      </c>
      <c r="B3799">
        <v>0.58732393162607299</v>
      </c>
      <c r="C3799">
        <v>5.2716279190462956E-2</v>
      </c>
    </row>
    <row r="3800" spans="1:3">
      <c r="A3800">
        <v>3792</v>
      </c>
      <c r="B3800">
        <v>0.42246063680543111</v>
      </c>
      <c r="C3800">
        <v>0.4339633507461258</v>
      </c>
    </row>
    <row r="3801" spans="1:3">
      <c r="A3801">
        <v>3793</v>
      </c>
      <c r="B3801">
        <v>0.61122245343314074</v>
      </c>
      <c r="C3801">
        <v>0.38995535570666107</v>
      </c>
    </row>
    <row r="3802" spans="1:3">
      <c r="A3802">
        <v>3794</v>
      </c>
      <c r="B3802">
        <v>0.23096072706788795</v>
      </c>
      <c r="C3802">
        <v>0.35317429810675094</v>
      </c>
    </row>
    <row r="3803" spans="1:3">
      <c r="A3803">
        <v>3795</v>
      </c>
      <c r="B3803">
        <v>0.16017797426082611</v>
      </c>
      <c r="C3803">
        <v>0.51322959463504958</v>
      </c>
    </row>
    <row r="3804" spans="1:3">
      <c r="A3804">
        <v>3796</v>
      </c>
      <c r="B3804">
        <v>0.36197324750115473</v>
      </c>
      <c r="C3804">
        <v>0.9364472221059259</v>
      </c>
    </row>
    <row r="3805" spans="1:3">
      <c r="A3805">
        <v>3797</v>
      </c>
      <c r="B3805">
        <v>0.74862810860672691</v>
      </c>
      <c r="C3805">
        <v>0.75814369545241789</v>
      </c>
    </row>
    <row r="3806" spans="1:3">
      <c r="A3806">
        <v>3798</v>
      </c>
      <c r="B3806">
        <v>0.7046816099509321</v>
      </c>
      <c r="C3806">
        <v>0.15457516442438646</v>
      </c>
    </row>
    <row r="3807" spans="1:3">
      <c r="A3807">
        <v>3799</v>
      </c>
      <c r="B3807">
        <v>8.6254980776518345E-2</v>
      </c>
      <c r="C3807">
        <v>0.67713866000576672</v>
      </c>
    </row>
    <row r="3808" spans="1:3">
      <c r="A3808">
        <v>3800</v>
      </c>
      <c r="B3808">
        <v>0.51351624556591646</v>
      </c>
      <c r="C3808">
        <v>0.66321510097259306</v>
      </c>
    </row>
    <row r="3809" spans="1:3">
      <c r="A3809">
        <v>3801</v>
      </c>
      <c r="B3809">
        <v>0.40504662061036723</v>
      </c>
      <c r="C3809">
        <v>0.32244580345923168</v>
      </c>
    </row>
    <row r="3810" spans="1:3">
      <c r="A3810">
        <v>3802</v>
      </c>
      <c r="B3810">
        <v>3.7923872606717951E-2</v>
      </c>
      <c r="C3810">
        <v>0.68882174385180406</v>
      </c>
    </row>
    <row r="3811" spans="1:3">
      <c r="A3811">
        <v>3803</v>
      </c>
      <c r="B3811">
        <v>7.6443038062668181E-2</v>
      </c>
      <c r="C3811">
        <v>0.38509435163814487</v>
      </c>
    </row>
    <row r="3812" spans="1:3">
      <c r="A3812">
        <v>3804</v>
      </c>
      <c r="B3812">
        <v>0.5581027021948487</v>
      </c>
      <c r="C3812">
        <v>0.80931160404725233</v>
      </c>
    </row>
    <row r="3813" spans="1:3">
      <c r="A3813">
        <v>3805</v>
      </c>
      <c r="B3813">
        <v>0.93151662957340398</v>
      </c>
      <c r="C3813">
        <v>6.9977179587112914E-2</v>
      </c>
    </row>
    <row r="3814" spans="1:3">
      <c r="A3814">
        <v>3806</v>
      </c>
      <c r="B3814">
        <v>0.48560256290203024</v>
      </c>
      <c r="C3814">
        <v>0.48646660207487002</v>
      </c>
    </row>
    <row r="3815" spans="1:3">
      <c r="A3815">
        <v>3807</v>
      </c>
      <c r="B3815">
        <v>0.74254150100474747</v>
      </c>
      <c r="C3815">
        <v>0.99628631374616816</v>
      </c>
    </row>
    <row r="3816" spans="1:3">
      <c r="A3816">
        <v>3808</v>
      </c>
      <c r="B3816">
        <v>0.61200505738724142</v>
      </c>
      <c r="C3816">
        <v>0.3345507830463248</v>
      </c>
    </row>
    <row r="3817" spans="1:3">
      <c r="A3817">
        <v>3809</v>
      </c>
      <c r="B3817">
        <v>9.7246140670926809E-2</v>
      </c>
      <c r="C3817">
        <v>0.20136207785253646</v>
      </c>
    </row>
    <row r="3818" spans="1:3">
      <c r="A3818">
        <v>3810</v>
      </c>
      <c r="B3818">
        <v>0.39763385552364255</v>
      </c>
      <c r="C3818">
        <v>0.73329695027041453</v>
      </c>
    </row>
    <row r="3819" spans="1:3">
      <c r="A3819">
        <v>3811</v>
      </c>
      <c r="B3819">
        <v>0.66418466146695077</v>
      </c>
      <c r="C3819">
        <v>0.32611705383351364</v>
      </c>
    </row>
    <row r="3820" spans="1:3">
      <c r="A3820">
        <v>3812</v>
      </c>
      <c r="B3820">
        <v>0.40560988217224597</v>
      </c>
      <c r="C3820">
        <v>5.3044980592858337E-2</v>
      </c>
    </row>
    <row r="3821" spans="1:3">
      <c r="A3821">
        <v>3813</v>
      </c>
      <c r="B3821">
        <v>0.84479023464726999</v>
      </c>
      <c r="C3821">
        <v>0.46764844121571514</v>
      </c>
    </row>
    <row r="3822" spans="1:3">
      <c r="A3822">
        <v>3814</v>
      </c>
      <c r="B3822">
        <v>1.3830888793997206E-2</v>
      </c>
      <c r="C3822">
        <v>2.8128042146818188E-2</v>
      </c>
    </row>
    <row r="3823" spans="1:3">
      <c r="A3823">
        <v>3815</v>
      </c>
      <c r="B3823">
        <v>0.86112687725818871</v>
      </c>
      <c r="C3823">
        <v>0.67222169228443818</v>
      </c>
    </row>
    <row r="3824" spans="1:3">
      <c r="A3824">
        <v>3816</v>
      </c>
      <c r="B3824">
        <v>0.50667678482757805</v>
      </c>
      <c r="C3824">
        <v>0.30528474038965214</v>
      </c>
    </row>
    <row r="3825" spans="1:3">
      <c r="A3825">
        <v>3817</v>
      </c>
      <c r="B3825">
        <v>0.29244746800704102</v>
      </c>
      <c r="C3825">
        <v>0.81772174740035553</v>
      </c>
    </row>
    <row r="3826" spans="1:3">
      <c r="A3826">
        <v>3818</v>
      </c>
      <c r="B3826">
        <v>0.17107432931416536</v>
      </c>
      <c r="C3826">
        <v>3.7680942757106095E-2</v>
      </c>
    </row>
    <row r="3827" spans="1:3">
      <c r="A3827">
        <v>3819</v>
      </c>
      <c r="B3827">
        <v>0.47084362830278553</v>
      </c>
      <c r="C3827">
        <v>0.67351719187900017</v>
      </c>
    </row>
    <row r="3828" spans="1:3">
      <c r="A3828">
        <v>3820</v>
      </c>
      <c r="B3828">
        <v>3.1895201177032477E-2</v>
      </c>
      <c r="C3828">
        <v>7.8000211220569327E-2</v>
      </c>
    </row>
    <row r="3829" spans="1:3">
      <c r="A3829">
        <v>3821</v>
      </c>
      <c r="B3829">
        <v>0.37162249953202497</v>
      </c>
      <c r="C3829">
        <v>0.9167138068451095</v>
      </c>
    </row>
    <row r="3830" spans="1:3">
      <c r="A3830">
        <v>3822</v>
      </c>
      <c r="B3830">
        <v>0.8603505451311243</v>
      </c>
      <c r="C3830">
        <v>3.1880484559223987E-2</v>
      </c>
    </row>
    <row r="3831" spans="1:3">
      <c r="A3831">
        <v>3823</v>
      </c>
      <c r="B3831">
        <v>0.19017281036618464</v>
      </c>
      <c r="C3831">
        <v>0.28999375134571892</v>
      </c>
    </row>
    <row r="3832" spans="1:3">
      <c r="A3832">
        <v>3824</v>
      </c>
      <c r="B3832">
        <v>0.76499611460151995</v>
      </c>
      <c r="C3832">
        <v>0.93213885479417513</v>
      </c>
    </row>
    <row r="3833" spans="1:3">
      <c r="A3833">
        <v>3825</v>
      </c>
      <c r="B3833">
        <v>0.32231024244616513</v>
      </c>
      <c r="C3833">
        <v>0.31016208446726523</v>
      </c>
    </row>
    <row r="3834" spans="1:3">
      <c r="A3834">
        <v>3826</v>
      </c>
      <c r="B3834">
        <v>4.7239337173299707E-2</v>
      </c>
      <c r="C3834">
        <v>0.46597576203021163</v>
      </c>
    </row>
    <row r="3835" spans="1:3">
      <c r="A3835">
        <v>3827</v>
      </c>
      <c r="B3835">
        <v>0.79593172106862342</v>
      </c>
      <c r="C3835">
        <v>0.91587587168123719</v>
      </c>
    </row>
    <row r="3836" spans="1:3">
      <c r="A3836">
        <v>3828</v>
      </c>
      <c r="B3836">
        <v>3.4540675735040723E-2</v>
      </c>
      <c r="C3836">
        <v>0.59232293324021157</v>
      </c>
    </row>
    <row r="3837" spans="1:3">
      <c r="A3837">
        <v>3829</v>
      </c>
      <c r="B3837">
        <v>0.23613881050980157</v>
      </c>
      <c r="C3837">
        <v>0.58297514402056549</v>
      </c>
    </row>
    <row r="3838" spans="1:3">
      <c r="A3838">
        <v>3830</v>
      </c>
      <c r="B3838">
        <v>9.9449896454589889E-2</v>
      </c>
      <c r="C3838">
        <v>0.5390817907264136</v>
      </c>
    </row>
    <row r="3839" spans="1:3">
      <c r="A3839">
        <v>3831</v>
      </c>
      <c r="B3839">
        <v>0.27259867329406517</v>
      </c>
      <c r="C3839">
        <v>0.73053563628220175</v>
      </c>
    </row>
    <row r="3840" spans="1:3">
      <c r="A3840">
        <v>3832</v>
      </c>
      <c r="B3840">
        <v>0.92211143413519292</v>
      </c>
      <c r="C3840">
        <v>0.33220589887423557</v>
      </c>
    </row>
    <row r="3841" spans="1:3">
      <c r="A3841">
        <v>3833</v>
      </c>
      <c r="B3841">
        <v>5.0045890813238429E-3</v>
      </c>
      <c r="C3841">
        <v>6.1749624008371029E-2</v>
      </c>
    </row>
    <row r="3842" spans="1:3">
      <c r="A3842">
        <v>3834</v>
      </c>
      <c r="B3842">
        <v>0.81140970521886124</v>
      </c>
      <c r="C3842">
        <v>0.56859565940521861</v>
      </c>
    </row>
    <row r="3843" spans="1:3">
      <c r="A3843">
        <v>3835</v>
      </c>
      <c r="B3843">
        <v>0.65604874984045713</v>
      </c>
      <c r="C3843">
        <v>7.1719464500347385E-2</v>
      </c>
    </row>
    <row r="3844" spans="1:3">
      <c r="A3844">
        <v>3836</v>
      </c>
      <c r="B3844">
        <v>0.7571812776572493</v>
      </c>
      <c r="C3844">
        <v>9.595933084256103E-2</v>
      </c>
    </row>
    <row r="3845" spans="1:3">
      <c r="A3845">
        <v>3837</v>
      </c>
      <c r="B3845">
        <v>0.15415291292726829</v>
      </c>
      <c r="C3845">
        <v>0.12683290365202993</v>
      </c>
    </row>
    <row r="3846" spans="1:3">
      <c r="A3846">
        <v>3838</v>
      </c>
      <c r="B3846">
        <v>0.74066158698090856</v>
      </c>
      <c r="C3846">
        <v>0.49869554240467551</v>
      </c>
    </row>
    <row r="3847" spans="1:3">
      <c r="A3847">
        <v>3839</v>
      </c>
      <c r="B3847">
        <v>0.31885118410658353</v>
      </c>
      <c r="C3847">
        <v>0.86993141138100327</v>
      </c>
    </row>
    <row r="3848" spans="1:3">
      <c r="A3848">
        <v>3840</v>
      </c>
      <c r="B3848">
        <v>6.8199943368835364E-2</v>
      </c>
      <c r="C3848">
        <v>0.1800589116064657</v>
      </c>
    </row>
    <row r="3849" spans="1:3">
      <c r="A3849">
        <v>3841</v>
      </c>
      <c r="B3849">
        <v>9.3261018525590433E-2</v>
      </c>
      <c r="C3849">
        <v>0.39776462017380254</v>
      </c>
    </row>
    <row r="3850" spans="1:3">
      <c r="A3850">
        <v>3842</v>
      </c>
      <c r="B3850">
        <v>0.86539645164622836</v>
      </c>
      <c r="C3850">
        <v>0.24135612531972583</v>
      </c>
    </row>
    <row r="3851" spans="1:3">
      <c r="A3851">
        <v>3843</v>
      </c>
      <c r="B3851">
        <v>0.76057190028838162</v>
      </c>
      <c r="C3851">
        <v>0.75295228742743348</v>
      </c>
    </row>
    <row r="3852" spans="1:3">
      <c r="A3852">
        <v>3844</v>
      </c>
      <c r="B3852">
        <v>0.93478662463389028</v>
      </c>
      <c r="C3852">
        <v>0.81977938768432068</v>
      </c>
    </row>
    <row r="3853" spans="1:3">
      <c r="A3853">
        <v>3845</v>
      </c>
      <c r="B3853">
        <v>0.62293391164139233</v>
      </c>
      <c r="C3853">
        <v>0.84884265935943404</v>
      </c>
    </row>
    <row r="3854" spans="1:3">
      <c r="A3854">
        <v>3846</v>
      </c>
      <c r="B3854">
        <v>0.1867854833934888</v>
      </c>
      <c r="C3854">
        <v>0.1939145596270464</v>
      </c>
    </row>
    <row r="3855" spans="1:3">
      <c r="A3855">
        <v>3847</v>
      </c>
      <c r="B3855">
        <v>0.25594939844052994</v>
      </c>
      <c r="C3855">
        <v>0.75648464697587769</v>
      </c>
    </row>
    <row r="3856" spans="1:3">
      <c r="A3856">
        <v>3848</v>
      </c>
      <c r="B3856">
        <v>0.12677622512406117</v>
      </c>
      <c r="C3856">
        <v>0.43600680765212019</v>
      </c>
    </row>
    <row r="3857" spans="1:3">
      <c r="A3857">
        <v>3849</v>
      </c>
      <c r="B3857">
        <v>0.24611658702369701</v>
      </c>
      <c r="C3857">
        <v>0.19573599188333901</v>
      </c>
    </row>
    <row r="3858" spans="1:3">
      <c r="A3858">
        <v>3850</v>
      </c>
      <c r="B3858">
        <v>0.46632855227634507</v>
      </c>
      <c r="C3858">
        <v>3.3249770791371702E-2</v>
      </c>
    </row>
    <row r="3859" spans="1:3">
      <c r="A3859">
        <v>3851</v>
      </c>
      <c r="B3859">
        <v>0.95416867604413269</v>
      </c>
      <c r="C3859">
        <v>0.31859138085656014</v>
      </c>
    </row>
    <row r="3860" spans="1:3">
      <c r="A3860">
        <v>3852</v>
      </c>
      <c r="B3860">
        <v>0.55341442085742354</v>
      </c>
      <c r="C3860">
        <v>0.29916644688637462</v>
      </c>
    </row>
    <row r="3861" spans="1:3">
      <c r="A3861">
        <v>3853</v>
      </c>
      <c r="B3861">
        <v>0.67347733081227101</v>
      </c>
      <c r="C3861">
        <v>0.37833667347422306</v>
      </c>
    </row>
    <row r="3862" spans="1:3">
      <c r="A3862">
        <v>3854</v>
      </c>
      <c r="B3862">
        <v>0.72993841023154982</v>
      </c>
      <c r="C3862">
        <v>0.70413826791082101</v>
      </c>
    </row>
    <row r="3863" spans="1:3">
      <c r="A3863">
        <v>3855</v>
      </c>
      <c r="B3863">
        <v>0.57201023783269578</v>
      </c>
      <c r="C3863">
        <v>0.83535679986107425</v>
      </c>
    </row>
    <row r="3864" spans="1:3">
      <c r="A3864">
        <v>3856</v>
      </c>
      <c r="B3864">
        <v>0.58093615853538183</v>
      </c>
      <c r="C3864">
        <v>0.21929554779853788</v>
      </c>
    </row>
    <row r="3865" spans="1:3">
      <c r="A3865">
        <v>3857</v>
      </c>
      <c r="B3865">
        <v>0.40357514745285156</v>
      </c>
      <c r="C3865">
        <v>0.97246684772017034</v>
      </c>
    </row>
    <row r="3866" spans="1:3">
      <c r="A3866">
        <v>3858</v>
      </c>
      <c r="B3866">
        <v>0.69447821629673201</v>
      </c>
      <c r="C3866">
        <v>6.4937694040054339E-2</v>
      </c>
    </row>
    <row r="3867" spans="1:3">
      <c r="A3867">
        <v>3859</v>
      </c>
      <c r="B3867">
        <v>0.96024381709579465</v>
      </c>
      <c r="C3867">
        <v>5.6561825441349356E-2</v>
      </c>
    </row>
    <row r="3868" spans="1:3">
      <c r="A3868">
        <v>3860</v>
      </c>
      <c r="B3868">
        <v>0.26386529650549989</v>
      </c>
      <c r="C3868">
        <v>0.56561784299992723</v>
      </c>
    </row>
    <row r="3869" spans="1:3">
      <c r="A3869">
        <v>3861</v>
      </c>
      <c r="B3869">
        <v>0.56840286333179169</v>
      </c>
      <c r="C3869">
        <v>0.78874081410685903</v>
      </c>
    </row>
    <row r="3870" spans="1:3">
      <c r="A3870">
        <v>3862</v>
      </c>
      <c r="B3870">
        <v>9.6591297051587907E-2</v>
      </c>
      <c r="C3870">
        <v>0.97527445653304312</v>
      </c>
    </row>
    <row r="3871" spans="1:3">
      <c r="A3871">
        <v>3863</v>
      </c>
      <c r="B3871">
        <v>0.63454910532309428</v>
      </c>
      <c r="C3871">
        <v>0.52155820072769643</v>
      </c>
    </row>
    <row r="3872" spans="1:3">
      <c r="A3872">
        <v>3864</v>
      </c>
      <c r="B3872">
        <v>4.3397181587758751E-2</v>
      </c>
      <c r="C3872">
        <v>0.38142683402475086</v>
      </c>
    </row>
    <row r="3873" spans="1:3">
      <c r="A3873">
        <v>3865</v>
      </c>
      <c r="B3873">
        <v>0.88559722397206275</v>
      </c>
      <c r="C3873">
        <v>2.2891582781994657E-2</v>
      </c>
    </row>
    <row r="3874" spans="1:3">
      <c r="A3874">
        <v>3866</v>
      </c>
      <c r="B3874">
        <v>0.72026112860810498</v>
      </c>
      <c r="C3874">
        <v>0.62665571020443167</v>
      </c>
    </row>
    <row r="3875" spans="1:3">
      <c r="A3875">
        <v>3867</v>
      </c>
      <c r="B3875">
        <v>0.20531551358465</v>
      </c>
      <c r="C3875">
        <v>0.80327756574206433</v>
      </c>
    </row>
    <row r="3876" spans="1:3">
      <c r="A3876">
        <v>3868</v>
      </c>
      <c r="B3876">
        <v>0.77915282693159593</v>
      </c>
      <c r="C3876">
        <v>0.92367581411235733</v>
      </c>
    </row>
    <row r="3877" spans="1:3">
      <c r="A3877">
        <v>3869</v>
      </c>
      <c r="B3877">
        <v>0.11702240781169905</v>
      </c>
      <c r="C3877">
        <v>0.77274794820823445</v>
      </c>
    </row>
    <row r="3878" spans="1:3">
      <c r="A3878">
        <v>3870</v>
      </c>
      <c r="B3878">
        <v>0.26942083272296491</v>
      </c>
      <c r="C3878">
        <v>6.9496519181484473E-2</v>
      </c>
    </row>
    <row r="3879" spans="1:3">
      <c r="A3879">
        <v>3871</v>
      </c>
      <c r="B3879">
        <v>0.32994364658141123</v>
      </c>
      <c r="C3879">
        <v>9.5468891156087921E-2</v>
      </c>
    </row>
    <row r="3880" spans="1:3">
      <c r="A3880">
        <v>3872</v>
      </c>
      <c r="B3880">
        <v>3.5334316727224348E-2</v>
      </c>
      <c r="C3880">
        <v>0.35948468854985549</v>
      </c>
    </row>
    <row r="3881" spans="1:3">
      <c r="A3881">
        <v>3873</v>
      </c>
      <c r="B3881">
        <v>0.43358475369782762</v>
      </c>
      <c r="C3881">
        <v>5.2576935398974456E-2</v>
      </c>
    </row>
    <row r="3882" spans="1:3">
      <c r="A3882">
        <v>3874</v>
      </c>
      <c r="B3882">
        <v>0.42729431971295134</v>
      </c>
      <c r="C3882">
        <v>0.37683618477876735</v>
      </c>
    </row>
    <row r="3883" spans="1:3">
      <c r="A3883">
        <v>3875</v>
      </c>
      <c r="B3883">
        <v>0.90821235485622021</v>
      </c>
      <c r="C3883">
        <v>0.56656348290016467</v>
      </c>
    </row>
    <row r="3884" spans="1:3">
      <c r="A3884">
        <v>3876</v>
      </c>
      <c r="B3884">
        <v>1.3070124661426555E-2</v>
      </c>
      <c r="C3884">
        <v>5.2197186980265542E-2</v>
      </c>
    </row>
    <row r="3885" spans="1:3">
      <c r="A3885">
        <v>3877</v>
      </c>
      <c r="B3885">
        <v>0.989416166713046</v>
      </c>
      <c r="C3885">
        <v>0.19008757545179833</v>
      </c>
    </row>
    <row r="3886" spans="1:3">
      <c r="A3886">
        <v>3878</v>
      </c>
      <c r="B3886">
        <v>6.1629826016311957E-2</v>
      </c>
      <c r="C3886">
        <v>0.8570766070188256</v>
      </c>
    </row>
    <row r="3887" spans="1:3">
      <c r="A3887">
        <v>3879</v>
      </c>
      <c r="B3887">
        <v>0.23788616278532104</v>
      </c>
      <c r="C3887">
        <v>0.39397932584961382</v>
      </c>
    </row>
    <row r="3888" spans="1:3">
      <c r="A3888">
        <v>3880</v>
      </c>
      <c r="B3888">
        <v>0.23242130022687402</v>
      </c>
      <c r="C3888">
        <v>0.3209711004546989</v>
      </c>
    </row>
    <row r="3889" spans="1:3">
      <c r="A3889">
        <v>3881</v>
      </c>
      <c r="B3889">
        <v>0.7610218199641029</v>
      </c>
      <c r="C3889">
        <v>0.34802411759028473</v>
      </c>
    </row>
    <row r="3890" spans="1:3">
      <c r="A3890">
        <v>3882</v>
      </c>
      <c r="B3890">
        <v>0.96876914296442862</v>
      </c>
      <c r="C3890">
        <v>0.86616684888213058</v>
      </c>
    </row>
    <row r="3891" spans="1:3">
      <c r="A3891">
        <v>3883</v>
      </c>
      <c r="B3891">
        <v>0.68736431849006663</v>
      </c>
      <c r="C3891">
        <v>0.28398203332380945</v>
      </c>
    </row>
    <row r="3892" spans="1:3">
      <c r="A3892">
        <v>3884</v>
      </c>
      <c r="B3892">
        <v>8.4722618213743578E-2</v>
      </c>
      <c r="C3892">
        <v>0.74132603082398418</v>
      </c>
    </row>
    <row r="3893" spans="1:3">
      <c r="A3893">
        <v>3885</v>
      </c>
      <c r="B3893">
        <v>0.2029391754560031</v>
      </c>
      <c r="C3893">
        <v>3.89663364212538E-2</v>
      </c>
    </row>
    <row r="3894" spans="1:3">
      <c r="A3894">
        <v>3886</v>
      </c>
      <c r="B3894">
        <v>0.95123831496248912</v>
      </c>
      <c r="C3894">
        <v>1.0481258193976828E-2</v>
      </c>
    </row>
    <row r="3895" spans="1:3">
      <c r="A3895">
        <v>3887</v>
      </c>
      <c r="B3895">
        <v>0.87100953055685604</v>
      </c>
      <c r="C3895">
        <v>0.81966232648574078</v>
      </c>
    </row>
    <row r="3896" spans="1:3">
      <c r="A3896">
        <v>3888</v>
      </c>
      <c r="B3896">
        <v>0.27036383477830417</v>
      </c>
      <c r="C3896">
        <v>0.24693310437214677</v>
      </c>
    </row>
    <row r="3897" spans="1:3">
      <c r="A3897">
        <v>3889</v>
      </c>
      <c r="B3897">
        <v>0.9356068094467761</v>
      </c>
      <c r="C3897">
        <v>0.72236540599897126</v>
      </c>
    </row>
    <row r="3898" spans="1:3">
      <c r="A3898">
        <v>3890</v>
      </c>
      <c r="B3898">
        <v>0.58056570845487654</v>
      </c>
      <c r="C3898">
        <v>0.33728762711507443</v>
      </c>
    </row>
    <row r="3899" spans="1:3">
      <c r="A3899">
        <v>3891</v>
      </c>
      <c r="B3899">
        <v>0.59837572427205177</v>
      </c>
      <c r="C3899">
        <v>0.98970061321688263</v>
      </c>
    </row>
    <row r="3900" spans="1:3">
      <c r="A3900">
        <v>3892</v>
      </c>
      <c r="B3900">
        <v>0.43156695424736635</v>
      </c>
      <c r="C3900">
        <v>0.63411344898486277</v>
      </c>
    </row>
    <row r="3901" spans="1:3">
      <c r="A3901">
        <v>3893</v>
      </c>
      <c r="B3901">
        <v>0.69688129446303504</v>
      </c>
      <c r="C3901">
        <v>0.66192834887988283</v>
      </c>
    </row>
    <row r="3902" spans="1:3">
      <c r="A3902">
        <v>3894</v>
      </c>
      <c r="B3902">
        <v>0.10055496205947245</v>
      </c>
      <c r="C3902">
        <v>0.19430845977240097</v>
      </c>
    </row>
    <row r="3903" spans="1:3">
      <c r="A3903">
        <v>3895</v>
      </c>
      <c r="B3903">
        <v>8.6238565647098839E-3</v>
      </c>
      <c r="C3903">
        <v>0.77376866182567028</v>
      </c>
    </row>
    <row r="3904" spans="1:3">
      <c r="A3904">
        <v>3896</v>
      </c>
      <c r="B3904">
        <v>0.23970977250936204</v>
      </c>
      <c r="C3904">
        <v>0.36213345974283584</v>
      </c>
    </row>
    <row r="3905" spans="1:3">
      <c r="A3905">
        <v>3897</v>
      </c>
      <c r="B3905">
        <v>4.6557371289785342E-2</v>
      </c>
      <c r="C3905">
        <v>0.26150100477116212</v>
      </c>
    </row>
    <row r="3906" spans="1:3">
      <c r="A3906">
        <v>3898</v>
      </c>
      <c r="B3906">
        <v>0.68832113355373059</v>
      </c>
      <c r="C3906">
        <v>0.22981880711085978</v>
      </c>
    </row>
    <row r="3907" spans="1:3">
      <c r="A3907">
        <v>3899</v>
      </c>
      <c r="B3907">
        <v>0.6787411551712409</v>
      </c>
      <c r="C3907">
        <v>0.17038016967035219</v>
      </c>
    </row>
    <row r="3908" spans="1:3">
      <c r="A3908">
        <v>3900</v>
      </c>
      <c r="B3908">
        <v>0.8589167004958066</v>
      </c>
      <c r="C3908">
        <v>0.57838593924498127</v>
      </c>
    </row>
    <row r="3909" spans="1:3">
      <c r="A3909">
        <v>3901</v>
      </c>
      <c r="B3909">
        <v>0.5579553923521553</v>
      </c>
      <c r="C3909">
        <v>4.1466127951025555E-2</v>
      </c>
    </row>
    <row r="3910" spans="1:3">
      <c r="A3910">
        <v>3902</v>
      </c>
      <c r="B3910">
        <v>0.23904594915589455</v>
      </c>
      <c r="C3910">
        <v>0.84243832431093324</v>
      </c>
    </row>
    <row r="3911" spans="1:3">
      <c r="A3911">
        <v>3903</v>
      </c>
      <c r="B3911">
        <v>0.20982189550004476</v>
      </c>
      <c r="C3911">
        <v>5.7785322033851116E-2</v>
      </c>
    </row>
    <row r="3912" spans="1:3">
      <c r="A3912">
        <v>3904</v>
      </c>
      <c r="B3912">
        <v>0.83469684525618726</v>
      </c>
      <c r="C3912">
        <v>0.15711010571430961</v>
      </c>
    </row>
    <row r="3913" spans="1:3">
      <c r="A3913">
        <v>3905</v>
      </c>
      <c r="B3913">
        <v>0.22413815320984881</v>
      </c>
      <c r="C3913">
        <v>0.50615563331393787</v>
      </c>
    </row>
    <row r="3914" spans="1:3">
      <c r="A3914">
        <v>3906</v>
      </c>
      <c r="B3914">
        <v>0.36875689152175489</v>
      </c>
      <c r="C3914">
        <v>0.65965795291776885</v>
      </c>
    </row>
    <row r="3915" spans="1:3">
      <c r="A3915">
        <v>3907</v>
      </c>
      <c r="B3915">
        <v>0.50558723237127701</v>
      </c>
      <c r="C3915">
        <v>0.99056241993730509</v>
      </c>
    </row>
    <row r="3916" spans="1:3">
      <c r="A3916">
        <v>3908</v>
      </c>
      <c r="B3916">
        <v>5.8962000044566115E-2</v>
      </c>
      <c r="C3916">
        <v>0.30009022810372699</v>
      </c>
    </row>
    <row r="3917" spans="1:3">
      <c r="A3917">
        <v>3909</v>
      </c>
      <c r="B3917">
        <v>0.43260403957595206</v>
      </c>
      <c r="C3917">
        <v>0.6152389292483349</v>
      </c>
    </row>
    <row r="3918" spans="1:3">
      <c r="A3918">
        <v>3910</v>
      </c>
      <c r="B3918">
        <v>7.1102135487157422E-2</v>
      </c>
      <c r="C3918">
        <v>0.63186066413618391</v>
      </c>
    </row>
    <row r="3919" spans="1:3">
      <c r="A3919">
        <v>3911</v>
      </c>
      <c r="B3919">
        <v>0.28909775030941182</v>
      </c>
      <c r="C3919">
        <v>0.71829246228571719</v>
      </c>
    </row>
    <row r="3920" spans="1:3">
      <c r="A3920">
        <v>3912</v>
      </c>
      <c r="B3920">
        <v>0.32856306390724216</v>
      </c>
      <c r="C3920">
        <v>4.2132648277402041E-2</v>
      </c>
    </row>
    <row r="3921" spans="1:3">
      <c r="A3921">
        <v>3913</v>
      </c>
      <c r="B3921">
        <v>0.90002878964185451</v>
      </c>
      <c r="C3921">
        <v>0.3403210011720148</v>
      </c>
    </row>
    <row r="3922" spans="1:3">
      <c r="A3922">
        <v>3914</v>
      </c>
      <c r="B3922">
        <v>0.25511983755401335</v>
      </c>
      <c r="C3922">
        <v>0.82678486153236008</v>
      </c>
    </row>
    <row r="3923" spans="1:3">
      <c r="A3923">
        <v>3915</v>
      </c>
      <c r="B3923">
        <v>0.22693149901775911</v>
      </c>
      <c r="C3923">
        <v>0.47877339574824873</v>
      </c>
    </row>
    <row r="3924" spans="1:3">
      <c r="A3924">
        <v>3916</v>
      </c>
      <c r="B3924">
        <v>0.2861164474532279</v>
      </c>
      <c r="C3924">
        <v>0.47848734412946214</v>
      </c>
    </row>
    <row r="3925" spans="1:3">
      <c r="A3925">
        <v>3917</v>
      </c>
      <c r="B3925">
        <v>0.47600849931054018</v>
      </c>
      <c r="C3925">
        <v>8.6948504331303411E-3</v>
      </c>
    </row>
    <row r="3926" spans="1:3">
      <c r="A3926">
        <v>3918</v>
      </c>
      <c r="B3926">
        <v>0.40181069932044733</v>
      </c>
      <c r="C3926">
        <v>0.67307840692228638</v>
      </c>
    </row>
    <row r="3927" spans="1:3">
      <c r="A3927">
        <v>3919</v>
      </c>
      <c r="B3927">
        <v>0.43763216484683382</v>
      </c>
      <c r="C3927">
        <v>0.65276397989055113</v>
      </c>
    </row>
    <row r="3928" spans="1:3">
      <c r="A3928">
        <v>3920</v>
      </c>
      <c r="B3928">
        <v>0.92619413312719989</v>
      </c>
      <c r="C3928">
        <v>0.38713146280133515</v>
      </c>
    </row>
    <row r="3929" spans="1:3">
      <c r="A3929">
        <v>3921</v>
      </c>
      <c r="B3929">
        <v>0.29073834837007762</v>
      </c>
      <c r="C3929">
        <v>0.98839763466003205</v>
      </c>
    </row>
    <row r="3930" spans="1:3">
      <c r="A3930">
        <v>3922</v>
      </c>
      <c r="B3930">
        <v>0.30123530336214122</v>
      </c>
      <c r="C3930">
        <v>0.28712861157691805</v>
      </c>
    </row>
    <row r="3931" spans="1:3">
      <c r="A3931">
        <v>3923</v>
      </c>
      <c r="B3931">
        <v>0.32050224704768099</v>
      </c>
      <c r="C3931">
        <v>4.271480472652911E-2</v>
      </c>
    </row>
    <row r="3932" spans="1:3">
      <c r="A3932">
        <v>3924</v>
      </c>
      <c r="B3932">
        <v>0.20366363615604668</v>
      </c>
      <c r="C3932">
        <v>0.32499389206532214</v>
      </c>
    </row>
    <row r="3933" spans="1:3">
      <c r="A3933">
        <v>3925</v>
      </c>
      <c r="B3933">
        <v>0.58843949814155683</v>
      </c>
      <c r="C3933">
        <v>0.88336330071342672</v>
      </c>
    </row>
    <row r="3934" spans="1:3">
      <c r="A3934">
        <v>3926</v>
      </c>
      <c r="B3934">
        <v>0.70563937499416984</v>
      </c>
      <c r="C3934">
        <v>0.13364917586659431</v>
      </c>
    </row>
    <row r="3935" spans="1:3">
      <c r="A3935">
        <v>3927</v>
      </c>
      <c r="B3935">
        <v>0.23373423586481581</v>
      </c>
      <c r="C3935">
        <v>0.19654650469510671</v>
      </c>
    </row>
    <row r="3936" spans="1:3">
      <c r="A3936">
        <v>3928</v>
      </c>
      <c r="B3936">
        <v>0.3180487755716892</v>
      </c>
      <c r="C3936">
        <v>0.50191826465561462</v>
      </c>
    </row>
    <row r="3937" spans="1:3">
      <c r="A3937">
        <v>3929</v>
      </c>
      <c r="B3937">
        <v>0.86405492731315425</v>
      </c>
      <c r="C3937">
        <v>0.10262762339061737</v>
      </c>
    </row>
    <row r="3938" spans="1:3">
      <c r="A3938">
        <v>3930</v>
      </c>
      <c r="B3938">
        <v>0.59317451254044995</v>
      </c>
      <c r="C3938">
        <v>0.63853359263157472</v>
      </c>
    </row>
    <row r="3939" spans="1:3">
      <c r="A3939">
        <v>3931</v>
      </c>
      <c r="B3939">
        <v>0.27328546698486561</v>
      </c>
      <c r="C3939">
        <v>0.15295072587014147</v>
      </c>
    </row>
    <row r="3940" spans="1:3">
      <c r="A3940">
        <v>3932</v>
      </c>
      <c r="B3940">
        <v>0.4885929703148531</v>
      </c>
      <c r="C3940">
        <v>0.7247209845463658</v>
      </c>
    </row>
    <row r="3941" spans="1:3">
      <c r="A3941">
        <v>3933</v>
      </c>
      <c r="B3941">
        <v>0.15835780829856122</v>
      </c>
      <c r="C3941">
        <v>0.41975814696797897</v>
      </c>
    </row>
    <row r="3942" spans="1:3">
      <c r="A3942">
        <v>3934</v>
      </c>
      <c r="B3942">
        <v>0.28779094903529412</v>
      </c>
      <c r="C3942">
        <v>0.67075038497932837</v>
      </c>
    </row>
    <row r="3943" spans="1:3">
      <c r="A3943">
        <v>3935</v>
      </c>
      <c r="B3943">
        <v>0.75455291788199752</v>
      </c>
      <c r="C3943">
        <v>0.25422102340144193</v>
      </c>
    </row>
    <row r="3944" spans="1:3">
      <c r="A3944">
        <v>3936</v>
      </c>
      <c r="B3944">
        <v>6.8431649298507629E-4</v>
      </c>
      <c r="C3944">
        <v>0.98140132985827222</v>
      </c>
    </row>
    <row r="3945" spans="1:3">
      <c r="A3945">
        <v>3937</v>
      </c>
      <c r="B3945">
        <v>5.1755716071686643E-2</v>
      </c>
      <c r="C3945">
        <v>0.44049448637179012</v>
      </c>
    </row>
    <row r="3946" spans="1:3">
      <c r="A3946">
        <v>3938</v>
      </c>
      <c r="B3946">
        <v>0.91190029738422018</v>
      </c>
      <c r="C3946">
        <v>0.1424153160842252</v>
      </c>
    </row>
    <row r="3947" spans="1:3">
      <c r="A3947">
        <v>3939</v>
      </c>
      <c r="B3947">
        <v>0.47939928768924417</v>
      </c>
      <c r="C3947">
        <v>0.77756286055500823</v>
      </c>
    </row>
    <row r="3948" spans="1:3">
      <c r="A3948">
        <v>3940</v>
      </c>
      <c r="B3948">
        <v>4.094761548897894E-2</v>
      </c>
      <c r="C3948">
        <v>9.5094243502899189E-2</v>
      </c>
    </row>
    <row r="3949" spans="1:3">
      <c r="A3949">
        <v>3941</v>
      </c>
      <c r="B3949">
        <v>0.95804403057956222</v>
      </c>
      <c r="C3949">
        <v>0.55566313789768174</v>
      </c>
    </row>
    <row r="3950" spans="1:3">
      <c r="A3950">
        <v>3942</v>
      </c>
      <c r="B3950">
        <v>0.3111554742640712</v>
      </c>
      <c r="C3950">
        <v>0.14203342144537601</v>
      </c>
    </row>
    <row r="3951" spans="1:3">
      <c r="A3951">
        <v>3943</v>
      </c>
      <c r="B3951">
        <v>0.95913784513192657</v>
      </c>
      <c r="C3951">
        <v>0.56251583134780958</v>
      </c>
    </row>
    <row r="3952" spans="1:3">
      <c r="A3952">
        <v>3944</v>
      </c>
      <c r="B3952">
        <v>0.85008069213486293</v>
      </c>
      <c r="C3952">
        <v>0.60116402828862192</v>
      </c>
    </row>
    <row r="3953" spans="1:3">
      <c r="A3953">
        <v>3945</v>
      </c>
      <c r="B3953">
        <v>0.88293322944737351</v>
      </c>
      <c r="C3953">
        <v>0.41583908946904558</v>
      </c>
    </row>
    <row r="3954" spans="1:3">
      <c r="A3954">
        <v>3946</v>
      </c>
      <c r="B3954">
        <v>0.97123738022326433</v>
      </c>
      <c r="C3954">
        <v>0.52715239648023271</v>
      </c>
    </row>
    <row r="3955" spans="1:3">
      <c r="A3955">
        <v>3947</v>
      </c>
      <c r="B3955">
        <v>0.66972292879464179</v>
      </c>
      <c r="C3955">
        <v>0.65578647204438312</v>
      </c>
    </row>
    <row r="3956" spans="1:3">
      <c r="A3956">
        <v>3948</v>
      </c>
      <c r="B3956">
        <v>0.79310387939827143</v>
      </c>
      <c r="C3956">
        <v>0.85443551759635739</v>
      </c>
    </row>
    <row r="3957" spans="1:3">
      <c r="A3957">
        <v>3949</v>
      </c>
      <c r="B3957">
        <v>0.75990149944869367</v>
      </c>
      <c r="C3957">
        <v>0.39436055444184603</v>
      </c>
    </row>
    <row r="3958" spans="1:3">
      <c r="A3958">
        <v>3950</v>
      </c>
      <c r="B3958">
        <v>0.94284867453674048</v>
      </c>
      <c r="C3958">
        <v>0.23337332104711095</v>
      </c>
    </row>
    <row r="3959" spans="1:3">
      <c r="A3959">
        <v>3951</v>
      </c>
      <c r="B3959">
        <v>0.75870346295887225</v>
      </c>
      <c r="C3959">
        <v>0.92124886433521169</v>
      </c>
    </row>
    <row r="3960" spans="1:3">
      <c r="A3960">
        <v>3952</v>
      </c>
      <c r="B3960">
        <v>0.37282239613808282</v>
      </c>
      <c r="C3960">
        <v>0.84154120806397259</v>
      </c>
    </row>
    <row r="3961" spans="1:3">
      <c r="A3961">
        <v>3953</v>
      </c>
      <c r="B3961">
        <v>0.33838425290211666</v>
      </c>
      <c r="C3961">
        <v>0.92355583858989121</v>
      </c>
    </row>
    <row r="3962" spans="1:3">
      <c r="A3962">
        <v>3954</v>
      </c>
      <c r="B3962">
        <v>0.34152881265714041</v>
      </c>
      <c r="C3962">
        <v>0.86560720384386514</v>
      </c>
    </row>
    <row r="3963" spans="1:3">
      <c r="A3963">
        <v>3955</v>
      </c>
      <c r="B3963">
        <v>0.56652310402466055</v>
      </c>
      <c r="C3963">
        <v>0.15000319924729411</v>
      </c>
    </row>
    <row r="3964" spans="1:3">
      <c r="A3964">
        <v>3956</v>
      </c>
      <c r="B3964">
        <v>0.16395349214020033</v>
      </c>
      <c r="C3964">
        <v>0.48812663708213222</v>
      </c>
    </row>
    <row r="3965" spans="1:3">
      <c r="A3965">
        <v>3957</v>
      </c>
      <c r="B3965">
        <v>9.3705910101511025E-2</v>
      </c>
      <c r="C3965">
        <v>0.28843694533316011</v>
      </c>
    </row>
    <row r="3966" spans="1:3">
      <c r="A3966">
        <v>3958</v>
      </c>
      <c r="B3966">
        <v>3.5047463115455459E-2</v>
      </c>
      <c r="C3966">
        <v>0.34390031360544526</v>
      </c>
    </row>
    <row r="3967" spans="1:3">
      <c r="A3967">
        <v>3959</v>
      </c>
      <c r="B3967">
        <v>0.40147395599858698</v>
      </c>
      <c r="C3967">
        <v>0.24360286853698199</v>
      </c>
    </row>
    <row r="3968" spans="1:3">
      <c r="A3968">
        <v>3960</v>
      </c>
      <c r="B3968">
        <v>0.96959069780767682</v>
      </c>
      <c r="C3968">
        <v>4.244556755929807E-2</v>
      </c>
    </row>
    <row r="3969" spans="1:3">
      <c r="A3969">
        <v>3961</v>
      </c>
      <c r="B3969">
        <v>0.56454596094790521</v>
      </c>
      <c r="C3969">
        <v>0.2421597896154708</v>
      </c>
    </row>
    <row r="3970" spans="1:3">
      <c r="A3970">
        <v>3962</v>
      </c>
      <c r="B3970">
        <v>0.93056256213918387</v>
      </c>
      <c r="C3970">
        <v>0.40913112848102173</v>
      </c>
    </row>
    <row r="3971" spans="1:3">
      <c r="A3971">
        <v>3963</v>
      </c>
      <c r="B3971">
        <v>0.78327528940347846</v>
      </c>
      <c r="C3971">
        <v>0.53623671031255071</v>
      </c>
    </row>
    <row r="3972" spans="1:3">
      <c r="A3972">
        <v>3964</v>
      </c>
      <c r="B3972">
        <v>0.40897785389441482</v>
      </c>
      <c r="C3972">
        <v>0.87958819477717043</v>
      </c>
    </row>
    <row r="3973" spans="1:3">
      <c r="A3973">
        <v>3965</v>
      </c>
      <c r="B3973">
        <v>0.73692440039900231</v>
      </c>
      <c r="C3973">
        <v>0.98487984289295127</v>
      </c>
    </row>
    <row r="3974" spans="1:3">
      <c r="A3974">
        <v>3966</v>
      </c>
      <c r="B3974">
        <v>0.52857838282989766</v>
      </c>
      <c r="C3974">
        <v>0.83913723873956769</v>
      </c>
    </row>
    <row r="3975" spans="1:3">
      <c r="A3975">
        <v>3967</v>
      </c>
      <c r="B3975">
        <v>0.45397217388068611</v>
      </c>
      <c r="C3975">
        <v>0.60518072668673994</v>
      </c>
    </row>
    <row r="3976" spans="1:3">
      <c r="A3976">
        <v>3968</v>
      </c>
      <c r="B3976">
        <v>0.73906611441370706</v>
      </c>
      <c r="C3976">
        <v>0.54321923145198525</v>
      </c>
    </row>
    <row r="3977" spans="1:3">
      <c r="A3977">
        <v>3969</v>
      </c>
      <c r="B3977">
        <v>0.91524417323745888</v>
      </c>
      <c r="C3977">
        <v>4.012690128365648E-2</v>
      </c>
    </row>
    <row r="3978" spans="1:3">
      <c r="A3978">
        <v>3970</v>
      </c>
      <c r="B3978">
        <v>5.1407480942040562E-2</v>
      </c>
      <c r="C3978">
        <v>0.95753953679286496</v>
      </c>
    </row>
    <row r="3979" spans="1:3">
      <c r="A3979">
        <v>3971</v>
      </c>
      <c r="B3979">
        <v>0.9606522702318272</v>
      </c>
      <c r="C3979">
        <v>0.23310022264013242</v>
      </c>
    </row>
    <row r="3980" spans="1:3">
      <c r="A3980">
        <v>3972</v>
      </c>
      <c r="B3980">
        <v>0.56627039878765828</v>
      </c>
      <c r="C3980">
        <v>0.67985469387440389</v>
      </c>
    </row>
    <row r="3981" spans="1:3">
      <c r="A3981">
        <v>3973</v>
      </c>
      <c r="B3981">
        <v>0.29570530203485518</v>
      </c>
      <c r="C3981">
        <v>0.55210808675474254</v>
      </c>
    </row>
    <row r="3982" spans="1:3">
      <c r="A3982">
        <v>3974</v>
      </c>
      <c r="B3982">
        <v>0.43162341042054431</v>
      </c>
      <c r="C3982">
        <v>0.73361914357064961</v>
      </c>
    </row>
    <row r="3983" spans="1:3">
      <c r="A3983">
        <v>3975</v>
      </c>
      <c r="B3983">
        <v>7.0378843765468074E-2</v>
      </c>
      <c r="C3983">
        <v>0.36217330345607479</v>
      </c>
    </row>
    <row r="3984" spans="1:3">
      <c r="A3984">
        <v>3976</v>
      </c>
      <c r="B3984">
        <v>0.42893290004654155</v>
      </c>
      <c r="C3984">
        <v>0.29951859446646267</v>
      </c>
    </row>
    <row r="3985" spans="1:3">
      <c r="A3985">
        <v>3977</v>
      </c>
      <c r="B3985">
        <v>0.29162838380793771</v>
      </c>
      <c r="C3985">
        <v>0.33586238116367895</v>
      </c>
    </row>
    <row r="3986" spans="1:3">
      <c r="A3986">
        <v>3978</v>
      </c>
      <c r="B3986">
        <v>0.88982686936930444</v>
      </c>
      <c r="C3986">
        <v>0.40414877558396256</v>
      </c>
    </row>
    <row r="3987" spans="1:3">
      <c r="A3987">
        <v>3979</v>
      </c>
      <c r="B3987">
        <v>0.30281990288431287</v>
      </c>
      <c r="C3987">
        <v>6.1070821703651745E-2</v>
      </c>
    </row>
    <row r="3988" spans="1:3">
      <c r="A3988">
        <v>3980</v>
      </c>
      <c r="B3988">
        <v>6.9104862282403021E-2</v>
      </c>
      <c r="C3988">
        <v>0.25136609230321483</v>
      </c>
    </row>
    <row r="3989" spans="1:3">
      <c r="A3989">
        <v>3981</v>
      </c>
      <c r="B3989">
        <v>0.74168090905567652</v>
      </c>
      <c r="C3989">
        <v>0.94171630171240395</v>
      </c>
    </row>
    <row r="3990" spans="1:3">
      <c r="A3990">
        <v>3982</v>
      </c>
      <c r="B3990">
        <v>0.92422864800184712</v>
      </c>
      <c r="C3990">
        <v>3.8658929639495909E-2</v>
      </c>
    </row>
    <row r="3991" spans="1:3">
      <c r="A3991">
        <v>3983</v>
      </c>
      <c r="B3991">
        <v>0.59156374959316194</v>
      </c>
      <c r="C3991">
        <v>0.25339034345506661</v>
      </c>
    </row>
    <row r="3992" spans="1:3">
      <c r="A3992">
        <v>3984</v>
      </c>
      <c r="B3992">
        <v>0.96554485483792252</v>
      </c>
      <c r="C3992">
        <v>0.95022031341250113</v>
      </c>
    </row>
    <row r="3993" spans="1:3">
      <c r="A3993">
        <v>3985</v>
      </c>
      <c r="B3993">
        <v>0.10699982452038671</v>
      </c>
      <c r="C3993">
        <v>0.81280976748257672</v>
      </c>
    </row>
    <row r="3994" spans="1:3">
      <c r="A3994">
        <v>3986</v>
      </c>
      <c r="B3994">
        <v>0.99971750882373123</v>
      </c>
      <c r="C3994">
        <v>7.4529584500851342E-2</v>
      </c>
    </row>
    <row r="3995" spans="1:3">
      <c r="A3995">
        <v>3987</v>
      </c>
      <c r="B3995">
        <v>0.98214495795493606</v>
      </c>
      <c r="C3995">
        <v>0.67252793982970616</v>
      </c>
    </row>
    <row r="3996" spans="1:3">
      <c r="A3996">
        <v>3988</v>
      </c>
      <c r="B3996">
        <v>0.12323872354557709</v>
      </c>
      <c r="C3996">
        <v>0.51024631009022414</v>
      </c>
    </row>
    <row r="3997" spans="1:3">
      <c r="A3997">
        <v>3989</v>
      </c>
      <c r="B3997">
        <v>0.86288680212807067</v>
      </c>
      <c r="C3997">
        <v>0.96072016860944132</v>
      </c>
    </row>
    <row r="3998" spans="1:3">
      <c r="A3998">
        <v>3990</v>
      </c>
      <c r="B3998">
        <v>0.44462068026867246</v>
      </c>
      <c r="C3998">
        <v>0.88044974226068007</v>
      </c>
    </row>
    <row r="3999" spans="1:3">
      <c r="A3999">
        <v>3991</v>
      </c>
      <c r="B3999">
        <v>0.41653917900480775</v>
      </c>
      <c r="C3999">
        <v>0.27997995596797409</v>
      </c>
    </row>
    <row r="4000" spans="1:3">
      <c r="A4000">
        <v>3992</v>
      </c>
      <c r="B4000">
        <v>0.42228192009811338</v>
      </c>
      <c r="C4000">
        <v>0.20522075440567278</v>
      </c>
    </row>
    <row r="4001" spans="1:3">
      <c r="A4001">
        <v>3993</v>
      </c>
      <c r="B4001">
        <v>0.42383833908164836</v>
      </c>
      <c r="C4001">
        <v>0.79847769360367238</v>
      </c>
    </row>
    <row r="4002" spans="1:3">
      <c r="A4002">
        <v>3994</v>
      </c>
      <c r="B4002">
        <v>0.731651165036869</v>
      </c>
      <c r="C4002">
        <v>0.1388427346937533</v>
      </c>
    </row>
    <row r="4003" spans="1:3">
      <c r="A4003">
        <v>3995</v>
      </c>
      <c r="B4003">
        <v>9.7652587245370404E-2</v>
      </c>
      <c r="C4003">
        <v>0.8663645479527986</v>
      </c>
    </row>
    <row r="4004" spans="1:3">
      <c r="A4004">
        <v>3996</v>
      </c>
      <c r="B4004">
        <v>0.73060551783656824</v>
      </c>
      <c r="C4004">
        <v>0.68555905315406562</v>
      </c>
    </row>
    <row r="4005" spans="1:3">
      <c r="A4005">
        <v>3997</v>
      </c>
      <c r="B4005">
        <v>0.67034630845900312</v>
      </c>
      <c r="C4005">
        <v>0.5077397415161613</v>
      </c>
    </row>
    <row r="4006" spans="1:3">
      <c r="A4006">
        <v>3998</v>
      </c>
      <c r="B4006">
        <v>0.90077624389598532</v>
      </c>
      <c r="C4006">
        <v>0.76302257577481214</v>
      </c>
    </row>
    <row r="4007" spans="1:3">
      <c r="A4007">
        <v>3999</v>
      </c>
      <c r="B4007">
        <v>0.47595438829826991</v>
      </c>
      <c r="C4007">
        <v>0.69151853899802518</v>
      </c>
    </row>
    <row r="4008" spans="1:3">
      <c r="A4008">
        <v>4000</v>
      </c>
      <c r="B4008">
        <v>0.69379741503274939</v>
      </c>
      <c r="C4008">
        <v>0.63156996578072722</v>
      </c>
    </row>
    <row r="4009" spans="1:3">
      <c r="A4009">
        <v>4001</v>
      </c>
      <c r="B4009">
        <v>0.84851232036624857</v>
      </c>
      <c r="C4009">
        <v>0.6478640029718008</v>
      </c>
    </row>
    <row r="4010" spans="1:3">
      <c r="A4010">
        <v>4002</v>
      </c>
      <c r="B4010">
        <v>0.52249892469288284</v>
      </c>
      <c r="C4010">
        <v>0.12465454046105151</v>
      </c>
    </row>
    <row r="4011" spans="1:3">
      <c r="A4011">
        <v>4003</v>
      </c>
      <c r="B4011">
        <v>0.78936257005714872</v>
      </c>
      <c r="C4011">
        <v>0.30412700528449932</v>
      </c>
    </row>
    <row r="4012" spans="1:3">
      <c r="A4012">
        <v>4004</v>
      </c>
      <c r="B4012">
        <v>0.30314532227500929</v>
      </c>
      <c r="C4012">
        <v>0.19644865156260494</v>
      </c>
    </row>
    <row r="4013" spans="1:3">
      <c r="A4013">
        <v>4005</v>
      </c>
      <c r="B4013">
        <v>0.6818732561732348</v>
      </c>
      <c r="C4013">
        <v>0.81648958325331478</v>
      </c>
    </row>
    <row r="4014" spans="1:3">
      <c r="A4014">
        <v>4006</v>
      </c>
      <c r="B4014">
        <v>3.2326789476193205E-2</v>
      </c>
      <c r="C4014">
        <v>0.8412605366538628</v>
      </c>
    </row>
    <row r="4015" spans="1:3">
      <c r="A4015">
        <v>4007</v>
      </c>
      <c r="B4015">
        <v>0.57923559284574244</v>
      </c>
      <c r="C4015">
        <v>0.66722757898605778</v>
      </c>
    </row>
    <row r="4016" spans="1:3">
      <c r="A4016">
        <v>4008</v>
      </c>
      <c r="B4016">
        <v>0.20800258266218066</v>
      </c>
      <c r="C4016">
        <v>0.17076077104047727</v>
      </c>
    </row>
    <row r="4017" spans="1:3">
      <c r="A4017">
        <v>4009</v>
      </c>
      <c r="B4017">
        <v>0.2131035507873873</v>
      </c>
      <c r="C4017">
        <v>2.4786119398413575E-2</v>
      </c>
    </row>
    <row r="4018" spans="1:3">
      <c r="A4018">
        <v>4010</v>
      </c>
      <c r="B4018">
        <v>0.73327651931482285</v>
      </c>
      <c r="C4018">
        <v>0.57629159590760537</v>
      </c>
    </row>
    <row r="4019" spans="1:3">
      <c r="A4019">
        <v>4011</v>
      </c>
      <c r="B4019">
        <v>0.15399561466392958</v>
      </c>
      <c r="C4019">
        <v>0.27011096718888439</v>
      </c>
    </row>
    <row r="4020" spans="1:3">
      <c r="A4020">
        <v>4012</v>
      </c>
      <c r="B4020">
        <v>6.9490941605225884E-2</v>
      </c>
      <c r="C4020">
        <v>0.23502403169641184</v>
      </c>
    </row>
    <row r="4021" spans="1:3">
      <c r="A4021">
        <v>4013</v>
      </c>
      <c r="B4021">
        <v>0.36160719574070704</v>
      </c>
      <c r="C4021">
        <v>0.45641463655192638</v>
      </c>
    </row>
    <row r="4022" spans="1:3">
      <c r="A4022">
        <v>4014</v>
      </c>
      <c r="B4022">
        <v>0.78025160550234174</v>
      </c>
      <c r="C4022">
        <v>0.41138351651443372</v>
      </c>
    </row>
    <row r="4023" spans="1:3">
      <c r="A4023">
        <v>4015</v>
      </c>
      <c r="B4023">
        <v>0.19579551094695821</v>
      </c>
      <c r="C4023">
        <v>0.97010269441125274</v>
      </c>
    </row>
    <row r="4024" spans="1:3">
      <c r="A4024">
        <v>4016</v>
      </c>
      <c r="B4024">
        <v>0.53836524950074149</v>
      </c>
      <c r="C4024">
        <v>0.76651005627081759</v>
      </c>
    </row>
    <row r="4025" spans="1:3">
      <c r="A4025">
        <v>4017</v>
      </c>
      <c r="B4025">
        <v>0.52930550442978397</v>
      </c>
      <c r="C4025">
        <v>0.43817168833265896</v>
      </c>
    </row>
    <row r="4026" spans="1:3">
      <c r="A4026">
        <v>4018</v>
      </c>
      <c r="B4026">
        <v>0.38881416423456144</v>
      </c>
      <c r="C4026">
        <v>0.90360405226238072</v>
      </c>
    </row>
    <row r="4027" spans="1:3">
      <c r="A4027">
        <v>4019</v>
      </c>
      <c r="B4027">
        <v>9.2595201176729799E-2</v>
      </c>
      <c r="C4027">
        <v>0.6227340320501753</v>
      </c>
    </row>
    <row r="4028" spans="1:3">
      <c r="A4028">
        <v>4020</v>
      </c>
      <c r="B4028">
        <v>0.9117465972008526</v>
      </c>
      <c r="C4028">
        <v>0.17563754241200513</v>
      </c>
    </row>
    <row r="4029" spans="1:3">
      <c r="A4029">
        <v>4021</v>
      </c>
      <c r="B4029">
        <v>0.3654747743956453</v>
      </c>
      <c r="C4029">
        <v>0.8499433243259773</v>
      </c>
    </row>
    <row r="4030" spans="1:3">
      <c r="A4030">
        <v>4022</v>
      </c>
      <c r="B4030">
        <v>0.66182581572863874</v>
      </c>
      <c r="C4030">
        <v>0.40384067061495443</v>
      </c>
    </row>
    <row r="4031" spans="1:3">
      <c r="A4031">
        <v>4023</v>
      </c>
      <c r="B4031">
        <v>0.97071609409086324</v>
      </c>
      <c r="C4031">
        <v>0.8852059903447298</v>
      </c>
    </row>
    <row r="4032" spans="1:3">
      <c r="A4032">
        <v>4024</v>
      </c>
      <c r="B4032">
        <v>0.91247950500512487</v>
      </c>
      <c r="C4032">
        <v>0.39688305018353276</v>
      </c>
    </row>
    <row r="4033" spans="1:3">
      <c r="A4033">
        <v>4025</v>
      </c>
      <c r="B4033">
        <v>0.50942664110018554</v>
      </c>
      <c r="C4033">
        <v>0.99371958760002599</v>
      </c>
    </row>
    <row r="4034" spans="1:3">
      <c r="A4034">
        <v>4026</v>
      </c>
      <c r="B4034">
        <v>0.13520676647974336</v>
      </c>
      <c r="C4034">
        <v>0.10873379453187226</v>
      </c>
    </row>
    <row r="4035" spans="1:3">
      <c r="A4035">
        <v>4027</v>
      </c>
      <c r="B4035">
        <v>5.5613214228212183E-3</v>
      </c>
      <c r="C4035">
        <v>0.47718169279596623</v>
      </c>
    </row>
    <row r="4036" spans="1:3">
      <c r="A4036">
        <v>4028</v>
      </c>
      <c r="B4036">
        <v>0.28871794331197581</v>
      </c>
      <c r="C4036">
        <v>0.84817338058746827</v>
      </c>
    </row>
    <row r="4037" spans="1:3">
      <c r="A4037">
        <v>4029</v>
      </c>
      <c r="B4037">
        <v>0.63919140749475722</v>
      </c>
      <c r="C4037">
        <v>0.66192430656610668</v>
      </c>
    </row>
    <row r="4038" spans="1:3">
      <c r="A4038">
        <v>4030</v>
      </c>
      <c r="B4038">
        <v>0.75030347180243195</v>
      </c>
      <c r="C4038">
        <v>0.85195026377914473</v>
      </c>
    </row>
    <row r="4039" spans="1:3">
      <c r="A4039">
        <v>4031</v>
      </c>
      <c r="B4039">
        <v>0.44784789738092756</v>
      </c>
      <c r="C4039">
        <v>0.33497836802052916</v>
      </c>
    </row>
    <row r="4040" spans="1:3">
      <c r="A4040">
        <v>4032</v>
      </c>
      <c r="B4040">
        <v>7.8275942454923864E-2</v>
      </c>
      <c r="C4040">
        <v>0.21824323123200884</v>
      </c>
    </row>
    <row r="4041" spans="1:3">
      <c r="A4041">
        <v>4033</v>
      </c>
      <c r="B4041">
        <v>0.32773689592432625</v>
      </c>
      <c r="C4041">
        <v>0.56763298302939802</v>
      </c>
    </row>
    <row r="4042" spans="1:3">
      <c r="A4042">
        <v>4034</v>
      </c>
      <c r="B4042">
        <v>0.44141242949115406</v>
      </c>
      <c r="C4042">
        <v>0.74276013818689535</v>
      </c>
    </row>
    <row r="4043" spans="1:3">
      <c r="A4043">
        <v>4035</v>
      </c>
      <c r="B4043">
        <v>8.6561425311575041E-2</v>
      </c>
      <c r="C4043">
        <v>1.4292722633399535E-2</v>
      </c>
    </row>
    <row r="4044" spans="1:3">
      <c r="A4044">
        <v>4036</v>
      </c>
      <c r="B4044">
        <v>0.1796984866635172</v>
      </c>
      <c r="C4044">
        <v>0.55704517567482981</v>
      </c>
    </row>
    <row r="4045" spans="1:3">
      <c r="A4045">
        <v>4037</v>
      </c>
      <c r="B4045">
        <v>0.392068021874099</v>
      </c>
      <c r="C4045">
        <v>1.6391836370530655E-2</v>
      </c>
    </row>
    <row r="4046" spans="1:3">
      <c r="A4046">
        <v>4038</v>
      </c>
      <c r="B4046">
        <v>0.77477410445431583</v>
      </c>
      <c r="C4046">
        <v>0.52547072761535674</v>
      </c>
    </row>
    <row r="4047" spans="1:3">
      <c r="A4047">
        <v>4039</v>
      </c>
      <c r="B4047">
        <v>0.22826948796707894</v>
      </c>
      <c r="C4047">
        <v>0.51697191602943349</v>
      </c>
    </row>
    <row r="4048" spans="1:3">
      <c r="A4048">
        <v>4040</v>
      </c>
      <c r="B4048">
        <v>4.8436550538157243E-2</v>
      </c>
      <c r="C4048">
        <v>0.48931854808961361</v>
      </c>
    </row>
    <row r="4049" spans="1:3">
      <c r="A4049">
        <v>4041</v>
      </c>
      <c r="B4049">
        <v>1.5928226505808583E-2</v>
      </c>
      <c r="C4049">
        <v>0.20565753692790167</v>
      </c>
    </row>
    <row r="4050" spans="1:3">
      <c r="A4050">
        <v>4042</v>
      </c>
      <c r="B4050">
        <v>0.20195755424568371</v>
      </c>
      <c r="C4050">
        <v>0.43480691754211875</v>
      </c>
    </row>
    <row r="4051" spans="1:3">
      <c r="A4051">
        <v>4043</v>
      </c>
      <c r="B4051">
        <v>0.36522126520453518</v>
      </c>
      <c r="C4051">
        <v>0.93010849019812558</v>
      </c>
    </row>
    <row r="4052" spans="1:3">
      <c r="A4052">
        <v>4044</v>
      </c>
      <c r="B4052">
        <v>0.93589206887094589</v>
      </c>
      <c r="C4052">
        <v>0.15554906843101435</v>
      </c>
    </row>
    <row r="4053" spans="1:3">
      <c r="A4053">
        <v>4045</v>
      </c>
      <c r="B4053">
        <v>7.9527682677732713E-3</v>
      </c>
      <c r="C4053">
        <v>0.13214705374957703</v>
      </c>
    </row>
    <row r="4054" spans="1:3">
      <c r="A4054">
        <v>4046</v>
      </c>
      <c r="B4054">
        <v>0.47986994319340909</v>
      </c>
      <c r="C4054">
        <v>0.43819835657723161</v>
      </c>
    </row>
    <row r="4055" spans="1:3">
      <c r="A4055">
        <v>4047</v>
      </c>
      <c r="B4055">
        <v>9.0714597298790375E-2</v>
      </c>
      <c r="C4055">
        <v>0.34585624168539653</v>
      </c>
    </row>
    <row r="4056" spans="1:3">
      <c r="A4056">
        <v>4048</v>
      </c>
      <c r="B4056">
        <v>0.62082431878732147</v>
      </c>
      <c r="C4056">
        <v>0.37501592847820575</v>
      </c>
    </row>
    <row r="4057" spans="1:3">
      <c r="A4057">
        <v>4049</v>
      </c>
      <c r="B4057">
        <v>0.20247862086204779</v>
      </c>
      <c r="C4057">
        <v>0.69645369751560793</v>
      </c>
    </row>
    <row r="4058" spans="1:3">
      <c r="A4058">
        <v>4050</v>
      </c>
      <c r="B4058">
        <v>0.58035201909215006</v>
      </c>
      <c r="C4058">
        <v>0.49467090808138892</v>
      </c>
    </row>
    <row r="4059" spans="1:3">
      <c r="A4059">
        <v>4051</v>
      </c>
      <c r="B4059">
        <v>0.83956169524652924</v>
      </c>
      <c r="C4059">
        <v>0.86899982940758491</v>
      </c>
    </row>
    <row r="4060" spans="1:3">
      <c r="A4060">
        <v>4052</v>
      </c>
      <c r="B4060">
        <v>0.67520827348875068</v>
      </c>
      <c r="C4060">
        <v>0.91118276783527108</v>
      </c>
    </row>
    <row r="4061" spans="1:3">
      <c r="A4061">
        <v>4053</v>
      </c>
      <c r="B4061">
        <v>8.8824517681641624E-2</v>
      </c>
      <c r="C4061">
        <v>0.10742008852957952</v>
      </c>
    </row>
    <row r="4062" spans="1:3">
      <c r="A4062">
        <v>4054</v>
      </c>
      <c r="B4062">
        <v>0.48358614130010508</v>
      </c>
      <c r="C4062">
        <v>0.12423613443570503</v>
      </c>
    </row>
    <row r="4063" spans="1:3">
      <c r="A4063">
        <v>4055</v>
      </c>
      <c r="B4063">
        <v>0.54491119203137028</v>
      </c>
      <c r="C4063">
        <v>0.98595136389212712</v>
      </c>
    </row>
    <row r="4064" spans="1:3">
      <c r="A4064">
        <v>4056</v>
      </c>
      <c r="B4064">
        <v>8.1051370193029604E-3</v>
      </c>
      <c r="C4064">
        <v>0.60817100399799529</v>
      </c>
    </row>
    <row r="4065" spans="1:3">
      <c r="A4065">
        <v>4057</v>
      </c>
      <c r="B4065">
        <v>0.61048545291113798</v>
      </c>
      <c r="C4065">
        <v>0.41007651775635168</v>
      </c>
    </row>
    <row r="4066" spans="1:3">
      <c r="A4066">
        <v>4058</v>
      </c>
      <c r="B4066">
        <v>0.94265464537796906</v>
      </c>
      <c r="C4066">
        <v>0.2546700605944352</v>
      </c>
    </row>
    <row r="4067" spans="1:3">
      <c r="A4067">
        <v>4059</v>
      </c>
      <c r="B4067">
        <v>2.6533415136051695E-2</v>
      </c>
      <c r="C4067">
        <v>0.15124463090705831</v>
      </c>
    </row>
    <row r="4068" spans="1:3">
      <c r="A4068">
        <v>4060</v>
      </c>
      <c r="B4068">
        <v>0.29414299647094283</v>
      </c>
      <c r="C4068">
        <v>0.89401351004198659</v>
      </c>
    </row>
    <row r="4069" spans="1:3">
      <c r="A4069">
        <v>4061</v>
      </c>
      <c r="B4069">
        <v>0.60307456380917568</v>
      </c>
      <c r="C4069">
        <v>0.72327296350340475</v>
      </c>
    </row>
    <row r="4070" spans="1:3">
      <c r="A4070">
        <v>4062</v>
      </c>
      <c r="B4070">
        <v>5.5183736765054926E-2</v>
      </c>
      <c r="C4070">
        <v>0.91477725568165624</v>
      </c>
    </row>
    <row r="4071" spans="1:3">
      <c r="A4071">
        <v>4063</v>
      </c>
      <c r="B4071">
        <v>0.68543195747501029</v>
      </c>
      <c r="C4071">
        <v>0.91940570100089758</v>
      </c>
    </row>
    <row r="4072" spans="1:3">
      <c r="A4072">
        <v>4064</v>
      </c>
      <c r="B4072">
        <v>0.29614402181556077</v>
      </c>
      <c r="C4072">
        <v>0.39996005770444754</v>
      </c>
    </row>
    <row r="4073" spans="1:3">
      <c r="A4073">
        <v>4065</v>
      </c>
      <c r="B4073">
        <v>0.26447582412945941</v>
      </c>
      <c r="C4073">
        <v>0.71028634896993026</v>
      </c>
    </row>
    <row r="4074" spans="1:3">
      <c r="A4074">
        <v>4066</v>
      </c>
      <c r="B4074">
        <v>0.46677205499959457</v>
      </c>
      <c r="C4074">
        <v>0.31200430927128764</v>
      </c>
    </row>
    <row r="4075" spans="1:3">
      <c r="A4075">
        <v>4067</v>
      </c>
      <c r="B4075">
        <v>0.20515378782096172</v>
      </c>
      <c r="C4075">
        <v>0.17375672123580443</v>
      </c>
    </row>
    <row r="4076" spans="1:3">
      <c r="A4076">
        <v>4068</v>
      </c>
      <c r="B4076">
        <v>0.89243503718567896</v>
      </c>
      <c r="C4076">
        <v>0.70438409838425287</v>
      </c>
    </row>
    <row r="4077" spans="1:3">
      <c r="A4077">
        <v>4069</v>
      </c>
      <c r="B4077">
        <v>0.65840500617870246</v>
      </c>
      <c r="C4077">
        <v>0.32599184926766611</v>
      </c>
    </row>
    <row r="4078" spans="1:3">
      <c r="A4078">
        <v>4070</v>
      </c>
      <c r="B4078">
        <v>0.43997477769543758</v>
      </c>
      <c r="C4078">
        <v>0.52452575762526976</v>
      </c>
    </row>
    <row r="4079" spans="1:3">
      <c r="A4079">
        <v>4071</v>
      </c>
      <c r="B4079">
        <v>0.36119318527281125</v>
      </c>
      <c r="C4079">
        <v>0.7317180098980316</v>
      </c>
    </row>
    <row r="4080" spans="1:3">
      <c r="A4080">
        <v>4072</v>
      </c>
      <c r="B4080">
        <v>0.53049108317668803</v>
      </c>
      <c r="C4080">
        <v>0.28960828519029747</v>
      </c>
    </row>
    <row r="4081" spans="1:3">
      <c r="A4081">
        <v>4073</v>
      </c>
      <c r="B4081">
        <v>0.78715395132101929</v>
      </c>
      <c r="C4081">
        <v>0.15498798602857278</v>
      </c>
    </row>
    <row r="4082" spans="1:3">
      <c r="A4082">
        <v>4074</v>
      </c>
      <c r="B4082">
        <v>0.29470199912872674</v>
      </c>
      <c r="C4082">
        <v>0.47041440230441367</v>
      </c>
    </row>
    <row r="4083" spans="1:3">
      <c r="A4083">
        <v>4075</v>
      </c>
      <c r="B4083">
        <v>0.64000771559793679</v>
      </c>
      <c r="C4083">
        <v>0.14473277446631982</v>
      </c>
    </row>
    <row r="4084" spans="1:3">
      <c r="A4084">
        <v>4076</v>
      </c>
      <c r="B4084">
        <v>0.29720076484438052</v>
      </c>
      <c r="C4084">
        <v>0.12212284678480501</v>
      </c>
    </row>
    <row r="4085" spans="1:3">
      <c r="A4085">
        <v>4077</v>
      </c>
      <c r="B4085">
        <v>0.88082999837795029</v>
      </c>
      <c r="C4085">
        <v>0.61191755906475009</v>
      </c>
    </row>
    <row r="4086" spans="1:3">
      <c r="A4086">
        <v>4078</v>
      </c>
      <c r="B4086">
        <v>0.75288408396297224</v>
      </c>
      <c r="C4086">
        <v>0.95551331263686734</v>
      </c>
    </row>
    <row r="4087" spans="1:3">
      <c r="A4087">
        <v>4079</v>
      </c>
      <c r="B4087">
        <v>0.55549974213105147</v>
      </c>
      <c r="C4087">
        <v>0.32904360580323555</v>
      </c>
    </row>
    <row r="4088" spans="1:3">
      <c r="A4088">
        <v>4080</v>
      </c>
      <c r="B4088">
        <v>0.72756358316986902</v>
      </c>
      <c r="C4088">
        <v>0.55018419233692839</v>
      </c>
    </row>
    <row r="4089" spans="1:3">
      <c r="A4089">
        <v>4081</v>
      </c>
      <c r="B4089">
        <v>0.49013382192578492</v>
      </c>
      <c r="C4089">
        <v>0.63577432931560907</v>
      </c>
    </row>
    <row r="4090" spans="1:3">
      <c r="A4090">
        <v>4082</v>
      </c>
      <c r="B4090">
        <v>0.85594549659042274</v>
      </c>
      <c r="C4090">
        <v>0.29536248909334972</v>
      </c>
    </row>
    <row r="4091" spans="1:3">
      <c r="A4091">
        <v>4083</v>
      </c>
      <c r="B4091">
        <v>0.84642971143360013</v>
      </c>
      <c r="C4091">
        <v>0.96708884952204244</v>
      </c>
    </row>
    <row r="4092" spans="1:3">
      <c r="A4092">
        <v>4084</v>
      </c>
      <c r="B4092">
        <v>9.0560014791311705E-2</v>
      </c>
      <c r="C4092">
        <v>0.47080264634951163</v>
      </c>
    </row>
    <row r="4093" spans="1:3">
      <c r="A4093">
        <v>4085</v>
      </c>
      <c r="B4093">
        <v>0.61817665235059727</v>
      </c>
      <c r="C4093">
        <v>0.27235809138801415</v>
      </c>
    </row>
    <row r="4094" spans="1:3">
      <c r="A4094">
        <v>4086</v>
      </c>
      <c r="B4094">
        <v>0.15992969742667157</v>
      </c>
      <c r="C4094">
        <v>0.5957201425508174</v>
      </c>
    </row>
    <row r="4095" spans="1:3">
      <c r="A4095">
        <v>4087</v>
      </c>
      <c r="B4095">
        <v>0.40042782944427519</v>
      </c>
      <c r="C4095">
        <v>0.74421441122285614</v>
      </c>
    </row>
    <row r="4096" spans="1:3">
      <c r="A4096">
        <v>4088</v>
      </c>
      <c r="B4096">
        <v>0.3839207680397948</v>
      </c>
      <c r="C4096">
        <v>0.98483405780734756</v>
      </c>
    </row>
    <row r="4097" spans="1:3">
      <c r="A4097">
        <v>4089</v>
      </c>
      <c r="B4097">
        <v>5.8626687356463335E-2</v>
      </c>
      <c r="C4097">
        <v>0.75397384395546396</v>
      </c>
    </row>
    <row r="4098" spans="1:3">
      <c r="A4098">
        <v>4090</v>
      </c>
      <c r="B4098">
        <v>0.87022479358106497</v>
      </c>
      <c r="C4098">
        <v>0.46691233007641131</v>
      </c>
    </row>
    <row r="4099" spans="1:3">
      <c r="A4099">
        <v>4091</v>
      </c>
      <c r="B4099">
        <v>0.11301634373078502</v>
      </c>
      <c r="C4099">
        <v>0.55691593211486179</v>
      </c>
    </row>
    <row r="4100" spans="1:3">
      <c r="A4100">
        <v>4092</v>
      </c>
      <c r="B4100">
        <v>0.40299649294167678</v>
      </c>
      <c r="C4100">
        <v>0.96859207978650375</v>
      </c>
    </row>
    <row r="4101" spans="1:3">
      <c r="A4101">
        <v>4093</v>
      </c>
      <c r="B4101">
        <v>0.33897589744785239</v>
      </c>
      <c r="C4101">
        <v>0.38994743013608968</v>
      </c>
    </row>
    <row r="4102" spans="1:3">
      <c r="A4102">
        <v>4094</v>
      </c>
      <c r="B4102">
        <v>0.12255365992876552</v>
      </c>
      <c r="C4102">
        <v>0.50303769856236613</v>
      </c>
    </row>
    <row r="4103" spans="1:3">
      <c r="A4103">
        <v>4095</v>
      </c>
      <c r="B4103">
        <v>1.3356171993435402E-2</v>
      </c>
      <c r="C4103">
        <v>0.52211329945021134</v>
      </c>
    </row>
    <row r="4104" spans="1:3">
      <c r="A4104">
        <v>4096</v>
      </c>
      <c r="B4104">
        <v>0.80348532535594075</v>
      </c>
      <c r="C4104">
        <v>0.72353968459083262</v>
      </c>
    </row>
    <row r="4105" spans="1:3">
      <c r="A4105">
        <v>4097</v>
      </c>
      <c r="B4105">
        <v>0.56328662151863951</v>
      </c>
      <c r="C4105">
        <v>0.5221321993994934</v>
      </c>
    </row>
    <row r="4106" spans="1:3">
      <c r="A4106">
        <v>4098</v>
      </c>
      <c r="B4106">
        <v>0.70646260302510633</v>
      </c>
      <c r="C4106">
        <v>0.24595737700201425</v>
      </c>
    </row>
    <row r="4107" spans="1:3">
      <c r="A4107">
        <v>4099</v>
      </c>
      <c r="B4107">
        <v>0.47782890494904223</v>
      </c>
      <c r="C4107">
        <v>0.39565324738759955</v>
      </c>
    </row>
    <row r="4108" spans="1:3">
      <c r="A4108">
        <v>4100</v>
      </c>
      <c r="B4108">
        <v>0.439623624058958</v>
      </c>
      <c r="C4108">
        <v>0.93810119008503534</v>
      </c>
    </row>
    <row r="4109" spans="1:3">
      <c r="A4109">
        <v>4101</v>
      </c>
      <c r="B4109">
        <v>0.46100628256146009</v>
      </c>
      <c r="C4109">
        <v>0.25932007396477275</v>
      </c>
    </row>
    <row r="4110" spans="1:3">
      <c r="A4110">
        <v>4102</v>
      </c>
      <c r="B4110">
        <v>0.98868964376130375</v>
      </c>
      <c r="C4110">
        <v>0.42976755628751562</v>
      </c>
    </row>
    <row r="4111" spans="1:3">
      <c r="A4111">
        <v>4103</v>
      </c>
      <c r="B4111">
        <v>0.9114496122080018</v>
      </c>
      <c r="C4111">
        <v>0.5860245366293384</v>
      </c>
    </row>
    <row r="4112" spans="1:3">
      <c r="A4112">
        <v>4104</v>
      </c>
      <c r="B4112">
        <v>0.57157001377110606</v>
      </c>
      <c r="C4112">
        <v>0.85896335194956919</v>
      </c>
    </row>
    <row r="4113" spans="1:3">
      <c r="A4113">
        <v>4105</v>
      </c>
      <c r="B4113">
        <v>0.63977917341468371</v>
      </c>
      <c r="C4113">
        <v>0.5483983798776535</v>
      </c>
    </row>
    <row r="4114" spans="1:3">
      <c r="A4114">
        <v>4106</v>
      </c>
      <c r="B4114">
        <v>0.88609726931501587</v>
      </c>
      <c r="C4114">
        <v>0.29738159102271311</v>
      </c>
    </row>
    <row r="4115" spans="1:3">
      <c r="A4115">
        <v>4107</v>
      </c>
      <c r="B4115">
        <v>0.70045587221152517</v>
      </c>
      <c r="C4115">
        <v>0.50681849525699363</v>
      </c>
    </row>
    <row r="4116" spans="1:3">
      <c r="A4116">
        <v>4108</v>
      </c>
      <c r="B4116">
        <v>0.74229094547296204</v>
      </c>
      <c r="C4116">
        <v>0.79965127224022581</v>
      </c>
    </row>
    <row r="4117" spans="1:3">
      <c r="A4117">
        <v>4109</v>
      </c>
      <c r="B4117">
        <v>0.31492362006477165</v>
      </c>
      <c r="C4117">
        <v>0.64861893097076972</v>
      </c>
    </row>
    <row r="4118" spans="1:3">
      <c r="A4118">
        <v>4110</v>
      </c>
      <c r="B4118">
        <v>0.80927098205747805</v>
      </c>
      <c r="C4118">
        <v>0.46658833645142295</v>
      </c>
    </row>
    <row r="4119" spans="1:3">
      <c r="A4119">
        <v>4111</v>
      </c>
      <c r="B4119">
        <v>0.97728230924529069</v>
      </c>
      <c r="C4119">
        <v>0.99111842337879352</v>
      </c>
    </row>
    <row r="4120" spans="1:3">
      <c r="A4120">
        <v>4112</v>
      </c>
      <c r="B4120">
        <v>0.86477448028413906</v>
      </c>
      <c r="C4120">
        <v>0.73640666556002543</v>
      </c>
    </row>
    <row r="4121" spans="1:3">
      <c r="A4121">
        <v>4113</v>
      </c>
      <c r="B4121">
        <v>0.97852956796221657</v>
      </c>
      <c r="C4121">
        <v>0.62576897569852008</v>
      </c>
    </row>
    <row r="4122" spans="1:3">
      <c r="A4122">
        <v>4114</v>
      </c>
      <c r="B4122">
        <v>0.38745146689900467</v>
      </c>
      <c r="C4122">
        <v>2.1700923117350612E-2</v>
      </c>
    </row>
    <row r="4123" spans="1:3">
      <c r="A4123">
        <v>4115</v>
      </c>
      <c r="B4123">
        <v>2.4420530745159028E-2</v>
      </c>
      <c r="C4123">
        <v>0.49177651256104582</v>
      </c>
    </row>
    <row r="4124" spans="1:3">
      <c r="A4124">
        <v>4116</v>
      </c>
      <c r="B4124">
        <v>0.11872373547170398</v>
      </c>
      <c r="C4124">
        <v>0.62429920679278439</v>
      </c>
    </row>
    <row r="4125" spans="1:3">
      <c r="A4125">
        <v>4117</v>
      </c>
      <c r="B4125">
        <v>0.91200499943574065</v>
      </c>
      <c r="C4125">
        <v>0.75622236134495324</v>
      </c>
    </row>
    <row r="4126" spans="1:3">
      <c r="A4126">
        <v>4118</v>
      </c>
      <c r="B4126">
        <v>0.97278000694484912</v>
      </c>
      <c r="C4126">
        <v>0.7941880057205708</v>
      </c>
    </row>
    <row r="4127" spans="1:3">
      <c r="A4127">
        <v>4119</v>
      </c>
      <c r="B4127">
        <v>0.12543181291120867</v>
      </c>
      <c r="C4127">
        <v>0.62297589359241101</v>
      </c>
    </row>
    <row r="4128" spans="1:3">
      <c r="A4128">
        <v>4120</v>
      </c>
      <c r="B4128">
        <v>0.5300249999652209</v>
      </c>
      <c r="C4128">
        <v>0.70837672546258545</v>
      </c>
    </row>
    <row r="4129" spans="1:3">
      <c r="A4129">
        <v>4121</v>
      </c>
      <c r="B4129">
        <v>0.91723105467479471</v>
      </c>
      <c r="C4129">
        <v>0.15815276976991299</v>
      </c>
    </row>
    <row r="4130" spans="1:3">
      <c r="A4130">
        <v>4122</v>
      </c>
      <c r="B4130">
        <v>0.55034347793225746</v>
      </c>
      <c r="C4130">
        <v>0.40108596407480945</v>
      </c>
    </row>
    <row r="4131" spans="1:3">
      <c r="A4131">
        <v>4123</v>
      </c>
      <c r="B4131">
        <v>6.5761398488832959E-2</v>
      </c>
      <c r="C4131">
        <v>6.5195645731364493E-2</v>
      </c>
    </row>
    <row r="4132" spans="1:3">
      <c r="A4132">
        <v>4124</v>
      </c>
      <c r="B4132">
        <v>0.32977909049489051</v>
      </c>
      <c r="C4132">
        <v>0.27547094685451157</v>
      </c>
    </row>
    <row r="4133" spans="1:3">
      <c r="A4133">
        <v>4125</v>
      </c>
      <c r="B4133">
        <v>0.63395494498348681</v>
      </c>
      <c r="C4133">
        <v>0.66332325046460028</v>
      </c>
    </row>
    <row r="4134" spans="1:3">
      <c r="A4134">
        <v>4126</v>
      </c>
      <c r="B4134">
        <v>0.38024436308384041</v>
      </c>
      <c r="C4134">
        <v>7.5482349841877294E-2</v>
      </c>
    </row>
    <row r="4135" spans="1:3">
      <c r="A4135">
        <v>4127</v>
      </c>
      <c r="B4135">
        <v>0.38348994765819283</v>
      </c>
      <c r="C4135">
        <v>0.39755937536210695</v>
      </c>
    </row>
    <row r="4136" spans="1:3">
      <c r="A4136">
        <v>4128</v>
      </c>
      <c r="B4136">
        <v>0.96918922001169738</v>
      </c>
      <c r="C4136">
        <v>0.83909145598681789</v>
      </c>
    </row>
    <row r="4137" spans="1:3">
      <c r="A4137">
        <v>4129</v>
      </c>
      <c r="B4137">
        <v>0.79631398130001363</v>
      </c>
      <c r="C4137">
        <v>0.36935858817014378</v>
      </c>
    </row>
    <row r="4138" spans="1:3">
      <c r="A4138">
        <v>4130</v>
      </c>
      <c r="B4138">
        <v>0.92489247112867701</v>
      </c>
      <c r="C4138">
        <v>0.30139459522890277</v>
      </c>
    </row>
    <row r="4139" spans="1:3">
      <c r="A4139">
        <v>4131</v>
      </c>
      <c r="B4139">
        <v>0.5504881958458312</v>
      </c>
      <c r="C4139">
        <v>0.97280980705727416</v>
      </c>
    </row>
    <row r="4140" spans="1:3">
      <c r="A4140">
        <v>4132</v>
      </c>
      <c r="B4140">
        <v>0.46292876645455344</v>
      </c>
      <c r="C4140">
        <v>0.12608166851441638</v>
      </c>
    </row>
    <row r="4141" spans="1:3">
      <c r="A4141">
        <v>4133</v>
      </c>
      <c r="B4141">
        <v>0.26114229383853788</v>
      </c>
      <c r="C4141">
        <v>0.24632856155585614</v>
      </c>
    </row>
    <row r="4142" spans="1:3">
      <c r="A4142">
        <v>4134</v>
      </c>
      <c r="B4142">
        <v>1.1291924740954285E-3</v>
      </c>
      <c r="C4142">
        <v>0.47398542366045149</v>
      </c>
    </row>
    <row r="4143" spans="1:3">
      <c r="A4143">
        <v>4135</v>
      </c>
      <c r="B4143">
        <v>0.28672179128423375</v>
      </c>
      <c r="C4143">
        <v>0.56542381881445181</v>
      </c>
    </row>
    <row r="4144" spans="1:3">
      <c r="A4144">
        <v>4136</v>
      </c>
      <c r="B4144">
        <v>0.62434160974112851</v>
      </c>
      <c r="C4144">
        <v>0.58932698080297996</v>
      </c>
    </row>
    <row r="4145" spans="1:3">
      <c r="A4145">
        <v>4137</v>
      </c>
      <c r="B4145">
        <v>0.16855570716107163</v>
      </c>
      <c r="C4145">
        <v>0.96348631924229267</v>
      </c>
    </row>
    <row r="4146" spans="1:3">
      <c r="A4146">
        <v>4138</v>
      </c>
      <c r="B4146">
        <v>5.0043285148833709E-2</v>
      </c>
      <c r="C4146">
        <v>0.9569246870578354</v>
      </c>
    </row>
    <row r="4147" spans="1:3">
      <c r="A4147">
        <v>4139</v>
      </c>
      <c r="B4147">
        <v>0.60414677466171485</v>
      </c>
      <c r="C4147">
        <v>0.6873590483019143</v>
      </c>
    </row>
    <row r="4148" spans="1:3">
      <c r="A4148">
        <v>4140</v>
      </c>
      <c r="B4148">
        <v>0.63235016375862763</v>
      </c>
      <c r="C4148">
        <v>0.9761129009857541</v>
      </c>
    </row>
    <row r="4149" spans="1:3">
      <c r="A4149">
        <v>4141</v>
      </c>
      <c r="B4149">
        <v>0.25695972654869775</v>
      </c>
      <c r="C4149">
        <v>0.61251869866373454</v>
      </c>
    </row>
    <row r="4150" spans="1:3">
      <c r="A4150">
        <v>4142</v>
      </c>
      <c r="B4150">
        <v>0.20913279474348129</v>
      </c>
      <c r="C4150">
        <v>0.81871982618213224</v>
      </c>
    </row>
    <row r="4151" spans="1:3">
      <c r="A4151">
        <v>4143</v>
      </c>
      <c r="B4151">
        <v>9.0310568461406643E-2</v>
      </c>
      <c r="C4151">
        <v>0.17505057910329924</v>
      </c>
    </row>
    <row r="4152" spans="1:3">
      <c r="A4152">
        <v>4144</v>
      </c>
      <c r="B4152">
        <v>0.27821381636043402</v>
      </c>
      <c r="C4152">
        <v>0.73188242862306652</v>
      </c>
    </row>
    <row r="4153" spans="1:3">
      <c r="A4153">
        <v>4145</v>
      </c>
      <c r="B4153">
        <v>0.53202055337871912</v>
      </c>
      <c r="C4153">
        <v>0.10174448599627794</v>
      </c>
    </row>
    <row r="4154" spans="1:3">
      <c r="A4154">
        <v>4146</v>
      </c>
      <c r="B4154">
        <v>0.44934238621432859</v>
      </c>
      <c r="C4154">
        <v>0.95434787349768158</v>
      </c>
    </row>
    <row r="4155" spans="1:3">
      <c r="A4155">
        <v>4147</v>
      </c>
      <c r="B4155">
        <v>0.49610716923519665</v>
      </c>
      <c r="C4155">
        <v>0.88754481588875933</v>
      </c>
    </row>
    <row r="4156" spans="1:3">
      <c r="A4156">
        <v>4148</v>
      </c>
      <c r="B4156">
        <v>0.11331840866732375</v>
      </c>
      <c r="C4156">
        <v>0.42695933617233095</v>
      </c>
    </row>
    <row r="4157" spans="1:3">
      <c r="A4157">
        <v>4149</v>
      </c>
      <c r="B4157">
        <v>0.45141714831837854</v>
      </c>
      <c r="C4157">
        <v>5.3056179287523264E-2</v>
      </c>
    </row>
    <row r="4158" spans="1:3">
      <c r="A4158">
        <v>4150</v>
      </c>
      <c r="B4158">
        <v>0.85100800720025038</v>
      </c>
      <c r="C4158">
        <v>0.11031256420301361</v>
      </c>
    </row>
    <row r="4159" spans="1:3">
      <c r="A4159">
        <v>4151</v>
      </c>
      <c r="B4159">
        <v>0.6992157996443602</v>
      </c>
      <c r="C4159">
        <v>0.57994924127706327</v>
      </c>
    </row>
    <row r="4160" spans="1:3">
      <c r="A4160">
        <v>4152</v>
      </c>
      <c r="B4160">
        <v>0.12802364027263216</v>
      </c>
      <c r="C4160">
        <v>0.7769954157729444</v>
      </c>
    </row>
    <row r="4161" spans="1:3">
      <c r="A4161">
        <v>4153</v>
      </c>
      <c r="B4161">
        <v>0.21045283145295751</v>
      </c>
      <c r="C4161">
        <v>0.97835654700793384</v>
      </c>
    </row>
    <row r="4162" spans="1:3">
      <c r="A4162">
        <v>4154</v>
      </c>
      <c r="B4162">
        <v>0.6933002899344779</v>
      </c>
      <c r="C4162">
        <v>0.22758191540651751</v>
      </c>
    </row>
    <row r="4163" spans="1:3">
      <c r="A4163">
        <v>4155</v>
      </c>
      <c r="B4163">
        <v>0.36716748285851619</v>
      </c>
      <c r="C4163">
        <v>0.46960705056335428</v>
      </c>
    </row>
    <row r="4164" spans="1:3">
      <c r="A4164">
        <v>4156</v>
      </c>
      <c r="B4164">
        <v>0.30689991320630072</v>
      </c>
      <c r="C4164">
        <v>0.23317872612733481</v>
      </c>
    </row>
    <row r="4165" spans="1:3">
      <c r="A4165">
        <v>4157</v>
      </c>
      <c r="B4165">
        <v>0.90377527351169262</v>
      </c>
      <c r="C4165">
        <v>0.89625157878435857</v>
      </c>
    </row>
    <row r="4166" spans="1:3">
      <c r="A4166">
        <v>4158</v>
      </c>
      <c r="B4166">
        <v>0.21929143487822531</v>
      </c>
      <c r="C4166">
        <v>0.89040519050558942</v>
      </c>
    </row>
    <row r="4167" spans="1:3">
      <c r="A4167">
        <v>4159</v>
      </c>
      <c r="B4167">
        <v>0.52116308443447645</v>
      </c>
      <c r="C4167">
        <v>0.50937934008106822</v>
      </c>
    </row>
    <row r="4168" spans="1:3">
      <c r="A4168">
        <v>4160</v>
      </c>
      <c r="B4168">
        <v>0.35741074373577969</v>
      </c>
      <c r="C4168">
        <v>0.52856088337557594</v>
      </c>
    </row>
    <row r="4169" spans="1:3">
      <c r="A4169">
        <v>4161</v>
      </c>
      <c r="B4169">
        <v>0.7944653600958328</v>
      </c>
      <c r="C4169">
        <v>0.30729511653953523</v>
      </c>
    </row>
    <row r="4170" spans="1:3">
      <c r="A4170">
        <v>4162</v>
      </c>
      <c r="B4170">
        <v>0.17013027107904904</v>
      </c>
      <c r="C4170">
        <v>0.41272415482399083</v>
      </c>
    </row>
    <row r="4171" spans="1:3">
      <c r="A4171">
        <v>4163</v>
      </c>
      <c r="B4171">
        <v>0.56048225779945082</v>
      </c>
      <c r="C4171">
        <v>0.68539936023807968</v>
      </c>
    </row>
    <row r="4172" spans="1:3">
      <c r="A4172">
        <v>4164</v>
      </c>
      <c r="B4172">
        <v>0.81367602548512541</v>
      </c>
      <c r="C4172">
        <v>0.80214198015073634</v>
      </c>
    </row>
    <row r="4173" spans="1:3">
      <c r="A4173">
        <v>4165</v>
      </c>
      <c r="B4173">
        <v>0.78197824699081897</v>
      </c>
      <c r="C4173">
        <v>0.2169030366694642</v>
      </c>
    </row>
    <row r="4174" spans="1:3">
      <c r="A4174">
        <v>4166</v>
      </c>
      <c r="B4174">
        <v>0.51665143411733483</v>
      </c>
      <c r="C4174">
        <v>0.84757053323937726</v>
      </c>
    </row>
    <row r="4175" spans="1:3">
      <c r="A4175">
        <v>4167</v>
      </c>
      <c r="B4175">
        <v>0.18231748024996311</v>
      </c>
      <c r="C4175">
        <v>0.30809889784723055</v>
      </c>
    </row>
    <row r="4176" spans="1:3">
      <c r="A4176">
        <v>4168</v>
      </c>
      <c r="B4176">
        <v>0.85781782920016392</v>
      </c>
      <c r="C4176">
        <v>0.6177691307857458</v>
      </c>
    </row>
    <row r="4177" spans="1:3">
      <c r="A4177">
        <v>4169</v>
      </c>
      <c r="B4177">
        <v>0.83649229480696197</v>
      </c>
      <c r="C4177">
        <v>0.32660615203258203</v>
      </c>
    </row>
    <row r="4178" spans="1:3">
      <c r="A4178">
        <v>4170</v>
      </c>
      <c r="B4178">
        <v>0.71876345900408067</v>
      </c>
      <c r="C4178">
        <v>0.6243491027107666</v>
      </c>
    </row>
    <row r="4179" spans="1:3">
      <c r="A4179">
        <v>4171</v>
      </c>
      <c r="B4179">
        <v>5.4129936044088084E-2</v>
      </c>
      <c r="C4179">
        <v>0.46137060660930729</v>
      </c>
    </row>
    <row r="4180" spans="1:3">
      <c r="A4180">
        <v>4172</v>
      </c>
      <c r="B4180">
        <v>0.92376492678955313</v>
      </c>
      <c r="C4180">
        <v>0.5962059639787185</v>
      </c>
    </row>
    <row r="4181" spans="1:3">
      <c r="A4181">
        <v>4173</v>
      </c>
      <c r="B4181">
        <v>0.96490902743723928</v>
      </c>
      <c r="C4181">
        <v>0.36793742698046117</v>
      </c>
    </row>
    <row r="4182" spans="1:3">
      <c r="A4182">
        <v>4174</v>
      </c>
      <c r="B4182">
        <v>0.71501694059037069</v>
      </c>
      <c r="C4182">
        <v>0.21256745567552571</v>
      </c>
    </row>
    <row r="4183" spans="1:3">
      <c r="A4183">
        <v>4175</v>
      </c>
      <c r="B4183">
        <v>0.79940870625805305</v>
      </c>
      <c r="C4183">
        <v>1.5787313122018531E-2</v>
      </c>
    </row>
    <row r="4184" spans="1:3">
      <c r="A4184">
        <v>4176</v>
      </c>
      <c r="B4184">
        <v>0.68879180136751195</v>
      </c>
      <c r="C4184">
        <v>0.56629142164820223</v>
      </c>
    </row>
    <row r="4185" spans="1:3">
      <c r="A4185">
        <v>4177</v>
      </c>
      <c r="B4185">
        <v>0.60054946738787685</v>
      </c>
      <c r="C4185">
        <v>1.8198110235061904E-2</v>
      </c>
    </row>
    <row r="4186" spans="1:3">
      <c r="A4186">
        <v>4178</v>
      </c>
      <c r="B4186">
        <v>0.38332276096016232</v>
      </c>
      <c r="C4186">
        <v>0.81630168493396127</v>
      </c>
    </row>
    <row r="4187" spans="1:3">
      <c r="A4187">
        <v>4179</v>
      </c>
      <c r="B4187">
        <v>5.1072728119062424E-2</v>
      </c>
      <c r="C4187">
        <v>2.0012816839766856E-2</v>
      </c>
    </row>
    <row r="4188" spans="1:3">
      <c r="A4188">
        <v>4180</v>
      </c>
      <c r="B4188">
        <v>0.40869292705182286</v>
      </c>
      <c r="C4188">
        <v>0.22562967589647087</v>
      </c>
    </row>
    <row r="4189" spans="1:3">
      <c r="A4189">
        <v>4181</v>
      </c>
      <c r="B4189">
        <v>0.72798816596897975</v>
      </c>
      <c r="C4189">
        <v>7.3397412927079131E-2</v>
      </c>
    </row>
    <row r="4190" spans="1:3">
      <c r="A4190">
        <v>4182</v>
      </c>
      <c r="B4190">
        <v>0.49063745976501089</v>
      </c>
      <c r="C4190">
        <v>0.44774044005134783</v>
      </c>
    </row>
    <row r="4191" spans="1:3">
      <c r="A4191">
        <v>4183</v>
      </c>
      <c r="B4191">
        <v>0.7985132628163587</v>
      </c>
      <c r="C4191">
        <v>0.89283235246875847</v>
      </c>
    </row>
    <row r="4192" spans="1:3">
      <c r="A4192">
        <v>4184</v>
      </c>
      <c r="B4192">
        <v>0.84419316025352875</v>
      </c>
      <c r="C4192">
        <v>0.51087869832281285</v>
      </c>
    </row>
    <row r="4193" spans="1:3">
      <c r="A4193">
        <v>4185</v>
      </c>
      <c r="B4193">
        <v>1.2980856019580005E-2</v>
      </c>
      <c r="C4193">
        <v>0.33916401701935683</v>
      </c>
    </row>
    <row r="4194" spans="1:3">
      <c r="A4194">
        <v>4186</v>
      </c>
      <c r="B4194">
        <v>0.48592237212125267</v>
      </c>
      <c r="C4194">
        <v>0.83129009185995528</v>
      </c>
    </row>
    <row r="4195" spans="1:3">
      <c r="A4195">
        <v>4187</v>
      </c>
      <c r="B4195">
        <v>0.84023827920580241</v>
      </c>
      <c r="C4195">
        <v>0.57584858040900144</v>
      </c>
    </row>
    <row r="4196" spans="1:3">
      <c r="A4196">
        <v>4188</v>
      </c>
      <c r="B4196">
        <v>0.4612853886154214</v>
      </c>
      <c r="C4196">
        <v>0.88057409927661823</v>
      </c>
    </row>
    <row r="4197" spans="1:3">
      <c r="A4197">
        <v>4189</v>
      </c>
      <c r="B4197">
        <v>0.70075551024595173</v>
      </c>
      <c r="C4197">
        <v>0.96569497152086115</v>
      </c>
    </row>
    <row r="4198" spans="1:3">
      <c r="A4198">
        <v>4190</v>
      </c>
      <c r="B4198">
        <v>0.87317846701242452</v>
      </c>
      <c r="C4198">
        <v>0.7380861630617801</v>
      </c>
    </row>
    <row r="4199" spans="1:3">
      <c r="A4199">
        <v>4191</v>
      </c>
      <c r="B4199">
        <v>0.19732492625604497</v>
      </c>
      <c r="C4199">
        <v>0.57689957459118091</v>
      </c>
    </row>
    <row r="4200" spans="1:3">
      <c r="A4200">
        <v>4192</v>
      </c>
      <c r="B4200">
        <v>0.13790906342424197</v>
      </c>
      <c r="C4200">
        <v>0.33555715341935866</v>
      </c>
    </row>
    <row r="4201" spans="1:3">
      <c r="A4201">
        <v>4193</v>
      </c>
      <c r="B4201">
        <v>1.7466687681308643E-2</v>
      </c>
      <c r="C4201">
        <v>0.93902733343202271</v>
      </c>
    </row>
    <row r="4202" spans="1:3">
      <c r="A4202">
        <v>4194</v>
      </c>
      <c r="B4202">
        <v>0.24307334509549511</v>
      </c>
      <c r="C4202">
        <v>0.72898324691686867</v>
      </c>
    </row>
    <row r="4203" spans="1:3">
      <c r="A4203">
        <v>4195</v>
      </c>
      <c r="B4203">
        <v>0.9186448020649246</v>
      </c>
      <c r="C4203">
        <v>0.19762084024659998</v>
      </c>
    </row>
    <row r="4204" spans="1:3">
      <c r="A4204">
        <v>4196</v>
      </c>
      <c r="B4204">
        <v>0.90601629110146698</v>
      </c>
      <c r="C4204">
        <v>0.90626606890236872</v>
      </c>
    </row>
    <row r="4205" spans="1:3">
      <c r="A4205">
        <v>4197</v>
      </c>
      <c r="B4205">
        <v>0.96448130102941798</v>
      </c>
      <c r="C4205">
        <v>0.5765748212361359</v>
      </c>
    </row>
    <row r="4206" spans="1:3">
      <c r="A4206">
        <v>4198</v>
      </c>
      <c r="B4206">
        <v>0.57469478063036106</v>
      </c>
      <c r="C4206">
        <v>0.1613821718010513</v>
      </c>
    </row>
    <row r="4207" spans="1:3">
      <c r="A4207">
        <v>4199</v>
      </c>
      <c r="B4207">
        <v>1.2040462235929552E-4</v>
      </c>
      <c r="C4207">
        <v>0.87185787916314439</v>
      </c>
    </row>
    <row r="4208" spans="1:3">
      <c r="A4208">
        <v>4200</v>
      </c>
      <c r="B4208">
        <v>0.88057379148043069</v>
      </c>
      <c r="C4208">
        <v>0.72073621185609227</v>
      </c>
    </row>
    <row r="4209" spans="1:3">
      <c r="A4209">
        <v>4201</v>
      </c>
      <c r="B4209">
        <v>0.58178972523207539</v>
      </c>
      <c r="C4209">
        <v>0.21594256407115608</v>
      </c>
    </row>
    <row r="4210" spans="1:3">
      <c r="A4210">
        <v>4202</v>
      </c>
      <c r="B4210">
        <v>0.23304166183770672</v>
      </c>
      <c r="C4210">
        <v>0.29331593640654319</v>
      </c>
    </row>
    <row r="4211" spans="1:3">
      <c r="A4211">
        <v>4203</v>
      </c>
      <c r="B4211">
        <v>0.79682829408762701</v>
      </c>
      <c r="C4211">
        <v>0.88918799490238598</v>
      </c>
    </row>
    <row r="4212" spans="1:3">
      <c r="A4212">
        <v>4204</v>
      </c>
      <c r="B4212">
        <v>0.57233682013348131</v>
      </c>
      <c r="C4212">
        <v>8.4182721843717445E-2</v>
      </c>
    </row>
    <row r="4213" spans="1:3">
      <c r="A4213">
        <v>4205</v>
      </c>
      <c r="B4213">
        <v>9.3801325074816436E-2</v>
      </c>
      <c r="C4213">
        <v>0.85268499981975765</v>
      </c>
    </row>
    <row r="4214" spans="1:3">
      <c r="A4214">
        <v>4206</v>
      </c>
      <c r="B4214">
        <v>5.7719633317952898E-4</v>
      </c>
      <c r="C4214">
        <v>0.12951872106987139</v>
      </c>
    </row>
    <row r="4215" spans="1:3">
      <c r="A4215">
        <v>4207</v>
      </c>
      <c r="B4215">
        <v>0.84087204209223199</v>
      </c>
      <c r="C4215">
        <v>0.32591992121706426</v>
      </c>
    </row>
    <row r="4216" spans="1:3">
      <c r="A4216">
        <v>4208</v>
      </c>
      <c r="B4216">
        <v>0.54550512751627367</v>
      </c>
      <c r="C4216">
        <v>0.35740871466350654</v>
      </c>
    </row>
    <row r="4217" spans="1:3">
      <c r="A4217">
        <v>4209</v>
      </c>
      <c r="B4217">
        <v>0.14635625243614339</v>
      </c>
      <c r="C4217">
        <v>0.18664108165103244</v>
      </c>
    </row>
    <row r="4218" spans="1:3">
      <c r="A4218">
        <v>4210</v>
      </c>
      <c r="B4218">
        <v>0.4419775985450432</v>
      </c>
      <c r="C4218">
        <v>0.74066991834388318</v>
      </c>
    </row>
    <row r="4219" spans="1:3">
      <c r="A4219">
        <v>4211</v>
      </c>
      <c r="B4219">
        <v>0.78958257143944088</v>
      </c>
      <c r="C4219">
        <v>0.56684209234845184</v>
      </c>
    </row>
    <row r="4220" spans="1:3">
      <c r="A4220">
        <v>4212</v>
      </c>
      <c r="B4220">
        <v>0.75499614014481098</v>
      </c>
      <c r="C4220">
        <v>0.86383472956185869</v>
      </c>
    </row>
    <row r="4221" spans="1:3">
      <c r="A4221">
        <v>4213</v>
      </c>
      <c r="B4221">
        <v>0.5145167490234871</v>
      </c>
      <c r="C4221">
        <v>0.9537883624807364</v>
      </c>
    </row>
    <row r="4222" spans="1:3">
      <c r="A4222">
        <v>4214</v>
      </c>
      <c r="B4222">
        <v>0.78343417037516694</v>
      </c>
      <c r="C4222">
        <v>0.66490298920689384</v>
      </c>
    </row>
    <row r="4223" spans="1:3">
      <c r="A4223">
        <v>4215</v>
      </c>
      <c r="B4223">
        <v>0.20928897098211782</v>
      </c>
      <c r="C4223">
        <v>0.32002664073206688</v>
      </c>
    </row>
    <row r="4224" spans="1:3">
      <c r="A4224">
        <v>4216</v>
      </c>
      <c r="B4224">
        <v>0.74460086148236893</v>
      </c>
      <c r="C4224">
        <v>0.43723678880087391</v>
      </c>
    </row>
    <row r="4225" spans="1:3">
      <c r="A4225">
        <v>4217</v>
      </c>
      <c r="B4225">
        <v>0.11425128148180695</v>
      </c>
      <c r="C4225">
        <v>0.73691741027596436</v>
      </c>
    </row>
    <row r="4226" spans="1:3">
      <c r="A4226">
        <v>4218</v>
      </c>
      <c r="B4226">
        <v>0.23442472749655713</v>
      </c>
      <c r="C4226">
        <v>0.18806875955124269</v>
      </c>
    </row>
    <row r="4227" spans="1:3">
      <c r="A4227">
        <v>4219</v>
      </c>
      <c r="B4227">
        <v>0.70268316900252437</v>
      </c>
      <c r="C4227">
        <v>0.95246021618277155</v>
      </c>
    </row>
    <row r="4228" spans="1:3">
      <c r="A4228">
        <v>4220</v>
      </c>
      <c r="B4228">
        <v>0.55009685957378174</v>
      </c>
      <c r="C4228">
        <v>0.2993778862637555</v>
      </c>
    </row>
    <row r="4229" spans="1:3">
      <c r="A4229">
        <v>4221</v>
      </c>
      <c r="B4229">
        <v>0.78160716279014175</v>
      </c>
      <c r="C4229">
        <v>0.55138625648578454</v>
      </c>
    </row>
    <row r="4230" spans="1:3">
      <c r="A4230">
        <v>4222</v>
      </c>
      <c r="B4230">
        <v>0.61646031024699566</v>
      </c>
      <c r="C4230">
        <v>0.75496183971426944</v>
      </c>
    </row>
    <row r="4231" spans="1:3">
      <c r="A4231">
        <v>4223</v>
      </c>
      <c r="B4231">
        <v>9.6226191449404266E-2</v>
      </c>
      <c r="C4231">
        <v>0.70664315361864283</v>
      </c>
    </row>
    <row r="4232" spans="1:3">
      <c r="A4232">
        <v>4224</v>
      </c>
      <c r="B4232">
        <v>0.14929001930525759</v>
      </c>
      <c r="C4232">
        <v>0.30547357724481117</v>
      </c>
    </row>
    <row r="4233" spans="1:3">
      <c r="A4233">
        <v>4225</v>
      </c>
      <c r="B4233">
        <v>0.15476313590010701</v>
      </c>
      <c r="C4233">
        <v>0.20469542807222751</v>
      </c>
    </row>
    <row r="4234" spans="1:3">
      <c r="A4234">
        <v>4226</v>
      </c>
      <c r="B4234">
        <v>0.27477367124049312</v>
      </c>
      <c r="C4234">
        <v>0.72623229920372978</v>
      </c>
    </row>
    <row r="4235" spans="1:3">
      <c r="A4235">
        <v>4227</v>
      </c>
      <c r="B4235">
        <v>0.42520340880774976</v>
      </c>
      <c r="C4235">
        <v>0.34108743839897215</v>
      </c>
    </row>
    <row r="4236" spans="1:3">
      <c r="A4236">
        <v>4228</v>
      </c>
      <c r="B4236">
        <v>0.13226870758153236</v>
      </c>
      <c r="C4236">
        <v>0.23041613184886955</v>
      </c>
    </row>
    <row r="4237" spans="1:3">
      <c r="A4237">
        <v>4229</v>
      </c>
      <c r="B4237">
        <v>0.24586911381847903</v>
      </c>
      <c r="C4237">
        <v>0.74774000435172638</v>
      </c>
    </row>
    <row r="4238" spans="1:3">
      <c r="A4238">
        <v>4230</v>
      </c>
      <c r="B4238">
        <v>7.6615345239875676E-2</v>
      </c>
      <c r="C4238">
        <v>0.90641666150440869</v>
      </c>
    </row>
    <row r="4239" spans="1:3">
      <c r="A4239">
        <v>4231</v>
      </c>
      <c r="B4239">
        <v>0.11698007436166054</v>
      </c>
      <c r="C4239">
        <v>0.25084468929071591</v>
      </c>
    </row>
    <row r="4240" spans="1:3">
      <c r="A4240">
        <v>4232</v>
      </c>
      <c r="B4240">
        <v>0.39843189786216987</v>
      </c>
      <c r="C4240">
        <v>0.1302691608434543</v>
      </c>
    </row>
    <row r="4241" spans="1:3">
      <c r="A4241">
        <v>4233</v>
      </c>
      <c r="B4241">
        <v>0.61394584218267023</v>
      </c>
      <c r="C4241">
        <v>0.98509852524421149</v>
      </c>
    </row>
    <row r="4242" spans="1:3">
      <c r="A4242">
        <v>4234</v>
      </c>
      <c r="B4242">
        <v>0.44389758052106426</v>
      </c>
      <c r="C4242">
        <v>0.91348769820797315</v>
      </c>
    </row>
    <row r="4243" spans="1:3">
      <c r="A4243">
        <v>4235</v>
      </c>
      <c r="B4243">
        <v>0.63367814323917915</v>
      </c>
      <c r="C4243">
        <v>0.15323217031709646</v>
      </c>
    </row>
    <row r="4244" spans="1:3">
      <c r="A4244">
        <v>4236</v>
      </c>
      <c r="B4244">
        <v>0.66085899159048189</v>
      </c>
      <c r="C4244">
        <v>0.19152551959632547</v>
      </c>
    </row>
    <row r="4245" spans="1:3">
      <c r="A4245">
        <v>4237</v>
      </c>
      <c r="B4245">
        <v>0.33128429651537078</v>
      </c>
      <c r="C4245">
        <v>0.12537314980727388</v>
      </c>
    </row>
    <row r="4246" spans="1:3">
      <c r="A4246">
        <v>4238</v>
      </c>
      <c r="B4246">
        <v>0.45020185690373227</v>
      </c>
      <c r="C4246">
        <v>0.92229978020895942</v>
      </c>
    </row>
    <row r="4247" spans="1:3">
      <c r="A4247">
        <v>4239</v>
      </c>
      <c r="B4247">
        <v>0.79672182848153683</v>
      </c>
      <c r="C4247">
        <v>0.33780045005732973</v>
      </c>
    </row>
    <row r="4248" spans="1:3">
      <c r="A4248">
        <v>4240</v>
      </c>
      <c r="B4248">
        <v>0.87017343529308533</v>
      </c>
      <c r="C4248">
        <v>0.81144710718675128</v>
      </c>
    </row>
    <row r="4249" spans="1:3">
      <c r="A4249">
        <v>4241</v>
      </c>
      <c r="B4249">
        <v>0.11073648373972078</v>
      </c>
      <c r="C4249">
        <v>0.60707257372177992</v>
      </c>
    </row>
    <row r="4250" spans="1:3">
      <c r="A4250">
        <v>4242</v>
      </c>
      <c r="B4250">
        <v>0.61631484993959662</v>
      </c>
      <c r="C4250">
        <v>0.10121631764013728</v>
      </c>
    </row>
    <row r="4251" spans="1:3">
      <c r="A4251">
        <v>4243</v>
      </c>
      <c r="B4251">
        <v>0.77014160047176794</v>
      </c>
      <c r="C4251">
        <v>0.80577380670183629</v>
      </c>
    </row>
    <row r="4252" spans="1:3">
      <c r="A4252">
        <v>4244</v>
      </c>
      <c r="B4252">
        <v>0.81246733184169684</v>
      </c>
      <c r="C4252">
        <v>0.45396115333733178</v>
      </c>
    </row>
    <row r="4253" spans="1:3">
      <c r="A4253">
        <v>4245</v>
      </c>
      <c r="B4253">
        <v>0.37625766069406125</v>
      </c>
      <c r="C4253">
        <v>8.6480986610695254E-3</v>
      </c>
    </row>
    <row r="4254" spans="1:3">
      <c r="A4254">
        <v>4246</v>
      </c>
      <c r="B4254">
        <v>9.2837494451281973E-3</v>
      </c>
      <c r="C4254">
        <v>0.55419966869430937</v>
      </c>
    </row>
    <row r="4255" spans="1:3">
      <c r="A4255">
        <v>4247</v>
      </c>
      <c r="B4255">
        <v>0.39627641889515247</v>
      </c>
      <c r="C4255">
        <v>0.32230236961004266</v>
      </c>
    </row>
    <row r="4256" spans="1:3">
      <c r="A4256">
        <v>4248</v>
      </c>
      <c r="B4256">
        <v>0.37310901539295654</v>
      </c>
      <c r="C4256">
        <v>0.65905541584743332</v>
      </c>
    </row>
    <row r="4257" spans="1:3">
      <c r="A4257">
        <v>4249</v>
      </c>
      <c r="B4257">
        <v>0.22518560820719821</v>
      </c>
      <c r="C4257">
        <v>0.24363756440288853</v>
      </c>
    </row>
    <row r="4258" spans="1:3">
      <c r="A4258">
        <v>4250</v>
      </c>
      <c r="B4258">
        <v>0.59482257767348146</v>
      </c>
      <c r="C4258">
        <v>0.81096909968164255</v>
      </c>
    </row>
    <row r="4259" spans="1:3">
      <c r="A4259">
        <v>4251</v>
      </c>
      <c r="B4259">
        <v>0.73190606280968207</v>
      </c>
      <c r="C4259">
        <v>0.23695524579125049</v>
      </c>
    </row>
    <row r="4260" spans="1:3">
      <c r="A4260">
        <v>4252</v>
      </c>
      <c r="B4260">
        <v>0.3939473827542615</v>
      </c>
      <c r="C4260">
        <v>0.26559230211296381</v>
      </c>
    </row>
    <row r="4261" spans="1:3">
      <c r="A4261">
        <v>4253</v>
      </c>
      <c r="B4261">
        <v>8.2081832999848253E-2</v>
      </c>
      <c r="C4261">
        <v>0.33709003466719878</v>
      </c>
    </row>
    <row r="4262" spans="1:3">
      <c r="A4262">
        <v>4254</v>
      </c>
      <c r="B4262">
        <v>0.24078231537062261</v>
      </c>
      <c r="C4262">
        <v>0.63110813432194846</v>
      </c>
    </row>
    <row r="4263" spans="1:3">
      <c r="A4263">
        <v>4255</v>
      </c>
      <c r="B4263">
        <v>0.89880946379997984</v>
      </c>
      <c r="C4263">
        <v>0.2971050131454831</v>
      </c>
    </row>
    <row r="4264" spans="1:3">
      <c r="A4264">
        <v>4256</v>
      </c>
      <c r="B4264">
        <v>2.0379408450606141E-2</v>
      </c>
      <c r="C4264">
        <v>0.92032179305078898</v>
      </c>
    </row>
    <row r="4265" spans="1:3">
      <c r="A4265">
        <v>4257</v>
      </c>
      <c r="B4265">
        <v>0.3165453384241893</v>
      </c>
      <c r="C4265">
        <v>0.66763361521043407</v>
      </c>
    </row>
    <row r="4266" spans="1:3">
      <c r="A4266">
        <v>4258</v>
      </c>
      <c r="B4266">
        <v>0.65061448009084311</v>
      </c>
      <c r="C4266">
        <v>0.47622375734954403</v>
      </c>
    </row>
    <row r="4267" spans="1:3">
      <c r="A4267">
        <v>4259</v>
      </c>
      <c r="B4267">
        <v>0.7063141744066761</v>
      </c>
      <c r="C4267">
        <v>0.79550689259849605</v>
      </c>
    </row>
    <row r="4268" spans="1:3">
      <c r="A4268">
        <v>4260</v>
      </c>
      <c r="B4268">
        <v>0.54576467085456593</v>
      </c>
      <c r="C4268">
        <v>0.78605676230563404</v>
      </c>
    </row>
    <row r="4269" spans="1:3">
      <c r="A4269">
        <v>4261</v>
      </c>
      <c r="B4269">
        <v>0.24506925306196076</v>
      </c>
      <c r="C4269">
        <v>0.6262317070923018</v>
      </c>
    </row>
    <row r="4270" spans="1:3">
      <c r="A4270">
        <v>4262</v>
      </c>
      <c r="B4270">
        <v>0.68621561460360314</v>
      </c>
      <c r="C4270">
        <v>0.74451022384982934</v>
      </c>
    </row>
    <row r="4271" spans="1:3">
      <c r="A4271">
        <v>4263</v>
      </c>
      <c r="B4271">
        <v>0.17876596253019894</v>
      </c>
      <c r="C4271">
        <v>0.5681885842277552</v>
      </c>
    </row>
    <row r="4272" spans="1:3">
      <c r="A4272">
        <v>4264</v>
      </c>
      <c r="B4272">
        <v>0.12896165069289542</v>
      </c>
      <c r="C4272">
        <v>0.88820308006961568</v>
      </c>
    </row>
    <row r="4273" spans="1:3">
      <c r="A4273">
        <v>4265</v>
      </c>
      <c r="B4273">
        <v>0.49238477243766765</v>
      </c>
      <c r="C4273">
        <v>0.52728619393383269</v>
      </c>
    </row>
    <row r="4274" spans="1:3">
      <c r="A4274">
        <v>4266</v>
      </c>
      <c r="B4274">
        <v>0.25446975382623954</v>
      </c>
      <c r="C4274">
        <v>0.41526893096306594</v>
      </c>
    </row>
    <row r="4275" spans="1:3">
      <c r="A4275">
        <v>4267</v>
      </c>
      <c r="B4275">
        <v>0.61090773168176127</v>
      </c>
      <c r="C4275">
        <v>0.71237551145441103</v>
      </c>
    </row>
    <row r="4276" spans="1:3">
      <c r="A4276">
        <v>4268</v>
      </c>
      <c r="B4276">
        <v>0.50821040001460593</v>
      </c>
      <c r="C4276">
        <v>0.31093291551405855</v>
      </c>
    </row>
    <row r="4277" spans="1:3">
      <c r="A4277">
        <v>4269</v>
      </c>
      <c r="B4277">
        <v>0.74436877318540795</v>
      </c>
      <c r="C4277">
        <v>0.35309705053532525</v>
      </c>
    </row>
    <row r="4278" spans="1:3">
      <c r="A4278">
        <v>4270</v>
      </c>
      <c r="B4278">
        <v>0.34040198552226691</v>
      </c>
      <c r="C4278">
        <v>0.27609617764755967</v>
      </c>
    </row>
    <row r="4279" spans="1:3">
      <c r="A4279">
        <v>4271</v>
      </c>
      <c r="B4279">
        <v>0.73636626428364926</v>
      </c>
      <c r="C4279">
        <v>7.5066593853080121E-2</v>
      </c>
    </row>
    <row r="4280" spans="1:3">
      <c r="A4280">
        <v>4272</v>
      </c>
      <c r="B4280">
        <v>0.98490800372099219</v>
      </c>
      <c r="C4280">
        <v>0.39364813606334792</v>
      </c>
    </row>
    <row r="4281" spans="1:3">
      <c r="A4281">
        <v>4273</v>
      </c>
      <c r="B4281">
        <v>0.66770375389589554</v>
      </c>
      <c r="C4281">
        <v>0.9285573299139287</v>
      </c>
    </row>
    <row r="4282" spans="1:3">
      <c r="A4282">
        <v>4274</v>
      </c>
      <c r="B4282">
        <v>0.64978135806303039</v>
      </c>
      <c r="C4282">
        <v>0.42768216058902908</v>
      </c>
    </row>
    <row r="4283" spans="1:3">
      <c r="A4283">
        <v>4275</v>
      </c>
      <c r="B4283">
        <v>1.0320074891094136E-2</v>
      </c>
      <c r="C4283">
        <v>0.94686615125374374</v>
      </c>
    </row>
    <row r="4284" spans="1:3">
      <c r="A4284">
        <v>4276</v>
      </c>
      <c r="B4284">
        <v>0.41581552312379133</v>
      </c>
      <c r="C4284">
        <v>0.45112593260455469</v>
      </c>
    </row>
    <row r="4285" spans="1:3">
      <c r="A4285">
        <v>4277</v>
      </c>
      <c r="B4285">
        <v>0.53767793668747832</v>
      </c>
      <c r="C4285">
        <v>0.54666900093889126</v>
      </c>
    </row>
    <row r="4286" spans="1:3">
      <c r="A4286">
        <v>4278</v>
      </c>
      <c r="B4286">
        <v>0.84186663499033698</v>
      </c>
      <c r="C4286">
        <v>0.23800367287549307</v>
      </c>
    </row>
    <row r="4287" spans="1:3">
      <c r="A4287">
        <v>4279</v>
      </c>
      <c r="B4287">
        <v>0.20597436977726744</v>
      </c>
      <c r="C4287">
        <v>0.32130219677401328</v>
      </c>
    </row>
    <row r="4288" spans="1:3">
      <c r="A4288">
        <v>4280</v>
      </c>
      <c r="B4288">
        <v>0.15951696504175594</v>
      </c>
      <c r="C4288">
        <v>0.40133916878949094</v>
      </c>
    </row>
    <row r="4289" spans="1:3">
      <c r="A4289">
        <v>4281</v>
      </c>
      <c r="B4289">
        <v>0.98169285963864372</v>
      </c>
      <c r="C4289">
        <v>0.14920981166596903</v>
      </c>
    </row>
    <row r="4290" spans="1:3">
      <c r="A4290">
        <v>4282</v>
      </c>
      <c r="B4290">
        <v>0.53430954996587465</v>
      </c>
      <c r="C4290">
        <v>0.92289148110285169</v>
      </c>
    </row>
    <row r="4291" spans="1:3">
      <c r="A4291">
        <v>4283</v>
      </c>
      <c r="B4291">
        <v>0.77120799910566018</v>
      </c>
      <c r="C4291">
        <v>0.10938823397282249</v>
      </c>
    </row>
    <row r="4292" spans="1:3">
      <c r="A4292">
        <v>4284</v>
      </c>
      <c r="B4292">
        <v>0.76584808181832731</v>
      </c>
      <c r="C4292">
        <v>0.37519056802921114</v>
      </c>
    </row>
    <row r="4293" spans="1:3">
      <c r="A4293">
        <v>4285</v>
      </c>
      <c r="B4293">
        <v>0.28712524560888419</v>
      </c>
      <c r="C4293">
        <v>0.79140741468927445</v>
      </c>
    </row>
    <row r="4294" spans="1:3">
      <c r="A4294">
        <v>4286</v>
      </c>
      <c r="B4294">
        <v>0.67944111168823229</v>
      </c>
      <c r="C4294">
        <v>0.90155395252622839</v>
      </c>
    </row>
    <row r="4295" spans="1:3">
      <c r="A4295">
        <v>4287</v>
      </c>
      <c r="B4295">
        <v>0.34656696133398612</v>
      </c>
      <c r="C4295">
        <v>0.3127706567693167</v>
      </c>
    </row>
    <row r="4296" spans="1:3">
      <c r="A4296">
        <v>4288</v>
      </c>
      <c r="B4296">
        <v>0.77576299709313612</v>
      </c>
      <c r="C4296">
        <v>0.78098578360368265</v>
      </c>
    </row>
    <row r="4297" spans="1:3">
      <c r="A4297">
        <v>4289</v>
      </c>
      <c r="B4297">
        <v>0.37077665779911367</v>
      </c>
      <c r="C4297">
        <v>0.53154779623855575</v>
      </c>
    </row>
    <row r="4298" spans="1:3">
      <c r="A4298">
        <v>4290</v>
      </c>
      <c r="B4298">
        <v>0.24109002120003337</v>
      </c>
      <c r="C4298">
        <v>0.20085010364891787</v>
      </c>
    </row>
    <row r="4299" spans="1:3">
      <c r="A4299">
        <v>4291</v>
      </c>
      <c r="B4299">
        <v>0.15168063219433667</v>
      </c>
      <c r="C4299">
        <v>0.15165910981613706</v>
      </c>
    </row>
    <row r="4300" spans="1:3">
      <c r="A4300">
        <v>4292</v>
      </c>
      <c r="B4300">
        <v>0.24331466872224461</v>
      </c>
      <c r="C4300">
        <v>0.60186875034924014</v>
      </c>
    </row>
    <row r="4301" spans="1:3">
      <c r="A4301">
        <v>4293</v>
      </c>
      <c r="B4301">
        <v>0.84735157770760161</v>
      </c>
      <c r="C4301">
        <v>0.54745901319165569</v>
      </c>
    </row>
    <row r="4302" spans="1:3">
      <c r="A4302">
        <v>4294</v>
      </c>
      <c r="B4302">
        <v>0.46879203286440863</v>
      </c>
      <c r="C4302">
        <v>0.61270421387416718</v>
      </c>
    </row>
    <row r="4303" spans="1:3">
      <c r="A4303">
        <v>4295</v>
      </c>
      <c r="B4303">
        <v>0.59331943638104001</v>
      </c>
      <c r="C4303">
        <v>0.96722212058466539</v>
      </c>
    </row>
    <row r="4304" spans="1:3">
      <c r="A4304">
        <v>4296</v>
      </c>
      <c r="B4304">
        <v>0.82208265377587708</v>
      </c>
      <c r="C4304">
        <v>0.83771008544135839</v>
      </c>
    </row>
    <row r="4305" spans="1:3">
      <c r="A4305">
        <v>4297</v>
      </c>
      <c r="B4305">
        <v>0.68142692286475259</v>
      </c>
      <c r="C4305">
        <v>0.40973825852051959</v>
      </c>
    </row>
    <row r="4306" spans="1:3">
      <c r="A4306">
        <v>4298</v>
      </c>
      <c r="B4306">
        <v>0.36445886165184405</v>
      </c>
      <c r="C4306">
        <v>0.88131562584658241</v>
      </c>
    </row>
    <row r="4307" spans="1:3">
      <c r="A4307">
        <v>4299</v>
      </c>
      <c r="B4307">
        <v>0.27379038495914787</v>
      </c>
      <c r="C4307">
        <v>0.14965665084127977</v>
      </c>
    </row>
    <row r="4308" spans="1:3">
      <c r="A4308">
        <v>4300</v>
      </c>
      <c r="B4308">
        <v>0.38019201872758379</v>
      </c>
      <c r="C4308">
        <v>0.72599044023900206</v>
      </c>
    </row>
    <row r="4309" spans="1:3">
      <c r="A4309">
        <v>4301</v>
      </c>
      <c r="B4309">
        <v>0.88326407430853326</v>
      </c>
      <c r="C4309">
        <v>0.87212294550408842</v>
      </c>
    </row>
    <row r="4310" spans="1:3">
      <c r="A4310">
        <v>4302</v>
      </c>
      <c r="B4310">
        <v>0.98509272971411532</v>
      </c>
      <c r="C4310">
        <v>0.68231267893406766</v>
      </c>
    </row>
    <row r="4311" spans="1:3">
      <c r="A4311">
        <v>4303</v>
      </c>
      <c r="B4311">
        <v>0.79410766958289492</v>
      </c>
      <c r="C4311">
        <v>0.95061762069417455</v>
      </c>
    </row>
    <row r="4312" spans="1:3">
      <c r="A4312">
        <v>4304</v>
      </c>
      <c r="B4312">
        <v>0.71823662250070752</v>
      </c>
      <c r="C4312">
        <v>0.21896306375583663</v>
      </c>
    </row>
    <row r="4313" spans="1:3">
      <c r="A4313">
        <v>4305</v>
      </c>
      <c r="B4313">
        <v>0.67254946423665374</v>
      </c>
      <c r="C4313">
        <v>0.73405035609539482</v>
      </c>
    </row>
    <row r="4314" spans="1:3">
      <c r="A4314">
        <v>4306</v>
      </c>
      <c r="B4314">
        <v>0.8317430859058963</v>
      </c>
      <c r="C4314">
        <v>0.9450111247415407</v>
      </c>
    </row>
    <row r="4315" spans="1:3">
      <c r="A4315">
        <v>4307</v>
      </c>
      <c r="B4315">
        <v>0.41328724707669745</v>
      </c>
      <c r="C4315">
        <v>0.98075352376872615</v>
      </c>
    </row>
    <row r="4316" spans="1:3">
      <c r="A4316">
        <v>4308</v>
      </c>
      <c r="B4316">
        <v>0.28835517992813964</v>
      </c>
      <c r="C4316">
        <v>0.53829912793389667</v>
      </c>
    </row>
    <row r="4317" spans="1:3">
      <c r="A4317">
        <v>4309</v>
      </c>
      <c r="B4317">
        <v>4.4368142024746197E-2</v>
      </c>
      <c r="C4317">
        <v>0.25965397253457922</v>
      </c>
    </row>
    <row r="4318" spans="1:3">
      <c r="A4318">
        <v>4310</v>
      </c>
      <c r="B4318">
        <v>0.27684356970909135</v>
      </c>
      <c r="C4318">
        <v>5.8487079763835936E-2</v>
      </c>
    </row>
    <row r="4319" spans="1:3">
      <c r="A4319">
        <v>4311</v>
      </c>
      <c r="B4319">
        <v>0.90244652786172153</v>
      </c>
      <c r="C4319">
        <v>0.35737141929894278</v>
      </c>
    </row>
    <row r="4320" spans="1:3">
      <c r="A4320">
        <v>4312</v>
      </c>
      <c r="B4320">
        <v>0.87568355892195449</v>
      </c>
      <c r="C4320">
        <v>0.56073083781393507</v>
      </c>
    </row>
    <row r="4321" spans="1:3">
      <c r="A4321">
        <v>4313</v>
      </c>
      <c r="B4321">
        <v>0.32177092348764902</v>
      </c>
      <c r="C4321">
        <v>0.42962996191999991</v>
      </c>
    </row>
    <row r="4322" spans="1:3">
      <c r="A4322">
        <v>4314</v>
      </c>
      <c r="B4322">
        <v>0.42122511847471467</v>
      </c>
      <c r="C4322">
        <v>0.72110178851926321</v>
      </c>
    </row>
    <row r="4323" spans="1:3">
      <c r="A4323">
        <v>4315</v>
      </c>
      <c r="B4323">
        <v>0.81067486967711588</v>
      </c>
      <c r="C4323">
        <v>0.24238920119933027</v>
      </c>
    </row>
    <row r="4324" spans="1:3">
      <c r="A4324">
        <v>4316</v>
      </c>
      <c r="B4324">
        <v>0.68035799099243199</v>
      </c>
      <c r="C4324">
        <v>0.91893678131694401</v>
      </c>
    </row>
    <row r="4325" spans="1:3">
      <c r="A4325">
        <v>4317</v>
      </c>
      <c r="B4325">
        <v>0.47291848497044259</v>
      </c>
      <c r="C4325">
        <v>0.36097685382537748</v>
      </c>
    </row>
    <row r="4326" spans="1:3">
      <c r="A4326">
        <v>4318</v>
      </c>
      <c r="B4326">
        <v>0.10981940058493508</v>
      </c>
      <c r="C4326">
        <v>0.74448492180272297</v>
      </c>
    </row>
    <row r="4327" spans="1:3">
      <c r="A4327">
        <v>4319</v>
      </c>
      <c r="B4327">
        <v>0.5905866707640669</v>
      </c>
      <c r="C4327">
        <v>0.39594919490355096</v>
      </c>
    </row>
    <row r="4328" spans="1:3">
      <c r="A4328">
        <v>4320</v>
      </c>
      <c r="B4328">
        <v>0.2173992347443009</v>
      </c>
      <c r="C4328">
        <v>0.73071340603564749</v>
      </c>
    </row>
    <row r="4329" spans="1:3">
      <c r="A4329">
        <v>4321</v>
      </c>
      <c r="B4329">
        <v>4.4009960776430081E-2</v>
      </c>
      <c r="C4329">
        <v>0.62316090828880988</v>
      </c>
    </row>
    <row r="4330" spans="1:3">
      <c r="A4330">
        <v>4322</v>
      </c>
      <c r="B4330">
        <v>0.2395575997784635</v>
      </c>
      <c r="C4330">
        <v>0.43847906953851634</v>
      </c>
    </row>
    <row r="4331" spans="1:3">
      <c r="A4331">
        <v>4323</v>
      </c>
      <c r="B4331">
        <v>0.46215753460870063</v>
      </c>
      <c r="C4331">
        <v>0.3390957743549734</v>
      </c>
    </row>
    <row r="4332" spans="1:3">
      <c r="A4332">
        <v>4324</v>
      </c>
      <c r="B4332">
        <v>0.84807402186879755</v>
      </c>
      <c r="C4332">
        <v>0.5400217173009878</v>
      </c>
    </row>
    <row r="4333" spans="1:3">
      <c r="A4333">
        <v>4325</v>
      </c>
      <c r="B4333">
        <v>2.8392399083960896E-2</v>
      </c>
      <c r="C4333">
        <v>0.24002176312478696</v>
      </c>
    </row>
    <row r="4334" spans="1:3">
      <c r="A4334">
        <v>4326</v>
      </c>
      <c r="B4334">
        <v>0.92924515371672933</v>
      </c>
      <c r="C4334">
        <v>0.97711733031064796</v>
      </c>
    </row>
    <row r="4335" spans="1:3">
      <c r="A4335">
        <v>4327</v>
      </c>
      <c r="B4335">
        <v>0.36622020980217962</v>
      </c>
      <c r="C4335">
        <v>2.7985301659100514E-2</v>
      </c>
    </row>
    <row r="4336" spans="1:3">
      <c r="A4336">
        <v>4328</v>
      </c>
      <c r="B4336">
        <v>0.19280243937270772</v>
      </c>
      <c r="C4336">
        <v>0.98193184390038368</v>
      </c>
    </row>
    <row r="4337" spans="1:3">
      <c r="A4337">
        <v>4329</v>
      </c>
      <c r="B4337">
        <v>0.68582660039934018</v>
      </c>
      <c r="C4337">
        <v>0.24423560660852672</v>
      </c>
    </row>
    <row r="4338" spans="1:3">
      <c r="A4338">
        <v>4330</v>
      </c>
      <c r="B4338">
        <v>3.4139223355459804E-2</v>
      </c>
      <c r="C4338">
        <v>0.39949595315556508</v>
      </c>
    </row>
    <row r="4339" spans="1:3">
      <c r="A4339">
        <v>4331</v>
      </c>
      <c r="B4339">
        <v>0.74769074172430916</v>
      </c>
      <c r="C4339">
        <v>0.36019943065457483</v>
      </c>
    </row>
    <row r="4340" spans="1:3">
      <c r="A4340">
        <v>4332</v>
      </c>
      <c r="B4340">
        <v>0.9674258742929962</v>
      </c>
      <c r="C4340">
        <v>0.3143067571309075</v>
      </c>
    </row>
    <row r="4341" spans="1:3">
      <c r="A4341">
        <v>4333</v>
      </c>
      <c r="B4341">
        <v>0.53817385083403757</v>
      </c>
      <c r="C4341">
        <v>0.18353147458856256</v>
      </c>
    </row>
    <row r="4342" spans="1:3">
      <c r="A4342">
        <v>4334</v>
      </c>
      <c r="B4342">
        <v>0.93534834894988417</v>
      </c>
      <c r="C4342">
        <v>0.66057804650699836</v>
      </c>
    </row>
    <row r="4343" spans="1:3">
      <c r="A4343">
        <v>4335</v>
      </c>
      <c r="B4343">
        <v>0.30065924846531339</v>
      </c>
      <c r="C4343">
        <v>0.54263276202891575</v>
      </c>
    </row>
    <row r="4344" spans="1:3">
      <c r="A4344">
        <v>4336</v>
      </c>
      <c r="B4344">
        <v>0.39282110168822598</v>
      </c>
      <c r="C4344">
        <v>0.59522893056964676</v>
      </c>
    </row>
    <row r="4345" spans="1:3">
      <c r="A4345">
        <v>4337</v>
      </c>
      <c r="B4345">
        <v>0.59811498419258624</v>
      </c>
      <c r="C4345">
        <v>0.63520139169941103</v>
      </c>
    </row>
    <row r="4346" spans="1:3">
      <c r="A4346">
        <v>4338</v>
      </c>
      <c r="B4346">
        <v>0.74802778221169197</v>
      </c>
      <c r="C4346">
        <v>0.85252638020756422</v>
      </c>
    </row>
    <row r="4347" spans="1:3">
      <c r="A4347">
        <v>4339</v>
      </c>
      <c r="B4347">
        <v>0.61340497424444307</v>
      </c>
      <c r="C4347">
        <v>0.95206475836585014</v>
      </c>
    </row>
    <row r="4348" spans="1:3">
      <c r="A4348">
        <v>4340</v>
      </c>
      <c r="B4348">
        <v>0.34687765806198068</v>
      </c>
      <c r="C4348">
        <v>0.95358668345033948</v>
      </c>
    </row>
    <row r="4349" spans="1:3">
      <c r="A4349">
        <v>4341</v>
      </c>
      <c r="B4349">
        <v>7.3110468573661158E-2</v>
      </c>
      <c r="C4349">
        <v>0.70240761957848008</v>
      </c>
    </row>
    <row r="4350" spans="1:3">
      <c r="A4350">
        <v>4342</v>
      </c>
      <c r="B4350">
        <v>0.42565803433867594</v>
      </c>
      <c r="C4350">
        <v>0.99708491866113036</v>
      </c>
    </row>
    <row r="4351" spans="1:3">
      <c r="A4351">
        <v>4343</v>
      </c>
      <c r="B4351">
        <v>0.54028272014830325</v>
      </c>
      <c r="C4351">
        <v>0.62650408440003957</v>
      </c>
    </row>
    <row r="4352" spans="1:3">
      <c r="A4352">
        <v>4344</v>
      </c>
      <c r="B4352">
        <v>0.95070970772679653</v>
      </c>
      <c r="C4352">
        <v>0.64167263485978765</v>
      </c>
    </row>
    <row r="4353" spans="1:3">
      <c r="A4353">
        <v>4345</v>
      </c>
      <c r="B4353">
        <v>0.54092289075132527</v>
      </c>
      <c r="C4353">
        <v>0.67279235125261039</v>
      </c>
    </row>
    <row r="4354" spans="1:3">
      <c r="A4354">
        <v>4346</v>
      </c>
      <c r="B4354">
        <v>6.983570299056259E-2</v>
      </c>
      <c r="C4354">
        <v>0.80707043019356206</v>
      </c>
    </row>
    <row r="4355" spans="1:3">
      <c r="A4355">
        <v>4347</v>
      </c>
      <c r="B4355">
        <v>0.32578275558175118</v>
      </c>
      <c r="C4355">
        <v>0.71945581678573944</v>
      </c>
    </row>
    <row r="4356" spans="1:3">
      <c r="A4356">
        <v>4348</v>
      </c>
      <c r="B4356">
        <v>0.6380995202642632</v>
      </c>
      <c r="C4356">
        <v>0.20679397900858021</v>
      </c>
    </row>
    <row r="4357" spans="1:3">
      <c r="A4357">
        <v>4349</v>
      </c>
      <c r="B4357">
        <v>5.4746689770358306E-2</v>
      </c>
      <c r="C4357">
        <v>0.24589402367382718</v>
      </c>
    </row>
    <row r="4358" spans="1:3">
      <c r="A4358">
        <v>4350</v>
      </c>
      <c r="B4358">
        <v>0.62937742394762519</v>
      </c>
      <c r="C4358">
        <v>0.29675110502377322</v>
      </c>
    </row>
    <row r="4359" spans="1:3">
      <c r="A4359">
        <v>4351</v>
      </c>
      <c r="B4359">
        <v>0.19127024429456102</v>
      </c>
      <c r="C4359">
        <v>0.77523585486915181</v>
      </c>
    </row>
    <row r="4360" spans="1:3">
      <c r="A4360">
        <v>4352</v>
      </c>
      <c r="B4360">
        <v>0.68334270687250942</v>
      </c>
      <c r="C4360">
        <v>0.73563562759227352</v>
      </c>
    </row>
    <row r="4361" spans="1:3">
      <c r="A4361">
        <v>4353</v>
      </c>
      <c r="B4361">
        <v>0.41792040247705775</v>
      </c>
      <c r="C4361">
        <v>0.90292142655653151</v>
      </c>
    </row>
    <row r="4362" spans="1:3">
      <c r="A4362">
        <v>4354</v>
      </c>
      <c r="B4362">
        <v>0.34710443416170417</v>
      </c>
      <c r="C4362">
        <v>0.91577884069010906</v>
      </c>
    </row>
    <row r="4363" spans="1:3">
      <c r="A4363">
        <v>4355</v>
      </c>
      <c r="B4363">
        <v>0.59639377087969192</v>
      </c>
      <c r="C4363">
        <v>0.69112810681417614</v>
      </c>
    </row>
    <row r="4364" spans="1:3">
      <c r="A4364">
        <v>4356</v>
      </c>
      <c r="B4364">
        <v>5.8286153969095582E-2</v>
      </c>
      <c r="C4364">
        <v>0.80927725748551893</v>
      </c>
    </row>
    <row r="4365" spans="1:3">
      <c r="A4365">
        <v>4357</v>
      </c>
      <c r="B4365">
        <v>0.27353979092159769</v>
      </c>
      <c r="C4365">
        <v>0.97551775988449663</v>
      </c>
    </row>
    <row r="4366" spans="1:3">
      <c r="A4366">
        <v>4358</v>
      </c>
      <c r="B4366">
        <v>2.0737547881514194E-2</v>
      </c>
      <c r="C4366">
        <v>0.35051066202140646</v>
      </c>
    </row>
    <row r="4367" spans="1:3">
      <c r="A4367">
        <v>4359</v>
      </c>
      <c r="B4367">
        <v>0.55158016142211386</v>
      </c>
      <c r="C4367">
        <v>0.6671409506634518</v>
      </c>
    </row>
    <row r="4368" spans="1:3">
      <c r="A4368">
        <v>4360</v>
      </c>
      <c r="B4368">
        <v>0.81936364323984912</v>
      </c>
      <c r="C4368">
        <v>0.14216232939998008</v>
      </c>
    </row>
    <row r="4369" spans="1:3">
      <c r="A4369">
        <v>4361</v>
      </c>
      <c r="B4369">
        <v>0.91469018112302058</v>
      </c>
      <c r="C4369">
        <v>0.30271509683188924</v>
      </c>
    </row>
    <row r="4370" spans="1:3">
      <c r="A4370">
        <v>4362</v>
      </c>
      <c r="B4370">
        <v>0.54891959995201778</v>
      </c>
      <c r="C4370">
        <v>0.88729813725694839</v>
      </c>
    </row>
    <row r="4371" spans="1:3">
      <c r="A4371">
        <v>4363</v>
      </c>
      <c r="B4371">
        <v>0.99233777646574595</v>
      </c>
      <c r="C4371">
        <v>0.91607516271778877</v>
      </c>
    </row>
    <row r="4372" spans="1:3">
      <c r="A4372">
        <v>4364</v>
      </c>
      <c r="B4372">
        <v>0.56529696072086155</v>
      </c>
      <c r="C4372">
        <v>0.5144803661351034</v>
      </c>
    </row>
    <row r="4373" spans="1:3">
      <c r="A4373">
        <v>4365</v>
      </c>
      <c r="B4373">
        <v>0.66799071848043023</v>
      </c>
      <c r="C4373">
        <v>7.4874970900964399E-2</v>
      </c>
    </row>
    <row r="4374" spans="1:3">
      <c r="A4374">
        <v>4366</v>
      </c>
      <c r="B4374">
        <v>0.18180186159354678</v>
      </c>
      <c r="C4374">
        <v>0.86224541148658318</v>
      </c>
    </row>
    <row r="4375" spans="1:3">
      <c r="A4375">
        <v>4367</v>
      </c>
      <c r="B4375">
        <v>0.95193363656432683</v>
      </c>
      <c r="C4375">
        <v>0.58214253178539366</v>
      </c>
    </row>
    <row r="4376" spans="1:3">
      <c r="A4376">
        <v>4368</v>
      </c>
      <c r="B4376">
        <v>0.49760451196809408</v>
      </c>
      <c r="C4376">
        <v>0.48624643619405106</v>
      </c>
    </row>
    <row r="4377" spans="1:3">
      <c r="A4377">
        <v>4369</v>
      </c>
      <c r="B4377">
        <v>0.8522634549314303</v>
      </c>
      <c r="C4377">
        <v>7.9583449757592462E-2</v>
      </c>
    </row>
    <row r="4378" spans="1:3">
      <c r="A4378">
        <v>4370</v>
      </c>
      <c r="B4378">
        <v>0.74885569596724955</v>
      </c>
      <c r="C4378">
        <v>0.5428184715219686</v>
      </c>
    </row>
    <row r="4379" spans="1:3">
      <c r="A4379">
        <v>4371</v>
      </c>
      <c r="B4379">
        <v>0.2975617079707239</v>
      </c>
      <c r="C4379">
        <v>0.45879306899314543</v>
      </c>
    </row>
    <row r="4380" spans="1:3">
      <c r="A4380">
        <v>4372</v>
      </c>
      <c r="B4380">
        <v>0.42938816011026226</v>
      </c>
      <c r="C4380">
        <v>7.1645256775809685E-2</v>
      </c>
    </row>
    <row r="4381" spans="1:3">
      <c r="A4381">
        <v>4373</v>
      </c>
      <c r="B4381">
        <v>0.4615479242012715</v>
      </c>
      <c r="C4381">
        <v>0.38166385958174942</v>
      </c>
    </row>
    <row r="4382" spans="1:3">
      <c r="A4382">
        <v>4374</v>
      </c>
      <c r="B4382">
        <v>0.31620109576652783</v>
      </c>
      <c r="C4382">
        <v>6.8060673273976136E-2</v>
      </c>
    </row>
    <row r="4383" spans="1:3">
      <c r="A4383">
        <v>4375</v>
      </c>
      <c r="B4383">
        <v>0.82365182824718108</v>
      </c>
      <c r="C4383">
        <v>0.80410585280515079</v>
      </c>
    </row>
    <row r="4384" spans="1:3">
      <c r="A4384">
        <v>4376</v>
      </c>
      <c r="B4384">
        <v>0.4082183648498306</v>
      </c>
      <c r="C4384">
        <v>0.87254415628285642</v>
      </c>
    </row>
    <row r="4385" spans="1:3">
      <c r="A4385">
        <v>4377</v>
      </c>
      <c r="B4385">
        <v>0.19708676990985097</v>
      </c>
      <c r="C4385">
        <v>0.2228812067733088</v>
      </c>
    </row>
    <row r="4386" spans="1:3">
      <c r="A4386">
        <v>4378</v>
      </c>
      <c r="B4386">
        <v>0.26157313551483047</v>
      </c>
      <c r="C4386">
        <v>4.8277671986397763E-2</v>
      </c>
    </row>
    <row r="4387" spans="1:3">
      <c r="A4387">
        <v>4379</v>
      </c>
      <c r="B4387">
        <v>0.41535826882719018</v>
      </c>
      <c r="C4387">
        <v>0.83645826751853747</v>
      </c>
    </row>
    <row r="4388" spans="1:3">
      <c r="A4388">
        <v>4380</v>
      </c>
      <c r="B4388">
        <v>0.24229464789868677</v>
      </c>
      <c r="C4388">
        <v>0.81416081139559537</v>
      </c>
    </row>
    <row r="4389" spans="1:3">
      <c r="A4389">
        <v>4381</v>
      </c>
      <c r="B4389">
        <v>7.0029235030531239E-2</v>
      </c>
      <c r="C4389">
        <v>0.26106054248521104</v>
      </c>
    </row>
    <row r="4390" spans="1:3">
      <c r="A4390">
        <v>4382</v>
      </c>
      <c r="B4390">
        <v>0.37578775572040762</v>
      </c>
      <c r="C4390">
        <v>0.97491901205285103</v>
      </c>
    </row>
    <row r="4391" spans="1:3">
      <c r="A4391">
        <v>4383</v>
      </c>
      <c r="B4391">
        <v>0.92732973145421815</v>
      </c>
      <c r="C4391">
        <v>0.67448041779334744</v>
      </c>
    </row>
    <row r="4392" spans="1:3">
      <c r="A4392">
        <v>4384</v>
      </c>
      <c r="B4392">
        <v>0.46164624659718156</v>
      </c>
      <c r="C4392">
        <v>0.48724761599260091</v>
      </c>
    </row>
    <row r="4393" spans="1:3">
      <c r="A4393">
        <v>4385</v>
      </c>
      <c r="B4393">
        <v>0.20681247195555189</v>
      </c>
      <c r="C4393">
        <v>0.98717277259220282</v>
      </c>
    </row>
    <row r="4394" spans="1:3">
      <c r="A4394">
        <v>4386</v>
      </c>
      <c r="B4394">
        <v>0.62203573250659638</v>
      </c>
      <c r="C4394">
        <v>0.17756061111140298</v>
      </c>
    </row>
    <row r="4395" spans="1:3">
      <c r="A4395">
        <v>4387</v>
      </c>
      <c r="B4395">
        <v>0.16417743546240438</v>
      </c>
      <c r="C4395">
        <v>3.6730909584548499E-2</v>
      </c>
    </row>
    <row r="4396" spans="1:3">
      <c r="A4396">
        <v>4388</v>
      </c>
      <c r="B4396">
        <v>2.9306432770077703E-2</v>
      </c>
      <c r="C4396">
        <v>0.35669694413263642</v>
      </c>
    </row>
    <row r="4397" spans="1:3">
      <c r="A4397">
        <v>4389</v>
      </c>
      <c r="B4397">
        <v>0.37099469408290336</v>
      </c>
      <c r="C4397">
        <v>0.42321874797744385</v>
      </c>
    </row>
    <row r="4398" spans="1:3">
      <c r="A4398">
        <v>4390</v>
      </c>
      <c r="B4398">
        <v>0.44860838519404833</v>
      </c>
      <c r="C4398">
        <v>0.81543774813508207</v>
      </c>
    </row>
    <row r="4399" spans="1:3">
      <c r="A4399">
        <v>4391</v>
      </c>
      <c r="B4399">
        <v>0.5336092987526696</v>
      </c>
      <c r="C4399">
        <v>0.53712870576873684</v>
      </c>
    </row>
    <row r="4400" spans="1:3">
      <c r="A4400">
        <v>4392</v>
      </c>
      <c r="B4400">
        <v>0.71388871500573325</v>
      </c>
      <c r="C4400">
        <v>0.86458899978970294</v>
      </c>
    </row>
    <row r="4401" spans="1:3">
      <c r="A4401">
        <v>4393</v>
      </c>
      <c r="B4401">
        <v>0.23385261141086289</v>
      </c>
      <c r="C4401">
        <v>0.16265949363059917</v>
      </c>
    </row>
    <row r="4402" spans="1:3">
      <c r="A4402">
        <v>4394</v>
      </c>
      <c r="B4402">
        <v>0.68006020725058858</v>
      </c>
      <c r="C4402">
        <v>0.78096616030779842</v>
      </c>
    </row>
    <row r="4403" spans="1:3">
      <c r="A4403">
        <v>4395</v>
      </c>
      <c r="B4403">
        <v>0.37127483251785737</v>
      </c>
      <c r="C4403">
        <v>0.32700473666136531</v>
      </c>
    </row>
    <row r="4404" spans="1:3">
      <c r="A4404">
        <v>4396</v>
      </c>
      <c r="B4404">
        <v>0.67488370736378334</v>
      </c>
      <c r="C4404">
        <v>9.9099888546334114E-2</v>
      </c>
    </row>
    <row r="4405" spans="1:3">
      <c r="A4405">
        <v>4397</v>
      </c>
      <c r="B4405">
        <v>0.20545527173198183</v>
      </c>
      <c r="C4405">
        <v>0.43928493320345297</v>
      </c>
    </row>
    <row r="4406" spans="1:3">
      <c r="A4406">
        <v>4398</v>
      </c>
      <c r="B4406">
        <v>0.91912700894091448</v>
      </c>
      <c r="C4406">
        <v>0.41629538849429082</v>
      </c>
    </row>
    <row r="4407" spans="1:3">
      <c r="A4407">
        <v>4399</v>
      </c>
      <c r="B4407">
        <v>0.3866741726022852</v>
      </c>
      <c r="C4407">
        <v>0.48637963184592081</v>
      </c>
    </row>
    <row r="4408" spans="1:3">
      <c r="A4408">
        <v>4400</v>
      </c>
      <c r="B4408">
        <v>0.86327330160892413</v>
      </c>
      <c r="C4408">
        <v>0.20136223409917875</v>
      </c>
    </row>
    <row r="4409" spans="1:3">
      <c r="A4409">
        <v>4401</v>
      </c>
      <c r="B4409">
        <v>0.5432491880329906</v>
      </c>
      <c r="C4409">
        <v>0.12631988142857153</v>
      </c>
    </row>
    <row r="4410" spans="1:3">
      <c r="A4410">
        <v>4402</v>
      </c>
      <c r="B4410">
        <v>0.45912264333114089</v>
      </c>
      <c r="C4410">
        <v>0.7658984022682489</v>
      </c>
    </row>
    <row r="4411" spans="1:3">
      <c r="A4411">
        <v>4403</v>
      </c>
      <c r="B4411">
        <v>0.15716994154238373</v>
      </c>
      <c r="C4411">
        <v>0.88171887682619854</v>
      </c>
    </row>
    <row r="4412" spans="1:3">
      <c r="A4412">
        <v>4404</v>
      </c>
      <c r="B4412">
        <v>0.57903673196915462</v>
      </c>
      <c r="C4412">
        <v>6.7494835368961503E-2</v>
      </c>
    </row>
    <row r="4413" spans="1:3">
      <c r="A4413">
        <v>4405</v>
      </c>
      <c r="B4413">
        <v>0.31083961059093468</v>
      </c>
      <c r="C4413">
        <v>0.75185345805039105</v>
      </c>
    </row>
    <row r="4414" spans="1:3">
      <c r="A4414">
        <v>4406</v>
      </c>
      <c r="B4414">
        <v>0.29274806092976313</v>
      </c>
      <c r="C4414">
        <v>0.14704865237673914</v>
      </c>
    </row>
    <row r="4415" spans="1:3">
      <c r="A4415">
        <v>4407</v>
      </c>
      <c r="B4415">
        <v>0.41751343361845084</v>
      </c>
      <c r="C4415">
        <v>0.29157110725009261</v>
      </c>
    </row>
    <row r="4416" spans="1:3">
      <c r="A4416">
        <v>4408</v>
      </c>
      <c r="B4416">
        <v>0.98364975274672029</v>
      </c>
      <c r="C4416">
        <v>0.90374200857331743</v>
      </c>
    </row>
    <row r="4417" spans="1:3">
      <c r="A4417">
        <v>4409</v>
      </c>
      <c r="B4417">
        <v>0.70457607132796574</v>
      </c>
      <c r="C4417">
        <v>0.19405539013223461</v>
      </c>
    </row>
    <row r="4418" spans="1:3">
      <c r="A4418">
        <v>4410</v>
      </c>
      <c r="B4418">
        <v>0.40928251767383944</v>
      </c>
      <c r="C4418">
        <v>0.491699023916226</v>
      </c>
    </row>
    <row r="4419" spans="1:3">
      <c r="A4419">
        <v>4411</v>
      </c>
      <c r="B4419">
        <v>3.4716910291117828E-2</v>
      </c>
      <c r="C4419">
        <v>0.71474928570114571</v>
      </c>
    </row>
    <row r="4420" spans="1:3">
      <c r="A4420">
        <v>4412</v>
      </c>
      <c r="B4420">
        <v>4.6156232290658218E-2</v>
      </c>
      <c r="C4420">
        <v>0.83932805337462923</v>
      </c>
    </row>
    <row r="4421" spans="1:3">
      <c r="A4421">
        <v>4413</v>
      </c>
      <c r="B4421">
        <v>0.29836899768597652</v>
      </c>
      <c r="C4421">
        <v>0.10389040053905774</v>
      </c>
    </row>
    <row r="4422" spans="1:3">
      <c r="A4422">
        <v>4414</v>
      </c>
      <c r="B4422">
        <v>7.8966128377701644E-2</v>
      </c>
      <c r="C4422">
        <v>0.21901666450685298</v>
      </c>
    </row>
    <row r="4423" spans="1:3">
      <c r="A4423">
        <v>4415</v>
      </c>
      <c r="B4423">
        <v>0.43474959819595088</v>
      </c>
      <c r="C4423">
        <v>0.5892846630895292</v>
      </c>
    </row>
    <row r="4424" spans="1:3">
      <c r="A4424">
        <v>4416</v>
      </c>
      <c r="B4424">
        <v>0.68612471553858478</v>
      </c>
      <c r="C4424">
        <v>0.7260928834148217</v>
      </c>
    </row>
    <row r="4425" spans="1:3">
      <c r="A4425">
        <v>4417</v>
      </c>
      <c r="B4425">
        <v>0.87166826041035073</v>
      </c>
      <c r="C4425">
        <v>2.9972410152367956E-2</v>
      </c>
    </row>
    <row r="4426" spans="1:3">
      <c r="A4426">
        <v>4418</v>
      </c>
      <c r="B4426">
        <v>0.33858854393060051</v>
      </c>
      <c r="C4426">
        <v>0.5671612708192697</v>
      </c>
    </row>
    <row r="4427" spans="1:3">
      <c r="A4427">
        <v>4419</v>
      </c>
      <c r="B4427">
        <v>0.69703552888329967</v>
      </c>
      <c r="C4427">
        <v>0.63258754399976169</v>
      </c>
    </row>
    <row r="4428" spans="1:3">
      <c r="A4428">
        <v>4420</v>
      </c>
      <c r="B4428">
        <v>8.4977162889478999E-2</v>
      </c>
      <c r="C4428">
        <v>0.81487163296060316</v>
      </c>
    </row>
    <row r="4429" spans="1:3">
      <c r="A4429">
        <v>4421</v>
      </c>
      <c r="B4429">
        <v>0.74595238817482079</v>
      </c>
      <c r="C4429">
        <v>0.25190409601782449</v>
      </c>
    </row>
    <row r="4430" spans="1:3">
      <c r="A4430">
        <v>4422</v>
      </c>
      <c r="B4430">
        <v>2.0444449959333158E-2</v>
      </c>
      <c r="C4430">
        <v>0.71443325173731864</v>
      </c>
    </row>
    <row r="4431" spans="1:3">
      <c r="A4431">
        <v>4423</v>
      </c>
      <c r="B4431">
        <v>0.94358204532125545</v>
      </c>
      <c r="C4431">
        <v>0.89510013133440225</v>
      </c>
    </row>
    <row r="4432" spans="1:3">
      <c r="A4432">
        <v>4424</v>
      </c>
      <c r="B4432">
        <v>0.95261727046920386</v>
      </c>
      <c r="C4432">
        <v>0.93845931425039453</v>
      </c>
    </row>
    <row r="4433" spans="1:3">
      <c r="A4433">
        <v>4425</v>
      </c>
      <c r="B4433">
        <v>0.41392290096434836</v>
      </c>
      <c r="C4433">
        <v>0.6582550242637808</v>
      </c>
    </row>
    <row r="4434" spans="1:3">
      <c r="A4434">
        <v>4426</v>
      </c>
      <c r="B4434">
        <v>0.32800531240366521</v>
      </c>
      <c r="C4434">
        <v>0.67285704667210666</v>
      </c>
    </row>
    <row r="4435" spans="1:3">
      <c r="A4435">
        <v>4427</v>
      </c>
      <c r="B4435">
        <v>0.48806466143430788</v>
      </c>
      <c r="C4435">
        <v>8.8283478600715171E-2</v>
      </c>
    </row>
    <row r="4436" spans="1:3">
      <c r="A4436">
        <v>4428</v>
      </c>
      <c r="B4436">
        <v>0.27493757216896336</v>
      </c>
      <c r="C4436">
        <v>0.90924961699874984</v>
      </c>
    </row>
    <row r="4437" spans="1:3">
      <c r="A4437">
        <v>4429</v>
      </c>
      <c r="B4437">
        <v>0.90098242378769977</v>
      </c>
      <c r="C4437">
        <v>0.40152558600675547</v>
      </c>
    </row>
    <row r="4438" spans="1:3">
      <c r="A4438">
        <v>4430</v>
      </c>
      <c r="B4438">
        <v>0.80541100358064543</v>
      </c>
      <c r="C4438">
        <v>0.16578131065307389</v>
      </c>
    </row>
    <row r="4439" spans="1:3">
      <c r="A4439">
        <v>4431</v>
      </c>
      <c r="B4439">
        <v>0.50910732983669904</v>
      </c>
      <c r="C4439">
        <v>0.52574632252981246</v>
      </c>
    </row>
    <row r="4440" spans="1:3">
      <c r="A4440">
        <v>4432</v>
      </c>
      <c r="B4440">
        <v>0.50012077506764807</v>
      </c>
      <c r="C4440">
        <v>0.66499055333952128</v>
      </c>
    </row>
    <row r="4441" spans="1:3">
      <c r="A4441">
        <v>4433</v>
      </c>
      <c r="B4441">
        <v>0.79461111509525473</v>
      </c>
      <c r="C4441">
        <v>0.20800164360207418</v>
      </c>
    </row>
    <row r="4442" spans="1:3">
      <c r="A4442">
        <v>4434</v>
      </c>
      <c r="B4442">
        <v>0.8778340812037313</v>
      </c>
      <c r="C4442">
        <v>0.32299207727919566</v>
      </c>
    </row>
    <row r="4443" spans="1:3">
      <c r="A4443">
        <v>4435</v>
      </c>
      <c r="B4443">
        <v>0.89055539731563893</v>
      </c>
      <c r="C4443">
        <v>0.42179242764177616</v>
      </c>
    </row>
    <row r="4444" spans="1:3">
      <c r="A4444">
        <v>4436</v>
      </c>
      <c r="B4444">
        <v>0.79160163635085379</v>
      </c>
      <c r="C4444">
        <v>0.11413271236142464</v>
      </c>
    </row>
    <row r="4445" spans="1:3">
      <c r="A4445">
        <v>4437</v>
      </c>
      <c r="B4445">
        <v>0.35555343771990239</v>
      </c>
      <c r="C4445">
        <v>0.64101324658804515</v>
      </c>
    </row>
    <row r="4446" spans="1:3">
      <c r="A4446">
        <v>4438</v>
      </c>
      <c r="B4446">
        <v>0.60154962833513259</v>
      </c>
      <c r="C4446">
        <v>0.93563045114660781</v>
      </c>
    </row>
    <row r="4447" spans="1:3">
      <c r="A4447">
        <v>4439</v>
      </c>
      <c r="B4447">
        <v>0.61942376484163664</v>
      </c>
      <c r="C4447">
        <v>0.90027509831998032</v>
      </c>
    </row>
    <row r="4448" spans="1:3">
      <c r="A4448">
        <v>4440</v>
      </c>
      <c r="B4448">
        <v>0.1926429952550314</v>
      </c>
      <c r="C4448">
        <v>0.27543674984462996</v>
      </c>
    </row>
    <row r="4449" spans="1:3">
      <c r="A4449">
        <v>4441</v>
      </c>
      <c r="B4449">
        <v>0.84176795443048891</v>
      </c>
      <c r="C4449">
        <v>0.9522953270443395</v>
      </c>
    </row>
    <row r="4450" spans="1:3">
      <c r="A4450">
        <v>4442</v>
      </c>
      <c r="B4450">
        <v>0.714133941860016</v>
      </c>
      <c r="C4450">
        <v>0.55762414241780789</v>
      </c>
    </row>
    <row r="4451" spans="1:3">
      <c r="A4451">
        <v>4443</v>
      </c>
      <c r="B4451">
        <v>0.47976343363927754</v>
      </c>
      <c r="C4451">
        <v>0.70924386945625884</v>
      </c>
    </row>
    <row r="4452" spans="1:3">
      <c r="A4452">
        <v>4444</v>
      </c>
      <c r="B4452">
        <v>2.3654545858328824E-2</v>
      </c>
      <c r="C4452">
        <v>0.50631283145685302</v>
      </c>
    </row>
    <row r="4453" spans="1:3">
      <c r="A4453">
        <v>4445</v>
      </c>
      <c r="B4453">
        <v>0.37147929367224669</v>
      </c>
      <c r="C4453">
        <v>0.94890940478762786</v>
      </c>
    </row>
    <row r="4454" spans="1:3">
      <c r="A4454">
        <v>4446</v>
      </c>
      <c r="B4454">
        <v>0.23187306880147035</v>
      </c>
      <c r="C4454">
        <v>4.0740583493061422E-2</v>
      </c>
    </row>
    <row r="4455" spans="1:3">
      <c r="A4455">
        <v>4447</v>
      </c>
      <c r="B4455">
        <v>0.88227359926688331</v>
      </c>
      <c r="C4455">
        <v>0.47637499123084126</v>
      </c>
    </row>
    <row r="4456" spans="1:3">
      <c r="A4456">
        <v>4448</v>
      </c>
      <c r="B4456">
        <v>0.89751118690686094</v>
      </c>
      <c r="C4456">
        <v>0.11481786678905337</v>
      </c>
    </row>
    <row r="4457" spans="1:3">
      <c r="A4457">
        <v>4449</v>
      </c>
      <c r="B4457">
        <v>0.42165273078117815</v>
      </c>
      <c r="C4457">
        <v>0.15807261162444775</v>
      </c>
    </row>
    <row r="4458" spans="1:3">
      <c r="A4458">
        <v>4450</v>
      </c>
      <c r="B4458">
        <v>0.10781453138981353</v>
      </c>
      <c r="C4458">
        <v>5.199769710907276E-2</v>
      </c>
    </row>
    <row r="4459" spans="1:3">
      <c r="A4459">
        <v>4451</v>
      </c>
      <c r="B4459">
        <v>0.97650154431632286</v>
      </c>
      <c r="C4459">
        <v>0.68394403601632803</v>
      </c>
    </row>
    <row r="4460" spans="1:3">
      <c r="A4460">
        <v>4452</v>
      </c>
      <c r="B4460">
        <v>0.60197085057561539</v>
      </c>
      <c r="C4460">
        <v>0.67544637790615525</v>
      </c>
    </row>
    <row r="4461" spans="1:3">
      <c r="A4461">
        <v>4453</v>
      </c>
      <c r="B4461">
        <v>1.8762599492809409E-2</v>
      </c>
      <c r="C4461">
        <v>9.2892697886782116E-2</v>
      </c>
    </row>
    <row r="4462" spans="1:3">
      <c r="A4462">
        <v>4454</v>
      </c>
      <c r="B4462">
        <v>0.8976015095324259</v>
      </c>
      <c r="C4462">
        <v>0.1126593927920112</v>
      </c>
    </row>
    <row r="4463" spans="1:3">
      <c r="A4463">
        <v>4455</v>
      </c>
      <c r="B4463">
        <v>0.757644019176961</v>
      </c>
      <c r="C4463">
        <v>0.45840237062657252</v>
      </c>
    </row>
    <row r="4464" spans="1:3">
      <c r="A4464">
        <v>4456</v>
      </c>
      <c r="B4464">
        <v>0.63595838159372986</v>
      </c>
      <c r="C4464">
        <v>6.2607267408566258E-2</v>
      </c>
    </row>
    <row r="4465" spans="1:3">
      <c r="A4465">
        <v>4457</v>
      </c>
      <c r="B4465">
        <v>0.2287573516108462</v>
      </c>
      <c r="C4465">
        <v>0.85948373909377551</v>
      </c>
    </row>
    <row r="4466" spans="1:3">
      <c r="A4466">
        <v>4458</v>
      </c>
      <c r="B4466">
        <v>0.75521515810857887</v>
      </c>
      <c r="C4466">
        <v>0.48344520548289438</v>
      </c>
    </row>
    <row r="4467" spans="1:3">
      <c r="A4467">
        <v>4459</v>
      </c>
      <c r="B4467">
        <v>0.60268458284090387</v>
      </c>
      <c r="C4467">
        <v>0.55449582887013094</v>
      </c>
    </row>
    <row r="4468" spans="1:3">
      <c r="A4468">
        <v>4460</v>
      </c>
      <c r="B4468">
        <v>0.410890036295189</v>
      </c>
      <c r="C4468">
        <v>2.5672971029962355E-2</v>
      </c>
    </row>
    <row r="4469" spans="1:3">
      <c r="A4469">
        <v>4461</v>
      </c>
      <c r="B4469">
        <v>0.14312111805056246</v>
      </c>
      <c r="C4469">
        <v>0.27798846748009964</v>
      </c>
    </row>
    <row r="4470" spans="1:3">
      <c r="A4470">
        <v>4462</v>
      </c>
      <c r="B4470">
        <v>8.0306661433937637E-2</v>
      </c>
      <c r="C4470">
        <v>0.60936533066796983</v>
      </c>
    </row>
    <row r="4471" spans="1:3">
      <c r="A4471">
        <v>4463</v>
      </c>
      <c r="B4471">
        <v>0.61617833200385297</v>
      </c>
      <c r="C4471">
        <v>0.73551579926424893</v>
      </c>
    </row>
    <row r="4472" spans="1:3">
      <c r="A4472">
        <v>4464</v>
      </c>
      <c r="B4472">
        <v>0.62642683234969787</v>
      </c>
      <c r="C4472">
        <v>0.71585153932028334</v>
      </c>
    </row>
    <row r="4473" spans="1:3">
      <c r="A4473">
        <v>4465</v>
      </c>
      <c r="B4473">
        <v>0.51895315577223733</v>
      </c>
      <c r="C4473">
        <v>0.69325109937835805</v>
      </c>
    </row>
    <row r="4474" spans="1:3">
      <c r="A4474">
        <v>4466</v>
      </c>
      <c r="B4474">
        <v>0.26752730643253947</v>
      </c>
      <c r="C4474">
        <v>0.9195796652129502</v>
      </c>
    </row>
    <row r="4475" spans="1:3">
      <c r="A4475">
        <v>4467</v>
      </c>
      <c r="B4475">
        <v>0.33676706157568076</v>
      </c>
      <c r="C4475">
        <v>0.17307622458156402</v>
      </c>
    </row>
    <row r="4476" spans="1:3">
      <c r="A4476">
        <v>4468</v>
      </c>
      <c r="B4476">
        <v>1.629159211048195E-3</v>
      </c>
      <c r="C4476">
        <v>0.36311947438116476</v>
      </c>
    </row>
    <row r="4477" spans="1:3">
      <c r="A4477">
        <v>4469</v>
      </c>
      <c r="B4477">
        <v>0.77894596624736345</v>
      </c>
      <c r="C4477">
        <v>0.83410189056121453</v>
      </c>
    </row>
    <row r="4478" spans="1:3">
      <c r="A4478">
        <v>4470</v>
      </c>
      <c r="B4478">
        <v>6.5059223089660334E-2</v>
      </c>
      <c r="C4478">
        <v>0.5248141727724942</v>
      </c>
    </row>
    <row r="4479" spans="1:3">
      <c r="A4479">
        <v>4471</v>
      </c>
      <c r="B4479">
        <v>0.5231769559110927</v>
      </c>
      <c r="C4479">
        <v>0.62046787457802566</v>
      </c>
    </row>
    <row r="4480" spans="1:3">
      <c r="A4480">
        <v>4472</v>
      </c>
      <c r="B4480">
        <v>0.29937620105579871</v>
      </c>
      <c r="C4480">
        <v>0.11125560574419069</v>
      </c>
    </row>
    <row r="4481" spans="1:3">
      <c r="A4481">
        <v>4473</v>
      </c>
      <c r="B4481">
        <v>0.62145317213820594</v>
      </c>
      <c r="C4481">
        <v>0.53728019804293581</v>
      </c>
    </row>
    <row r="4482" spans="1:3">
      <c r="A4482">
        <v>4474</v>
      </c>
      <c r="B4482">
        <v>0.86984584784201491</v>
      </c>
      <c r="C4482">
        <v>2.2215484726075374E-2</v>
      </c>
    </row>
    <row r="4483" spans="1:3">
      <c r="A4483">
        <v>4475</v>
      </c>
      <c r="B4483">
        <v>0.19540257572932229</v>
      </c>
      <c r="C4483">
        <v>0.59848464782044175</v>
      </c>
    </row>
    <row r="4484" spans="1:3">
      <c r="A4484">
        <v>4476</v>
      </c>
      <c r="B4484">
        <v>0.35451881074973352</v>
      </c>
      <c r="C4484">
        <v>0.3052980279599069</v>
      </c>
    </row>
    <row r="4485" spans="1:3">
      <c r="A4485">
        <v>4477</v>
      </c>
      <c r="B4485">
        <v>0.91611569443897245</v>
      </c>
      <c r="C4485">
        <v>0.97772947291923629</v>
      </c>
    </row>
    <row r="4486" spans="1:3">
      <c r="A4486">
        <v>4478</v>
      </c>
      <c r="B4486">
        <v>0.26918150067086832</v>
      </c>
      <c r="C4486">
        <v>0.22893937780554552</v>
      </c>
    </row>
    <row r="4487" spans="1:3">
      <c r="A4487">
        <v>4479</v>
      </c>
      <c r="B4487">
        <v>0.70787188029062742</v>
      </c>
      <c r="C4487">
        <v>0.93858909532718826</v>
      </c>
    </row>
    <row r="4488" spans="1:3">
      <c r="A4488">
        <v>4480</v>
      </c>
      <c r="B4488">
        <v>0.416876273573068</v>
      </c>
      <c r="C4488">
        <v>0.93604358689026412</v>
      </c>
    </row>
    <row r="4489" spans="1:3">
      <c r="A4489">
        <v>4481</v>
      </c>
      <c r="B4489">
        <v>3.2992393964760093E-2</v>
      </c>
      <c r="C4489">
        <v>0.90863461580920557</v>
      </c>
    </row>
    <row r="4490" spans="1:3">
      <c r="A4490">
        <v>4482</v>
      </c>
      <c r="B4490">
        <v>1.1254247796175593E-2</v>
      </c>
      <c r="C4490">
        <v>0.36421682889795193</v>
      </c>
    </row>
    <row r="4491" spans="1:3">
      <c r="A4491">
        <v>4483</v>
      </c>
      <c r="B4491">
        <v>0.78089386575820241</v>
      </c>
      <c r="C4491">
        <v>0.43882203272733022</v>
      </c>
    </row>
    <row r="4492" spans="1:3">
      <c r="A4492">
        <v>4484</v>
      </c>
      <c r="B4492">
        <v>6.4451013778068833E-2</v>
      </c>
      <c r="C4492">
        <v>7.627955469644121E-3</v>
      </c>
    </row>
    <row r="4493" spans="1:3">
      <c r="A4493">
        <v>4485</v>
      </c>
      <c r="B4493">
        <v>0.90232192107581577</v>
      </c>
      <c r="C4493">
        <v>0.68979411892451026</v>
      </c>
    </row>
    <row r="4494" spans="1:3">
      <c r="A4494">
        <v>4486</v>
      </c>
      <c r="B4494">
        <v>0.97551708940917559</v>
      </c>
      <c r="C4494">
        <v>0.8204777685168807</v>
      </c>
    </row>
    <row r="4495" spans="1:3">
      <c r="A4495">
        <v>4487</v>
      </c>
      <c r="B4495">
        <v>0.51690304928452313</v>
      </c>
      <c r="C4495">
        <v>8.3377678351553186E-2</v>
      </c>
    </row>
    <row r="4496" spans="1:3">
      <c r="A4496">
        <v>4488</v>
      </c>
      <c r="B4496">
        <v>0.69796071177519869</v>
      </c>
      <c r="C4496">
        <v>4.5353019200319977E-2</v>
      </c>
    </row>
    <row r="4497" spans="1:3">
      <c r="A4497">
        <v>4489</v>
      </c>
      <c r="B4497">
        <v>0.25498628500555326</v>
      </c>
      <c r="C4497">
        <v>0.20540630819868966</v>
      </c>
    </row>
    <row r="4498" spans="1:3">
      <c r="A4498">
        <v>4490</v>
      </c>
      <c r="B4498">
        <v>0.62440301126148623</v>
      </c>
      <c r="C4498">
        <v>0.64755538678036828</v>
      </c>
    </row>
    <row r="4499" spans="1:3">
      <c r="A4499">
        <v>4491</v>
      </c>
      <c r="B4499">
        <v>0.87591588582971958</v>
      </c>
      <c r="C4499">
        <v>0.27143809264543961</v>
      </c>
    </row>
    <row r="4500" spans="1:3">
      <c r="A4500">
        <v>4492</v>
      </c>
      <c r="B4500">
        <v>0.9696654288776837</v>
      </c>
      <c r="C4500">
        <v>0.90443681092801853</v>
      </c>
    </row>
    <row r="4501" spans="1:3">
      <c r="A4501">
        <v>4493</v>
      </c>
      <c r="B4501">
        <v>0.26239345904704964</v>
      </c>
      <c r="C4501">
        <v>0.1438128062427495</v>
      </c>
    </row>
    <row r="4502" spans="1:3">
      <c r="A4502">
        <v>4494</v>
      </c>
      <c r="B4502">
        <v>0.29852547281769232</v>
      </c>
      <c r="C4502">
        <v>0.77483196526554821</v>
      </c>
    </row>
    <row r="4503" spans="1:3">
      <c r="A4503">
        <v>4495</v>
      </c>
      <c r="B4503">
        <v>0.16369278498550244</v>
      </c>
      <c r="C4503">
        <v>0.59106254714515671</v>
      </c>
    </row>
    <row r="4504" spans="1:3">
      <c r="A4504">
        <v>4496</v>
      </c>
      <c r="B4504">
        <v>0.5375956623048046</v>
      </c>
      <c r="C4504">
        <v>0.63651786802802235</v>
      </c>
    </row>
    <row r="4505" spans="1:3">
      <c r="A4505">
        <v>4497</v>
      </c>
      <c r="B4505">
        <v>0.73706763974471656</v>
      </c>
      <c r="C4505">
        <v>0.47014253639190429</v>
      </c>
    </row>
    <row r="4506" spans="1:3">
      <c r="A4506">
        <v>4498</v>
      </c>
      <c r="B4506">
        <v>0.89616532850143626</v>
      </c>
      <c r="C4506">
        <v>0.42663105533029011</v>
      </c>
    </row>
    <row r="4507" spans="1:3">
      <c r="A4507">
        <v>4499</v>
      </c>
      <c r="B4507">
        <v>0.87255388599921813</v>
      </c>
      <c r="C4507">
        <v>0.91793824853539263</v>
      </c>
    </row>
    <row r="4508" spans="1:3">
      <c r="A4508">
        <v>4500</v>
      </c>
      <c r="B4508">
        <v>0.60676599561841371</v>
      </c>
      <c r="C4508">
        <v>9.7134246494533727E-2</v>
      </c>
    </row>
    <row r="4509" spans="1:3">
      <c r="A4509">
        <v>4501</v>
      </c>
      <c r="B4509">
        <v>0.34326930276869549</v>
      </c>
      <c r="C4509">
        <v>5.3654122914849722E-2</v>
      </c>
    </row>
    <row r="4510" spans="1:3">
      <c r="A4510">
        <v>4502</v>
      </c>
      <c r="B4510">
        <v>0.95671467762117157</v>
      </c>
      <c r="C4510">
        <v>0.43500889715323865</v>
      </c>
    </row>
    <row r="4511" spans="1:3">
      <c r="A4511">
        <v>4503</v>
      </c>
      <c r="B4511">
        <v>0.28103932686178928</v>
      </c>
      <c r="C4511">
        <v>0.79596369079899887</v>
      </c>
    </row>
    <row r="4512" spans="1:3">
      <c r="A4512">
        <v>4504</v>
      </c>
      <c r="B4512">
        <v>0.33311443141701502</v>
      </c>
      <c r="C4512">
        <v>0.36587801873247372</v>
      </c>
    </row>
    <row r="4513" spans="1:3">
      <c r="A4513">
        <v>4505</v>
      </c>
      <c r="B4513">
        <v>0.28197851453888662</v>
      </c>
      <c r="C4513">
        <v>0.74103433229447546</v>
      </c>
    </row>
    <row r="4514" spans="1:3">
      <c r="A4514">
        <v>4506</v>
      </c>
      <c r="B4514">
        <v>0.4771801688814955</v>
      </c>
      <c r="C4514">
        <v>0.40007879413496994</v>
      </c>
    </row>
    <row r="4515" spans="1:3">
      <c r="A4515">
        <v>4507</v>
      </c>
      <c r="B4515">
        <v>0.69638820262844403</v>
      </c>
      <c r="C4515">
        <v>0.91650596089039027</v>
      </c>
    </row>
    <row r="4516" spans="1:3">
      <c r="A4516">
        <v>4508</v>
      </c>
      <c r="B4516">
        <v>0.30917323603298824</v>
      </c>
      <c r="C4516">
        <v>0.39146574418919045</v>
      </c>
    </row>
    <row r="4517" spans="1:3">
      <c r="A4517">
        <v>4509</v>
      </c>
      <c r="B4517">
        <v>0.21427047405915114</v>
      </c>
      <c r="C4517">
        <v>0.68483889193066716</v>
      </c>
    </row>
    <row r="4518" spans="1:3">
      <c r="A4518">
        <v>4510</v>
      </c>
      <c r="B4518">
        <v>0.41503535619420828</v>
      </c>
      <c r="C4518">
        <v>0.64795228740695165</v>
      </c>
    </row>
    <row r="4519" spans="1:3">
      <c r="A4519">
        <v>4511</v>
      </c>
      <c r="B4519">
        <v>9.8077552836359841E-2</v>
      </c>
      <c r="C4519">
        <v>8.8109307321246888E-2</v>
      </c>
    </row>
    <row r="4520" spans="1:3">
      <c r="A4520">
        <v>4512</v>
      </c>
      <c r="B4520">
        <v>0.42946070463519093</v>
      </c>
      <c r="C4520">
        <v>0.67740631094966375</v>
      </c>
    </row>
    <row r="4521" spans="1:3">
      <c r="A4521">
        <v>4513</v>
      </c>
      <c r="B4521">
        <v>0.97325913786023377</v>
      </c>
      <c r="C4521">
        <v>0.40561392242398142</v>
      </c>
    </row>
    <row r="4522" spans="1:3">
      <c r="A4522">
        <v>4514</v>
      </c>
      <c r="B4522">
        <v>0.83532876072817686</v>
      </c>
      <c r="C4522">
        <v>0.80976769137123483</v>
      </c>
    </row>
    <row r="4523" spans="1:3">
      <c r="A4523">
        <v>4515</v>
      </c>
      <c r="B4523">
        <v>0.5133064998521718</v>
      </c>
      <c r="C4523">
        <v>8.6315156861928699E-2</v>
      </c>
    </row>
    <row r="4524" spans="1:3">
      <c r="A4524">
        <v>4516</v>
      </c>
      <c r="B4524">
        <v>0.8902627222502284</v>
      </c>
      <c r="C4524">
        <v>0.17586338677938329</v>
      </c>
    </row>
    <row r="4525" spans="1:3">
      <c r="A4525">
        <v>4517</v>
      </c>
      <c r="B4525">
        <v>0.77746579254890458</v>
      </c>
      <c r="C4525">
        <v>0.63770069098609383</v>
      </c>
    </row>
    <row r="4526" spans="1:3">
      <c r="A4526">
        <v>4518</v>
      </c>
      <c r="B4526">
        <v>0.80409877061743729</v>
      </c>
      <c r="C4526">
        <v>0.79568738979196496</v>
      </c>
    </row>
    <row r="4527" spans="1:3">
      <c r="A4527">
        <v>4519</v>
      </c>
      <c r="B4527">
        <v>0.97097553850560814</v>
      </c>
      <c r="C4527">
        <v>0.18084986982830742</v>
      </c>
    </row>
    <row r="4528" spans="1:3">
      <c r="A4528">
        <v>4520</v>
      </c>
      <c r="B4528">
        <v>0.83379844145281201</v>
      </c>
      <c r="C4528">
        <v>0.287276627220308</v>
      </c>
    </row>
    <row r="4529" spans="1:3">
      <c r="A4529">
        <v>4521</v>
      </c>
      <c r="B4529">
        <v>0.36479323099572053</v>
      </c>
      <c r="C4529">
        <v>0.80540446790109854</v>
      </c>
    </row>
    <row r="4530" spans="1:3">
      <c r="A4530">
        <v>4522</v>
      </c>
      <c r="B4530">
        <v>0.43912027347384031</v>
      </c>
      <c r="C4530">
        <v>0.16901402517669339</v>
      </c>
    </row>
    <row r="4531" spans="1:3">
      <c r="A4531">
        <v>4523</v>
      </c>
      <c r="B4531">
        <v>5.6537054345974946E-2</v>
      </c>
      <c r="C4531">
        <v>0.24406509934669884</v>
      </c>
    </row>
    <row r="4532" spans="1:3">
      <c r="A4532">
        <v>4524</v>
      </c>
      <c r="B4532">
        <v>0.39522658309913861</v>
      </c>
      <c r="C4532">
        <v>0.48756151300494821</v>
      </c>
    </row>
    <row r="4533" spans="1:3">
      <c r="A4533">
        <v>4525</v>
      </c>
      <c r="B4533">
        <v>0.46400160744451024</v>
      </c>
      <c r="C4533">
        <v>0.86914842999613029</v>
      </c>
    </row>
    <row r="4534" spans="1:3">
      <c r="A4534">
        <v>4526</v>
      </c>
      <c r="B4534">
        <v>0.56217499381782832</v>
      </c>
      <c r="C4534">
        <v>0.73327238453839527</v>
      </c>
    </row>
    <row r="4535" spans="1:3">
      <c r="A4535">
        <v>4527</v>
      </c>
      <c r="B4535">
        <v>0.99108919463960665</v>
      </c>
      <c r="C4535">
        <v>0.93398482874727051</v>
      </c>
    </row>
    <row r="4536" spans="1:3">
      <c r="A4536">
        <v>4528</v>
      </c>
      <c r="B4536">
        <v>0.6510935322372926</v>
      </c>
      <c r="C4536">
        <v>0.23616639052579558</v>
      </c>
    </row>
    <row r="4537" spans="1:3">
      <c r="A4537">
        <v>4529</v>
      </c>
      <c r="B4537">
        <v>0.31421806820137849</v>
      </c>
      <c r="C4537">
        <v>0.57480299146118341</v>
      </c>
    </row>
    <row r="4538" spans="1:3">
      <c r="A4538">
        <v>4530</v>
      </c>
      <c r="B4538">
        <v>8.9836218744431678E-2</v>
      </c>
      <c r="C4538">
        <v>0.84460684304485767</v>
      </c>
    </row>
    <row r="4539" spans="1:3">
      <c r="A4539">
        <v>4531</v>
      </c>
      <c r="B4539">
        <v>0.22245765014250241</v>
      </c>
      <c r="C4539">
        <v>0.67655326340354804</v>
      </c>
    </row>
    <row r="4540" spans="1:3">
      <c r="A4540">
        <v>4532</v>
      </c>
      <c r="B4540">
        <v>0.32352706917080265</v>
      </c>
      <c r="C4540">
        <v>0.59428987804585631</v>
      </c>
    </row>
    <row r="4541" spans="1:3">
      <c r="A4541">
        <v>4533</v>
      </c>
      <c r="B4541">
        <v>0.77848985623994138</v>
      </c>
      <c r="C4541">
        <v>0.84336984366746037</v>
      </c>
    </row>
    <row r="4542" spans="1:3">
      <c r="A4542">
        <v>4534</v>
      </c>
      <c r="B4542">
        <v>0.92263088392653303</v>
      </c>
      <c r="C4542">
        <v>0.27113960713904817</v>
      </c>
    </row>
    <row r="4543" spans="1:3">
      <c r="A4543">
        <v>4535</v>
      </c>
      <c r="B4543">
        <v>1.7960844285870168E-2</v>
      </c>
      <c r="C4543">
        <v>0.98183069117931154</v>
      </c>
    </row>
    <row r="4544" spans="1:3">
      <c r="A4544">
        <v>4536</v>
      </c>
      <c r="B4544">
        <v>0.73542772668027967</v>
      </c>
      <c r="C4544">
        <v>0.35126532414324174</v>
      </c>
    </row>
    <row r="4545" spans="1:3">
      <c r="A4545">
        <v>4537</v>
      </c>
      <c r="B4545">
        <v>0.12458460077978312</v>
      </c>
      <c r="C4545">
        <v>0.80941172485927382</v>
      </c>
    </row>
    <row r="4546" spans="1:3">
      <c r="A4546">
        <v>4538</v>
      </c>
      <c r="B4546">
        <v>0.49281630417700306</v>
      </c>
      <c r="C4546">
        <v>0.85609045155069907</v>
      </c>
    </row>
    <row r="4547" spans="1:3">
      <c r="A4547">
        <v>4539</v>
      </c>
      <c r="B4547">
        <v>0.73964032572709026</v>
      </c>
      <c r="C4547">
        <v>0.32353699923896784</v>
      </c>
    </row>
    <row r="4548" spans="1:3">
      <c r="A4548">
        <v>4540</v>
      </c>
      <c r="B4548">
        <v>0.80797867094827314</v>
      </c>
      <c r="C4548">
        <v>0.76186305495320994</v>
      </c>
    </row>
    <row r="4549" spans="1:3">
      <c r="A4549">
        <v>4541</v>
      </c>
      <c r="B4549">
        <v>0.31923147438481253</v>
      </c>
      <c r="C4549">
        <v>0.95903842054485722</v>
      </c>
    </row>
    <row r="4550" spans="1:3">
      <c r="A4550">
        <v>4542</v>
      </c>
      <c r="B4550">
        <v>0.62006153108683926</v>
      </c>
      <c r="C4550">
        <v>0.29344419706467306</v>
      </c>
    </row>
    <row r="4551" spans="1:3">
      <c r="A4551">
        <v>4543</v>
      </c>
      <c r="B4551">
        <v>0.49364061900620365</v>
      </c>
      <c r="C4551">
        <v>3.6020925729644659E-2</v>
      </c>
    </row>
    <row r="4552" spans="1:3">
      <c r="A4552">
        <v>4544</v>
      </c>
      <c r="B4552">
        <v>0.87858013051640715</v>
      </c>
      <c r="C4552">
        <v>2.5679687956653652E-2</v>
      </c>
    </row>
    <row r="4553" spans="1:3">
      <c r="A4553">
        <v>4545</v>
      </c>
      <c r="B4553">
        <v>0.57510464357992275</v>
      </c>
      <c r="C4553">
        <v>0.51213774752704921</v>
      </c>
    </row>
    <row r="4554" spans="1:3">
      <c r="A4554">
        <v>4546</v>
      </c>
      <c r="B4554">
        <v>0.40485791797369208</v>
      </c>
      <c r="C4554">
        <v>0.53777920166248805</v>
      </c>
    </row>
    <row r="4555" spans="1:3">
      <c r="A4555">
        <v>4547</v>
      </c>
      <c r="B4555">
        <v>0.81451801339395302</v>
      </c>
      <c r="C4555">
        <v>0.91911262935809646</v>
      </c>
    </row>
    <row r="4556" spans="1:3">
      <c r="A4556">
        <v>4548</v>
      </c>
      <c r="B4556">
        <v>0.73892300577753289</v>
      </c>
      <c r="C4556">
        <v>0.26184089670096</v>
      </c>
    </row>
    <row r="4557" spans="1:3">
      <c r="A4557">
        <v>4549</v>
      </c>
      <c r="B4557">
        <v>0.41374069590925722</v>
      </c>
      <c r="C4557">
        <v>0.97322213038660266</v>
      </c>
    </row>
    <row r="4558" spans="1:3">
      <c r="A4558">
        <v>4550</v>
      </c>
      <c r="B4558">
        <v>0.30870753747283192</v>
      </c>
      <c r="C4558">
        <v>0.51254456277820282</v>
      </c>
    </row>
    <row r="4559" spans="1:3">
      <c r="A4559">
        <v>4551</v>
      </c>
      <c r="B4559">
        <v>0.75054585514584227</v>
      </c>
      <c r="C4559">
        <v>0.22675931666435645</v>
      </c>
    </row>
    <row r="4560" spans="1:3">
      <c r="A4560">
        <v>4552</v>
      </c>
      <c r="B4560">
        <v>0.10573563072023347</v>
      </c>
      <c r="C4560">
        <v>0.74062040389617323</v>
      </c>
    </row>
    <row r="4561" spans="1:3">
      <c r="A4561">
        <v>4553</v>
      </c>
      <c r="B4561">
        <v>9.904411216965972E-2</v>
      </c>
      <c r="C4561">
        <v>0.46729543614401337</v>
      </c>
    </row>
    <row r="4562" spans="1:3">
      <c r="A4562">
        <v>4554</v>
      </c>
      <c r="B4562">
        <v>0.3504412597995813</v>
      </c>
      <c r="C4562">
        <v>0.90585237600862456</v>
      </c>
    </row>
    <row r="4563" spans="1:3">
      <c r="A4563">
        <v>4555</v>
      </c>
      <c r="B4563">
        <v>0.20898089621127136</v>
      </c>
      <c r="C4563">
        <v>0.59711754604450107</v>
      </c>
    </row>
    <row r="4564" spans="1:3">
      <c r="A4564">
        <v>4556</v>
      </c>
      <c r="B4564">
        <v>0.90542848320138369</v>
      </c>
      <c r="C4564">
        <v>9.4956995861139148E-2</v>
      </c>
    </row>
    <row r="4565" spans="1:3">
      <c r="A4565">
        <v>4557</v>
      </c>
      <c r="B4565">
        <v>0.35520027771373286</v>
      </c>
      <c r="C4565">
        <v>0.61241412407525786</v>
      </c>
    </row>
    <row r="4566" spans="1:3">
      <c r="A4566">
        <v>4558</v>
      </c>
      <c r="B4566">
        <v>0.3342019517863174</v>
      </c>
      <c r="C4566">
        <v>0.72022914824810869</v>
      </c>
    </row>
    <row r="4567" spans="1:3">
      <c r="A4567">
        <v>4559</v>
      </c>
      <c r="B4567">
        <v>0.39099335254016176</v>
      </c>
      <c r="C4567">
        <v>0.43757981794442458</v>
      </c>
    </row>
    <row r="4568" spans="1:3">
      <c r="A4568">
        <v>4560</v>
      </c>
      <c r="B4568">
        <v>0.69570248025751258</v>
      </c>
      <c r="C4568">
        <v>0.61532417955550045</v>
      </c>
    </row>
    <row r="4569" spans="1:3">
      <c r="A4569">
        <v>4561</v>
      </c>
      <c r="B4569">
        <v>0.51104286896368556</v>
      </c>
      <c r="C4569">
        <v>0.56724363408284262</v>
      </c>
    </row>
    <row r="4570" spans="1:3">
      <c r="A4570">
        <v>4562</v>
      </c>
      <c r="B4570">
        <v>0.68742109696097231</v>
      </c>
      <c r="C4570">
        <v>0.46482043108244397</v>
      </c>
    </row>
    <row r="4571" spans="1:3">
      <c r="A4571">
        <v>4563</v>
      </c>
      <c r="B4571">
        <v>0.77152632353611439</v>
      </c>
      <c r="C4571">
        <v>0.9386971655421803</v>
      </c>
    </row>
    <row r="4572" spans="1:3">
      <c r="A4572">
        <v>4564</v>
      </c>
      <c r="B4572">
        <v>0.74698385954713076</v>
      </c>
      <c r="C4572">
        <v>0.8644871020123901</v>
      </c>
    </row>
    <row r="4573" spans="1:3">
      <c r="A4573">
        <v>4565</v>
      </c>
      <c r="B4573">
        <v>0.4243923220558074</v>
      </c>
      <c r="C4573">
        <v>0.14823759690989391</v>
      </c>
    </row>
    <row r="4574" spans="1:3">
      <c r="A4574">
        <v>4566</v>
      </c>
      <c r="B4574">
        <v>0.58254531882883642</v>
      </c>
      <c r="C4574">
        <v>0.66997795155384665</v>
      </c>
    </row>
    <row r="4575" spans="1:3">
      <c r="A4575">
        <v>4567</v>
      </c>
      <c r="B4575">
        <v>0.24626641807478536</v>
      </c>
      <c r="C4575">
        <v>4.2975340851626243E-2</v>
      </c>
    </row>
    <row r="4576" spans="1:3">
      <c r="A4576">
        <v>4568</v>
      </c>
      <c r="B4576">
        <v>0.73796207637511246</v>
      </c>
      <c r="C4576">
        <v>0.8290281900053742</v>
      </c>
    </row>
    <row r="4577" spans="1:3">
      <c r="A4577">
        <v>4569</v>
      </c>
      <c r="B4577">
        <v>0.5830673748337355</v>
      </c>
      <c r="C4577">
        <v>8.0118905643757898E-2</v>
      </c>
    </row>
    <row r="4578" spans="1:3">
      <c r="A4578">
        <v>4570</v>
      </c>
      <c r="B4578">
        <v>0.39911442393872759</v>
      </c>
      <c r="C4578">
        <v>0.45134657858125138</v>
      </c>
    </row>
    <row r="4579" spans="1:3">
      <c r="A4579">
        <v>4571</v>
      </c>
      <c r="B4579">
        <v>0.28596009430716751</v>
      </c>
      <c r="C4579">
        <v>0.69781671776036092</v>
      </c>
    </row>
    <row r="4580" spans="1:3">
      <c r="A4580">
        <v>4572</v>
      </c>
      <c r="B4580">
        <v>0.75679501849464026</v>
      </c>
      <c r="C4580">
        <v>0.39780002142379089</v>
      </c>
    </row>
    <row r="4581" spans="1:3">
      <c r="A4581">
        <v>4573</v>
      </c>
      <c r="B4581">
        <v>0.99787325605984623</v>
      </c>
      <c r="C4581">
        <v>0.58955614351361874</v>
      </c>
    </row>
    <row r="4582" spans="1:3">
      <c r="A4582">
        <v>4574</v>
      </c>
      <c r="B4582">
        <v>0.64831991060923788</v>
      </c>
      <c r="C4582">
        <v>0.82352391156018712</v>
      </c>
    </row>
    <row r="4583" spans="1:3">
      <c r="A4583">
        <v>4575</v>
      </c>
      <c r="B4583">
        <v>0.14229613071994299</v>
      </c>
      <c r="C4583">
        <v>3.4408283160701103E-2</v>
      </c>
    </row>
    <row r="4584" spans="1:3">
      <c r="A4584">
        <v>4576</v>
      </c>
      <c r="B4584">
        <v>0.79272364243025051</v>
      </c>
      <c r="C4584">
        <v>0.7961516324958211</v>
      </c>
    </row>
    <row r="4585" spans="1:3">
      <c r="A4585">
        <v>4577</v>
      </c>
      <c r="B4585">
        <v>0.69424596676520212</v>
      </c>
      <c r="C4585">
        <v>0.11131147733703983</v>
      </c>
    </row>
    <row r="4586" spans="1:3">
      <c r="A4586">
        <v>4578</v>
      </c>
      <c r="B4586">
        <v>0.76924673624598583</v>
      </c>
      <c r="C4586">
        <v>0.27801783735412755</v>
      </c>
    </row>
    <row r="4587" spans="1:3">
      <c r="A4587">
        <v>4579</v>
      </c>
      <c r="B4587">
        <v>0.53975519117316118</v>
      </c>
      <c r="C4587">
        <v>0.17070042012255726</v>
      </c>
    </row>
    <row r="4588" spans="1:3">
      <c r="A4588">
        <v>4580</v>
      </c>
      <c r="B4588">
        <v>0.74028985862063468</v>
      </c>
      <c r="C4588">
        <v>0.42621111098378606</v>
      </c>
    </row>
    <row r="4589" spans="1:3">
      <c r="A4589">
        <v>4581</v>
      </c>
      <c r="B4589">
        <v>0.84159106135633577</v>
      </c>
      <c r="C4589">
        <v>1.2831189765165618E-2</v>
      </c>
    </row>
    <row r="4590" spans="1:3">
      <c r="A4590">
        <v>4582</v>
      </c>
      <c r="B4590">
        <v>0.14882980427994155</v>
      </c>
      <c r="C4590">
        <v>0.91235208742000395</v>
      </c>
    </row>
    <row r="4591" spans="1:3">
      <c r="A4591">
        <v>4583</v>
      </c>
      <c r="B4591">
        <v>0.78526942463053151</v>
      </c>
      <c r="C4591">
        <v>0.95497739013353566</v>
      </c>
    </row>
    <row r="4592" spans="1:3">
      <c r="A4592">
        <v>4584</v>
      </c>
      <c r="B4592">
        <v>0.12160039609740497</v>
      </c>
      <c r="C4592">
        <v>0.35198507987843186</v>
      </c>
    </row>
    <row r="4593" spans="1:3">
      <c r="A4593">
        <v>4585</v>
      </c>
      <c r="B4593">
        <v>0.55328253292704055</v>
      </c>
      <c r="C4593">
        <v>0.904865826070818</v>
      </c>
    </row>
    <row r="4594" spans="1:3">
      <c r="A4594">
        <v>4586</v>
      </c>
      <c r="B4594">
        <v>0.18770733082539107</v>
      </c>
      <c r="C4594">
        <v>0.17089530971952627</v>
      </c>
    </row>
    <row r="4595" spans="1:3">
      <c r="A4595">
        <v>4587</v>
      </c>
      <c r="B4595">
        <v>0.94300215699342138</v>
      </c>
      <c r="C4595">
        <v>0.79741009145072894</v>
      </c>
    </row>
    <row r="4596" spans="1:3">
      <c r="A4596">
        <v>4588</v>
      </c>
      <c r="B4596">
        <v>0.86678854513647696</v>
      </c>
      <c r="C4596">
        <v>0.41154959702816996</v>
      </c>
    </row>
    <row r="4597" spans="1:3">
      <c r="A4597">
        <v>4589</v>
      </c>
      <c r="B4597">
        <v>0.45980504444376685</v>
      </c>
      <c r="C4597">
        <v>0.95085922631736253</v>
      </c>
    </row>
    <row r="4598" spans="1:3">
      <c r="A4598">
        <v>4590</v>
      </c>
      <c r="B4598">
        <v>0.76160116361170105</v>
      </c>
      <c r="C4598">
        <v>0.45668709005974506</v>
      </c>
    </row>
    <row r="4599" spans="1:3">
      <c r="A4599">
        <v>4591</v>
      </c>
      <c r="B4599">
        <v>0.6616559714945629</v>
      </c>
      <c r="C4599">
        <v>0.4420206046261228</v>
      </c>
    </row>
    <row r="4600" spans="1:3">
      <c r="A4600">
        <v>4592</v>
      </c>
      <c r="B4600">
        <v>0.26886708866694642</v>
      </c>
      <c r="C4600">
        <v>8.2921813080247375E-2</v>
      </c>
    </row>
    <row r="4601" spans="1:3">
      <c r="A4601">
        <v>4593</v>
      </c>
      <c r="B4601">
        <v>9.1896723633002664E-2</v>
      </c>
      <c r="C4601">
        <v>0.12975375193673244</v>
      </c>
    </row>
    <row r="4602" spans="1:3">
      <c r="A4602">
        <v>4594</v>
      </c>
      <c r="B4602">
        <v>0.35910844702453082</v>
      </c>
      <c r="C4602">
        <v>0.20881020375691151</v>
      </c>
    </row>
    <row r="4603" spans="1:3">
      <c r="A4603">
        <v>4595</v>
      </c>
      <c r="B4603">
        <v>0.4330728382683528</v>
      </c>
      <c r="C4603">
        <v>0.47758609033553512</v>
      </c>
    </row>
    <row r="4604" spans="1:3">
      <c r="A4604">
        <v>4596</v>
      </c>
      <c r="B4604">
        <v>0.78455844060391156</v>
      </c>
      <c r="C4604">
        <v>0.91517486963766714</v>
      </c>
    </row>
    <row r="4605" spans="1:3">
      <c r="A4605">
        <v>4597</v>
      </c>
      <c r="B4605">
        <v>0.85180989805935192</v>
      </c>
      <c r="C4605">
        <v>0.72813693008902192</v>
      </c>
    </row>
    <row r="4606" spans="1:3">
      <c r="A4606">
        <v>4598</v>
      </c>
      <c r="B4606">
        <v>0.18495874019976677</v>
      </c>
      <c r="C4606">
        <v>0.43066884106610814</v>
      </c>
    </row>
    <row r="4607" spans="1:3">
      <c r="A4607">
        <v>4599</v>
      </c>
      <c r="B4607">
        <v>0.25756093249259537</v>
      </c>
      <c r="C4607">
        <v>0.93287618266913341</v>
      </c>
    </row>
    <row r="4608" spans="1:3">
      <c r="A4608">
        <v>4600</v>
      </c>
      <c r="B4608">
        <v>0.43015473878140437</v>
      </c>
      <c r="C4608">
        <v>0.40292724534356239</v>
      </c>
    </row>
    <row r="4609" spans="1:3">
      <c r="A4609">
        <v>4601</v>
      </c>
      <c r="B4609">
        <v>0.15158343090014145</v>
      </c>
      <c r="C4609">
        <v>0.35781098055485927</v>
      </c>
    </row>
    <row r="4610" spans="1:3">
      <c r="A4610">
        <v>4602</v>
      </c>
      <c r="B4610">
        <v>0.58797181085668782</v>
      </c>
      <c r="C4610">
        <v>0.76737729078467964</v>
      </c>
    </row>
    <row r="4611" spans="1:3">
      <c r="A4611">
        <v>4603</v>
      </c>
      <c r="B4611">
        <v>0.28099690750283118</v>
      </c>
      <c r="C4611">
        <v>0.16926002218315261</v>
      </c>
    </row>
    <row r="4612" spans="1:3">
      <c r="A4612">
        <v>4604</v>
      </c>
      <c r="B4612">
        <v>0.18514950282516646</v>
      </c>
      <c r="C4612">
        <v>0.59054561421999097</v>
      </c>
    </row>
    <row r="4613" spans="1:3">
      <c r="A4613">
        <v>4605</v>
      </c>
      <c r="B4613">
        <v>0.74937490585967315</v>
      </c>
      <c r="C4613">
        <v>0.22435873159522046</v>
      </c>
    </row>
    <row r="4614" spans="1:3">
      <c r="A4614">
        <v>4606</v>
      </c>
      <c r="B4614">
        <v>0.36401798195932478</v>
      </c>
      <c r="C4614">
        <v>0.31329309671218653</v>
      </c>
    </row>
    <row r="4615" spans="1:3">
      <c r="A4615">
        <v>4607</v>
      </c>
      <c r="B4615">
        <v>0.76547102625548635</v>
      </c>
      <c r="C4615">
        <v>0.44871087670617271</v>
      </c>
    </row>
    <row r="4616" spans="1:3">
      <c r="A4616">
        <v>4608</v>
      </c>
      <c r="B4616">
        <v>0.61413578944046421</v>
      </c>
      <c r="C4616">
        <v>0.18492618233995017</v>
      </c>
    </row>
    <row r="4617" spans="1:3">
      <c r="A4617">
        <v>4609</v>
      </c>
      <c r="B4617">
        <v>0.58406676050044293</v>
      </c>
      <c r="C4617">
        <v>0.31906534892368654</v>
      </c>
    </row>
    <row r="4618" spans="1:3">
      <c r="A4618">
        <v>4610</v>
      </c>
      <c r="B4618">
        <v>8.8398650208674059E-2</v>
      </c>
      <c r="C4618">
        <v>0.34629666637010814</v>
      </c>
    </row>
    <row r="4619" spans="1:3">
      <c r="A4619">
        <v>4611</v>
      </c>
      <c r="B4619">
        <v>0.68985256513195414</v>
      </c>
      <c r="C4619">
        <v>0.38375905102384422</v>
      </c>
    </row>
    <row r="4620" spans="1:3">
      <c r="A4620">
        <v>4612</v>
      </c>
      <c r="B4620">
        <v>7.2324854072817801E-2</v>
      </c>
      <c r="C4620">
        <v>0.35246572854521219</v>
      </c>
    </row>
    <row r="4621" spans="1:3">
      <c r="A4621">
        <v>4613</v>
      </c>
      <c r="B4621">
        <v>2.6156602302742329E-2</v>
      </c>
      <c r="C4621">
        <v>0.26858207689929259</v>
      </c>
    </row>
    <row r="4622" spans="1:3">
      <c r="A4622">
        <v>4614</v>
      </c>
      <c r="B4622">
        <v>0.11763919225578177</v>
      </c>
      <c r="C4622">
        <v>0.87943421051932091</v>
      </c>
    </row>
    <row r="4623" spans="1:3">
      <c r="A4623">
        <v>4615</v>
      </c>
      <c r="B4623">
        <v>0.56686704182696235</v>
      </c>
      <c r="C4623">
        <v>0.91393451532803738</v>
      </c>
    </row>
    <row r="4624" spans="1:3">
      <c r="A4624">
        <v>4616</v>
      </c>
      <c r="B4624">
        <v>0.58657352997529633</v>
      </c>
      <c r="C4624">
        <v>0.82978048352015321</v>
      </c>
    </row>
    <row r="4625" spans="1:3">
      <c r="A4625">
        <v>4617</v>
      </c>
      <c r="B4625">
        <v>0.75153313071600469</v>
      </c>
      <c r="C4625">
        <v>0.44521363534204283</v>
      </c>
    </row>
    <row r="4626" spans="1:3">
      <c r="A4626">
        <v>4618</v>
      </c>
      <c r="B4626">
        <v>0.9409593372156283</v>
      </c>
      <c r="C4626">
        <v>0.40320354485993448</v>
      </c>
    </row>
    <row r="4627" spans="1:3">
      <c r="A4627">
        <v>4619</v>
      </c>
      <c r="B4627">
        <v>0.4406963323841096</v>
      </c>
      <c r="C4627">
        <v>0.80998487551642029</v>
      </c>
    </row>
    <row r="4628" spans="1:3">
      <c r="A4628">
        <v>4620</v>
      </c>
      <c r="B4628">
        <v>0.67726473100834172</v>
      </c>
      <c r="C4628">
        <v>0.2610227776094689</v>
      </c>
    </row>
    <row r="4629" spans="1:3">
      <c r="A4629">
        <v>4621</v>
      </c>
      <c r="B4629">
        <v>0.56736180151155258</v>
      </c>
      <c r="C4629">
        <v>0.35624560777341685</v>
      </c>
    </row>
    <row r="4630" spans="1:3">
      <c r="A4630">
        <v>4622</v>
      </c>
      <c r="B4630">
        <v>0.57782985520107433</v>
      </c>
      <c r="C4630">
        <v>6.2080679856080678E-2</v>
      </c>
    </row>
    <row r="4631" spans="1:3">
      <c r="A4631">
        <v>4623</v>
      </c>
      <c r="B4631">
        <v>6.6447331556083469E-2</v>
      </c>
      <c r="C4631">
        <v>0.51326178652834642</v>
      </c>
    </row>
    <row r="4632" spans="1:3">
      <c r="A4632">
        <v>4624</v>
      </c>
      <c r="B4632">
        <v>0.48384348804090249</v>
      </c>
      <c r="C4632">
        <v>0.23511872402377776</v>
      </c>
    </row>
    <row r="4633" spans="1:3">
      <c r="A4633">
        <v>4625</v>
      </c>
      <c r="B4633">
        <v>0.4189608798527068</v>
      </c>
      <c r="C4633">
        <v>0.29876261418303329</v>
      </c>
    </row>
    <row r="4634" spans="1:3">
      <c r="A4634">
        <v>4626</v>
      </c>
      <c r="B4634">
        <v>0.92250615642958</v>
      </c>
      <c r="C4634">
        <v>0.37353124698529427</v>
      </c>
    </row>
    <row r="4635" spans="1:3">
      <c r="A4635">
        <v>4627</v>
      </c>
      <c r="B4635">
        <v>0.63671624236184088</v>
      </c>
      <c r="C4635">
        <v>0.64804476138851896</v>
      </c>
    </row>
    <row r="4636" spans="1:3">
      <c r="A4636">
        <v>4628</v>
      </c>
      <c r="B4636">
        <v>0.34669036094515826</v>
      </c>
      <c r="C4636">
        <v>0.39048382011060312</v>
      </c>
    </row>
    <row r="4637" spans="1:3">
      <c r="A4637">
        <v>4629</v>
      </c>
      <c r="B4637">
        <v>0.32032865627774243</v>
      </c>
      <c r="C4637">
        <v>0.87882370456009085</v>
      </c>
    </row>
    <row r="4638" spans="1:3">
      <c r="A4638">
        <v>4630</v>
      </c>
      <c r="B4638">
        <v>0.36238189269690352</v>
      </c>
      <c r="C4638">
        <v>0.42535537319054129</v>
      </c>
    </row>
    <row r="4639" spans="1:3">
      <c r="A4639">
        <v>4631</v>
      </c>
      <c r="B4639">
        <v>0.31027294044999237</v>
      </c>
      <c r="C4639">
        <v>0.58489146145714699</v>
      </c>
    </row>
    <row r="4640" spans="1:3">
      <c r="A4640">
        <v>4632</v>
      </c>
      <c r="B4640">
        <v>0.94231323726971472</v>
      </c>
      <c r="C4640">
        <v>0.80418329315398296</v>
      </c>
    </row>
    <row r="4641" spans="1:3">
      <c r="A4641">
        <v>4633</v>
      </c>
      <c r="B4641">
        <v>0.45673697536716634</v>
      </c>
      <c r="C4641">
        <v>0.52629446023001947</v>
      </c>
    </row>
    <row r="4642" spans="1:3">
      <c r="A4642">
        <v>4634</v>
      </c>
      <c r="B4642">
        <v>0.32254152182618662</v>
      </c>
      <c r="C4642">
        <v>0.87711426589521579</v>
      </c>
    </row>
    <row r="4643" spans="1:3">
      <c r="A4643">
        <v>4635</v>
      </c>
      <c r="B4643">
        <v>0.50642736922666132</v>
      </c>
      <c r="C4643">
        <v>8.8910971101540781E-2</v>
      </c>
    </row>
    <row r="4644" spans="1:3">
      <c r="A4644">
        <v>4636</v>
      </c>
      <c r="B4644">
        <v>0.99754741484377241</v>
      </c>
      <c r="C4644">
        <v>0.56542582192378177</v>
      </c>
    </row>
    <row r="4645" spans="1:3">
      <c r="A4645">
        <v>4637</v>
      </c>
      <c r="B4645">
        <v>0.44663943215525698</v>
      </c>
      <c r="C4645">
        <v>0.91428970989818481</v>
      </c>
    </row>
    <row r="4646" spans="1:3">
      <c r="A4646">
        <v>4638</v>
      </c>
      <c r="B4646">
        <v>0.92845023627002954</v>
      </c>
      <c r="C4646">
        <v>0.58524070083876722</v>
      </c>
    </row>
    <row r="4647" spans="1:3">
      <c r="A4647">
        <v>4639</v>
      </c>
      <c r="B4647">
        <v>0.6950545243553945</v>
      </c>
      <c r="C4647">
        <v>8.6368487237450609E-2</v>
      </c>
    </row>
    <row r="4648" spans="1:3">
      <c r="A4648">
        <v>4640</v>
      </c>
      <c r="B4648">
        <v>0.15235477588557517</v>
      </c>
      <c r="C4648">
        <v>0.93712119015799544</v>
      </c>
    </row>
    <row r="4649" spans="1:3">
      <c r="A4649">
        <v>4641</v>
      </c>
      <c r="B4649">
        <v>0.69751995026024993</v>
      </c>
      <c r="C4649">
        <v>0.17131262101702305</v>
      </c>
    </row>
    <row r="4650" spans="1:3">
      <c r="A4650">
        <v>4642</v>
      </c>
      <c r="B4650">
        <v>6.476921457591682E-2</v>
      </c>
      <c r="C4650">
        <v>0.77242809677409241</v>
      </c>
    </row>
    <row r="4651" spans="1:3">
      <c r="A4651">
        <v>4643</v>
      </c>
      <c r="B4651">
        <v>0.44292875442810564</v>
      </c>
      <c r="C4651">
        <v>0.1560563597113287</v>
      </c>
    </row>
    <row r="4652" spans="1:3">
      <c r="A4652">
        <v>4644</v>
      </c>
      <c r="B4652">
        <v>0.57636974167497124</v>
      </c>
      <c r="C4652">
        <v>0.78204687405741424</v>
      </c>
    </row>
    <row r="4653" spans="1:3">
      <c r="A4653">
        <v>4645</v>
      </c>
      <c r="B4653">
        <v>0.82316075832926694</v>
      </c>
      <c r="C4653">
        <v>0.28478810545402666</v>
      </c>
    </row>
    <row r="4654" spans="1:3">
      <c r="A4654">
        <v>4646</v>
      </c>
      <c r="B4654">
        <v>0.99984674193962642</v>
      </c>
      <c r="C4654">
        <v>0.4389141152478544</v>
      </c>
    </row>
    <row r="4655" spans="1:3">
      <c r="A4655">
        <v>4647</v>
      </c>
      <c r="B4655">
        <v>0.8216497420686879</v>
      </c>
      <c r="C4655">
        <v>0.43777127330758958</v>
      </c>
    </row>
    <row r="4656" spans="1:3">
      <c r="A4656">
        <v>4648</v>
      </c>
      <c r="B4656">
        <v>0.82964456835869804</v>
      </c>
      <c r="C4656">
        <v>0.96118520160962362</v>
      </c>
    </row>
    <row r="4657" spans="1:3">
      <c r="A4657">
        <v>4649</v>
      </c>
      <c r="B4657">
        <v>0.23837512651741857</v>
      </c>
      <c r="C4657">
        <v>0.38650105819669989</v>
      </c>
    </row>
    <row r="4658" spans="1:3">
      <c r="A4658">
        <v>4650</v>
      </c>
      <c r="B4658">
        <v>0.65676016996269115</v>
      </c>
      <c r="C4658">
        <v>0.44859299911513517</v>
      </c>
    </row>
    <row r="4659" spans="1:3">
      <c r="A4659">
        <v>4651</v>
      </c>
      <c r="B4659">
        <v>0.76064659321956485</v>
      </c>
      <c r="C4659">
        <v>0.6039570086331878</v>
      </c>
    </row>
    <row r="4660" spans="1:3">
      <c r="A4660">
        <v>4652</v>
      </c>
      <c r="B4660">
        <v>8.2867603692567821E-2</v>
      </c>
      <c r="C4660">
        <v>0.58350566048829933</v>
      </c>
    </row>
    <row r="4661" spans="1:3">
      <c r="A4661">
        <v>4653</v>
      </c>
      <c r="B4661">
        <v>7.874018518504225E-2</v>
      </c>
      <c r="C4661">
        <v>0.95319390268468851</v>
      </c>
    </row>
    <row r="4662" spans="1:3">
      <c r="A4662">
        <v>4654</v>
      </c>
      <c r="B4662">
        <v>0.86484866713584596</v>
      </c>
      <c r="C4662">
        <v>0.62695257786072034</v>
      </c>
    </row>
    <row r="4663" spans="1:3">
      <c r="A4663">
        <v>4655</v>
      </c>
      <c r="B4663">
        <v>0.14340508661377363</v>
      </c>
      <c r="C4663">
        <v>0.22077704147613986</v>
      </c>
    </row>
    <row r="4664" spans="1:3">
      <c r="A4664">
        <v>4656</v>
      </c>
      <c r="B4664">
        <v>3.1601519065490344E-2</v>
      </c>
      <c r="C4664">
        <v>0.30375900389481103</v>
      </c>
    </row>
    <row r="4665" spans="1:3">
      <c r="A4665">
        <v>4657</v>
      </c>
      <c r="B4665">
        <v>0.92286554545291366</v>
      </c>
      <c r="C4665">
        <v>0.92234016838028765</v>
      </c>
    </row>
    <row r="4666" spans="1:3">
      <c r="A4666">
        <v>4658</v>
      </c>
      <c r="B4666">
        <v>5.1933833916190511E-2</v>
      </c>
      <c r="C4666">
        <v>0.47095851063386363</v>
      </c>
    </row>
    <row r="4667" spans="1:3">
      <c r="A4667">
        <v>4659</v>
      </c>
      <c r="B4667">
        <v>0.52263237613584668</v>
      </c>
      <c r="C4667">
        <v>1.2356357107819349E-2</v>
      </c>
    </row>
    <row r="4668" spans="1:3">
      <c r="A4668">
        <v>4660</v>
      </c>
      <c r="B4668">
        <v>0.14134012205422394</v>
      </c>
      <c r="C4668">
        <v>1.3184487728722161E-2</v>
      </c>
    </row>
    <row r="4669" spans="1:3">
      <c r="A4669">
        <v>4661</v>
      </c>
      <c r="B4669">
        <v>0.29436636783833764</v>
      </c>
      <c r="C4669">
        <v>0.74078683495372388</v>
      </c>
    </row>
    <row r="4670" spans="1:3">
      <c r="A4670">
        <v>4662</v>
      </c>
      <c r="B4670">
        <v>0.81124253798435497</v>
      </c>
      <c r="C4670">
        <v>0.63942694782417675</v>
      </c>
    </row>
    <row r="4671" spans="1:3">
      <c r="A4671">
        <v>4663</v>
      </c>
      <c r="B4671">
        <v>0.67554680333494832</v>
      </c>
      <c r="C4671">
        <v>0.47166656487479486</v>
      </c>
    </row>
    <row r="4672" spans="1:3">
      <c r="A4672">
        <v>4664</v>
      </c>
      <c r="B4672">
        <v>0.28403856670130939</v>
      </c>
      <c r="C4672">
        <v>0.10711445749620907</v>
      </c>
    </row>
    <row r="4673" spans="1:3">
      <c r="A4673">
        <v>4665</v>
      </c>
      <c r="B4673">
        <v>0.34035450011337048</v>
      </c>
      <c r="C4673">
        <v>0.31656254877725587</v>
      </c>
    </row>
    <row r="4674" spans="1:3">
      <c r="A4674">
        <v>4666</v>
      </c>
      <c r="B4674">
        <v>0.18268545692970173</v>
      </c>
      <c r="C4674">
        <v>0.11990558786237671</v>
      </c>
    </row>
    <row r="4675" spans="1:3">
      <c r="A4675">
        <v>4667</v>
      </c>
      <c r="B4675">
        <v>0.92346642313899152</v>
      </c>
      <c r="C4675">
        <v>0.87379490865441767</v>
      </c>
    </row>
    <row r="4676" spans="1:3">
      <c r="A4676">
        <v>4668</v>
      </c>
      <c r="B4676">
        <v>0.91329866777129898</v>
      </c>
      <c r="C4676">
        <v>6.3291824280895526E-2</v>
      </c>
    </row>
    <row r="4677" spans="1:3">
      <c r="A4677">
        <v>4669</v>
      </c>
      <c r="B4677">
        <v>0.43612937238806143</v>
      </c>
      <c r="C4677">
        <v>0.37814045070899738</v>
      </c>
    </row>
    <row r="4678" spans="1:3">
      <c r="A4678">
        <v>4670</v>
      </c>
      <c r="B4678">
        <v>0.62854224452174789</v>
      </c>
      <c r="C4678">
        <v>0.54115331105822406</v>
      </c>
    </row>
    <row r="4679" spans="1:3">
      <c r="A4679">
        <v>4671</v>
      </c>
      <c r="B4679">
        <v>0.49438514161435543</v>
      </c>
      <c r="C4679">
        <v>0.80901265951342793</v>
      </c>
    </row>
    <row r="4680" spans="1:3">
      <c r="A4680">
        <v>4672</v>
      </c>
      <c r="B4680">
        <v>0.54613523278719167</v>
      </c>
      <c r="C4680">
        <v>0.831654623652895</v>
      </c>
    </row>
    <row r="4681" spans="1:3">
      <c r="A4681">
        <v>4673</v>
      </c>
      <c r="B4681">
        <v>4.6632389696322475E-2</v>
      </c>
      <c r="C4681">
        <v>0.23223508416958794</v>
      </c>
    </row>
    <row r="4682" spans="1:3">
      <c r="A4682">
        <v>4674</v>
      </c>
      <c r="B4682">
        <v>0.95169214349591458</v>
      </c>
      <c r="C4682">
        <v>0.14962749428468669</v>
      </c>
    </row>
    <row r="4683" spans="1:3">
      <c r="A4683">
        <v>4675</v>
      </c>
      <c r="B4683">
        <v>6.9709988673895135E-2</v>
      </c>
      <c r="C4683">
        <v>0.84045443789364072</v>
      </c>
    </row>
    <row r="4684" spans="1:3">
      <c r="A4684">
        <v>4676</v>
      </c>
      <c r="B4684">
        <v>0.22169828908282757</v>
      </c>
      <c r="C4684">
        <v>0.98935863612406649</v>
      </c>
    </row>
    <row r="4685" spans="1:3">
      <c r="A4685">
        <v>4677</v>
      </c>
      <c r="B4685">
        <v>0.73957152105788038</v>
      </c>
      <c r="C4685">
        <v>0.65039822784774515</v>
      </c>
    </row>
    <row r="4686" spans="1:3">
      <c r="A4686">
        <v>4678</v>
      </c>
      <c r="B4686">
        <v>0.84210478063256122</v>
      </c>
      <c r="C4686">
        <v>0.96921431346072495</v>
      </c>
    </row>
    <row r="4687" spans="1:3">
      <c r="A4687">
        <v>4679</v>
      </c>
      <c r="B4687">
        <v>0.54185611959375823</v>
      </c>
      <c r="C4687">
        <v>5.7714425900485367E-2</v>
      </c>
    </row>
    <row r="4688" spans="1:3">
      <c r="A4688">
        <v>4680</v>
      </c>
      <c r="B4688">
        <v>0.11892635202834531</v>
      </c>
      <c r="C4688">
        <v>0.32697520067722508</v>
      </c>
    </row>
    <row r="4689" spans="1:3">
      <c r="A4689">
        <v>4681</v>
      </c>
      <c r="B4689">
        <v>0.94850284397199358</v>
      </c>
      <c r="C4689">
        <v>0.21315202311416215</v>
      </c>
    </row>
    <row r="4690" spans="1:3">
      <c r="A4690">
        <v>4682</v>
      </c>
      <c r="B4690">
        <v>0.6920300526531018</v>
      </c>
      <c r="C4690">
        <v>0.89763141387538781</v>
      </c>
    </row>
    <row r="4691" spans="1:3">
      <c r="A4691">
        <v>4683</v>
      </c>
      <c r="B4691">
        <v>0.57871095542272344</v>
      </c>
      <c r="C4691">
        <v>0.17257318838164792</v>
      </c>
    </row>
    <row r="4692" spans="1:3">
      <c r="A4692">
        <v>4684</v>
      </c>
      <c r="B4692">
        <v>0.85484591516560082</v>
      </c>
      <c r="C4692">
        <v>0.92062994522621011</v>
      </c>
    </row>
    <row r="4693" spans="1:3">
      <c r="A4693">
        <v>4685</v>
      </c>
      <c r="B4693">
        <v>0.94885589482655197</v>
      </c>
      <c r="C4693">
        <v>0.22880700067616999</v>
      </c>
    </row>
    <row r="4694" spans="1:3">
      <c r="A4694">
        <v>4686</v>
      </c>
      <c r="B4694">
        <v>0.57758461760012081</v>
      </c>
      <c r="C4694">
        <v>0.64199257985728764</v>
      </c>
    </row>
    <row r="4695" spans="1:3">
      <c r="A4695">
        <v>4687</v>
      </c>
      <c r="B4695">
        <v>0.9993497651514015</v>
      </c>
      <c r="C4695">
        <v>0.75866497508286557</v>
      </c>
    </row>
    <row r="4696" spans="1:3">
      <c r="A4696">
        <v>4688</v>
      </c>
      <c r="B4696">
        <v>0.37435462059191305</v>
      </c>
      <c r="C4696">
        <v>0.15657656423445587</v>
      </c>
    </row>
    <row r="4697" spans="1:3">
      <c r="A4697">
        <v>4689</v>
      </c>
      <c r="B4697">
        <v>0.92459723384780734</v>
      </c>
      <c r="C4697">
        <v>0.966947789889673</v>
      </c>
    </row>
    <row r="4698" spans="1:3">
      <c r="A4698">
        <v>4690</v>
      </c>
      <c r="B4698">
        <v>9.7018915876843706E-2</v>
      </c>
      <c r="C4698">
        <v>0.24672587768054655</v>
      </c>
    </row>
    <row r="4699" spans="1:3">
      <c r="A4699">
        <v>4691</v>
      </c>
      <c r="B4699">
        <v>0.15567134223800883</v>
      </c>
      <c r="C4699">
        <v>0.7410739430324611</v>
      </c>
    </row>
    <row r="4700" spans="1:3">
      <c r="A4700">
        <v>4692</v>
      </c>
      <c r="B4700">
        <v>0.55491399700914368</v>
      </c>
      <c r="C4700">
        <v>0.24721140002020547</v>
      </c>
    </row>
    <row r="4701" spans="1:3">
      <c r="A4701">
        <v>4693</v>
      </c>
      <c r="B4701">
        <v>0.60570050145576249</v>
      </c>
      <c r="C4701">
        <v>0.9668349384519388</v>
      </c>
    </row>
    <row r="4702" spans="1:3">
      <c r="A4702">
        <v>4694</v>
      </c>
      <c r="B4702">
        <v>0.25880871888036111</v>
      </c>
      <c r="C4702">
        <v>0.74771378420246037</v>
      </c>
    </row>
    <row r="4703" spans="1:3">
      <c r="A4703">
        <v>4695</v>
      </c>
      <c r="B4703">
        <v>0.16767630478252571</v>
      </c>
      <c r="C4703">
        <v>0.37906122094500461</v>
      </c>
    </row>
    <row r="4704" spans="1:3">
      <c r="A4704">
        <v>4696</v>
      </c>
      <c r="B4704">
        <v>0.94964027143792262</v>
      </c>
      <c r="C4704">
        <v>0.35641077483069239</v>
      </c>
    </row>
    <row r="4705" spans="1:3">
      <c r="A4705">
        <v>4697</v>
      </c>
      <c r="B4705">
        <v>0.69944308455531556</v>
      </c>
      <c r="C4705">
        <v>0.3455997376859159</v>
      </c>
    </row>
    <row r="4706" spans="1:3">
      <c r="A4706">
        <v>4698</v>
      </c>
      <c r="B4706">
        <v>0.64716913972608026</v>
      </c>
      <c r="C4706">
        <v>0.54309036778522568</v>
      </c>
    </row>
    <row r="4707" spans="1:3">
      <c r="A4707">
        <v>4699</v>
      </c>
      <c r="B4707">
        <v>0.49303961597844947</v>
      </c>
      <c r="C4707">
        <v>2.5671854127736538E-2</v>
      </c>
    </row>
    <row r="4708" spans="1:3">
      <c r="A4708">
        <v>4700</v>
      </c>
      <c r="B4708">
        <v>0.38233219246369138</v>
      </c>
      <c r="C4708">
        <v>0.97678176491535851</v>
      </c>
    </row>
    <row r="4709" spans="1:3">
      <c r="A4709">
        <v>4701</v>
      </c>
      <c r="B4709">
        <v>0.10222862240994084</v>
      </c>
      <c r="C4709">
        <v>0.10321414315603761</v>
      </c>
    </row>
    <row r="4710" spans="1:3">
      <c r="A4710">
        <v>4702</v>
      </c>
      <c r="B4710">
        <v>0.97410626085705732</v>
      </c>
      <c r="C4710">
        <v>0.38985032294294797</v>
      </c>
    </row>
    <row r="4711" spans="1:3">
      <c r="A4711">
        <v>4703</v>
      </c>
      <c r="B4711">
        <v>0.42333083967378615</v>
      </c>
      <c r="C4711">
        <v>0.27385778809821204</v>
      </c>
    </row>
    <row r="4712" spans="1:3">
      <c r="A4712">
        <v>4704</v>
      </c>
      <c r="B4712">
        <v>0.8224428083391494</v>
      </c>
      <c r="C4712">
        <v>0.37889228900348826</v>
      </c>
    </row>
    <row r="4713" spans="1:3">
      <c r="A4713">
        <v>4705</v>
      </c>
      <c r="B4713">
        <v>0.44126388515156323</v>
      </c>
      <c r="C4713">
        <v>9.1961011658895586E-2</v>
      </c>
    </row>
    <row r="4714" spans="1:3">
      <c r="A4714">
        <v>4706</v>
      </c>
      <c r="B4714">
        <v>0.39657022811695242</v>
      </c>
      <c r="C4714">
        <v>0.78782517739819014</v>
      </c>
    </row>
    <row r="4715" spans="1:3">
      <c r="A4715">
        <v>4707</v>
      </c>
      <c r="B4715">
        <v>0.50044794409774429</v>
      </c>
      <c r="C4715">
        <v>4.3129704564307758E-2</v>
      </c>
    </row>
    <row r="4716" spans="1:3">
      <c r="A4716">
        <v>4708</v>
      </c>
      <c r="B4716">
        <v>0.25352179109140344</v>
      </c>
      <c r="C4716">
        <v>0.39050780437537469</v>
      </c>
    </row>
    <row r="4717" spans="1:3">
      <c r="A4717">
        <v>4709</v>
      </c>
      <c r="B4717">
        <v>0.82193428049691353</v>
      </c>
      <c r="C4717">
        <v>0.6446496462185678</v>
      </c>
    </row>
    <row r="4718" spans="1:3">
      <c r="A4718">
        <v>4710</v>
      </c>
      <c r="B4718">
        <v>0.62107398569441252</v>
      </c>
      <c r="C4718">
        <v>2.4931180576459155E-2</v>
      </c>
    </row>
    <row r="4719" spans="1:3">
      <c r="A4719">
        <v>4711</v>
      </c>
      <c r="B4719">
        <v>0.28543709657751887</v>
      </c>
      <c r="C4719">
        <v>0.27465414345078898</v>
      </c>
    </row>
    <row r="4720" spans="1:3">
      <c r="A4720">
        <v>4712</v>
      </c>
      <c r="B4720">
        <v>0.61864015825824814</v>
      </c>
      <c r="C4720">
        <v>0.3117126887991617</v>
      </c>
    </row>
    <row r="4721" spans="1:3">
      <c r="A4721">
        <v>4713</v>
      </c>
      <c r="B4721">
        <v>0.28334623585835711</v>
      </c>
      <c r="C4721">
        <v>0.92270697905678389</v>
      </c>
    </row>
    <row r="4722" spans="1:3">
      <c r="A4722">
        <v>4714</v>
      </c>
      <c r="B4722">
        <v>0.26051095844072081</v>
      </c>
      <c r="C4722">
        <v>0.38530104324854619</v>
      </c>
    </row>
    <row r="4723" spans="1:3">
      <c r="A4723">
        <v>4715</v>
      </c>
      <c r="B4723">
        <v>0.58897267337212633</v>
      </c>
      <c r="C4723">
        <v>0.26179317510923283</v>
      </c>
    </row>
    <row r="4724" spans="1:3">
      <c r="A4724">
        <v>4716</v>
      </c>
      <c r="B4724">
        <v>0.25331249788247806</v>
      </c>
      <c r="C4724">
        <v>0.3483894855962717</v>
      </c>
    </row>
    <row r="4725" spans="1:3">
      <c r="A4725">
        <v>4717</v>
      </c>
      <c r="B4725">
        <v>7.9805117403530773E-2</v>
      </c>
      <c r="C4725">
        <v>0.78209427279489319</v>
      </c>
    </row>
    <row r="4726" spans="1:3">
      <c r="A4726">
        <v>4718</v>
      </c>
      <c r="B4726">
        <v>0.33585395215131664</v>
      </c>
      <c r="C4726">
        <v>6.3728644456205075E-2</v>
      </c>
    </row>
    <row r="4727" spans="1:3">
      <c r="A4727">
        <v>4719</v>
      </c>
      <c r="B4727">
        <v>0.29082955628913582</v>
      </c>
      <c r="C4727">
        <v>0.47910560556738346</v>
      </c>
    </row>
    <row r="4728" spans="1:3">
      <c r="A4728">
        <v>4720</v>
      </c>
      <c r="B4728">
        <v>0.25931943258985862</v>
      </c>
      <c r="C4728">
        <v>0.44900361897543917</v>
      </c>
    </row>
    <row r="4729" spans="1:3">
      <c r="A4729">
        <v>4721</v>
      </c>
      <c r="B4729">
        <v>0.10348630627134962</v>
      </c>
      <c r="C4729">
        <v>0.25132587209373014</v>
      </c>
    </row>
    <row r="4730" spans="1:3">
      <c r="A4730">
        <v>4722</v>
      </c>
      <c r="B4730">
        <v>0.95055800307061478</v>
      </c>
      <c r="C4730">
        <v>0.31277755296832765</v>
      </c>
    </row>
    <row r="4731" spans="1:3">
      <c r="A4731">
        <v>4723</v>
      </c>
      <c r="B4731">
        <v>0.58229639017109214</v>
      </c>
      <c r="C4731">
        <v>0.62262412335167028</v>
      </c>
    </row>
    <row r="4732" spans="1:3">
      <c r="A4732">
        <v>4724</v>
      </c>
      <c r="B4732">
        <v>0.59356240781726377</v>
      </c>
      <c r="C4732">
        <v>0.14375610204842815</v>
      </c>
    </row>
    <row r="4733" spans="1:3">
      <c r="A4733">
        <v>4725</v>
      </c>
      <c r="B4733">
        <v>0.74833184028797128</v>
      </c>
      <c r="C4733">
        <v>0.8761694536815412</v>
      </c>
    </row>
    <row r="4734" spans="1:3">
      <c r="A4734">
        <v>4726</v>
      </c>
      <c r="B4734">
        <v>0.18050878961610348</v>
      </c>
      <c r="C4734">
        <v>0.26906592915474903</v>
      </c>
    </row>
    <row r="4735" spans="1:3">
      <c r="A4735">
        <v>4727</v>
      </c>
      <c r="B4735">
        <v>0.2200259901182321</v>
      </c>
      <c r="C4735">
        <v>0.62269398784246732</v>
      </c>
    </row>
    <row r="4736" spans="1:3">
      <c r="A4736">
        <v>4728</v>
      </c>
      <c r="B4736">
        <v>0.82666185651041146</v>
      </c>
      <c r="C4736">
        <v>0.20759225713300111</v>
      </c>
    </row>
    <row r="4737" spans="1:3">
      <c r="A4737">
        <v>4729</v>
      </c>
      <c r="B4737">
        <v>0.19914295392947806</v>
      </c>
      <c r="C4737">
        <v>0.90482524215349258</v>
      </c>
    </row>
    <row r="4738" spans="1:3">
      <c r="A4738">
        <v>4730</v>
      </c>
      <c r="B4738">
        <v>0.64925105613000955</v>
      </c>
      <c r="C4738">
        <v>0.88309237330759061</v>
      </c>
    </row>
    <row r="4739" spans="1:3">
      <c r="A4739">
        <v>4731</v>
      </c>
      <c r="B4739">
        <v>0.85769926261662022</v>
      </c>
      <c r="C4739">
        <v>0.21940299709149258</v>
      </c>
    </row>
    <row r="4740" spans="1:3">
      <c r="A4740">
        <v>4732</v>
      </c>
      <c r="B4740">
        <v>0.50441294607878961</v>
      </c>
      <c r="C4740">
        <v>0.97473398012334656</v>
      </c>
    </row>
    <row r="4741" spans="1:3">
      <c r="A4741">
        <v>4733</v>
      </c>
      <c r="B4741">
        <v>0.1087517215819917</v>
      </c>
      <c r="C4741">
        <v>0.44864738435080653</v>
      </c>
    </row>
    <row r="4742" spans="1:3">
      <c r="A4742">
        <v>4734</v>
      </c>
      <c r="B4742">
        <v>0.51973038906616398</v>
      </c>
      <c r="C4742">
        <v>0.22101230511179892</v>
      </c>
    </row>
    <row r="4743" spans="1:3">
      <c r="A4743">
        <v>4735</v>
      </c>
      <c r="B4743">
        <v>0.81650139744652006</v>
      </c>
      <c r="C4743">
        <v>0.5589154053841412</v>
      </c>
    </row>
    <row r="4744" spans="1:3">
      <c r="A4744">
        <v>4736</v>
      </c>
      <c r="B4744">
        <v>0.92192122815682576</v>
      </c>
      <c r="C4744">
        <v>2.4528953204935533E-2</v>
      </c>
    </row>
    <row r="4745" spans="1:3">
      <c r="A4745">
        <v>4737</v>
      </c>
      <c r="B4745">
        <v>0.78796611291127416</v>
      </c>
      <c r="C4745">
        <v>0.92006910989312019</v>
      </c>
    </row>
    <row r="4746" spans="1:3">
      <c r="A4746">
        <v>4738</v>
      </c>
      <c r="B4746">
        <v>0.33722663817871978</v>
      </c>
      <c r="C4746">
        <v>9.236103144576191E-2</v>
      </c>
    </row>
    <row r="4747" spans="1:3">
      <c r="A4747">
        <v>4739</v>
      </c>
      <c r="B4747">
        <v>0.76911464359143622</v>
      </c>
      <c r="C4747">
        <v>1.7852739386398753E-2</v>
      </c>
    </row>
    <row r="4748" spans="1:3">
      <c r="A4748">
        <v>4740</v>
      </c>
      <c r="B4748">
        <v>4.8704837839422942E-2</v>
      </c>
      <c r="C4748">
        <v>0.43432954465060902</v>
      </c>
    </row>
    <row r="4749" spans="1:3">
      <c r="A4749">
        <v>4741</v>
      </c>
      <c r="B4749">
        <v>0.14373563347592383</v>
      </c>
      <c r="C4749">
        <v>0.13926799412092805</v>
      </c>
    </row>
    <row r="4750" spans="1:3">
      <c r="A4750">
        <v>4742</v>
      </c>
      <c r="B4750">
        <v>0.9550433869780609</v>
      </c>
      <c r="C4750">
        <v>0.5032949754386209</v>
      </c>
    </row>
    <row r="4751" spans="1:3">
      <c r="A4751">
        <v>4743</v>
      </c>
      <c r="B4751">
        <v>6.4392904408646964E-2</v>
      </c>
      <c r="C4751">
        <v>0.7013728373012782</v>
      </c>
    </row>
    <row r="4752" spans="1:3">
      <c r="A4752">
        <v>4744</v>
      </c>
      <c r="B4752">
        <v>0.82614868590965596</v>
      </c>
      <c r="C4752">
        <v>0.23550822431025153</v>
      </c>
    </row>
    <row r="4753" spans="1:3">
      <c r="A4753">
        <v>4745</v>
      </c>
      <c r="B4753">
        <v>0.95011767763805532</v>
      </c>
      <c r="C4753">
        <v>0.71124726800644567</v>
      </c>
    </row>
    <row r="4754" spans="1:3">
      <c r="A4754">
        <v>4746</v>
      </c>
      <c r="B4754">
        <v>0.42666613571962014</v>
      </c>
      <c r="C4754">
        <v>0.70142667024992988</v>
      </c>
    </row>
    <row r="4755" spans="1:3">
      <c r="A4755">
        <v>4747</v>
      </c>
      <c r="B4755">
        <v>0.15305696794401316</v>
      </c>
      <c r="C4755">
        <v>0.92498997027632868</v>
      </c>
    </row>
    <row r="4756" spans="1:3">
      <c r="A4756">
        <v>4748</v>
      </c>
      <c r="B4756">
        <v>0.19329730866651454</v>
      </c>
      <c r="C4756">
        <v>0.14473415026259318</v>
      </c>
    </row>
    <row r="4757" spans="1:3">
      <c r="A4757">
        <v>4749</v>
      </c>
      <c r="B4757">
        <v>0.5618657311172377</v>
      </c>
      <c r="C4757">
        <v>0.71567060775942082</v>
      </c>
    </row>
    <row r="4758" spans="1:3">
      <c r="A4758">
        <v>4750</v>
      </c>
      <c r="B4758">
        <v>0.86315395786570248</v>
      </c>
      <c r="C4758">
        <v>0.57828766620514216</v>
      </c>
    </row>
    <row r="4759" spans="1:3">
      <c r="A4759">
        <v>4751</v>
      </c>
      <c r="B4759">
        <v>0.53857780187269155</v>
      </c>
      <c r="C4759">
        <v>0.71937748293112236</v>
      </c>
    </row>
    <row r="4760" spans="1:3">
      <c r="A4760">
        <v>4752</v>
      </c>
      <c r="B4760">
        <v>0.60073765835145898</v>
      </c>
      <c r="C4760">
        <v>0.15915330403731787</v>
      </c>
    </row>
    <row r="4761" spans="1:3">
      <c r="A4761">
        <v>4753</v>
      </c>
      <c r="B4761">
        <v>0.45608380756328909</v>
      </c>
      <c r="C4761">
        <v>0.35878255674469983</v>
      </c>
    </row>
    <row r="4762" spans="1:3">
      <c r="A4762">
        <v>4754</v>
      </c>
      <c r="B4762">
        <v>0.27732166082852561</v>
      </c>
      <c r="C4762">
        <v>0.30923472530685103</v>
      </c>
    </row>
    <row r="4763" spans="1:3">
      <c r="A4763">
        <v>4755</v>
      </c>
      <c r="B4763">
        <v>0.33150907415349712</v>
      </c>
      <c r="C4763">
        <v>0.77158892945044499</v>
      </c>
    </row>
    <row r="4764" spans="1:3">
      <c r="A4764">
        <v>4756</v>
      </c>
      <c r="B4764">
        <v>7.0182687477251208E-3</v>
      </c>
      <c r="C4764">
        <v>0.89104124779714766</v>
      </c>
    </row>
    <row r="4765" spans="1:3">
      <c r="A4765">
        <v>4757</v>
      </c>
      <c r="B4765">
        <v>0.56433075397944332</v>
      </c>
      <c r="C4765">
        <v>0.1320866627174837</v>
      </c>
    </row>
    <row r="4766" spans="1:3">
      <c r="A4766">
        <v>4758</v>
      </c>
      <c r="B4766">
        <v>0.37708216852575593</v>
      </c>
      <c r="C4766">
        <v>0.16824258571341488</v>
      </c>
    </row>
    <row r="4767" spans="1:3">
      <c r="A4767">
        <v>4759</v>
      </c>
      <c r="B4767">
        <v>0.92554568105934776</v>
      </c>
      <c r="C4767">
        <v>0.20568479459871014</v>
      </c>
    </row>
    <row r="4768" spans="1:3">
      <c r="A4768">
        <v>4760</v>
      </c>
      <c r="B4768">
        <v>0.49467421887798102</v>
      </c>
      <c r="C4768">
        <v>0.21957090211890318</v>
      </c>
    </row>
    <row r="4769" spans="1:3">
      <c r="A4769">
        <v>4761</v>
      </c>
      <c r="B4769">
        <v>0.20574270885692508</v>
      </c>
      <c r="C4769">
        <v>0.74836533816414885</v>
      </c>
    </row>
    <row r="4770" spans="1:3">
      <c r="A4770">
        <v>4762</v>
      </c>
      <c r="B4770">
        <v>2.8388540065472138E-3</v>
      </c>
      <c r="C4770">
        <v>0.36381068991886423</v>
      </c>
    </row>
    <row r="4771" spans="1:3">
      <c r="A4771">
        <v>4763</v>
      </c>
      <c r="B4771">
        <v>0.2522725318152626</v>
      </c>
      <c r="C4771">
        <v>0.75518134317280783</v>
      </c>
    </row>
    <row r="4772" spans="1:3">
      <c r="A4772">
        <v>4764</v>
      </c>
      <c r="B4772">
        <v>0.68520169315473212</v>
      </c>
      <c r="C4772">
        <v>0.23563349830965308</v>
      </c>
    </row>
    <row r="4773" spans="1:3">
      <c r="A4773">
        <v>4765</v>
      </c>
      <c r="B4773">
        <v>0.83991480273267138</v>
      </c>
      <c r="C4773">
        <v>0.47926942733829492</v>
      </c>
    </row>
    <row r="4774" spans="1:3">
      <c r="A4774">
        <v>4766</v>
      </c>
      <c r="B4774">
        <v>9.7460934843369984E-2</v>
      </c>
      <c r="C4774">
        <v>0.71190722894152714</v>
      </c>
    </row>
    <row r="4775" spans="1:3">
      <c r="A4775">
        <v>4767</v>
      </c>
      <c r="B4775">
        <v>0.11960558064300697</v>
      </c>
      <c r="C4775">
        <v>0.36114647195608995</v>
      </c>
    </row>
    <row r="4776" spans="1:3">
      <c r="A4776">
        <v>4768</v>
      </c>
      <c r="B4776">
        <v>0.17320974769443501</v>
      </c>
      <c r="C4776">
        <v>0.97602765975989314</v>
      </c>
    </row>
    <row r="4777" spans="1:3">
      <c r="A4777">
        <v>4769</v>
      </c>
      <c r="B4777">
        <v>0.26338463427307657</v>
      </c>
      <c r="C4777">
        <v>0.20199598072940717</v>
      </c>
    </row>
    <row r="4778" spans="1:3">
      <c r="A4778">
        <v>4770</v>
      </c>
      <c r="B4778">
        <v>3.1235625312019985E-3</v>
      </c>
      <c r="C4778">
        <v>0.93277750892866607</v>
      </c>
    </row>
    <row r="4779" spans="1:3">
      <c r="A4779">
        <v>4771</v>
      </c>
      <c r="B4779">
        <v>0.82710885149331492</v>
      </c>
      <c r="C4779">
        <v>0.55187957594353065</v>
      </c>
    </row>
    <row r="4780" spans="1:3">
      <c r="A4780">
        <v>4772</v>
      </c>
      <c r="B4780">
        <v>0.13082894821936006</v>
      </c>
      <c r="C4780">
        <v>0.74664819065765187</v>
      </c>
    </row>
    <row r="4781" spans="1:3">
      <c r="A4781">
        <v>4773</v>
      </c>
      <c r="B4781">
        <v>0.50237099423617382</v>
      </c>
      <c r="C4781">
        <v>0.66199224897172826</v>
      </c>
    </row>
    <row r="4782" spans="1:3">
      <c r="A4782">
        <v>4774</v>
      </c>
      <c r="B4782">
        <v>0.32633754074702448</v>
      </c>
      <c r="C4782">
        <v>0.98805214066396729</v>
      </c>
    </row>
    <row r="4783" spans="1:3">
      <c r="A4783">
        <v>4775</v>
      </c>
      <c r="B4783">
        <v>0.48796552302519924</v>
      </c>
      <c r="C4783">
        <v>0.33626379094857839</v>
      </c>
    </row>
    <row r="4784" spans="1:3">
      <c r="A4784">
        <v>4776</v>
      </c>
      <c r="B4784">
        <v>0.24403913143282735</v>
      </c>
      <c r="C4784">
        <v>0.93670118120553525</v>
      </c>
    </row>
    <row r="4785" spans="1:3">
      <c r="A4785">
        <v>4777</v>
      </c>
      <c r="B4785">
        <v>0.41130516966858532</v>
      </c>
      <c r="C4785">
        <v>0.92390188462559308</v>
      </c>
    </row>
    <row r="4786" spans="1:3">
      <c r="A4786">
        <v>4778</v>
      </c>
      <c r="B4786">
        <v>0.80427642442590475</v>
      </c>
      <c r="C4786">
        <v>0.74064512864515564</v>
      </c>
    </row>
    <row r="4787" spans="1:3">
      <c r="A4787">
        <v>4779</v>
      </c>
      <c r="B4787">
        <v>0.79713065327655763</v>
      </c>
      <c r="C4787">
        <v>0.84360240882233484</v>
      </c>
    </row>
    <row r="4788" spans="1:3">
      <c r="A4788">
        <v>4780</v>
      </c>
      <c r="B4788">
        <v>0.93328301728448892</v>
      </c>
      <c r="C4788">
        <v>0.39488150566012337</v>
      </c>
    </row>
    <row r="4789" spans="1:3">
      <c r="A4789">
        <v>4781</v>
      </c>
      <c r="B4789">
        <v>0.91856210539726579</v>
      </c>
      <c r="C4789">
        <v>0.87391334866879333</v>
      </c>
    </row>
    <row r="4790" spans="1:3">
      <c r="A4790">
        <v>4782</v>
      </c>
      <c r="B4790">
        <v>8.584871425457502E-2</v>
      </c>
      <c r="C4790">
        <v>3.8385681878025935E-2</v>
      </c>
    </row>
    <row r="4791" spans="1:3">
      <c r="A4791">
        <v>4783</v>
      </c>
      <c r="B4791">
        <v>0.37057345827528587</v>
      </c>
      <c r="C4791">
        <v>0.87887052533551469</v>
      </c>
    </row>
    <row r="4792" spans="1:3">
      <c r="A4792">
        <v>4784</v>
      </c>
      <c r="B4792">
        <v>0.40010247901293972</v>
      </c>
      <c r="C4792">
        <v>1.4572925180800667E-2</v>
      </c>
    </row>
    <row r="4793" spans="1:3">
      <c r="A4793">
        <v>4785</v>
      </c>
      <c r="B4793">
        <v>0.27972559031362776</v>
      </c>
      <c r="C4793">
        <v>0.26605817727067915</v>
      </c>
    </row>
    <row r="4794" spans="1:3">
      <c r="A4794">
        <v>4786</v>
      </c>
      <c r="B4794">
        <v>0.86808009986972445</v>
      </c>
      <c r="C4794">
        <v>0.83616149690442398</v>
      </c>
    </row>
    <row r="4795" spans="1:3">
      <c r="A4795">
        <v>4787</v>
      </c>
      <c r="B4795">
        <v>0.94746380248262174</v>
      </c>
      <c r="C4795">
        <v>0.65941359172575176</v>
      </c>
    </row>
    <row r="4796" spans="1:3">
      <c r="A4796">
        <v>4788</v>
      </c>
      <c r="B4796">
        <v>0.22632577639811807</v>
      </c>
      <c r="C4796">
        <v>0.15589928062672698</v>
      </c>
    </row>
    <row r="4797" spans="1:3">
      <c r="A4797">
        <v>4789</v>
      </c>
      <c r="B4797">
        <v>0.2554879422333296</v>
      </c>
      <c r="C4797">
        <v>0.78552590161598346</v>
      </c>
    </row>
    <row r="4798" spans="1:3">
      <c r="A4798">
        <v>4790</v>
      </c>
      <c r="B4798">
        <v>0.18418154383510854</v>
      </c>
      <c r="C4798">
        <v>0.18980854835990613</v>
      </c>
    </row>
    <row r="4799" spans="1:3">
      <c r="A4799">
        <v>4791</v>
      </c>
      <c r="B4799">
        <v>0.37647380905367289</v>
      </c>
      <c r="C4799">
        <v>0.63279102917658747</v>
      </c>
    </row>
    <row r="4800" spans="1:3">
      <c r="A4800">
        <v>4792</v>
      </c>
      <c r="B4800">
        <v>0.67964488308458704</v>
      </c>
      <c r="C4800">
        <v>0.65349421946211805</v>
      </c>
    </row>
    <row r="4801" spans="1:3">
      <c r="A4801">
        <v>4793</v>
      </c>
      <c r="B4801">
        <v>9.6984415297625692E-3</v>
      </c>
      <c r="C4801">
        <v>0.20109176687947183</v>
      </c>
    </row>
    <row r="4802" spans="1:3">
      <c r="A4802">
        <v>4794</v>
      </c>
      <c r="B4802">
        <v>9.0229140788835732E-3</v>
      </c>
      <c r="C4802">
        <v>9.3339301246487594E-2</v>
      </c>
    </row>
    <row r="4803" spans="1:3">
      <c r="A4803">
        <v>4795</v>
      </c>
      <c r="B4803">
        <v>0.65995250521720206</v>
      </c>
      <c r="C4803">
        <v>0.32941558591119247</v>
      </c>
    </row>
    <row r="4804" spans="1:3">
      <c r="A4804">
        <v>4796</v>
      </c>
      <c r="B4804">
        <v>0.99883887859728171</v>
      </c>
      <c r="C4804">
        <v>0.50060016287443432</v>
      </c>
    </row>
    <row r="4805" spans="1:3">
      <c r="A4805">
        <v>4797</v>
      </c>
      <c r="B4805">
        <v>0.282652556684998</v>
      </c>
      <c r="C4805">
        <v>0.86871542877815955</v>
      </c>
    </row>
    <row r="4806" spans="1:3">
      <c r="A4806">
        <v>4798</v>
      </c>
      <c r="B4806">
        <v>0.26429792048328038</v>
      </c>
      <c r="C4806">
        <v>0.99820745901979535</v>
      </c>
    </row>
    <row r="4807" spans="1:3">
      <c r="A4807">
        <v>4799</v>
      </c>
      <c r="B4807">
        <v>0.87747981988165524</v>
      </c>
      <c r="C4807">
        <v>0.12011874241215992</v>
      </c>
    </row>
    <row r="4808" spans="1:3">
      <c r="A4808">
        <v>4800</v>
      </c>
      <c r="B4808">
        <v>0.80583500648379214</v>
      </c>
      <c r="C4808">
        <v>0.41567818363455444</v>
      </c>
    </row>
    <row r="4809" spans="1:3">
      <c r="A4809">
        <v>4801</v>
      </c>
      <c r="B4809">
        <v>0.26713497542043563</v>
      </c>
      <c r="C4809">
        <v>0.9896224195308605</v>
      </c>
    </row>
    <row r="4810" spans="1:3">
      <c r="A4810">
        <v>4802</v>
      </c>
      <c r="B4810">
        <v>0.41832155600369941</v>
      </c>
      <c r="C4810">
        <v>0.54290931350351457</v>
      </c>
    </row>
    <row r="4811" spans="1:3">
      <c r="A4811">
        <v>4803</v>
      </c>
      <c r="B4811">
        <v>0.51493461517480543</v>
      </c>
      <c r="C4811">
        <v>0.88241133758856449</v>
      </c>
    </row>
    <row r="4812" spans="1:3">
      <c r="A4812">
        <v>4804</v>
      </c>
      <c r="B4812">
        <v>0.77767502169396607</v>
      </c>
      <c r="C4812">
        <v>0.93145537773943943</v>
      </c>
    </row>
    <row r="4813" spans="1:3">
      <c r="A4813">
        <v>4805</v>
      </c>
      <c r="B4813">
        <v>0.31590749664867934</v>
      </c>
      <c r="C4813">
        <v>0.97217052445557783</v>
      </c>
    </row>
    <row r="4814" spans="1:3">
      <c r="A4814">
        <v>4806</v>
      </c>
      <c r="B4814">
        <v>3.3747355960949174E-2</v>
      </c>
      <c r="C4814">
        <v>0.40386875515014253</v>
      </c>
    </row>
    <row r="4815" spans="1:3">
      <c r="A4815">
        <v>4807</v>
      </c>
      <c r="B4815">
        <v>0.12852076115340944</v>
      </c>
      <c r="C4815">
        <v>0.27516655755425745</v>
      </c>
    </row>
    <row r="4816" spans="1:3">
      <c r="A4816">
        <v>4808</v>
      </c>
      <c r="B4816">
        <v>0.8513140630155136</v>
      </c>
      <c r="C4816">
        <v>0.92541010190416273</v>
      </c>
    </row>
    <row r="4817" spans="1:3">
      <c r="A4817">
        <v>4809</v>
      </c>
      <c r="B4817">
        <v>0.18243663995359946</v>
      </c>
      <c r="C4817">
        <v>0.31360995139402803</v>
      </c>
    </row>
    <row r="4818" spans="1:3">
      <c r="A4818">
        <v>4810</v>
      </c>
      <c r="B4818">
        <v>0.9108842385446384</v>
      </c>
      <c r="C4818">
        <v>0.35518959279852425</v>
      </c>
    </row>
    <row r="4819" spans="1:3">
      <c r="A4819">
        <v>4811</v>
      </c>
      <c r="B4819">
        <v>0.50210111594505169</v>
      </c>
      <c r="C4819">
        <v>0.25012773835078406</v>
      </c>
    </row>
    <row r="4820" spans="1:3">
      <c r="A4820">
        <v>4812</v>
      </c>
      <c r="B4820">
        <v>0.53943054749673014</v>
      </c>
      <c r="C4820">
        <v>0.4970986809103124</v>
      </c>
    </row>
    <row r="4821" spans="1:3">
      <c r="A4821">
        <v>4813</v>
      </c>
      <c r="B4821">
        <v>0.44750258938355902</v>
      </c>
      <c r="C4821">
        <v>0.23507567738488433</v>
      </c>
    </row>
    <row r="4822" spans="1:3">
      <c r="A4822">
        <v>4814</v>
      </c>
      <c r="B4822">
        <v>0.60485045471658239</v>
      </c>
      <c r="C4822">
        <v>0.25124218894690387</v>
      </c>
    </row>
    <row r="4823" spans="1:3">
      <c r="A4823">
        <v>4815</v>
      </c>
      <c r="B4823">
        <v>0.7858709102824496</v>
      </c>
      <c r="C4823">
        <v>0.51009358099599922</v>
      </c>
    </row>
    <row r="4824" spans="1:3">
      <c r="A4824">
        <v>4816</v>
      </c>
      <c r="B4824">
        <v>0.90302174599520435</v>
      </c>
      <c r="C4824">
        <v>0.37756938057827938</v>
      </c>
    </row>
    <row r="4825" spans="1:3">
      <c r="A4825">
        <v>4817</v>
      </c>
      <c r="B4825">
        <v>0.41674064054781118</v>
      </c>
      <c r="C4825">
        <v>0.70007300268571271</v>
      </c>
    </row>
    <row r="4826" spans="1:3">
      <c r="A4826">
        <v>4818</v>
      </c>
      <c r="B4826">
        <v>9.4198516032704738E-2</v>
      </c>
      <c r="C4826">
        <v>0.14921458579919999</v>
      </c>
    </row>
    <row r="4827" spans="1:3">
      <c r="A4827">
        <v>4819</v>
      </c>
      <c r="B4827">
        <v>0.17073698396252865</v>
      </c>
      <c r="C4827">
        <v>0.83670203026395029</v>
      </c>
    </row>
    <row r="4828" spans="1:3">
      <c r="A4828">
        <v>4820</v>
      </c>
      <c r="B4828">
        <v>0.50468301028117613</v>
      </c>
      <c r="C4828">
        <v>0.36923597670465824</v>
      </c>
    </row>
    <row r="4829" spans="1:3">
      <c r="A4829">
        <v>4821</v>
      </c>
      <c r="B4829">
        <v>0.52353644894336726</v>
      </c>
      <c r="C4829">
        <v>0.51831447517088236</v>
      </c>
    </row>
    <row r="4830" spans="1:3">
      <c r="A4830">
        <v>4822</v>
      </c>
      <c r="B4830">
        <v>0.10014680147314137</v>
      </c>
      <c r="C4830">
        <v>0.50920562508508738</v>
      </c>
    </row>
    <row r="4831" spans="1:3">
      <c r="A4831">
        <v>4823</v>
      </c>
      <c r="B4831">
        <v>0.8863680739206653</v>
      </c>
      <c r="C4831">
        <v>0.36077678365927568</v>
      </c>
    </row>
    <row r="4832" spans="1:3">
      <c r="A4832">
        <v>4824</v>
      </c>
      <c r="B4832">
        <v>0.34019245705865148</v>
      </c>
      <c r="C4832">
        <v>0.64374598679569317</v>
      </c>
    </row>
    <row r="4833" spans="1:3">
      <c r="A4833">
        <v>4825</v>
      </c>
      <c r="B4833">
        <v>0.89923921319046962</v>
      </c>
      <c r="C4833">
        <v>0.79566879340109153</v>
      </c>
    </row>
    <row r="4834" spans="1:3">
      <c r="A4834">
        <v>4826</v>
      </c>
      <c r="B4834">
        <v>0.51712534395584964</v>
      </c>
      <c r="C4834">
        <v>0.82541721397319634</v>
      </c>
    </row>
    <row r="4835" spans="1:3">
      <c r="A4835">
        <v>4827</v>
      </c>
      <c r="B4835">
        <v>0.22110551749717106</v>
      </c>
      <c r="C4835">
        <v>0.43878129539100996</v>
      </c>
    </row>
    <row r="4836" spans="1:3">
      <c r="A4836">
        <v>4828</v>
      </c>
      <c r="B4836">
        <v>0.12054926784982656</v>
      </c>
      <c r="C4836">
        <v>0.61484692279100273</v>
      </c>
    </row>
    <row r="4837" spans="1:3">
      <c r="A4837">
        <v>4829</v>
      </c>
      <c r="B4837">
        <v>0.16346260452327846</v>
      </c>
      <c r="C4837">
        <v>0.44809867164258321</v>
      </c>
    </row>
    <row r="4838" spans="1:3">
      <c r="A4838">
        <v>4830</v>
      </c>
      <c r="B4838">
        <v>0.90599122776570529</v>
      </c>
      <c r="C4838">
        <v>0.32858262438185193</v>
      </c>
    </row>
    <row r="4839" spans="1:3">
      <c r="A4839">
        <v>4831</v>
      </c>
      <c r="B4839">
        <v>0.61006300344803899</v>
      </c>
      <c r="C4839">
        <v>0.45632165923598222</v>
      </c>
    </row>
    <row r="4840" spans="1:3">
      <c r="A4840">
        <v>4832</v>
      </c>
      <c r="B4840">
        <v>0.35148403091549035</v>
      </c>
      <c r="C4840">
        <v>0.8824230090567653</v>
      </c>
    </row>
    <row r="4841" spans="1:3">
      <c r="A4841">
        <v>4833</v>
      </c>
      <c r="B4841">
        <v>0.23285009925473718</v>
      </c>
      <c r="C4841">
        <v>0.18496360105385179</v>
      </c>
    </row>
    <row r="4842" spans="1:3">
      <c r="A4842">
        <v>4834</v>
      </c>
      <c r="B4842">
        <v>0.40967612109325735</v>
      </c>
      <c r="C4842">
        <v>3.2675477043085266E-2</v>
      </c>
    </row>
    <row r="4843" spans="1:3">
      <c r="A4843">
        <v>4835</v>
      </c>
      <c r="B4843">
        <v>0.98103794768877284</v>
      </c>
      <c r="C4843">
        <v>0.4475357597502807</v>
      </c>
    </row>
    <row r="4844" spans="1:3">
      <c r="A4844">
        <v>4836</v>
      </c>
      <c r="B4844">
        <v>0.16455146531852693</v>
      </c>
      <c r="C4844">
        <v>0.92244090142958157</v>
      </c>
    </row>
    <row r="4845" spans="1:3">
      <c r="A4845">
        <v>4837</v>
      </c>
      <c r="B4845">
        <v>0.79220640614633597</v>
      </c>
      <c r="C4845">
        <v>0.14858207528322964</v>
      </c>
    </row>
    <row r="4846" spans="1:3">
      <c r="A4846">
        <v>4838</v>
      </c>
      <c r="B4846">
        <v>0.5716035931129948</v>
      </c>
      <c r="C4846">
        <v>0.22246525350419688</v>
      </c>
    </row>
    <row r="4847" spans="1:3">
      <c r="A4847">
        <v>4839</v>
      </c>
      <c r="B4847">
        <v>7.6108295145516355E-2</v>
      </c>
      <c r="C4847">
        <v>0.40673662940298527</v>
      </c>
    </row>
    <row r="4848" spans="1:3">
      <c r="A4848">
        <v>4840</v>
      </c>
      <c r="B4848">
        <v>0.75005899196808667</v>
      </c>
      <c r="C4848">
        <v>0.33798503765683563</v>
      </c>
    </row>
    <row r="4849" spans="1:3">
      <c r="A4849">
        <v>4841</v>
      </c>
      <c r="B4849">
        <v>3.906353013507638E-2</v>
      </c>
      <c r="C4849">
        <v>5.6967788886140625E-2</v>
      </c>
    </row>
    <row r="4850" spans="1:3">
      <c r="A4850">
        <v>4842</v>
      </c>
      <c r="B4850">
        <v>0.52700376420975759</v>
      </c>
      <c r="C4850">
        <v>0.55483967800682876</v>
      </c>
    </row>
    <row r="4851" spans="1:3">
      <c r="A4851">
        <v>4843</v>
      </c>
      <c r="B4851">
        <v>0.13846020925814759</v>
      </c>
      <c r="C4851">
        <v>0.1769303719220261</v>
      </c>
    </row>
    <row r="4852" spans="1:3">
      <c r="A4852">
        <v>4844</v>
      </c>
      <c r="B4852">
        <v>0.56063159104814553</v>
      </c>
      <c r="C4852">
        <v>0.1800797729902115</v>
      </c>
    </row>
    <row r="4853" spans="1:3">
      <c r="A4853">
        <v>4845</v>
      </c>
      <c r="B4853">
        <v>0.81172265287738354</v>
      </c>
      <c r="C4853">
        <v>0.40037313627999538</v>
      </c>
    </row>
    <row r="4854" spans="1:3">
      <c r="A4854">
        <v>4846</v>
      </c>
      <c r="B4854">
        <v>0.86729693636821981</v>
      </c>
      <c r="C4854">
        <v>0.5877963095153973</v>
      </c>
    </row>
    <row r="4855" spans="1:3">
      <c r="A4855">
        <v>4847</v>
      </c>
      <c r="B4855">
        <v>0.80007478653413122</v>
      </c>
      <c r="C4855">
        <v>0.79685649439397821</v>
      </c>
    </row>
    <row r="4856" spans="1:3">
      <c r="A4856">
        <v>4848</v>
      </c>
      <c r="B4856">
        <v>0.12221029164828599</v>
      </c>
      <c r="C4856">
        <v>0.83280255303361628</v>
      </c>
    </row>
    <row r="4857" spans="1:3">
      <c r="A4857">
        <v>4849</v>
      </c>
      <c r="B4857">
        <v>2.0164186841939619E-2</v>
      </c>
      <c r="C4857">
        <v>0.47832216860206245</v>
      </c>
    </row>
    <row r="4858" spans="1:3">
      <c r="A4858">
        <v>4850</v>
      </c>
      <c r="B4858">
        <v>0.41702061192458978</v>
      </c>
      <c r="C4858">
        <v>0.37092569932428887</v>
      </c>
    </row>
    <row r="4859" spans="1:3">
      <c r="A4859">
        <v>4851</v>
      </c>
      <c r="B4859">
        <v>0.32455282295810822</v>
      </c>
      <c r="C4859">
        <v>0.12827140074932686</v>
      </c>
    </row>
    <row r="4860" spans="1:3">
      <c r="A4860">
        <v>4852</v>
      </c>
      <c r="B4860">
        <v>0.14801409549271083</v>
      </c>
      <c r="C4860">
        <v>0.87464849376010534</v>
      </c>
    </row>
    <row r="4861" spans="1:3">
      <c r="A4861">
        <v>4853</v>
      </c>
      <c r="B4861">
        <v>0.41069728293830932</v>
      </c>
      <c r="C4861">
        <v>0.41819167787343758</v>
      </c>
    </row>
    <row r="4862" spans="1:3">
      <c r="A4862">
        <v>4854</v>
      </c>
      <c r="B4862">
        <v>0.27521673363224064</v>
      </c>
      <c r="C4862">
        <v>0.42403009833287797</v>
      </c>
    </row>
    <row r="4863" spans="1:3">
      <c r="A4863">
        <v>4855</v>
      </c>
      <c r="B4863">
        <v>0.90751183084876086</v>
      </c>
      <c r="C4863">
        <v>0.99625313600699883</v>
      </c>
    </row>
    <row r="4864" spans="1:3">
      <c r="A4864">
        <v>4856</v>
      </c>
      <c r="B4864">
        <v>0.5388470136963871</v>
      </c>
      <c r="C4864">
        <v>0.19232388276122947</v>
      </c>
    </row>
    <row r="4865" spans="1:3">
      <c r="A4865">
        <v>4857</v>
      </c>
      <c r="B4865">
        <v>0.11584432360153746</v>
      </c>
      <c r="C4865">
        <v>0.12106817001222225</v>
      </c>
    </row>
    <row r="4866" spans="1:3">
      <c r="A4866">
        <v>4858</v>
      </c>
      <c r="B4866">
        <v>0.97106420768132995</v>
      </c>
      <c r="C4866">
        <v>0.30396766894136817</v>
      </c>
    </row>
    <row r="4867" spans="1:3">
      <c r="A4867">
        <v>4859</v>
      </c>
      <c r="B4867">
        <v>0.38988463157235753</v>
      </c>
      <c r="C4867">
        <v>0.35199272218233091</v>
      </c>
    </row>
    <row r="4868" spans="1:3">
      <c r="A4868">
        <v>4860</v>
      </c>
      <c r="B4868">
        <v>0.26290414741023072</v>
      </c>
      <c r="C4868">
        <v>0.50435367125373887</v>
      </c>
    </row>
    <row r="4869" spans="1:3">
      <c r="A4869">
        <v>4861</v>
      </c>
      <c r="B4869">
        <v>0.81391925050535219</v>
      </c>
      <c r="C4869">
        <v>0.53930513803607028</v>
      </c>
    </row>
    <row r="4870" spans="1:3">
      <c r="A4870">
        <v>4862</v>
      </c>
      <c r="B4870">
        <v>0.42640825290847761</v>
      </c>
      <c r="C4870">
        <v>0.26827593700090802</v>
      </c>
    </row>
    <row r="4871" spans="1:3">
      <c r="A4871">
        <v>4863</v>
      </c>
      <c r="B4871">
        <v>2.1968288735292919E-2</v>
      </c>
      <c r="C4871">
        <v>0.17235164483281551</v>
      </c>
    </row>
    <row r="4872" spans="1:3">
      <c r="A4872">
        <v>4864</v>
      </c>
      <c r="B4872">
        <v>0.57944966232433204</v>
      </c>
      <c r="C4872">
        <v>0.95117100837072144</v>
      </c>
    </row>
    <row r="4873" spans="1:3">
      <c r="A4873">
        <v>4865</v>
      </c>
      <c r="B4873">
        <v>0.98630227017232741</v>
      </c>
      <c r="C4873">
        <v>0.52442663361307496</v>
      </c>
    </row>
    <row r="4874" spans="1:3">
      <c r="A4874">
        <v>4866</v>
      </c>
      <c r="B4874">
        <v>0.10957346779028267</v>
      </c>
      <c r="C4874">
        <v>0.32850141452581738</v>
      </c>
    </row>
    <row r="4875" spans="1:3">
      <c r="A4875">
        <v>4867</v>
      </c>
      <c r="B4875">
        <v>0.38044855615730599</v>
      </c>
      <c r="C4875">
        <v>0.34254279197830328</v>
      </c>
    </row>
    <row r="4876" spans="1:3">
      <c r="A4876">
        <v>4868</v>
      </c>
      <c r="B4876">
        <v>0.52559453718061433</v>
      </c>
      <c r="C4876">
        <v>0.54714960868295748</v>
      </c>
    </row>
    <row r="4877" spans="1:3">
      <c r="A4877">
        <v>4869</v>
      </c>
      <c r="B4877">
        <v>1.0479576538056036E-2</v>
      </c>
      <c r="C4877">
        <v>0.21251622536874493</v>
      </c>
    </row>
    <row r="4878" spans="1:3">
      <c r="A4878">
        <v>4870</v>
      </c>
      <c r="B4878">
        <v>0.1473282727332153</v>
      </c>
      <c r="C4878">
        <v>0.55855521740795666</v>
      </c>
    </row>
    <row r="4879" spans="1:3">
      <c r="A4879">
        <v>4871</v>
      </c>
      <c r="B4879">
        <v>0.96094404157040259</v>
      </c>
      <c r="C4879">
        <v>0.13276699722337071</v>
      </c>
    </row>
    <row r="4880" spans="1:3">
      <c r="A4880">
        <v>4872</v>
      </c>
      <c r="B4880">
        <v>0.12825265571764966</v>
      </c>
      <c r="C4880">
        <v>0.9676935066408987</v>
      </c>
    </row>
    <row r="4881" spans="1:3">
      <c r="A4881">
        <v>4873</v>
      </c>
      <c r="B4881">
        <v>0.11629672180742413</v>
      </c>
      <c r="C4881">
        <v>0.60512678585109825</v>
      </c>
    </row>
    <row r="4882" spans="1:3">
      <c r="A4882">
        <v>4874</v>
      </c>
      <c r="B4882">
        <v>0.79520080199344101</v>
      </c>
      <c r="C4882">
        <v>0.24539923947759235</v>
      </c>
    </row>
    <row r="4883" spans="1:3">
      <c r="A4883">
        <v>4875</v>
      </c>
      <c r="B4883">
        <v>0.35342867775392456</v>
      </c>
      <c r="C4883">
        <v>0.39107721056279843</v>
      </c>
    </row>
    <row r="4884" spans="1:3">
      <c r="A4884">
        <v>4876</v>
      </c>
      <c r="B4884">
        <v>0.52417879544118862</v>
      </c>
      <c r="C4884">
        <v>0.91755487223326782</v>
      </c>
    </row>
    <row r="4885" spans="1:3">
      <c r="A4885">
        <v>4877</v>
      </c>
      <c r="B4885">
        <v>0.25841611248110796</v>
      </c>
      <c r="C4885">
        <v>0.56367821195271972</v>
      </c>
    </row>
    <row r="4886" spans="1:3">
      <c r="A4886">
        <v>4878</v>
      </c>
      <c r="B4886">
        <v>1.2154262661876683E-2</v>
      </c>
      <c r="C4886">
        <v>0.65900414916632144</v>
      </c>
    </row>
    <row r="4887" spans="1:3">
      <c r="A4887">
        <v>4879</v>
      </c>
      <c r="B4887">
        <v>0.65460985652106107</v>
      </c>
      <c r="C4887">
        <v>0.4635932918972685</v>
      </c>
    </row>
    <row r="4888" spans="1:3">
      <c r="A4888">
        <v>4880</v>
      </c>
      <c r="B4888">
        <v>0.14520289641679332</v>
      </c>
      <c r="C4888">
        <v>0.75922390276809892</v>
      </c>
    </row>
    <row r="4889" spans="1:3">
      <c r="A4889">
        <v>4881</v>
      </c>
      <c r="B4889">
        <v>0.34863759265854899</v>
      </c>
      <c r="C4889">
        <v>0.58979065918720153</v>
      </c>
    </row>
    <row r="4890" spans="1:3">
      <c r="A4890">
        <v>4882</v>
      </c>
      <c r="B4890">
        <v>0.927638680960573</v>
      </c>
      <c r="C4890">
        <v>0.10283931564208615</v>
      </c>
    </row>
    <row r="4891" spans="1:3">
      <c r="A4891">
        <v>4883</v>
      </c>
      <c r="B4891">
        <v>0.91359795033871138</v>
      </c>
      <c r="C4891">
        <v>0.15953099456601194</v>
      </c>
    </row>
    <row r="4892" spans="1:3">
      <c r="A4892">
        <v>4884</v>
      </c>
      <c r="B4892">
        <v>0.44808213239933409</v>
      </c>
      <c r="C4892">
        <v>0.63817315715914447</v>
      </c>
    </row>
    <row r="4893" spans="1:3">
      <c r="A4893">
        <v>4885</v>
      </c>
      <c r="B4893">
        <v>0.52723594448627809</v>
      </c>
      <c r="C4893">
        <v>0.70675031278369715</v>
      </c>
    </row>
    <row r="4894" spans="1:3">
      <c r="A4894">
        <v>4886</v>
      </c>
      <c r="B4894">
        <v>0.80099737892663048</v>
      </c>
      <c r="C4894">
        <v>0.71823152974957338</v>
      </c>
    </row>
    <row r="4895" spans="1:3">
      <c r="A4895">
        <v>4887</v>
      </c>
      <c r="B4895">
        <v>0.78641704516509014</v>
      </c>
      <c r="C4895">
        <v>0.28309930306750175</v>
      </c>
    </row>
    <row r="4896" spans="1:3">
      <c r="A4896">
        <v>4888</v>
      </c>
      <c r="B4896">
        <v>0.39593220028377424</v>
      </c>
      <c r="C4896">
        <v>0.24873988351919252</v>
      </c>
    </row>
    <row r="4897" spans="1:3">
      <c r="A4897">
        <v>4889</v>
      </c>
      <c r="B4897">
        <v>5.43973686617793E-2</v>
      </c>
      <c r="C4897">
        <v>3.1642547077353811E-2</v>
      </c>
    </row>
    <row r="4898" spans="1:3">
      <c r="A4898">
        <v>4890</v>
      </c>
      <c r="B4898">
        <v>0.61911925519512012</v>
      </c>
      <c r="C4898">
        <v>0.16591897087255347</v>
      </c>
    </row>
    <row r="4899" spans="1:3">
      <c r="A4899">
        <v>4891</v>
      </c>
      <c r="B4899">
        <v>0.65492547836669845</v>
      </c>
      <c r="C4899">
        <v>0.44197740227355098</v>
      </c>
    </row>
    <row r="4900" spans="1:3">
      <c r="A4900">
        <v>4892</v>
      </c>
      <c r="B4900">
        <v>0.66330048087199689</v>
      </c>
      <c r="C4900">
        <v>0.83538900804796867</v>
      </c>
    </row>
    <row r="4901" spans="1:3">
      <c r="A4901">
        <v>4893</v>
      </c>
      <c r="B4901">
        <v>0.33499227136107912</v>
      </c>
      <c r="C4901">
        <v>0.41821345713105984</v>
      </c>
    </row>
    <row r="4902" spans="1:3">
      <c r="A4902">
        <v>4894</v>
      </c>
      <c r="B4902">
        <v>0.47950241482711919</v>
      </c>
      <c r="C4902">
        <v>2.7167300318069465E-2</v>
      </c>
    </row>
    <row r="4903" spans="1:3">
      <c r="A4903">
        <v>4895</v>
      </c>
      <c r="B4903">
        <v>0.23696123610631595</v>
      </c>
      <c r="C4903">
        <v>0.18437077517774014</v>
      </c>
    </row>
    <row r="4904" spans="1:3">
      <c r="A4904">
        <v>4896</v>
      </c>
      <c r="B4904">
        <v>0.71941526286770008</v>
      </c>
      <c r="C4904">
        <v>0.80834961084929091</v>
      </c>
    </row>
    <row r="4905" spans="1:3">
      <c r="A4905">
        <v>4897</v>
      </c>
      <c r="B4905">
        <v>0.63426012921725872</v>
      </c>
      <c r="C4905">
        <v>0.15739414948984631</v>
      </c>
    </row>
    <row r="4906" spans="1:3">
      <c r="A4906">
        <v>4898</v>
      </c>
      <c r="B4906">
        <v>0.73366309614518266</v>
      </c>
      <c r="C4906">
        <v>0.81796591783404438</v>
      </c>
    </row>
    <row r="4907" spans="1:3">
      <c r="A4907">
        <v>4899</v>
      </c>
      <c r="B4907">
        <v>0.28076774500901058</v>
      </c>
      <c r="C4907">
        <v>0.82848171525802172</v>
      </c>
    </row>
    <row r="4908" spans="1:3">
      <c r="A4908">
        <v>4900</v>
      </c>
      <c r="B4908">
        <v>0.18716951871681248</v>
      </c>
      <c r="C4908">
        <v>0.18883766255112278</v>
      </c>
    </row>
    <row r="4909" spans="1:3">
      <c r="A4909">
        <v>4901</v>
      </c>
      <c r="B4909">
        <v>0.63114819539500122</v>
      </c>
      <c r="C4909">
        <v>0.64047898152057314</v>
      </c>
    </row>
    <row r="4910" spans="1:3">
      <c r="A4910">
        <v>4902</v>
      </c>
      <c r="B4910">
        <v>0.65551870255589451</v>
      </c>
      <c r="C4910">
        <v>0.6198442155828161</v>
      </c>
    </row>
    <row r="4911" spans="1:3">
      <c r="A4911">
        <v>4903</v>
      </c>
      <c r="B4911">
        <v>0.43030755484246358</v>
      </c>
      <c r="C4911">
        <v>0.59109368553799868</v>
      </c>
    </row>
    <row r="4912" spans="1:3">
      <c r="A4912">
        <v>4904</v>
      </c>
      <c r="B4912">
        <v>0.21618582516805868</v>
      </c>
      <c r="C4912">
        <v>0.46207590721041925</v>
      </c>
    </row>
    <row r="4913" spans="1:3">
      <c r="A4913">
        <v>4905</v>
      </c>
      <c r="B4913">
        <v>0.97922781046555096</v>
      </c>
      <c r="C4913">
        <v>0.7458966983067512</v>
      </c>
    </row>
    <row r="4914" spans="1:3">
      <c r="A4914">
        <v>4906</v>
      </c>
      <c r="B4914">
        <v>0.15096660235672413</v>
      </c>
      <c r="C4914">
        <v>0.2775615886775995</v>
      </c>
    </row>
    <row r="4915" spans="1:3">
      <c r="A4915">
        <v>4907</v>
      </c>
      <c r="B4915">
        <v>0.10142068870002886</v>
      </c>
      <c r="C4915">
        <v>0.55006397641230365</v>
      </c>
    </row>
    <row r="4916" spans="1:3">
      <c r="A4916">
        <v>4908</v>
      </c>
      <c r="B4916">
        <v>0.51370803635742246</v>
      </c>
      <c r="C4916">
        <v>0.21179446322275908</v>
      </c>
    </row>
    <row r="4917" spans="1:3">
      <c r="A4917">
        <v>4909</v>
      </c>
      <c r="B4917">
        <v>0.34279229585993859</v>
      </c>
      <c r="C4917">
        <v>0.48575108223940333</v>
      </c>
    </row>
    <row r="4918" spans="1:3">
      <c r="A4918">
        <v>4910</v>
      </c>
      <c r="B4918">
        <v>0.18627211295302773</v>
      </c>
      <c r="C4918">
        <v>0.42398238082932949</v>
      </c>
    </row>
    <row r="4919" spans="1:3">
      <c r="A4919">
        <v>4911</v>
      </c>
      <c r="B4919">
        <v>0.26092316751613359</v>
      </c>
      <c r="C4919">
        <v>0.6318489540799419</v>
      </c>
    </row>
    <row r="4920" spans="1:3">
      <c r="A4920">
        <v>4912</v>
      </c>
      <c r="B4920">
        <v>8.5682360935044097E-2</v>
      </c>
      <c r="C4920">
        <v>0.36001319200295256</v>
      </c>
    </row>
    <row r="4921" spans="1:3">
      <c r="A4921">
        <v>4913</v>
      </c>
      <c r="B4921">
        <v>0.11360765335862702</v>
      </c>
      <c r="C4921">
        <v>0.72456624065944197</v>
      </c>
    </row>
    <row r="4922" spans="1:3">
      <c r="A4922">
        <v>4914</v>
      </c>
      <c r="B4922">
        <v>1.1619147491506103E-2</v>
      </c>
      <c r="C4922">
        <v>0.4806541152374848</v>
      </c>
    </row>
    <row r="4923" spans="1:3">
      <c r="A4923">
        <v>4915</v>
      </c>
      <c r="B4923">
        <v>8.305075358507473E-2</v>
      </c>
      <c r="C4923">
        <v>0.66839818042080879</v>
      </c>
    </row>
    <row r="4924" spans="1:3">
      <c r="A4924">
        <v>4916</v>
      </c>
      <c r="B4924">
        <v>1.5785426649680693E-2</v>
      </c>
      <c r="C4924">
        <v>0.53647137847656268</v>
      </c>
    </row>
    <row r="4925" spans="1:3">
      <c r="A4925">
        <v>4917</v>
      </c>
      <c r="B4925">
        <v>6.2401204592362328E-2</v>
      </c>
      <c r="C4925">
        <v>0.33108169419483602</v>
      </c>
    </row>
    <row r="4926" spans="1:3">
      <c r="A4926">
        <v>4918</v>
      </c>
      <c r="B4926">
        <v>0.85286541943742555</v>
      </c>
      <c r="C4926">
        <v>0.16078788735285343</v>
      </c>
    </row>
    <row r="4927" spans="1:3">
      <c r="A4927">
        <v>4919</v>
      </c>
      <c r="B4927">
        <v>0.61155928654530067</v>
      </c>
      <c r="C4927">
        <v>0.74334839212042425</v>
      </c>
    </row>
    <row r="4928" spans="1:3">
      <c r="A4928">
        <v>4920</v>
      </c>
      <c r="B4928">
        <v>0.67836939387590844</v>
      </c>
      <c r="C4928">
        <v>0.60629876075836364</v>
      </c>
    </row>
    <row r="4929" spans="1:3">
      <c r="A4929">
        <v>4921</v>
      </c>
      <c r="B4929">
        <v>0.33361804411458268</v>
      </c>
      <c r="C4929">
        <v>0.37462874911125255</v>
      </c>
    </row>
    <row r="4930" spans="1:3">
      <c r="A4930">
        <v>4922</v>
      </c>
      <c r="B4930">
        <v>0.3606292489157592</v>
      </c>
      <c r="C4930">
        <v>0.39440650333744998</v>
      </c>
    </row>
    <row r="4931" spans="1:3">
      <c r="A4931">
        <v>4923</v>
      </c>
      <c r="B4931">
        <v>0.48530528855144639</v>
      </c>
      <c r="C4931">
        <v>0.72808815027113383</v>
      </c>
    </row>
    <row r="4932" spans="1:3">
      <c r="A4932">
        <v>4924</v>
      </c>
      <c r="B4932">
        <v>0.47154320648530113</v>
      </c>
      <c r="C4932">
        <v>7.5172796327933611E-2</v>
      </c>
    </row>
    <row r="4933" spans="1:3">
      <c r="A4933">
        <v>4925</v>
      </c>
      <c r="B4933">
        <v>7.2870639134913373E-2</v>
      </c>
      <c r="C4933">
        <v>1.2231115264512482E-2</v>
      </c>
    </row>
    <row r="4934" spans="1:3">
      <c r="A4934">
        <v>4926</v>
      </c>
      <c r="B4934">
        <v>0.21341103370394812</v>
      </c>
      <c r="C4934">
        <v>0.25643654792747839</v>
      </c>
    </row>
    <row r="4935" spans="1:3">
      <c r="A4935">
        <v>4927</v>
      </c>
      <c r="B4935">
        <v>0.39134901218869467</v>
      </c>
      <c r="C4935">
        <v>0.63290249942656374</v>
      </c>
    </row>
    <row r="4936" spans="1:3">
      <c r="A4936">
        <v>4928</v>
      </c>
      <c r="B4936">
        <v>0.49043091557762375</v>
      </c>
      <c r="C4936">
        <v>0.19346837349712587</v>
      </c>
    </row>
    <row r="4937" spans="1:3">
      <c r="A4937">
        <v>4929</v>
      </c>
      <c r="B4937">
        <v>0.19389206655348934</v>
      </c>
      <c r="C4937">
        <v>0.63712413770736021</v>
      </c>
    </row>
    <row r="4938" spans="1:3">
      <c r="A4938">
        <v>4930</v>
      </c>
      <c r="B4938">
        <v>0.92229863513137644</v>
      </c>
      <c r="C4938">
        <v>0.81543412331393483</v>
      </c>
    </row>
    <row r="4939" spans="1:3">
      <c r="A4939">
        <v>4931</v>
      </c>
      <c r="B4939">
        <v>0.81025045464254231</v>
      </c>
      <c r="C4939">
        <v>0.79614005740950233</v>
      </c>
    </row>
    <row r="4940" spans="1:3">
      <c r="A4940">
        <v>4932</v>
      </c>
      <c r="B4940">
        <v>0.2230092116881649</v>
      </c>
      <c r="C4940">
        <v>0.3836730372704551</v>
      </c>
    </row>
    <row r="4941" spans="1:3">
      <c r="A4941">
        <v>4933</v>
      </c>
      <c r="B4941">
        <v>0.61115842782076413</v>
      </c>
      <c r="C4941">
        <v>0.41327215616729518</v>
      </c>
    </row>
    <row r="4942" spans="1:3">
      <c r="A4942">
        <v>4934</v>
      </c>
      <c r="B4942">
        <v>0.5630426513205381</v>
      </c>
      <c r="C4942">
        <v>0.18243458605229534</v>
      </c>
    </row>
    <row r="4943" spans="1:3">
      <c r="A4943">
        <v>4935</v>
      </c>
      <c r="B4943">
        <v>0.34552040452219551</v>
      </c>
      <c r="C4943">
        <v>0.3357033007487189</v>
      </c>
    </row>
    <row r="4944" spans="1:3">
      <c r="A4944">
        <v>4936</v>
      </c>
      <c r="B4944">
        <v>0.54711345990647409</v>
      </c>
      <c r="C4944">
        <v>0.89676590662838862</v>
      </c>
    </row>
    <row r="4945" spans="1:3">
      <c r="A4945">
        <v>4937</v>
      </c>
      <c r="B4945">
        <v>0.79763556248327616</v>
      </c>
      <c r="C4945">
        <v>0.34583272004419996</v>
      </c>
    </row>
    <row r="4946" spans="1:3">
      <c r="A4946">
        <v>4938</v>
      </c>
      <c r="B4946">
        <v>0.53196214076740711</v>
      </c>
      <c r="C4946">
        <v>0.52358198773163167</v>
      </c>
    </row>
    <row r="4947" spans="1:3">
      <c r="A4947">
        <v>4939</v>
      </c>
      <c r="B4947">
        <v>0.45400810454329665</v>
      </c>
      <c r="C4947">
        <v>0.37755959164132946</v>
      </c>
    </row>
    <row r="4948" spans="1:3">
      <c r="A4948">
        <v>4940</v>
      </c>
      <c r="B4948">
        <v>0.26265564210760772</v>
      </c>
      <c r="C4948">
        <v>0.91549046968339098</v>
      </c>
    </row>
    <row r="4949" spans="1:3">
      <c r="A4949">
        <v>4941</v>
      </c>
      <c r="B4949">
        <v>0.27914873666929751</v>
      </c>
      <c r="C4949">
        <v>7.5029431636721711E-2</v>
      </c>
    </row>
    <row r="4950" spans="1:3">
      <c r="A4950">
        <v>4942</v>
      </c>
      <c r="B4950">
        <v>0.31069757151247412</v>
      </c>
      <c r="C4950">
        <v>0.2176554297703035</v>
      </c>
    </row>
    <row r="4951" spans="1:3">
      <c r="A4951">
        <v>4943</v>
      </c>
      <c r="B4951">
        <v>0.66155602480158116</v>
      </c>
      <c r="C4951">
        <v>0.2387185807701826</v>
      </c>
    </row>
    <row r="4952" spans="1:3">
      <c r="A4952">
        <v>4944</v>
      </c>
      <c r="B4952">
        <v>0.72958998813247067</v>
      </c>
      <c r="C4952">
        <v>0.73268259545329784</v>
      </c>
    </row>
    <row r="4953" spans="1:3">
      <c r="A4953">
        <v>4945</v>
      </c>
      <c r="B4953">
        <v>0.66644918100187767</v>
      </c>
      <c r="C4953">
        <v>0.67656910956247884</v>
      </c>
    </row>
    <row r="4954" spans="1:3">
      <c r="A4954">
        <v>4946</v>
      </c>
      <c r="B4954">
        <v>0.399344191675853</v>
      </c>
      <c r="C4954">
        <v>0.73605073565795465</v>
      </c>
    </row>
    <row r="4955" spans="1:3">
      <c r="A4955">
        <v>4947</v>
      </c>
      <c r="B4955">
        <v>0.89998741616522604</v>
      </c>
      <c r="C4955">
        <v>0.59689525342400884</v>
      </c>
    </row>
    <row r="4956" spans="1:3">
      <c r="A4956">
        <v>4948</v>
      </c>
      <c r="B4956">
        <v>1.6060570610282144E-2</v>
      </c>
      <c r="C4956">
        <v>0.96703538763813413</v>
      </c>
    </row>
    <row r="4957" spans="1:3">
      <c r="A4957">
        <v>4949</v>
      </c>
      <c r="B4957">
        <v>0.90352145902172687</v>
      </c>
      <c r="C4957">
        <v>0.87403875541531306</v>
      </c>
    </row>
    <row r="4958" spans="1:3">
      <c r="A4958">
        <v>4950</v>
      </c>
      <c r="B4958">
        <v>0.81287291373193105</v>
      </c>
      <c r="C4958">
        <v>0.59390653266473237</v>
      </c>
    </row>
    <row r="4959" spans="1:3">
      <c r="A4959">
        <v>4951</v>
      </c>
      <c r="B4959">
        <v>0.89978503151526334</v>
      </c>
      <c r="C4959">
        <v>0.77377583752604551</v>
      </c>
    </row>
    <row r="4960" spans="1:3">
      <c r="A4960">
        <v>4952</v>
      </c>
      <c r="B4960">
        <v>0.8252155860856677</v>
      </c>
      <c r="C4960">
        <v>0.38568531126657035</v>
      </c>
    </row>
    <row r="4961" spans="1:3">
      <c r="A4961">
        <v>4953</v>
      </c>
      <c r="B4961">
        <v>0.74919092136001941</v>
      </c>
      <c r="C4961">
        <v>0.94515879090158705</v>
      </c>
    </row>
    <row r="4962" spans="1:3">
      <c r="A4962">
        <v>4954</v>
      </c>
      <c r="B4962">
        <v>0.33869704745954299</v>
      </c>
      <c r="C4962">
        <v>7.3068403997240239E-2</v>
      </c>
    </row>
    <row r="4963" spans="1:3">
      <c r="A4963">
        <v>4955</v>
      </c>
      <c r="B4963">
        <v>0.47058296936507871</v>
      </c>
      <c r="C4963">
        <v>0.86220312698151247</v>
      </c>
    </row>
    <row r="4964" spans="1:3">
      <c r="A4964">
        <v>4956</v>
      </c>
      <c r="B4964">
        <v>0.76237002942193532</v>
      </c>
      <c r="C4964">
        <v>0.82756690749738482</v>
      </c>
    </row>
    <row r="4965" spans="1:3">
      <c r="A4965">
        <v>4957</v>
      </c>
      <c r="B4965">
        <v>0.77725793263950804</v>
      </c>
      <c r="C4965">
        <v>0.95920269293765159</v>
      </c>
    </row>
    <row r="4966" spans="1:3">
      <c r="A4966">
        <v>4958</v>
      </c>
      <c r="B4966">
        <v>0.76507406523299271</v>
      </c>
      <c r="C4966">
        <v>0.36059500956434931</v>
      </c>
    </row>
    <row r="4967" spans="1:3">
      <c r="A4967">
        <v>4959</v>
      </c>
      <c r="B4967">
        <v>0.23665248696800614</v>
      </c>
      <c r="C4967">
        <v>0.56796547222711524</v>
      </c>
    </row>
    <row r="4968" spans="1:3">
      <c r="A4968">
        <v>4960</v>
      </c>
      <c r="B4968">
        <v>0.97235372807112386</v>
      </c>
      <c r="C4968">
        <v>0.71758612774283392</v>
      </c>
    </row>
    <row r="4969" spans="1:3">
      <c r="A4969">
        <v>4961</v>
      </c>
      <c r="B4969">
        <v>0.15019438223484771</v>
      </c>
      <c r="C4969">
        <v>0.46738562979862763</v>
      </c>
    </row>
    <row r="4970" spans="1:3">
      <c r="A4970">
        <v>4962</v>
      </c>
      <c r="B4970">
        <v>0.3783552953947697</v>
      </c>
      <c r="C4970">
        <v>0.17174085743499745</v>
      </c>
    </row>
    <row r="4971" spans="1:3">
      <c r="A4971">
        <v>4963</v>
      </c>
      <c r="B4971">
        <v>0.80481005102349679</v>
      </c>
      <c r="C4971">
        <v>0.59215644241885457</v>
      </c>
    </row>
    <row r="4972" spans="1:3">
      <c r="A4972">
        <v>4964</v>
      </c>
      <c r="B4972">
        <v>0.44975453164893081</v>
      </c>
      <c r="C4972">
        <v>0.86299425645211159</v>
      </c>
    </row>
    <row r="4973" spans="1:3">
      <c r="A4973">
        <v>4965</v>
      </c>
      <c r="B4973">
        <v>0.89111478930784271</v>
      </c>
      <c r="C4973">
        <v>0.694195290292555</v>
      </c>
    </row>
    <row r="4974" spans="1:3">
      <c r="A4974">
        <v>4966</v>
      </c>
      <c r="B4974">
        <v>0.67188290601458467</v>
      </c>
      <c r="C4974">
        <v>0.65652716817112378</v>
      </c>
    </row>
    <row r="4975" spans="1:3">
      <c r="A4975">
        <v>4967</v>
      </c>
      <c r="B4975">
        <v>0.72427567501139734</v>
      </c>
      <c r="C4975">
        <v>0.44175125593210396</v>
      </c>
    </row>
    <row r="4976" spans="1:3">
      <c r="A4976">
        <v>4968</v>
      </c>
      <c r="B4976">
        <v>0.40091313723463406</v>
      </c>
      <c r="C4976">
        <v>0.62047039762273926</v>
      </c>
    </row>
    <row r="4977" spans="1:3">
      <c r="A4977">
        <v>4969</v>
      </c>
      <c r="B4977">
        <v>0.26364446637757227</v>
      </c>
      <c r="C4977">
        <v>0.62102272125412128</v>
      </c>
    </row>
    <row r="4978" spans="1:3">
      <c r="A4978">
        <v>4970</v>
      </c>
      <c r="B4978">
        <v>2.1417077615255742E-2</v>
      </c>
      <c r="C4978">
        <v>0.23381515282289911</v>
      </c>
    </row>
    <row r="4979" spans="1:3">
      <c r="A4979">
        <v>4971</v>
      </c>
      <c r="B4979">
        <v>0.48073068973546168</v>
      </c>
      <c r="C4979">
        <v>0.24581047830542957</v>
      </c>
    </row>
    <row r="4980" spans="1:3">
      <c r="A4980">
        <v>4972</v>
      </c>
      <c r="B4980">
        <v>0.4310269666025478</v>
      </c>
      <c r="C4980">
        <v>0.31046484550552123</v>
      </c>
    </row>
    <row r="4981" spans="1:3">
      <c r="A4981">
        <v>4973</v>
      </c>
      <c r="B4981">
        <v>0.40815665338732227</v>
      </c>
      <c r="C4981">
        <v>0.80748620958183892</v>
      </c>
    </row>
    <row r="4982" spans="1:3">
      <c r="A4982">
        <v>4974</v>
      </c>
      <c r="B4982">
        <v>0.28177462297886952</v>
      </c>
      <c r="C4982">
        <v>0.6928392563449961</v>
      </c>
    </row>
    <row r="4983" spans="1:3">
      <c r="A4983">
        <v>4975</v>
      </c>
      <c r="B4983">
        <v>3.5731944958756659E-2</v>
      </c>
      <c r="C4983">
        <v>0.49717246711406915</v>
      </c>
    </row>
    <row r="4984" spans="1:3">
      <c r="A4984">
        <v>4976</v>
      </c>
      <c r="B4984">
        <v>0.66577747559449107</v>
      </c>
      <c r="C4984">
        <v>0.30911379850749654</v>
      </c>
    </row>
    <row r="4985" spans="1:3">
      <c r="A4985">
        <v>4977</v>
      </c>
      <c r="B4985">
        <v>4.0761081175403925E-2</v>
      </c>
      <c r="C4985">
        <v>0.90252239667825052</v>
      </c>
    </row>
    <row r="4986" spans="1:3">
      <c r="A4986">
        <v>4978</v>
      </c>
      <c r="B4986">
        <v>0.29529325923241984</v>
      </c>
      <c r="C4986">
        <v>0.92180288451254455</v>
      </c>
    </row>
    <row r="4987" spans="1:3">
      <c r="A4987">
        <v>4979</v>
      </c>
      <c r="B4987">
        <v>0.41453435658061283</v>
      </c>
      <c r="C4987">
        <v>0.62791765978727199</v>
      </c>
    </row>
    <row r="4988" spans="1:3">
      <c r="A4988">
        <v>4980</v>
      </c>
      <c r="B4988">
        <v>0.19189745580113898</v>
      </c>
      <c r="C4988">
        <v>0.99441296255918132</v>
      </c>
    </row>
    <row r="4989" spans="1:3">
      <c r="A4989">
        <v>4981</v>
      </c>
      <c r="B4989">
        <v>0.97241650725687301</v>
      </c>
      <c r="C4989">
        <v>0.48636528579663718</v>
      </c>
    </row>
    <row r="4990" spans="1:3">
      <c r="A4990">
        <v>4982</v>
      </c>
      <c r="B4990">
        <v>0.13739564469451915</v>
      </c>
      <c r="C4990">
        <v>0.64591756173012982</v>
      </c>
    </row>
    <row r="4991" spans="1:3">
      <c r="A4991">
        <v>4983</v>
      </c>
      <c r="B4991">
        <v>0.5114151072169224</v>
      </c>
      <c r="C4991">
        <v>0.13428374129762233</v>
      </c>
    </row>
    <row r="4992" spans="1:3">
      <c r="A4992">
        <v>4984</v>
      </c>
      <c r="B4992">
        <v>0.28041120369262323</v>
      </c>
      <c r="C4992">
        <v>0.34300044149586029</v>
      </c>
    </row>
    <row r="4993" spans="1:11">
      <c r="A4993">
        <v>4985</v>
      </c>
      <c r="B4993">
        <v>0.76439729043650373</v>
      </c>
      <c r="C4993">
        <v>0.91818803977730568</v>
      </c>
    </row>
    <row r="4994" spans="1:11">
      <c r="A4994">
        <v>4986</v>
      </c>
      <c r="B4994">
        <v>0.13144147036328016</v>
      </c>
      <c r="C4994">
        <v>0.80863757128736324</v>
      </c>
    </row>
    <row r="4995" spans="1:11">
      <c r="A4995">
        <v>4987</v>
      </c>
      <c r="B4995">
        <v>0.63997379569443269</v>
      </c>
      <c r="C4995">
        <v>0.6210153762713162</v>
      </c>
    </row>
    <row r="4996" spans="1:11">
      <c r="A4996">
        <v>4988</v>
      </c>
      <c r="B4996">
        <v>0.58822733273893302</v>
      </c>
      <c r="C4996">
        <v>0.42835471891339694</v>
      </c>
    </row>
    <row r="4997" spans="1:11">
      <c r="A4997">
        <v>4989</v>
      </c>
      <c r="B4997">
        <v>0.93301100718146446</v>
      </c>
      <c r="C4997">
        <v>0.39521928272461082</v>
      </c>
    </row>
    <row r="4998" spans="1:11">
      <c r="A4998">
        <v>4990</v>
      </c>
      <c r="B4998">
        <v>0.8868373146362224</v>
      </c>
      <c r="C4998">
        <v>0.45090100785819232</v>
      </c>
    </row>
    <row r="4999" spans="1:11">
      <c r="A4999">
        <v>4991</v>
      </c>
      <c r="B4999">
        <v>0.1003065300890027</v>
      </c>
      <c r="C4999">
        <v>0.31004081685296114</v>
      </c>
    </row>
    <row r="5000" spans="1:11">
      <c r="A5000">
        <v>4992</v>
      </c>
      <c r="B5000">
        <v>0.59234416316741711</v>
      </c>
      <c r="C5000">
        <v>0.90921413874275459</v>
      </c>
    </row>
    <row r="5001" spans="1:11">
      <c r="A5001">
        <v>4993</v>
      </c>
      <c r="B5001">
        <v>0.53878375452579552</v>
      </c>
      <c r="C5001">
        <v>7.964255593924463E-2</v>
      </c>
    </row>
    <row r="5002" spans="1:11">
      <c r="A5002">
        <v>4994</v>
      </c>
      <c r="B5002">
        <v>0.14608603113849788</v>
      </c>
      <c r="C5002">
        <v>0.72255080676404759</v>
      </c>
    </row>
    <row r="5003" spans="1:11">
      <c r="A5003">
        <v>4995</v>
      </c>
      <c r="B5003">
        <v>4.0977114546340218E-3</v>
      </c>
      <c r="C5003">
        <v>0.21797178022370645</v>
      </c>
    </row>
    <row r="5004" spans="1:11">
      <c r="A5004">
        <v>4996</v>
      </c>
      <c r="B5004">
        <v>0.52745143422285368</v>
      </c>
      <c r="C5004">
        <v>8.3668176634091651E-2</v>
      </c>
    </row>
    <row r="5005" spans="1:11">
      <c r="A5005">
        <v>4997</v>
      </c>
      <c r="B5005">
        <v>0.87871168169325953</v>
      </c>
      <c r="C5005">
        <v>4.1441235035563295E-2</v>
      </c>
    </row>
    <row r="5006" spans="1:11">
      <c r="A5006">
        <v>4998</v>
      </c>
      <c r="B5006">
        <v>0.63242561003580355</v>
      </c>
      <c r="C5006">
        <v>0.42401143858114665</v>
      </c>
    </row>
    <row r="5007" spans="1:11">
      <c r="A5007">
        <v>4999</v>
      </c>
      <c r="B5007">
        <v>0.19051484632485427</v>
      </c>
      <c r="C5007">
        <v>3.5163861816727149E-2</v>
      </c>
    </row>
    <row r="5008" spans="1:11">
      <c r="A5008">
        <v>5000</v>
      </c>
      <c r="B5008">
        <v>0.83893864793384876</v>
      </c>
      <c r="C5008">
        <v>3.8024541601771489E-2</v>
      </c>
      <c r="H5008" t="str">
        <f>SimData5000!$B$8</f>
        <v>Latin</v>
      </c>
      <c r="I5008" t="s">
        <v>8</v>
      </c>
      <c r="J5008" t="str">
        <f>SimData5000!$C$8</f>
        <v>Monte</v>
      </c>
      <c r="K5008" t="s">
        <v>8</v>
      </c>
    </row>
    <row r="5009" spans="1:11">
      <c r="H5009">
        <f>SMALL(SimData5000!$B$9:$B$5008,1)</f>
        <v>1.2040462235929552E-4</v>
      </c>
      <c r="I5009">
        <v>0</v>
      </c>
      <c r="J5009">
        <f>SMALL(SimData5000!$C$9:$C$5008,1)</f>
        <v>9.1727842118416447E-5</v>
      </c>
      <c r="K5009">
        <v>0</v>
      </c>
    </row>
    <row r="5010" spans="1:11">
      <c r="A5010" t="s">
        <v>18</v>
      </c>
      <c r="H5010">
        <f>SMALL(SimData5000!$B$9:$B$5008,2)</f>
        <v>2.681739123231205E-4</v>
      </c>
      <c r="I5010">
        <f>1/(COUNT(SimData5000!$B$9:$B$5008)-1)+$I$5009</f>
        <v>2.0004000800160032E-4</v>
      </c>
      <c r="J5010">
        <f>SMALL(SimData5000!$C$9:$C$5008,2)</f>
        <v>2.8333220689091831E-4</v>
      </c>
      <c r="K5010">
        <f>1/(COUNT(SimData5000!$C$9:$C$5008)-1)+$K$5009</f>
        <v>2.0004000800160032E-4</v>
      </c>
    </row>
    <row r="5011" spans="1:11">
      <c r="A5011" t="s">
        <v>19</v>
      </c>
      <c r="B5011" t="str">
        <f>IF(ISBLANK($B5010)=TRUE,"",_xll.EDF(B9:B5008,$B5010))</f>
        <v/>
      </c>
      <c r="C5011" t="str">
        <f>IF(ISBLANK($C5010)=TRUE,"",_xll.EDF(C9:C5008,$C5010))</f>
        <v/>
      </c>
      <c r="H5011">
        <f>SMALL(SimData5000!$B$9:$B$5008,3)</f>
        <v>5.7719633317952898E-4</v>
      </c>
      <c r="I5011">
        <f>1/(COUNT(SimData5000!$B$9:$B$5008)-1)+$I$5010</f>
        <v>4.0008001600320064E-4</v>
      </c>
      <c r="J5011">
        <f>SMALL(SimData5000!$C$9:$C$5008,3)</f>
        <v>4.3205175006733043E-4</v>
      </c>
      <c r="K5011">
        <f>1/(COUNT(SimData5000!$C$9:$C$5008)-1)+$K$5010</f>
        <v>4.0008001600320064E-4</v>
      </c>
    </row>
    <row r="5012" spans="1:11">
      <c r="A5012" t="s">
        <v>20</v>
      </c>
      <c r="H5012">
        <f>SMALL(SimData5000!$B$9:$B$5008,4)</f>
        <v>6.8431649298507629E-4</v>
      </c>
      <c r="I5012">
        <f>1/(COUNT(SimData5000!$B$9:$B$5008)-1)+$I$5011</f>
        <v>6.0012002400480096E-4</v>
      </c>
      <c r="J5012">
        <f>SMALL(SimData5000!$C$9:$C$5008,4)</f>
        <v>5.153652327862801E-4</v>
      </c>
      <c r="K5012">
        <f>1/(COUNT(SimData5000!$C$9:$C$5008)-1)+$K$5011</f>
        <v>6.0012002400480096E-4</v>
      </c>
    </row>
    <row r="5013" spans="1:11">
      <c r="A5013" t="s">
        <v>21</v>
      </c>
      <c r="B5013" t="str">
        <f>IF(ISBLANK($B5012)=TRUE,"",_xll.EDF(B9:B5008,$B5012))</f>
        <v/>
      </c>
      <c r="C5013" t="str">
        <f>IF(ISBLANK($C5012)=TRUE,"",_xll.EDF(C9:C5008,$C5012))</f>
        <v/>
      </c>
      <c r="H5013">
        <f>SMALL(SimData5000!$B$9:$B$5008,5)</f>
        <v>9.5529441944213931E-4</v>
      </c>
      <c r="I5013">
        <f>1/(COUNT(SimData5000!$B$9:$B$5008)-1)+$I$5012</f>
        <v>8.0016003200640128E-4</v>
      </c>
      <c r="J5013">
        <f>SMALL(SimData5000!$C$9:$C$5008,5)</f>
        <v>7.471871676898445E-4</v>
      </c>
      <c r="K5013">
        <f>1/(COUNT(SimData5000!$C$9:$C$5008)-1)+$K$5012</f>
        <v>8.0016003200640128E-4</v>
      </c>
    </row>
    <row r="5014" spans="1:11">
      <c r="A5014" t="s">
        <v>22</v>
      </c>
      <c r="H5014">
        <f>SMALL(SimData5000!$B$9:$B$5008,6)</f>
        <v>1.1291924740954285E-3</v>
      </c>
      <c r="I5014">
        <f>1/(COUNT(SimData5000!$B$9:$B$5008)-1)+$I$5013</f>
        <v>1.0002000400080016E-3</v>
      </c>
      <c r="J5014">
        <f>SMALL(SimData5000!$C$9:$C$5008,6)</f>
        <v>9.3215253855305491E-4</v>
      </c>
      <c r="K5014">
        <f>1/(COUNT(SimData5000!$C$9:$C$5008)-1)+$K$5013</f>
        <v>1.0002000400080016E-3</v>
      </c>
    </row>
    <row r="5015" spans="1:11">
      <c r="A5015" t="s">
        <v>23</v>
      </c>
      <c r="B5015" t="str">
        <f>IF(ISBLANK($B5014)=TRUE,"",_xll.EDF(B9:B5008,$B5014))</f>
        <v/>
      </c>
      <c r="C5015" t="str">
        <f>IF(ISBLANK($C5014)=TRUE,"",_xll.EDF(C9:C5008,$C5014))</f>
        <v/>
      </c>
      <c r="H5015">
        <f>SMALL(SimData5000!$B$9:$B$5008,7)</f>
        <v>1.3378725425661243E-3</v>
      </c>
      <c r="I5015">
        <f>1/(COUNT(SimData5000!$B$9:$B$5008)-1)+$I$5014</f>
        <v>1.2002400480096019E-3</v>
      </c>
      <c r="J5015">
        <f>SMALL(SimData5000!$C$9:$C$5008,7)</f>
        <v>1.0271333321725251E-3</v>
      </c>
      <c r="K5015">
        <f>1/(COUNT(SimData5000!$C$9:$C$5008)-1)+$K$5014</f>
        <v>1.2002400480096019E-3</v>
      </c>
    </row>
    <row r="5016" spans="1:11">
      <c r="A5016" t="s">
        <v>24</v>
      </c>
      <c r="H5016">
        <f>SMALL(SimData5000!$B$9:$B$5008,8)</f>
        <v>1.5641490408135927E-3</v>
      </c>
      <c r="I5016">
        <f>1/(COUNT(SimData5000!$B$9:$B$5008)-1)+$I$5015</f>
        <v>1.4002800560112022E-3</v>
      </c>
      <c r="J5016">
        <f>SMALL(SimData5000!$C$9:$C$5008,8)</f>
        <v>1.2644141852717894E-3</v>
      </c>
      <c r="K5016">
        <f>1/(COUNT(SimData5000!$C$9:$C$5008)-1)+$K$5015</f>
        <v>1.4002800560112022E-3</v>
      </c>
    </row>
    <row r="5017" spans="1:11">
      <c r="A5017" t="s">
        <v>25</v>
      </c>
      <c r="B5017" t="str">
        <f>IF(ISBLANK($B5016)=TRUE,"",_xll.EDF(B9:B5008,$B5016))</f>
        <v/>
      </c>
      <c r="C5017" t="str">
        <f>IF(ISBLANK($C5016)=TRUE,"",_xll.EDF(C9:C5008,$C5016))</f>
        <v/>
      </c>
      <c r="H5017">
        <f>SMALL(SimData5000!$B$9:$B$5008,9)</f>
        <v>1.629159211048195E-3</v>
      </c>
      <c r="I5017">
        <f>1/(COUNT(SimData5000!$B$9:$B$5008)-1)+$I$5016</f>
        <v>1.6003200640128026E-3</v>
      </c>
      <c r="J5017">
        <f>SMALL(SimData5000!$C$9:$C$5008,9)</f>
        <v>1.6232153229793767E-3</v>
      </c>
      <c r="K5017">
        <f>1/(COUNT(SimData5000!$C$9:$C$5008)-1)+$K$5016</f>
        <v>1.6003200640128026E-3</v>
      </c>
    </row>
    <row r="5018" spans="1:11">
      <c r="A5018" t="s">
        <v>26</v>
      </c>
      <c r="H5018">
        <f>SMALL(SimData5000!$B$9:$B$5008,10)</f>
        <v>1.8461551044709409E-3</v>
      </c>
      <c r="I5018">
        <f>1/(COUNT(SimData5000!$B$9:$B$5008)-1)+$I$5017</f>
        <v>1.8003600720144029E-3</v>
      </c>
      <c r="J5018">
        <f>SMALL(SimData5000!$C$9:$C$5008,10)</f>
        <v>1.8419322323097731E-3</v>
      </c>
      <c r="K5018">
        <f>1/(COUNT(SimData5000!$C$9:$C$5008)-1)+$K$5017</f>
        <v>1.8003600720144029E-3</v>
      </c>
    </row>
    <row r="5019" spans="1:11">
      <c r="A5019" t="s">
        <v>27</v>
      </c>
      <c r="B5019" t="str">
        <f>IF(ISBLANK($B5018)=TRUE,"",_xll.EDF(B9:B5008,$B5018))</f>
        <v/>
      </c>
      <c r="C5019" t="str">
        <f>IF(ISBLANK($C5018)=TRUE,"",_xll.EDF(C9:C5008,$C5018))</f>
        <v/>
      </c>
      <c r="H5019">
        <f>SMALL(SimData5000!$B$9:$B$5008,11)</f>
        <v>2.1558667870135669E-3</v>
      </c>
      <c r="I5019">
        <f>1/(COUNT(SimData5000!$B$9:$B$5008)-1)+$I$5018</f>
        <v>2.0004000800160032E-3</v>
      </c>
      <c r="J5019">
        <f>SMALL(SimData5000!$C$9:$C$5008,11)</f>
        <v>1.8903292502727709E-3</v>
      </c>
      <c r="K5019">
        <f>1/(COUNT(SimData5000!$C$9:$C$5008)-1)+$K$5018</f>
        <v>2.0004000800160032E-3</v>
      </c>
    </row>
    <row r="5020" spans="1:11">
      <c r="H5020">
        <f>SMALL(SimData5000!$B$9:$B$5008,12)</f>
        <v>2.32255273948483E-3</v>
      </c>
      <c r="I5020">
        <f>1/(COUNT(SimData5000!$B$9:$B$5008)-1)+$I$5019</f>
        <v>2.2004400880176033E-3</v>
      </c>
      <c r="J5020">
        <f>SMALL(SimData5000!$C$9:$C$5008,12)</f>
        <v>2.0163308035989758E-3</v>
      </c>
      <c r="K5020">
        <f>1/(COUNT(SimData5000!$C$9:$C$5008)-1)+$K$5019</f>
        <v>2.2004400880176033E-3</v>
      </c>
    </row>
    <row r="5021" spans="1:11">
      <c r="H5021">
        <f>SMALL(SimData5000!$B$9:$B$5008,13)</f>
        <v>2.5859924774584344E-3</v>
      </c>
      <c r="I5021">
        <f>1/(COUNT(SimData5000!$B$9:$B$5008)-1)+$I$5020</f>
        <v>2.4004800960192038E-3</v>
      </c>
      <c r="J5021">
        <f>SMALL(SimData5000!$C$9:$C$5008,13)</f>
        <v>2.168048667954281E-3</v>
      </c>
      <c r="K5021">
        <f>1/(COUNT(SimData5000!$C$9:$C$5008)-1)+$K$5020</f>
        <v>2.4004800960192038E-3</v>
      </c>
    </row>
    <row r="5022" spans="1:11">
      <c r="H5022">
        <f>SMALL(SimData5000!$B$9:$B$5008,14)</f>
        <v>2.7129933432473319E-3</v>
      </c>
      <c r="I5022">
        <f>1/(COUNT(SimData5000!$B$9:$B$5008)-1)+$I$5021</f>
        <v>2.6005201040208044E-3</v>
      </c>
      <c r="J5022">
        <f>SMALL(SimData5000!$C$9:$C$5008,14)</f>
        <v>2.2322748263832182E-3</v>
      </c>
      <c r="K5022">
        <f>1/(COUNT(SimData5000!$C$9:$C$5008)-1)+$K$5021</f>
        <v>2.6005201040208044E-3</v>
      </c>
    </row>
    <row r="5023" spans="1:11">
      <c r="H5023">
        <f>SMALL(SimData5000!$B$9:$B$5008,15)</f>
        <v>2.8388540065472138E-3</v>
      </c>
      <c r="I5023">
        <f>1/(COUNT(SimData5000!$B$9:$B$5008)-1)+$I$5022</f>
        <v>2.8005601120224049E-3</v>
      </c>
      <c r="J5023">
        <f>SMALL(SimData5000!$C$9:$C$5008,15)</f>
        <v>2.6156873400395853E-3</v>
      </c>
      <c r="K5023">
        <f>1/(COUNT(SimData5000!$C$9:$C$5008)-1)+$K$5022</f>
        <v>2.8005601120224049E-3</v>
      </c>
    </row>
    <row r="5024" spans="1:11">
      <c r="H5024">
        <f>SMALL(SimData5000!$B$9:$B$5008,16)</f>
        <v>3.1235625312019985E-3</v>
      </c>
      <c r="I5024">
        <f>1/(COUNT(SimData5000!$B$9:$B$5008)-1)+$I$5023</f>
        <v>3.0006001200240055E-3</v>
      </c>
      <c r="J5024">
        <f>SMALL(SimData5000!$C$9:$C$5008,16)</f>
        <v>3.0863902629789663E-3</v>
      </c>
      <c r="K5024">
        <f>1/(COUNT(SimData5000!$C$9:$C$5008)-1)+$K$5023</f>
        <v>3.0006001200240055E-3</v>
      </c>
    </row>
    <row r="5025" spans="8:11">
      <c r="H5025">
        <f>SMALL(SimData5000!$B$9:$B$5008,17)</f>
        <v>3.2376723369205536E-3</v>
      </c>
      <c r="I5025">
        <f>1/(COUNT(SimData5000!$B$9:$B$5008)-1)+$I$5024</f>
        <v>3.200640128025606E-3</v>
      </c>
      <c r="J5025">
        <f>SMALL(SimData5000!$C$9:$C$5008,17)</f>
        <v>3.2746183651397587E-3</v>
      </c>
      <c r="K5025">
        <f>1/(COUNT(SimData5000!$C$9:$C$5008)-1)+$K$5024</f>
        <v>3.200640128025606E-3</v>
      </c>
    </row>
    <row r="5026" spans="8:11">
      <c r="H5026">
        <f>SMALL(SimData5000!$B$9:$B$5008,18)</f>
        <v>3.4487864175924998E-3</v>
      </c>
      <c r="I5026">
        <f>1/(COUNT(SimData5000!$B$9:$B$5008)-1)+$I$5025</f>
        <v>3.4006801360272065E-3</v>
      </c>
      <c r="J5026">
        <f>SMALL(SimData5000!$C$9:$C$5008,18)</f>
        <v>3.648773352324497E-3</v>
      </c>
      <c r="K5026">
        <f>1/(COUNT(SimData5000!$C$9:$C$5008)-1)+$K$5025</f>
        <v>3.4006801360272065E-3</v>
      </c>
    </row>
    <row r="5027" spans="8:11">
      <c r="H5027">
        <f>SMALL(SimData5000!$B$9:$B$5008,19)</f>
        <v>3.7797965665766499E-3</v>
      </c>
      <c r="I5027">
        <f>1/(COUNT(SimData5000!$B$9:$B$5008)-1)+$I$5026</f>
        <v>3.6007201440288071E-3</v>
      </c>
      <c r="J5027">
        <f>SMALL(SimData5000!$C$9:$C$5008,19)</f>
        <v>3.6926369220964261E-3</v>
      </c>
      <c r="K5027">
        <f>1/(COUNT(SimData5000!$C$9:$C$5008)-1)+$K$5026</f>
        <v>3.6007201440288071E-3</v>
      </c>
    </row>
    <row r="5028" spans="8:11">
      <c r="H5028">
        <f>SMALL(SimData5000!$B$9:$B$5008,20)</f>
        <v>3.9310449701573337E-3</v>
      </c>
      <c r="I5028">
        <f>1/(COUNT(SimData5000!$B$9:$B$5008)-1)+$I$5027</f>
        <v>3.8007601520304076E-3</v>
      </c>
      <c r="J5028">
        <f>SMALL(SimData5000!$C$9:$C$5008,20)</f>
        <v>3.8029689603717998E-3</v>
      </c>
      <c r="K5028">
        <f>1/(COUNT(SimData5000!$C$9:$C$5008)-1)+$K$5027</f>
        <v>3.8007601520304076E-3</v>
      </c>
    </row>
    <row r="5029" spans="8:11">
      <c r="H5029">
        <f>SMALL(SimData5000!$B$9:$B$5008,21)</f>
        <v>4.0977114546340218E-3</v>
      </c>
      <c r="I5029">
        <f>1/(COUNT(SimData5000!$B$9:$B$5008)-1)+$I$5028</f>
        <v>4.0008001600320081E-3</v>
      </c>
      <c r="J5029">
        <f>SMALL(SimData5000!$C$9:$C$5008,21)</f>
        <v>3.8463407126982929E-3</v>
      </c>
      <c r="K5029">
        <f>1/(COUNT(SimData5000!$C$9:$C$5008)-1)+$K$5028</f>
        <v>4.0008001600320081E-3</v>
      </c>
    </row>
    <row r="5030" spans="8:11">
      <c r="H5030">
        <f>SMALL(SimData5000!$B$9:$B$5008,22)</f>
        <v>4.329175684025785E-3</v>
      </c>
      <c r="I5030">
        <f>1/(COUNT(SimData5000!$B$9:$B$5008)-1)+$I$5029</f>
        <v>4.2008401680336087E-3</v>
      </c>
      <c r="J5030">
        <f>SMALL(SimData5000!$C$9:$C$5008,22)</f>
        <v>4.1242197939936887E-3</v>
      </c>
      <c r="K5030">
        <f>1/(COUNT(SimData5000!$C$9:$C$5008)-1)+$K$5029</f>
        <v>4.2008401680336087E-3</v>
      </c>
    </row>
    <row r="5031" spans="8:11">
      <c r="H5031">
        <f>SMALL(SimData5000!$B$9:$B$5008,23)</f>
        <v>4.5463747331282063E-3</v>
      </c>
      <c r="I5031">
        <f>1/(COUNT(SimData5000!$B$9:$B$5008)-1)+$I$5030</f>
        <v>4.4008801760352092E-3</v>
      </c>
      <c r="J5031">
        <f>SMALL(SimData5000!$C$9:$C$5008,23)</f>
        <v>4.1567488851796952E-3</v>
      </c>
      <c r="K5031">
        <f>1/(COUNT(SimData5000!$C$9:$C$5008)-1)+$K$5030</f>
        <v>4.4008801760352092E-3</v>
      </c>
    </row>
    <row r="5032" spans="8:11">
      <c r="H5032">
        <f>SMALL(SimData5000!$B$9:$B$5008,24)</f>
        <v>4.7300015170895502E-3</v>
      </c>
      <c r="I5032">
        <f>1/(COUNT(SimData5000!$B$9:$B$5008)-1)+$I$5031</f>
        <v>4.6009201840368098E-3</v>
      </c>
      <c r="J5032">
        <f>SMALL(SimData5000!$C$9:$C$5008,24)</f>
        <v>4.1587055993659305E-3</v>
      </c>
      <c r="K5032">
        <f>1/(COUNT(SimData5000!$C$9:$C$5008)-1)+$K$5031</f>
        <v>4.6009201840368098E-3</v>
      </c>
    </row>
    <row r="5033" spans="8:11">
      <c r="H5033">
        <f>SMALL(SimData5000!$B$9:$B$5008,25)</f>
        <v>4.9209621892592316E-3</v>
      </c>
      <c r="I5033">
        <f>1/(COUNT(SimData5000!$B$9:$B$5008)-1)+$I$5032</f>
        <v>4.8009601920384103E-3</v>
      </c>
      <c r="J5033">
        <f>SMALL(SimData5000!$C$9:$C$5008,25)</f>
        <v>5.1606116330731311E-3</v>
      </c>
      <c r="K5033">
        <f>1/(COUNT(SimData5000!$C$9:$C$5008)-1)+$K$5032</f>
        <v>4.8009601920384103E-3</v>
      </c>
    </row>
    <row r="5034" spans="8:11">
      <c r="H5034">
        <f>SMALL(SimData5000!$B$9:$B$5008,26)</f>
        <v>5.0045890813238429E-3</v>
      </c>
      <c r="I5034">
        <f>1/(COUNT(SimData5000!$B$9:$B$5008)-1)+$I$5033</f>
        <v>5.0010002000400108E-3</v>
      </c>
      <c r="J5034">
        <f>SMALL(SimData5000!$C$9:$C$5008,26)</f>
        <v>5.6663850491531775E-3</v>
      </c>
      <c r="K5034">
        <f>1/(COUNT(SimData5000!$C$9:$C$5008)-1)+$K$5033</f>
        <v>5.0010002000400108E-3</v>
      </c>
    </row>
    <row r="5035" spans="8:11">
      <c r="H5035">
        <f>SMALL(SimData5000!$B$9:$B$5008,27)</f>
        <v>5.3827307756484323E-3</v>
      </c>
      <c r="I5035">
        <f>1/(COUNT(SimData5000!$B$9:$B$5008)-1)+$I$5034</f>
        <v>5.2010402080416114E-3</v>
      </c>
      <c r="J5035">
        <f>SMALL(SimData5000!$C$9:$C$5008,27)</f>
        <v>5.7819197463686578E-3</v>
      </c>
      <c r="K5035">
        <f>1/(COUNT(SimData5000!$C$9:$C$5008)-1)+$K$5034</f>
        <v>5.2010402080416114E-3</v>
      </c>
    </row>
    <row r="5036" spans="8:11">
      <c r="H5036">
        <f>SMALL(SimData5000!$B$9:$B$5008,28)</f>
        <v>5.5613214228212183E-3</v>
      </c>
      <c r="I5036">
        <f>1/(COUNT(SimData5000!$B$9:$B$5008)-1)+$I$5035</f>
        <v>5.4010802160432119E-3</v>
      </c>
      <c r="J5036">
        <f>SMALL(SimData5000!$C$9:$C$5008,28)</f>
        <v>5.9353476699470775E-3</v>
      </c>
      <c r="K5036">
        <f>1/(COUNT(SimData5000!$C$9:$C$5008)-1)+$K$5035</f>
        <v>5.4010802160432119E-3</v>
      </c>
    </row>
    <row r="5037" spans="8:11">
      <c r="H5037">
        <f>SMALL(SimData5000!$B$9:$B$5008,29)</f>
        <v>5.7328163281392345E-3</v>
      </c>
      <c r="I5037">
        <f>1/(COUNT(SimData5000!$B$9:$B$5008)-1)+$I$5036</f>
        <v>5.6011202240448124E-3</v>
      </c>
      <c r="J5037">
        <f>SMALL(SimData5000!$C$9:$C$5008,29)</f>
        <v>5.9414636489236727E-3</v>
      </c>
      <c r="K5037">
        <f>1/(COUNT(SimData5000!$C$9:$C$5008)-1)+$K$5036</f>
        <v>5.6011202240448124E-3</v>
      </c>
    </row>
    <row r="5038" spans="8:11">
      <c r="H5038">
        <f>SMALL(SimData5000!$B$9:$B$5008,30)</f>
        <v>5.9011861823734801E-3</v>
      </c>
      <c r="I5038">
        <f>1/(COUNT(SimData5000!$B$9:$B$5008)-1)+$I$5037</f>
        <v>5.801160232046413E-3</v>
      </c>
      <c r="J5038">
        <f>SMALL(SimData5000!$C$9:$C$5008,30)</f>
        <v>5.950964626208588E-3</v>
      </c>
      <c r="K5038">
        <f>1/(COUNT(SimData5000!$C$9:$C$5008)-1)+$K$5037</f>
        <v>5.801160232046413E-3</v>
      </c>
    </row>
    <row r="5039" spans="8:11">
      <c r="H5039">
        <f>SMALL(SimData5000!$B$9:$B$5008,31)</f>
        <v>6.0455766580639354E-3</v>
      </c>
      <c r="I5039">
        <f>1/(COUNT(SimData5000!$B$9:$B$5008)-1)+$I$5038</f>
        <v>6.0012002400480135E-3</v>
      </c>
      <c r="J5039">
        <f>SMALL(SimData5000!$C$9:$C$5008,31)</f>
        <v>6.1882270802016137E-3</v>
      </c>
      <c r="K5039">
        <f>1/(COUNT(SimData5000!$C$9:$C$5008)-1)+$K$5038</f>
        <v>6.0012002400480135E-3</v>
      </c>
    </row>
    <row r="5040" spans="8:11">
      <c r="H5040">
        <f>SMALL(SimData5000!$B$9:$B$5008,32)</f>
        <v>6.2256752121322041E-3</v>
      </c>
      <c r="I5040">
        <f>1/(COUNT(SimData5000!$B$9:$B$5008)-1)+$I$5039</f>
        <v>6.2012402480496141E-3</v>
      </c>
      <c r="J5040">
        <f>SMALL(SimData5000!$C$9:$C$5008,32)</f>
        <v>6.2073429298834526E-3</v>
      </c>
      <c r="K5040">
        <f>1/(COUNT(SimData5000!$C$9:$C$5008)-1)+$K$5039</f>
        <v>6.2012402480496141E-3</v>
      </c>
    </row>
    <row r="5041" spans="8:11">
      <c r="H5041">
        <f>SMALL(SimData5000!$B$9:$B$5008,33)</f>
        <v>6.5442808154840678E-3</v>
      </c>
      <c r="I5041">
        <f>1/(COUNT(SimData5000!$B$9:$B$5008)-1)+$I$5040</f>
        <v>6.4012802560512146E-3</v>
      </c>
      <c r="J5041">
        <f>SMALL(SimData5000!$C$9:$C$5008,33)</f>
        <v>6.3708604084240505E-3</v>
      </c>
      <c r="K5041">
        <f>1/(COUNT(SimData5000!$C$9:$C$5008)-1)+$K$5040</f>
        <v>6.4012802560512146E-3</v>
      </c>
    </row>
    <row r="5042" spans="8:11">
      <c r="H5042">
        <f>SMALL(SimData5000!$B$9:$B$5008,34)</f>
        <v>6.6937559742233149E-3</v>
      </c>
      <c r="I5042">
        <f>1/(COUNT(SimData5000!$B$9:$B$5008)-1)+$I$5041</f>
        <v>6.6013202640528151E-3</v>
      </c>
      <c r="J5042">
        <f>SMALL(SimData5000!$C$9:$C$5008,34)</f>
        <v>6.5629412210910232E-3</v>
      </c>
      <c r="K5042">
        <f>1/(COUNT(SimData5000!$C$9:$C$5008)-1)+$K$5041</f>
        <v>6.6013202640528151E-3</v>
      </c>
    </row>
    <row r="5043" spans="8:11">
      <c r="H5043">
        <f>SMALL(SimData5000!$B$9:$B$5008,35)</f>
        <v>6.997078213420947E-3</v>
      </c>
      <c r="I5043">
        <f>1/(COUNT(SimData5000!$B$9:$B$5008)-1)+$I$5042</f>
        <v>6.8013602720544157E-3</v>
      </c>
      <c r="J5043">
        <f>SMALL(SimData5000!$C$9:$C$5008,35)</f>
        <v>6.7637172915055999E-3</v>
      </c>
      <c r="K5043">
        <f>1/(COUNT(SimData5000!$C$9:$C$5008)-1)+$K$5042</f>
        <v>6.8013602720544157E-3</v>
      </c>
    </row>
    <row r="5044" spans="8:11">
      <c r="H5044">
        <f>SMALL(SimData5000!$B$9:$B$5008,36)</f>
        <v>7.0182687477251208E-3</v>
      </c>
      <c r="I5044">
        <f>1/(COUNT(SimData5000!$B$9:$B$5008)-1)+$I$5043</f>
        <v>7.0014002800560162E-3</v>
      </c>
      <c r="J5044">
        <f>SMALL(SimData5000!$C$9:$C$5008,36)</f>
        <v>7.0262383733279421E-3</v>
      </c>
      <c r="K5044">
        <f>1/(COUNT(SimData5000!$C$9:$C$5008)-1)+$K$5043</f>
        <v>7.0014002800560162E-3</v>
      </c>
    </row>
    <row r="5045" spans="8:11">
      <c r="H5045">
        <f>SMALL(SimData5000!$B$9:$B$5008,37)</f>
        <v>7.3521722505223404E-3</v>
      </c>
      <c r="I5045">
        <f>1/(COUNT(SimData5000!$B$9:$B$5008)-1)+$I$5044</f>
        <v>7.2014402880576167E-3</v>
      </c>
      <c r="J5045">
        <f>SMALL(SimData5000!$C$9:$C$5008,37)</f>
        <v>7.273145361978095E-3</v>
      </c>
      <c r="K5045">
        <f>1/(COUNT(SimData5000!$C$9:$C$5008)-1)+$K$5044</f>
        <v>7.2014402880576167E-3</v>
      </c>
    </row>
    <row r="5046" spans="8:11">
      <c r="H5046">
        <f>SMALL(SimData5000!$B$9:$B$5008,38)</f>
        <v>7.4576869196858455E-3</v>
      </c>
      <c r="I5046">
        <f>1/(COUNT(SimData5000!$B$9:$B$5008)-1)+$I$5045</f>
        <v>7.4014802960592173E-3</v>
      </c>
      <c r="J5046">
        <f>SMALL(SimData5000!$C$9:$C$5008,38)</f>
        <v>7.3581082815508125E-3</v>
      </c>
      <c r="K5046">
        <f>1/(COUNT(SimData5000!$C$9:$C$5008)-1)+$K$5045</f>
        <v>7.4014802960592173E-3</v>
      </c>
    </row>
    <row r="5047" spans="8:11">
      <c r="H5047">
        <f>SMALL(SimData5000!$B$9:$B$5008,39)</f>
        <v>7.6278854457726437E-3</v>
      </c>
      <c r="I5047">
        <f>1/(COUNT(SimData5000!$B$9:$B$5008)-1)+$I$5046</f>
        <v>7.6015203040608178E-3</v>
      </c>
      <c r="J5047">
        <f>SMALL(SimData5000!$C$9:$C$5008,39)</f>
        <v>7.5820788979399367E-3</v>
      </c>
      <c r="K5047">
        <f>1/(COUNT(SimData5000!$C$9:$C$5008)-1)+$K$5046</f>
        <v>7.6015203040608178E-3</v>
      </c>
    </row>
    <row r="5048" spans="8:11">
      <c r="H5048">
        <f>SMALL(SimData5000!$B$9:$B$5008,40)</f>
        <v>7.9527682677732713E-3</v>
      </c>
      <c r="I5048">
        <f>1/(COUNT(SimData5000!$B$9:$B$5008)-1)+$I$5047</f>
        <v>7.8015603120624184E-3</v>
      </c>
      <c r="J5048">
        <f>SMALL(SimData5000!$C$9:$C$5008,40)</f>
        <v>7.627955469644121E-3</v>
      </c>
      <c r="K5048">
        <f>1/(COUNT(SimData5000!$C$9:$C$5008)-1)+$K$5047</f>
        <v>7.8015603120624184E-3</v>
      </c>
    </row>
    <row r="5049" spans="8:11">
      <c r="H5049">
        <f>SMALL(SimData5000!$B$9:$B$5008,41)</f>
        <v>8.1051370193029604E-3</v>
      </c>
      <c r="I5049">
        <f>1/(COUNT(SimData5000!$B$9:$B$5008)-1)+$I$5048</f>
        <v>8.001600320064018E-3</v>
      </c>
      <c r="J5049">
        <f>SMALL(SimData5000!$C$9:$C$5008,41)</f>
        <v>8.0425475562151405E-3</v>
      </c>
      <c r="K5049">
        <f>1/(COUNT(SimData5000!$C$9:$C$5008)-1)+$K$5048</f>
        <v>8.001600320064018E-3</v>
      </c>
    </row>
    <row r="5050" spans="8:11">
      <c r="H5050">
        <f>SMALL(SimData5000!$B$9:$B$5008,42)</f>
        <v>8.3540289425649752E-3</v>
      </c>
      <c r="I5050">
        <f>1/(COUNT(SimData5000!$B$9:$B$5008)-1)+$I$5049</f>
        <v>8.2016403280656177E-3</v>
      </c>
      <c r="J5050">
        <f>SMALL(SimData5000!$C$9:$C$5008,42)</f>
        <v>8.0652307642594678E-3</v>
      </c>
      <c r="K5050">
        <f>1/(COUNT(SimData5000!$C$9:$C$5008)-1)+$K$5049</f>
        <v>8.2016403280656177E-3</v>
      </c>
    </row>
    <row r="5051" spans="8:11">
      <c r="H5051">
        <f>SMALL(SimData5000!$B$9:$B$5008,43)</f>
        <v>8.4084056305252959E-3</v>
      </c>
      <c r="I5051">
        <f>1/(COUNT(SimData5000!$B$9:$B$5008)-1)+$I$5050</f>
        <v>8.4016803360672174E-3</v>
      </c>
      <c r="J5051">
        <f>SMALL(SimData5000!$C$9:$C$5008,43)</f>
        <v>8.2119646249338984E-3</v>
      </c>
      <c r="K5051">
        <f>1/(COUNT(SimData5000!$C$9:$C$5008)-1)+$K$5050</f>
        <v>8.4016803360672174E-3</v>
      </c>
    </row>
    <row r="5052" spans="8:11">
      <c r="H5052">
        <f>SMALL(SimData5000!$B$9:$B$5008,44)</f>
        <v>8.6238565647098839E-3</v>
      </c>
      <c r="I5052">
        <f>1/(COUNT(SimData5000!$B$9:$B$5008)-1)+$I$5051</f>
        <v>8.601720344068817E-3</v>
      </c>
      <c r="J5052">
        <f>SMALL(SimData5000!$C$9:$C$5008,44)</f>
        <v>8.3134663409509812E-3</v>
      </c>
      <c r="K5052">
        <f>1/(COUNT(SimData5000!$C$9:$C$5008)-1)+$K$5051</f>
        <v>8.601720344068817E-3</v>
      </c>
    </row>
    <row r="5053" spans="8:11">
      <c r="H5053">
        <f>SMALL(SimData5000!$B$9:$B$5008,45)</f>
        <v>8.9496441342750664E-3</v>
      </c>
      <c r="I5053">
        <f>1/(COUNT(SimData5000!$B$9:$B$5008)-1)+$I$5052</f>
        <v>8.8017603520704167E-3</v>
      </c>
      <c r="J5053">
        <f>SMALL(SimData5000!$C$9:$C$5008,45)</f>
        <v>8.6022940895418287E-3</v>
      </c>
      <c r="K5053">
        <f>1/(COUNT(SimData5000!$C$9:$C$5008)-1)+$K$5052</f>
        <v>8.8017603520704167E-3</v>
      </c>
    </row>
    <row r="5054" spans="8:11">
      <c r="H5054">
        <f>SMALL(SimData5000!$B$9:$B$5008,46)</f>
        <v>9.0229140788835732E-3</v>
      </c>
      <c r="I5054">
        <f>1/(COUNT(SimData5000!$B$9:$B$5008)-1)+$I$5053</f>
        <v>9.0018003600720164E-3</v>
      </c>
      <c r="J5054">
        <f>SMALL(SimData5000!$C$9:$C$5008,46)</f>
        <v>8.6322374800147372E-3</v>
      </c>
      <c r="K5054">
        <f>1/(COUNT(SimData5000!$C$9:$C$5008)-1)+$K$5053</f>
        <v>9.0018003600720164E-3</v>
      </c>
    </row>
    <row r="5055" spans="8:11">
      <c r="H5055">
        <f>SMALL(SimData5000!$B$9:$B$5008,47)</f>
        <v>9.2837494451281973E-3</v>
      </c>
      <c r="I5055">
        <f>1/(COUNT(SimData5000!$B$9:$B$5008)-1)+$I$5054</f>
        <v>9.201840368073616E-3</v>
      </c>
      <c r="J5055">
        <f>SMALL(SimData5000!$C$9:$C$5008,47)</f>
        <v>8.6480986610695254E-3</v>
      </c>
      <c r="K5055">
        <f>1/(COUNT(SimData5000!$C$9:$C$5008)-1)+$K$5054</f>
        <v>9.201840368073616E-3</v>
      </c>
    </row>
    <row r="5056" spans="8:11">
      <c r="H5056">
        <f>SMALL(SimData5000!$B$9:$B$5008,48)</f>
        <v>9.5839975798930957E-3</v>
      </c>
      <c r="I5056">
        <f>1/(COUNT(SimData5000!$B$9:$B$5008)-1)+$I$5055</f>
        <v>9.4018803760752157E-3</v>
      </c>
      <c r="J5056">
        <f>SMALL(SimData5000!$C$9:$C$5008,48)</f>
        <v>8.6948504331303411E-3</v>
      </c>
      <c r="K5056">
        <f>1/(COUNT(SimData5000!$C$9:$C$5008)-1)+$K$5055</f>
        <v>9.4018803760752157E-3</v>
      </c>
    </row>
    <row r="5057" spans="8:11">
      <c r="H5057">
        <f>SMALL(SimData5000!$B$9:$B$5008,49)</f>
        <v>9.6984415297625692E-3</v>
      </c>
      <c r="I5057">
        <f>1/(COUNT(SimData5000!$B$9:$B$5008)-1)+$I$5056</f>
        <v>9.6019203840768154E-3</v>
      </c>
      <c r="J5057">
        <f>SMALL(SimData5000!$C$9:$C$5008,49)</f>
        <v>9.2911625097258366E-3</v>
      </c>
      <c r="K5057">
        <f>1/(COUNT(SimData5000!$C$9:$C$5008)-1)+$K$5056</f>
        <v>9.6019203840768154E-3</v>
      </c>
    </row>
    <row r="5058" spans="8:11">
      <c r="H5058">
        <f>SMALL(SimData5000!$B$9:$B$5008,50)</f>
        <v>9.8427628757997328E-3</v>
      </c>
      <c r="I5058">
        <f>1/(COUNT(SimData5000!$B$9:$B$5008)-1)+$I$5057</f>
        <v>9.8019603920784151E-3</v>
      </c>
      <c r="J5058">
        <f>SMALL(SimData5000!$C$9:$C$5008,50)</f>
        <v>1.0097569468598522E-2</v>
      </c>
      <c r="K5058">
        <f>1/(COUNT(SimData5000!$C$9:$C$5008)-1)+$K$5057</f>
        <v>9.8019603920784151E-3</v>
      </c>
    </row>
    <row r="5059" spans="8:11">
      <c r="H5059">
        <f>SMALL(SimData5000!$B$9:$B$5008,51)</f>
        <v>1.0196258423709371E-2</v>
      </c>
      <c r="I5059">
        <f>1/(COUNT(SimData5000!$B$9:$B$5008)-1)+$I$5058</f>
        <v>1.0002000400080015E-2</v>
      </c>
      <c r="J5059">
        <f>SMALL(SimData5000!$C$9:$C$5008,51)</f>
        <v>1.0287612002684909E-2</v>
      </c>
      <c r="K5059">
        <f>1/(COUNT(SimData5000!$C$9:$C$5008)-1)+$K$5058</f>
        <v>1.0002000400080015E-2</v>
      </c>
    </row>
    <row r="5060" spans="8:11">
      <c r="H5060">
        <f>SMALL(SimData5000!$B$9:$B$5008,52)</f>
        <v>1.0320074891094136E-2</v>
      </c>
      <c r="I5060">
        <f>1/(COUNT(SimData5000!$B$9:$B$5008)-1)+$I$5059</f>
        <v>1.0202040408081614E-2</v>
      </c>
      <c r="J5060">
        <f>SMALL(SimData5000!$C$9:$C$5008,52)</f>
        <v>1.0481258193976828E-2</v>
      </c>
      <c r="K5060">
        <f>1/(COUNT(SimData5000!$C$9:$C$5008)-1)+$K$5059</f>
        <v>1.0202040408081614E-2</v>
      </c>
    </row>
    <row r="5061" spans="8:11">
      <c r="H5061">
        <f>SMALL(SimData5000!$B$9:$B$5008,53)</f>
        <v>1.0479576538056036E-2</v>
      </c>
      <c r="I5061">
        <f>1/(COUNT(SimData5000!$B$9:$B$5008)-1)+$I$5060</f>
        <v>1.0402080416083214E-2</v>
      </c>
      <c r="J5061">
        <f>SMALL(SimData5000!$C$9:$C$5008,53)</f>
        <v>1.091874330995779E-2</v>
      </c>
      <c r="K5061">
        <f>1/(COUNT(SimData5000!$C$9:$C$5008)-1)+$K$5060</f>
        <v>1.0402080416083214E-2</v>
      </c>
    </row>
    <row r="5062" spans="8:11">
      <c r="H5062">
        <f>SMALL(SimData5000!$B$9:$B$5008,54)</f>
        <v>1.0793668417957069E-2</v>
      </c>
      <c r="I5062">
        <f>1/(COUNT(SimData5000!$B$9:$B$5008)-1)+$I$5061</f>
        <v>1.0602120424084814E-2</v>
      </c>
      <c r="J5062">
        <f>SMALL(SimData5000!$C$9:$C$5008,54)</f>
        <v>1.1015247405339323E-2</v>
      </c>
      <c r="K5062">
        <f>1/(COUNT(SimData5000!$C$9:$C$5008)-1)+$K$5061</f>
        <v>1.0602120424084814E-2</v>
      </c>
    </row>
    <row r="5063" spans="8:11">
      <c r="H5063">
        <f>SMALL(SimData5000!$B$9:$B$5008,55)</f>
        <v>1.0878100348049332E-2</v>
      </c>
      <c r="I5063">
        <f>1/(COUNT(SimData5000!$B$9:$B$5008)-1)+$I$5062</f>
        <v>1.0802160432086413E-2</v>
      </c>
      <c r="J5063">
        <f>SMALL(SimData5000!$C$9:$C$5008,55)</f>
        <v>1.1035830137188896E-2</v>
      </c>
      <c r="K5063">
        <f>1/(COUNT(SimData5000!$C$9:$C$5008)-1)+$K$5062</f>
        <v>1.0802160432086413E-2</v>
      </c>
    </row>
    <row r="5064" spans="8:11">
      <c r="H5064">
        <f>SMALL(SimData5000!$B$9:$B$5008,56)</f>
        <v>1.1166526881411329E-2</v>
      </c>
      <c r="I5064">
        <f>1/(COUNT(SimData5000!$B$9:$B$5008)-1)+$I$5063</f>
        <v>1.1002200440088013E-2</v>
      </c>
      <c r="J5064">
        <f>SMALL(SimData5000!$C$9:$C$5008,56)</f>
        <v>1.12179393408951E-2</v>
      </c>
      <c r="K5064">
        <f>1/(COUNT(SimData5000!$C$9:$C$5008)-1)+$K$5063</f>
        <v>1.1002200440088013E-2</v>
      </c>
    </row>
    <row r="5065" spans="8:11">
      <c r="H5065">
        <f>SMALL(SimData5000!$B$9:$B$5008,57)</f>
        <v>1.1254247796175593E-2</v>
      </c>
      <c r="I5065">
        <f>1/(COUNT(SimData5000!$B$9:$B$5008)-1)+$I$5064</f>
        <v>1.1202240448089613E-2</v>
      </c>
      <c r="J5065">
        <f>SMALL(SimData5000!$C$9:$C$5008,57)</f>
        <v>1.128977817370469E-2</v>
      </c>
      <c r="K5065">
        <f>1/(COUNT(SimData5000!$C$9:$C$5008)-1)+$K$5064</f>
        <v>1.1202240448089613E-2</v>
      </c>
    </row>
    <row r="5066" spans="8:11">
      <c r="H5066">
        <f>SMALL(SimData5000!$B$9:$B$5008,58)</f>
        <v>1.1519465230200315E-2</v>
      </c>
      <c r="I5066">
        <f>1/(COUNT(SimData5000!$B$9:$B$5008)-1)+$I$5065</f>
        <v>1.1402280456091212E-2</v>
      </c>
      <c r="J5066">
        <f>SMALL(SimData5000!$C$9:$C$5008,58)</f>
        <v>1.1375620073522441E-2</v>
      </c>
      <c r="K5066">
        <f>1/(COUNT(SimData5000!$C$9:$C$5008)-1)+$K$5065</f>
        <v>1.1402280456091212E-2</v>
      </c>
    </row>
    <row r="5067" spans="8:11">
      <c r="H5067">
        <f>SMALL(SimData5000!$B$9:$B$5008,59)</f>
        <v>1.1619147491506103E-2</v>
      </c>
      <c r="I5067">
        <f>1/(COUNT(SimData5000!$B$9:$B$5008)-1)+$I$5066</f>
        <v>1.1602320464092812E-2</v>
      </c>
      <c r="J5067">
        <f>SMALL(SimData5000!$C$9:$C$5008,59)</f>
        <v>1.1797494290476607E-2</v>
      </c>
      <c r="K5067">
        <f>1/(COUNT(SimData5000!$C$9:$C$5008)-1)+$K$5066</f>
        <v>1.1602320464092812E-2</v>
      </c>
    </row>
    <row r="5068" spans="8:11">
      <c r="H5068">
        <f>SMALL(SimData5000!$B$9:$B$5008,60)</f>
        <v>1.1818319295676965E-2</v>
      </c>
      <c r="I5068">
        <f>1/(COUNT(SimData5000!$B$9:$B$5008)-1)+$I$5067</f>
        <v>1.1802360472094412E-2</v>
      </c>
      <c r="J5068">
        <f>SMALL(SimData5000!$C$9:$C$5008,60)</f>
        <v>1.1921999709556985E-2</v>
      </c>
      <c r="K5068">
        <f>1/(COUNT(SimData5000!$C$9:$C$5008)-1)+$K$5067</f>
        <v>1.1802360472094412E-2</v>
      </c>
    </row>
    <row r="5069" spans="8:11">
      <c r="H5069">
        <f>SMALL(SimData5000!$B$9:$B$5008,61)</f>
        <v>1.2154262661876683E-2</v>
      </c>
      <c r="I5069">
        <f>1/(COUNT(SimData5000!$B$9:$B$5008)-1)+$I$5068</f>
        <v>1.2002400480096011E-2</v>
      </c>
      <c r="J5069">
        <f>SMALL(SimData5000!$C$9:$C$5008,61)</f>
        <v>1.194568632854498E-2</v>
      </c>
      <c r="K5069">
        <f>1/(COUNT(SimData5000!$C$9:$C$5008)-1)+$K$5068</f>
        <v>1.2002400480096011E-2</v>
      </c>
    </row>
    <row r="5070" spans="8:11">
      <c r="H5070">
        <f>SMALL(SimData5000!$B$9:$B$5008,62)</f>
        <v>1.236965448352733E-2</v>
      </c>
      <c r="I5070">
        <f>1/(COUNT(SimData5000!$B$9:$B$5008)-1)+$I$5069</f>
        <v>1.2202440488097611E-2</v>
      </c>
      <c r="J5070">
        <f>SMALL(SimData5000!$C$9:$C$5008,62)</f>
        <v>1.1973781150118157E-2</v>
      </c>
      <c r="K5070">
        <f>1/(COUNT(SimData5000!$C$9:$C$5008)-1)+$K$5069</f>
        <v>1.2202440488097611E-2</v>
      </c>
    </row>
    <row r="5071" spans="8:11">
      <c r="H5071">
        <f>SMALL(SimData5000!$B$9:$B$5008,63)</f>
        <v>1.2513432318929917E-2</v>
      </c>
      <c r="I5071">
        <f>1/(COUNT(SimData5000!$B$9:$B$5008)-1)+$I$5070</f>
        <v>1.2402480496099211E-2</v>
      </c>
      <c r="J5071">
        <f>SMALL(SimData5000!$C$9:$C$5008,63)</f>
        <v>1.2231115264512482E-2</v>
      </c>
      <c r="K5071">
        <f>1/(COUNT(SimData5000!$C$9:$C$5008)-1)+$K$5070</f>
        <v>1.2402480496099211E-2</v>
      </c>
    </row>
    <row r="5072" spans="8:11">
      <c r="H5072">
        <f>SMALL(SimData5000!$B$9:$B$5008,64)</f>
        <v>1.2709992048263084E-2</v>
      </c>
      <c r="I5072">
        <f>1/(COUNT(SimData5000!$B$9:$B$5008)-1)+$I$5071</f>
        <v>1.260252050410081E-2</v>
      </c>
      <c r="J5072">
        <f>SMALL(SimData5000!$C$9:$C$5008,64)</f>
        <v>1.2356357107819349E-2</v>
      </c>
      <c r="K5072">
        <f>1/(COUNT(SimData5000!$C$9:$C$5008)-1)+$K$5071</f>
        <v>1.260252050410081E-2</v>
      </c>
    </row>
    <row r="5073" spans="8:11">
      <c r="H5073">
        <f>SMALL(SimData5000!$B$9:$B$5008,65)</f>
        <v>1.2980856019580005E-2</v>
      </c>
      <c r="I5073">
        <f>1/(COUNT(SimData5000!$B$9:$B$5008)-1)+$I$5072</f>
        <v>1.280256051210241E-2</v>
      </c>
      <c r="J5073">
        <f>SMALL(SimData5000!$C$9:$C$5008,65)</f>
        <v>1.2360042199361487E-2</v>
      </c>
      <c r="K5073">
        <f>1/(COUNT(SimData5000!$C$9:$C$5008)-1)+$K$5072</f>
        <v>1.280256051210241E-2</v>
      </c>
    </row>
    <row r="5074" spans="8:11">
      <c r="H5074">
        <f>SMALL(SimData5000!$B$9:$B$5008,66)</f>
        <v>1.3070124661426555E-2</v>
      </c>
      <c r="I5074">
        <f>1/(COUNT(SimData5000!$B$9:$B$5008)-1)+$I$5073</f>
        <v>1.300260052010401E-2</v>
      </c>
      <c r="J5074">
        <f>SMALL(SimData5000!$C$9:$C$5008,66)</f>
        <v>1.2390825053444132E-2</v>
      </c>
      <c r="K5074">
        <f>1/(COUNT(SimData5000!$C$9:$C$5008)-1)+$K$5073</f>
        <v>1.300260052010401E-2</v>
      </c>
    </row>
    <row r="5075" spans="8:11">
      <c r="H5075">
        <f>SMALL(SimData5000!$B$9:$B$5008,67)</f>
        <v>1.3356171993435402E-2</v>
      </c>
      <c r="I5075">
        <f>1/(COUNT(SimData5000!$B$9:$B$5008)-1)+$I$5074</f>
        <v>1.3202640528105609E-2</v>
      </c>
      <c r="J5075">
        <f>SMALL(SimData5000!$C$9:$C$5008,67)</f>
        <v>1.2554811499285279E-2</v>
      </c>
      <c r="K5075">
        <f>1/(COUNT(SimData5000!$C$9:$C$5008)-1)+$K$5074</f>
        <v>1.3202640528105609E-2</v>
      </c>
    </row>
    <row r="5076" spans="8:11">
      <c r="H5076">
        <f>SMALL(SimData5000!$B$9:$B$5008,68)</f>
        <v>1.3566151669846416E-2</v>
      </c>
      <c r="I5076">
        <f>1/(COUNT(SimData5000!$B$9:$B$5008)-1)+$I$5075</f>
        <v>1.3402680536107209E-2</v>
      </c>
      <c r="J5076">
        <f>SMALL(SimData5000!$C$9:$C$5008,68)</f>
        <v>1.2802545428712619E-2</v>
      </c>
      <c r="K5076">
        <f>1/(COUNT(SimData5000!$C$9:$C$5008)-1)+$K$5075</f>
        <v>1.3402680536107209E-2</v>
      </c>
    </row>
    <row r="5077" spans="8:11">
      <c r="H5077">
        <f>SMALL(SimData5000!$B$9:$B$5008,69)</f>
        <v>1.3628411252663565E-2</v>
      </c>
      <c r="I5077">
        <f>1/(COUNT(SimData5000!$B$9:$B$5008)-1)+$I$5076</f>
        <v>1.3602720544108809E-2</v>
      </c>
      <c r="J5077">
        <f>SMALL(SimData5000!$C$9:$C$5008,69)</f>
        <v>1.2831189765165618E-2</v>
      </c>
      <c r="K5077">
        <f>1/(COUNT(SimData5000!$C$9:$C$5008)-1)+$K$5076</f>
        <v>1.3602720544108809E-2</v>
      </c>
    </row>
    <row r="5078" spans="8:11">
      <c r="H5078">
        <f>SMALL(SimData5000!$B$9:$B$5008,70)</f>
        <v>1.3830888793997206E-2</v>
      </c>
      <c r="I5078">
        <f>1/(COUNT(SimData5000!$B$9:$B$5008)-1)+$I$5077</f>
        <v>1.3802760552110408E-2</v>
      </c>
      <c r="J5078">
        <f>SMALL(SimData5000!$C$9:$C$5008,70)</f>
        <v>1.3184487728722161E-2</v>
      </c>
      <c r="K5078">
        <f>1/(COUNT(SimData5000!$C$9:$C$5008)-1)+$K$5077</f>
        <v>1.3802760552110408E-2</v>
      </c>
    </row>
    <row r="5079" spans="8:11">
      <c r="H5079">
        <f>SMALL(SimData5000!$B$9:$B$5008,71)</f>
        <v>1.4128116838105048E-2</v>
      </c>
      <c r="I5079">
        <f>1/(COUNT(SimData5000!$B$9:$B$5008)-1)+$I$5078</f>
        <v>1.4002800560112008E-2</v>
      </c>
      <c r="J5079">
        <f>SMALL(SimData5000!$C$9:$C$5008,71)</f>
        <v>1.3229039615907823E-2</v>
      </c>
      <c r="K5079">
        <f>1/(COUNT(SimData5000!$C$9:$C$5008)-1)+$K$5078</f>
        <v>1.4002800560112008E-2</v>
      </c>
    </row>
    <row r="5080" spans="8:11">
      <c r="H5080">
        <f>SMALL(SimData5000!$B$9:$B$5008,72)</f>
        <v>1.4229208845139764E-2</v>
      </c>
      <c r="I5080">
        <f>1/(COUNT(SimData5000!$B$9:$B$5008)-1)+$I$5079</f>
        <v>1.4202840568113608E-2</v>
      </c>
      <c r="J5080">
        <f>SMALL(SimData5000!$C$9:$C$5008,72)</f>
        <v>1.3255339254101273E-2</v>
      </c>
      <c r="K5080">
        <f>1/(COUNT(SimData5000!$C$9:$C$5008)-1)+$K$5079</f>
        <v>1.4202840568113608E-2</v>
      </c>
    </row>
    <row r="5081" spans="8:11">
      <c r="H5081">
        <f>SMALL(SimData5000!$B$9:$B$5008,73)</f>
        <v>1.4480013345992197E-2</v>
      </c>
      <c r="I5081">
        <f>1/(COUNT(SimData5000!$B$9:$B$5008)-1)+$I$5080</f>
        <v>1.4402880576115207E-2</v>
      </c>
      <c r="J5081">
        <f>SMALL(SimData5000!$C$9:$C$5008,73)</f>
        <v>1.3568766437401791E-2</v>
      </c>
      <c r="K5081">
        <f>1/(COUNT(SimData5000!$C$9:$C$5008)-1)+$K$5080</f>
        <v>1.4402880576115207E-2</v>
      </c>
    </row>
    <row r="5082" spans="8:11">
      <c r="H5082">
        <f>SMALL(SimData5000!$B$9:$B$5008,74)</f>
        <v>1.4696729576377368E-2</v>
      </c>
      <c r="I5082">
        <f>1/(COUNT(SimData5000!$B$9:$B$5008)-1)+$I$5081</f>
        <v>1.4602920584116807E-2</v>
      </c>
      <c r="J5082">
        <f>SMALL(SimData5000!$C$9:$C$5008,74)</f>
        <v>1.3645377172920803E-2</v>
      </c>
      <c r="K5082">
        <f>1/(COUNT(SimData5000!$C$9:$C$5008)-1)+$K$5081</f>
        <v>1.4602920584116807E-2</v>
      </c>
    </row>
    <row r="5083" spans="8:11">
      <c r="H5083">
        <f>SMALL(SimData5000!$B$9:$B$5008,75)</f>
        <v>1.4841050967537111E-2</v>
      </c>
      <c r="I5083">
        <f>1/(COUNT(SimData5000!$B$9:$B$5008)-1)+$I$5082</f>
        <v>1.4802960592118407E-2</v>
      </c>
      <c r="J5083">
        <f>SMALL(SimData5000!$C$9:$C$5008,75)</f>
        <v>1.3988583008540445E-2</v>
      </c>
      <c r="K5083">
        <f>1/(COUNT(SimData5000!$C$9:$C$5008)-1)+$K$5082</f>
        <v>1.4802960592118407E-2</v>
      </c>
    </row>
    <row r="5084" spans="8:11">
      <c r="H5084">
        <f>SMALL(SimData5000!$B$9:$B$5008,76)</f>
        <v>1.5014403417663278E-2</v>
      </c>
      <c r="I5084">
        <f>1/(COUNT(SimData5000!$B$9:$B$5008)-1)+$I$5083</f>
        <v>1.5003000600120006E-2</v>
      </c>
      <c r="J5084">
        <f>SMALL(SimData5000!$C$9:$C$5008,76)</f>
        <v>1.4292722633399535E-2</v>
      </c>
      <c r="K5084">
        <f>1/(COUNT(SimData5000!$C$9:$C$5008)-1)+$K$5083</f>
        <v>1.5003000600120006E-2</v>
      </c>
    </row>
    <row r="5085" spans="8:11">
      <c r="H5085">
        <f>SMALL(SimData5000!$B$9:$B$5008,77)</f>
        <v>1.5211204672374577E-2</v>
      </c>
      <c r="I5085">
        <f>1/(COUNT(SimData5000!$B$9:$B$5008)-1)+$I$5084</f>
        <v>1.5203040608121606E-2</v>
      </c>
      <c r="J5085">
        <f>SMALL(SimData5000!$C$9:$C$5008,77)</f>
        <v>1.439909454802546E-2</v>
      </c>
      <c r="K5085">
        <f>1/(COUNT(SimData5000!$C$9:$C$5008)-1)+$K$5084</f>
        <v>1.5203040608121606E-2</v>
      </c>
    </row>
    <row r="5086" spans="8:11">
      <c r="H5086">
        <f>SMALL(SimData5000!$B$9:$B$5008,78)</f>
        <v>1.5558043311805941E-2</v>
      </c>
      <c r="I5086">
        <f>1/(COUNT(SimData5000!$B$9:$B$5008)-1)+$I$5085</f>
        <v>1.5403080616123206E-2</v>
      </c>
      <c r="J5086">
        <f>SMALL(SimData5000!$C$9:$C$5008,78)</f>
        <v>1.4572925180800667E-2</v>
      </c>
      <c r="K5086">
        <f>1/(COUNT(SimData5000!$C$9:$C$5008)-1)+$K$5085</f>
        <v>1.5403080616123206E-2</v>
      </c>
    </row>
    <row r="5087" spans="8:11">
      <c r="H5087">
        <f>SMALL(SimData5000!$B$9:$B$5008,79)</f>
        <v>1.5785426649680693E-2</v>
      </c>
      <c r="I5087">
        <f>1/(COUNT(SimData5000!$B$9:$B$5008)-1)+$I$5086</f>
        <v>1.5603120624124805E-2</v>
      </c>
      <c r="J5087">
        <f>SMALL(SimData5000!$C$9:$C$5008,79)</f>
        <v>1.5743304876195907E-2</v>
      </c>
      <c r="K5087">
        <f>1/(COUNT(SimData5000!$C$9:$C$5008)-1)+$K$5086</f>
        <v>1.5603120624124805E-2</v>
      </c>
    </row>
    <row r="5088" spans="8:11">
      <c r="H5088">
        <f>SMALL(SimData5000!$B$9:$B$5008,80)</f>
        <v>1.5928226505808583E-2</v>
      </c>
      <c r="I5088">
        <f>1/(COUNT(SimData5000!$B$9:$B$5008)-1)+$I$5087</f>
        <v>1.5803160632126407E-2</v>
      </c>
      <c r="J5088">
        <f>SMALL(SimData5000!$C$9:$C$5008,80)</f>
        <v>1.577988816643483E-2</v>
      </c>
      <c r="K5088">
        <f>1/(COUNT(SimData5000!$C$9:$C$5008)-1)+$K$5087</f>
        <v>1.5803160632126407E-2</v>
      </c>
    </row>
    <row r="5089" spans="8:11">
      <c r="H5089">
        <f>SMALL(SimData5000!$B$9:$B$5008,81)</f>
        <v>1.6060570610282144E-2</v>
      </c>
      <c r="I5089">
        <f>1/(COUNT(SimData5000!$B$9:$B$5008)-1)+$I$5088</f>
        <v>1.6003200640128008E-2</v>
      </c>
      <c r="J5089">
        <f>SMALL(SimData5000!$C$9:$C$5008,81)</f>
        <v>1.5787313122018531E-2</v>
      </c>
      <c r="K5089">
        <f>1/(COUNT(SimData5000!$C$9:$C$5008)-1)+$K$5088</f>
        <v>1.6003200640128008E-2</v>
      </c>
    </row>
    <row r="5090" spans="8:11">
      <c r="H5090">
        <f>SMALL(SimData5000!$B$9:$B$5008,82)</f>
        <v>1.6261180164865493E-2</v>
      </c>
      <c r="I5090">
        <f>1/(COUNT(SimData5000!$B$9:$B$5008)-1)+$I$5089</f>
        <v>1.620324064812961E-2</v>
      </c>
      <c r="J5090">
        <f>SMALL(SimData5000!$C$9:$C$5008,82)</f>
        <v>1.5825004299585999E-2</v>
      </c>
      <c r="K5090">
        <f>1/(COUNT(SimData5000!$C$9:$C$5008)-1)+$K$5089</f>
        <v>1.620324064812961E-2</v>
      </c>
    </row>
    <row r="5091" spans="8:11">
      <c r="H5091">
        <f>SMALL(SimData5000!$B$9:$B$5008,83)</f>
        <v>1.6524323918745931E-2</v>
      </c>
      <c r="I5091">
        <f>1/(COUNT(SimData5000!$B$9:$B$5008)-1)+$I$5090</f>
        <v>1.6403280656131211E-2</v>
      </c>
      <c r="J5091">
        <f>SMALL(SimData5000!$C$9:$C$5008,83)</f>
        <v>1.5922470924124354E-2</v>
      </c>
      <c r="K5091">
        <f>1/(COUNT(SimData5000!$C$9:$C$5008)-1)+$K$5090</f>
        <v>1.6403280656131211E-2</v>
      </c>
    </row>
    <row r="5092" spans="8:11">
      <c r="H5092">
        <f>SMALL(SimData5000!$B$9:$B$5008,84)</f>
        <v>1.6780089191901517E-2</v>
      </c>
      <c r="I5092">
        <f>1/(COUNT(SimData5000!$B$9:$B$5008)-1)+$I$5091</f>
        <v>1.6603320664132813E-2</v>
      </c>
      <c r="J5092">
        <f>SMALL(SimData5000!$C$9:$C$5008,84)</f>
        <v>1.5927534360343998E-2</v>
      </c>
      <c r="K5092">
        <f>1/(COUNT(SimData5000!$C$9:$C$5008)-1)+$K$5091</f>
        <v>1.6603320664132813E-2</v>
      </c>
    </row>
    <row r="5093" spans="8:11">
      <c r="H5093">
        <f>SMALL(SimData5000!$B$9:$B$5008,85)</f>
        <v>1.6809427742382844E-2</v>
      </c>
      <c r="I5093">
        <f>1/(COUNT(SimData5000!$B$9:$B$5008)-1)+$I$5092</f>
        <v>1.6803360672134414E-2</v>
      </c>
      <c r="J5093">
        <f>SMALL(SimData5000!$C$9:$C$5008,85)</f>
        <v>1.6348713206753018E-2</v>
      </c>
      <c r="K5093">
        <f>1/(COUNT(SimData5000!$C$9:$C$5008)-1)+$K$5092</f>
        <v>1.6803360672134414E-2</v>
      </c>
    </row>
    <row r="5094" spans="8:11">
      <c r="H5094">
        <f>SMALL(SimData5000!$B$9:$B$5008,86)</f>
        <v>1.7083419877962074E-2</v>
      </c>
      <c r="I5094">
        <f>1/(COUNT(SimData5000!$B$9:$B$5008)-1)+$I$5093</f>
        <v>1.7003400680136015E-2</v>
      </c>
      <c r="J5094">
        <f>SMALL(SimData5000!$C$9:$C$5008,86)</f>
        <v>1.6391836370530655E-2</v>
      </c>
      <c r="K5094">
        <f>1/(COUNT(SimData5000!$C$9:$C$5008)-1)+$K$5093</f>
        <v>1.7003400680136015E-2</v>
      </c>
    </row>
    <row r="5095" spans="8:11">
      <c r="H5095">
        <f>SMALL(SimData5000!$B$9:$B$5008,87)</f>
        <v>1.7398315611714104E-2</v>
      </c>
      <c r="I5095">
        <f>1/(COUNT(SimData5000!$B$9:$B$5008)-1)+$I$5094</f>
        <v>1.7203440688137617E-2</v>
      </c>
      <c r="J5095">
        <f>SMALL(SimData5000!$C$9:$C$5008,87)</f>
        <v>1.6403022222220898E-2</v>
      </c>
      <c r="K5095">
        <f>1/(COUNT(SimData5000!$C$9:$C$5008)-1)+$K$5094</f>
        <v>1.7203440688137617E-2</v>
      </c>
    </row>
    <row r="5096" spans="8:11">
      <c r="H5096">
        <f>SMALL(SimData5000!$B$9:$B$5008,88)</f>
        <v>1.7466687681308643E-2</v>
      </c>
      <c r="I5096">
        <f>1/(COUNT(SimData5000!$B$9:$B$5008)-1)+$I$5095</f>
        <v>1.7403480696139218E-2</v>
      </c>
      <c r="J5096">
        <f>SMALL(SimData5000!$C$9:$C$5008,88)</f>
        <v>1.6555170444007672E-2</v>
      </c>
      <c r="K5096">
        <f>1/(COUNT(SimData5000!$C$9:$C$5008)-1)+$K$5095</f>
        <v>1.7403480696139218E-2</v>
      </c>
    </row>
    <row r="5097" spans="8:11">
      <c r="H5097">
        <f>SMALL(SimData5000!$B$9:$B$5008,89)</f>
        <v>1.7656708534261378E-2</v>
      </c>
      <c r="I5097">
        <f>1/(COUNT(SimData5000!$B$9:$B$5008)-1)+$I$5096</f>
        <v>1.760352070414082E-2</v>
      </c>
      <c r="J5097">
        <f>SMALL(SimData5000!$C$9:$C$5008,89)</f>
        <v>1.6750566585869819E-2</v>
      </c>
      <c r="K5097">
        <f>1/(COUNT(SimData5000!$C$9:$C$5008)-1)+$K$5096</f>
        <v>1.760352070414082E-2</v>
      </c>
    </row>
    <row r="5098" spans="8:11">
      <c r="H5098">
        <f>SMALL(SimData5000!$B$9:$B$5008,90)</f>
        <v>1.7960844285870168E-2</v>
      </c>
      <c r="I5098">
        <f>1/(COUNT(SimData5000!$B$9:$B$5008)-1)+$I$5097</f>
        <v>1.7803560712142421E-2</v>
      </c>
      <c r="J5098">
        <f>SMALL(SimData5000!$C$9:$C$5008,90)</f>
        <v>1.6925931584410137E-2</v>
      </c>
      <c r="K5098">
        <f>1/(COUNT(SimData5000!$C$9:$C$5008)-1)+$K$5097</f>
        <v>1.7803560712142421E-2</v>
      </c>
    </row>
    <row r="5099" spans="8:11">
      <c r="H5099">
        <f>SMALL(SimData5000!$B$9:$B$5008,91)</f>
        <v>1.8002398618031851E-2</v>
      </c>
      <c r="I5099">
        <f>1/(COUNT(SimData5000!$B$9:$B$5008)-1)+$I$5098</f>
        <v>1.8003600720144022E-2</v>
      </c>
      <c r="J5099">
        <f>SMALL(SimData5000!$C$9:$C$5008,91)</f>
        <v>1.7018139355997164E-2</v>
      </c>
      <c r="K5099">
        <f>1/(COUNT(SimData5000!$C$9:$C$5008)-1)+$K$5098</f>
        <v>1.8003600720144022E-2</v>
      </c>
    </row>
    <row r="5100" spans="8:11">
      <c r="H5100">
        <f>SMALL(SimData5000!$B$9:$B$5008,92)</f>
        <v>1.8373049098200409E-2</v>
      </c>
      <c r="I5100">
        <f>1/(COUNT(SimData5000!$B$9:$B$5008)-1)+$I$5099</f>
        <v>1.8203640728145624E-2</v>
      </c>
      <c r="J5100">
        <f>SMALL(SimData5000!$C$9:$C$5008,92)</f>
        <v>1.7392431357620808E-2</v>
      </c>
      <c r="K5100">
        <f>1/(COUNT(SimData5000!$C$9:$C$5008)-1)+$K$5099</f>
        <v>1.8203640728145624E-2</v>
      </c>
    </row>
    <row r="5101" spans="8:11">
      <c r="H5101">
        <f>SMALL(SimData5000!$B$9:$B$5008,93)</f>
        <v>1.8533678373818675E-2</v>
      </c>
      <c r="I5101">
        <f>1/(COUNT(SimData5000!$B$9:$B$5008)-1)+$I$5100</f>
        <v>1.8403680736147225E-2</v>
      </c>
      <c r="J5101">
        <f>SMALL(SimData5000!$C$9:$C$5008,93)</f>
        <v>1.7446736077545211E-2</v>
      </c>
      <c r="K5101">
        <f>1/(COUNT(SimData5000!$C$9:$C$5008)-1)+$K$5100</f>
        <v>1.8403680736147225E-2</v>
      </c>
    </row>
    <row r="5102" spans="8:11">
      <c r="H5102">
        <f>SMALL(SimData5000!$B$9:$B$5008,94)</f>
        <v>1.8762599492809409E-2</v>
      </c>
      <c r="I5102">
        <f>1/(COUNT(SimData5000!$B$9:$B$5008)-1)+$I$5101</f>
        <v>1.8603720744148827E-2</v>
      </c>
      <c r="J5102">
        <f>SMALL(SimData5000!$C$9:$C$5008,94)</f>
        <v>1.7684954889773508E-2</v>
      </c>
      <c r="K5102">
        <f>1/(COUNT(SimData5000!$C$9:$C$5008)-1)+$K$5101</f>
        <v>1.8603720744148827E-2</v>
      </c>
    </row>
    <row r="5103" spans="8:11">
      <c r="H5103">
        <f>SMALL(SimData5000!$B$9:$B$5008,95)</f>
        <v>1.8976617776410798E-2</v>
      </c>
      <c r="I5103">
        <f>1/(COUNT(SimData5000!$B$9:$B$5008)-1)+$I$5102</f>
        <v>1.8803760752150428E-2</v>
      </c>
      <c r="J5103">
        <f>SMALL(SimData5000!$C$9:$C$5008,95)</f>
        <v>1.7852739386398753E-2</v>
      </c>
      <c r="K5103">
        <f>1/(COUNT(SimData5000!$C$9:$C$5008)-1)+$K$5102</f>
        <v>1.8803760752150428E-2</v>
      </c>
    </row>
    <row r="5104" spans="8:11">
      <c r="H5104">
        <f>SMALL(SimData5000!$B$9:$B$5008,96)</f>
        <v>1.9119830369604712E-2</v>
      </c>
      <c r="I5104">
        <f>1/(COUNT(SimData5000!$B$9:$B$5008)-1)+$I$5103</f>
        <v>1.9003800760152029E-2</v>
      </c>
      <c r="J5104">
        <f>SMALL(SimData5000!$C$9:$C$5008,96)</f>
        <v>1.8012636838648177E-2</v>
      </c>
      <c r="K5104">
        <f>1/(COUNT(SimData5000!$C$9:$C$5008)-1)+$K$5103</f>
        <v>1.9003800760152029E-2</v>
      </c>
    </row>
    <row r="5105" spans="8:11">
      <c r="H5105">
        <f>SMALL(SimData5000!$B$9:$B$5008,97)</f>
        <v>1.9393877017543155E-2</v>
      </c>
      <c r="I5105">
        <f>1/(COUNT(SimData5000!$B$9:$B$5008)-1)+$I$5104</f>
        <v>1.9203840768153631E-2</v>
      </c>
      <c r="J5105">
        <f>SMALL(SimData5000!$C$9:$C$5008,97)</f>
        <v>1.8137094102712581E-2</v>
      </c>
      <c r="K5105">
        <f>1/(COUNT(SimData5000!$C$9:$C$5008)-1)+$K$5104</f>
        <v>1.9203840768153631E-2</v>
      </c>
    </row>
    <row r="5106" spans="8:11">
      <c r="H5106">
        <f>SMALL(SimData5000!$B$9:$B$5008,98)</f>
        <v>1.95436472723595E-2</v>
      </c>
      <c r="I5106">
        <f>1/(COUNT(SimData5000!$B$9:$B$5008)-1)+$I$5105</f>
        <v>1.9403880776155232E-2</v>
      </c>
      <c r="J5106">
        <f>SMALL(SimData5000!$C$9:$C$5008,98)</f>
        <v>1.8198110235061904E-2</v>
      </c>
      <c r="K5106">
        <f>1/(COUNT(SimData5000!$C$9:$C$5008)-1)+$K$5105</f>
        <v>1.9403880776155232E-2</v>
      </c>
    </row>
    <row r="5107" spans="8:11">
      <c r="H5107">
        <f>SMALL(SimData5000!$B$9:$B$5008,99)</f>
        <v>1.9696447666617215E-2</v>
      </c>
      <c r="I5107">
        <f>1/(COUNT(SimData5000!$B$9:$B$5008)-1)+$I$5106</f>
        <v>1.9603920784156834E-2</v>
      </c>
      <c r="J5107">
        <f>SMALL(SimData5000!$C$9:$C$5008,99)</f>
        <v>1.8737711074209074E-2</v>
      </c>
      <c r="K5107">
        <f>1/(COUNT(SimData5000!$C$9:$C$5008)-1)+$K$5106</f>
        <v>1.9603920784156834E-2</v>
      </c>
    </row>
    <row r="5108" spans="8:11">
      <c r="H5108">
        <f>SMALL(SimData5000!$B$9:$B$5008,100)</f>
        <v>1.9906180227386341E-2</v>
      </c>
      <c r="I5108">
        <f>1/(COUNT(SimData5000!$B$9:$B$5008)-1)+$I$5107</f>
        <v>1.9803960792158435E-2</v>
      </c>
      <c r="J5108">
        <f>SMALL(SimData5000!$C$9:$C$5008,100)</f>
        <v>1.876882292344817E-2</v>
      </c>
      <c r="K5108">
        <f>1/(COUNT(SimData5000!$C$9:$C$5008)-1)+$K$5107</f>
        <v>1.9803960792158435E-2</v>
      </c>
    </row>
    <row r="5109" spans="8:11">
      <c r="H5109">
        <f>SMALL(SimData5000!$B$9:$B$5008,101)</f>
        <v>2.0164186841939619E-2</v>
      </c>
      <c r="I5109">
        <f>1/(COUNT(SimData5000!$B$9:$B$5008)-1)+$I$5108</f>
        <v>2.0004000800160036E-2</v>
      </c>
      <c r="J5109">
        <f>SMALL(SimData5000!$C$9:$C$5008,101)</f>
        <v>1.9399032300526642E-2</v>
      </c>
      <c r="K5109">
        <f>1/(COUNT(SimData5000!$C$9:$C$5008)-1)+$K$5108</f>
        <v>2.0004000800160036E-2</v>
      </c>
    </row>
    <row r="5110" spans="8:11">
      <c r="H5110">
        <f>SMALL(SimData5000!$B$9:$B$5008,102)</f>
        <v>2.0379408450606141E-2</v>
      </c>
      <c r="I5110">
        <f>1/(COUNT(SimData5000!$B$9:$B$5008)-1)+$I$5109</f>
        <v>2.0204040808161638E-2</v>
      </c>
      <c r="J5110">
        <f>SMALL(SimData5000!$C$9:$C$5008,102)</f>
        <v>1.951285026370897E-2</v>
      </c>
      <c r="K5110">
        <f>1/(COUNT(SimData5000!$C$9:$C$5008)-1)+$K$5109</f>
        <v>2.0204040808161638E-2</v>
      </c>
    </row>
    <row r="5111" spans="8:11">
      <c r="H5111">
        <f>SMALL(SimData5000!$B$9:$B$5008,103)</f>
        <v>2.0444449959333158E-2</v>
      </c>
      <c r="I5111">
        <f>1/(COUNT(SimData5000!$B$9:$B$5008)-1)+$I$5110</f>
        <v>2.0404080816163239E-2</v>
      </c>
      <c r="J5111">
        <f>SMALL(SimData5000!$C$9:$C$5008,103)</f>
        <v>1.9555014790057612E-2</v>
      </c>
      <c r="K5111">
        <f>1/(COUNT(SimData5000!$C$9:$C$5008)-1)+$K$5110</f>
        <v>2.0404080816163239E-2</v>
      </c>
    </row>
    <row r="5112" spans="8:11">
      <c r="H5112">
        <f>SMALL(SimData5000!$B$9:$B$5008,104)</f>
        <v>2.0737547881514194E-2</v>
      </c>
      <c r="I5112">
        <f>1/(COUNT(SimData5000!$B$9:$B$5008)-1)+$I$5111</f>
        <v>2.0604120824164841E-2</v>
      </c>
      <c r="J5112">
        <f>SMALL(SimData5000!$C$9:$C$5008,104)</f>
        <v>1.9680458470247686E-2</v>
      </c>
      <c r="K5112">
        <f>1/(COUNT(SimData5000!$C$9:$C$5008)-1)+$K$5111</f>
        <v>2.0604120824164841E-2</v>
      </c>
    </row>
    <row r="5113" spans="8:11">
      <c r="H5113">
        <f>SMALL(SimData5000!$B$9:$B$5008,105)</f>
        <v>2.0870340034475163E-2</v>
      </c>
      <c r="I5113">
        <f>1/(COUNT(SimData5000!$B$9:$B$5008)-1)+$I$5112</f>
        <v>2.0804160832166442E-2</v>
      </c>
      <c r="J5113">
        <f>SMALL(SimData5000!$C$9:$C$5008,105)</f>
        <v>1.9780421984251007E-2</v>
      </c>
      <c r="K5113">
        <f>1/(COUNT(SimData5000!$C$9:$C$5008)-1)+$K$5112</f>
        <v>2.0804160832166442E-2</v>
      </c>
    </row>
    <row r="5114" spans="8:11">
      <c r="H5114">
        <f>SMALL(SimData5000!$B$9:$B$5008,106)</f>
        <v>2.116541231064252E-2</v>
      </c>
      <c r="I5114">
        <f>1/(COUNT(SimData5000!$B$9:$B$5008)-1)+$I$5113</f>
        <v>2.1004200840168043E-2</v>
      </c>
      <c r="J5114">
        <f>SMALL(SimData5000!$C$9:$C$5008,106)</f>
        <v>1.9895940322385286E-2</v>
      </c>
      <c r="K5114">
        <f>1/(COUNT(SimData5000!$C$9:$C$5008)-1)+$K$5113</f>
        <v>2.1004200840168043E-2</v>
      </c>
    </row>
    <row r="5115" spans="8:11">
      <c r="H5115">
        <f>SMALL(SimData5000!$B$9:$B$5008,107)</f>
        <v>2.1240586210563916E-2</v>
      </c>
      <c r="I5115">
        <f>1/(COUNT(SimData5000!$B$9:$B$5008)-1)+$I$5114</f>
        <v>2.1204240848169645E-2</v>
      </c>
      <c r="J5115">
        <f>SMALL(SimData5000!$C$9:$C$5008,107)</f>
        <v>2.0012816839766856E-2</v>
      </c>
      <c r="K5115">
        <f>1/(COUNT(SimData5000!$C$9:$C$5008)-1)+$K$5114</f>
        <v>2.1204240848169645E-2</v>
      </c>
    </row>
    <row r="5116" spans="8:11">
      <c r="H5116">
        <f>SMALL(SimData5000!$B$9:$B$5008,108)</f>
        <v>2.1417077615255742E-2</v>
      </c>
      <c r="I5116">
        <f>1/(COUNT(SimData5000!$B$9:$B$5008)-1)+$I$5115</f>
        <v>2.1404280856171246E-2</v>
      </c>
      <c r="J5116">
        <f>SMALL(SimData5000!$C$9:$C$5008,108)</f>
        <v>2.0438138739336864E-2</v>
      </c>
      <c r="K5116">
        <f>1/(COUNT(SimData5000!$C$9:$C$5008)-1)+$K$5115</f>
        <v>2.1404280856171246E-2</v>
      </c>
    </row>
    <row r="5117" spans="8:11">
      <c r="H5117">
        <f>SMALL(SimData5000!$B$9:$B$5008,109)</f>
        <v>2.1701366245630516E-2</v>
      </c>
      <c r="I5117">
        <f>1/(COUNT(SimData5000!$B$9:$B$5008)-1)+$I$5116</f>
        <v>2.1604320864172848E-2</v>
      </c>
      <c r="J5117">
        <f>SMALL(SimData5000!$C$9:$C$5008,109)</f>
        <v>2.0594457285369572E-2</v>
      </c>
      <c r="K5117">
        <f>1/(COUNT(SimData5000!$C$9:$C$5008)-1)+$K$5116</f>
        <v>2.1604320864172848E-2</v>
      </c>
    </row>
    <row r="5118" spans="8:11">
      <c r="H5118">
        <f>SMALL(SimData5000!$B$9:$B$5008,110)</f>
        <v>2.1968288735292919E-2</v>
      </c>
      <c r="I5118">
        <f>1/(COUNT(SimData5000!$B$9:$B$5008)-1)+$I$5117</f>
        <v>2.1804360872174449E-2</v>
      </c>
      <c r="J5118">
        <f>SMALL(SimData5000!$C$9:$C$5008,110)</f>
        <v>2.1245025417556462E-2</v>
      </c>
      <c r="K5118">
        <f>1/(COUNT(SimData5000!$C$9:$C$5008)-1)+$K$5117</f>
        <v>2.1804360872174449E-2</v>
      </c>
    </row>
    <row r="5119" spans="8:11">
      <c r="H5119">
        <f>SMALL(SimData5000!$B$9:$B$5008,111)</f>
        <v>2.2157272552921735E-2</v>
      </c>
      <c r="I5119">
        <f>1/(COUNT(SimData5000!$B$9:$B$5008)-1)+$I$5118</f>
        <v>2.200440088017605E-2</v>
      </c>
      <c r="J5119">
        <f>SMALL(SimData5000!$C$9:$C$5008,111)</f>
        <v>2.1371671388806135E-2</v>
      </c>
      <c r="K5119">
        <f>1/(COUNT(SimData5000!$C$9:$C$5008)-1)+$K$5118</f>
        <v>2.200440088017605E-2</v>
      </c>
    </row>
    <row r="5120" spans="8:11">
      <c r="H5120">
        <f>SMALL(SimData5000!$B$9:$B$5008,112)</f>
        <v>2.220448112492554E-2</v>
      </c>
      <c r="I5120">
        <f>1/(COUNT(SimData5000!$B$9:$B$5008)-1)+$I$5119</f>
        <v>2.2204440888177652E-2</v>
      </c>
      <c r="J5120">
        <f>SMALL(SimData5000!$C$9:$C$5008,112)</f>
        <v>2.1700923117350612E-2</v>
      </c>
      <c r="K5120">
        <f>1/(COUNT(SimData5000!$C$9:$C$5008)-1)+$K$5119</f>
        <v>2.2204440888177652E-2</v>
      </c>
    </row>
    <row r="5121" spans="8:11">
      <c r="H5121">
        <f>SMALL(SimData5000!$B$9:$B$5008,113)</f>
        <v>2.2596241778274122E-2</v>
      </c>
      <c r="I5121">
        <f>1/(COUNT(SimData5000!$B$9:$B$5008)-1)+$I$5120</f>
        <v>2.2404480896179253E-2</v>
      </c>
      <c r="J5121">
        <f>SMALL(SimData5000!$C$9:$C$5008,113)</f>
        <v>2.1701209469483729E-2</v>
      </c>
      <c r="K5121">
        <f>1/(COUNT(SimData5000!$C$9:$C$5008)-1)+$K$5120</f>
        <v>2.2404480896179253E-2</v>
      </c>
    </row>
    <row r="5122" spans="8:11">
      <c r="H5122">
        <f>SMALL(SimData5000!$B$9:$B$5008,114)</f>
        <v>2.2774170024780129E-2</v>
      </c>
      <c r="I5122">
        <f>1/(COUNT(SimData5000!$B$9:$B$5008)-1)+$I$5121</f>
        <v>2.2604520904180855E-2</v>
      </c>
      <c r="J5122">
        <f>SMALL(SimData5000!$C$9:$C$5008,114)</f>
        <v>2.1704471836528683E-2</v>
      </c>
      <c r="K5122">
        <f>1/(COUNT(SimData5000!$C$9:$C$5008)-1)+$K$5121</f>
        <v>2.2604520904180855E-2</v>
      </c>
    </row>
    <row r="5123" spans="8:11">
      <c r="H5123">
        <f>SMALL(SimData5000!$B$9:$B$5008,115)</f>
        <v>2.291361674981043E-2</v>
      </c>
      <c r="I5123">
        <f>1/(COUNT(SimData5000!$B$9:$B$5008)-1)+$I$5122</f>
        <v>2.2804560912182456E-2</v>
      </c>
      <c r="J5123">
        <f>SMALL(SimData5000!$C$9:$C$5008,115)</f>
        <v>2.2042790465093276E-2</v>
      </c>
      <c r="K5123">
        <f>1/(COUNT(SimData5000!$C$9:$C$5008)-1)+$K$5122</f>
        <v>2.2804560912182456E-2</v>
      </c>
    </row>
    <row r="5124" spans="8:11">
      <c r="H5124">
        <f>SMALL(SimData5000!$B$9:$B$5008,116)</f>
        <v>2.3014554053920916E-2</v>
      </c>
      <c r="I5124">
        <f>1/(COUNT(SimData5000!$B$9:$B$5008)-1)+$I$5123</f>
        <v>2.3004600920184057E-2</v>
      </c>
      <c r="J5124">
        <f>SMALL(SimData5000!$C$9:$C$5008,116)</f>
        <v>2.2092718789281207E-2</v>
      </c>
      <c r="K5124">
        <f>1/(COUNT(SimData5000!$C$9:$C$5008)-1)+$K$5123</f>
        <v>2.3004600920184057E-2</v>
      </c>
    </row>
    <row r="5125" spans="8:11">
      <c r="H5125">
        <f>SMALL(SimData5000!$B$9:$B$5008,117)</f>
        <v>2.3203472806700383E-2</v>
      </c>
      <c r="I5125">
        <f>1/(COUNT(SimData5000!$B$9:$B$5008)-1)+$I$5124</f>
        <v>2.3204640928185659E-2</v>
      </c>
      <c r="J5125">
        <f>SMALL(SimData5000!$C$9:$C$5008,117)</f>
        <v>2.2215484726075374E-2</v>
      </c>
      <c r="K5125">
        <f>1/(COUNT(SimData5000!$C$9:$C$5008)-1)+$K$5124</f>
        <v>2.3204640928185659E-2</v>
      </c>
    </row>
    <row r="5126" spans="8:11">
      <c r="H5126">
        <f>SMALL(SimData5000!$B$9:$B$5008,118)</f>
        <v>2.3406958351658416E-2</v>
      </c>
      <c r="I5126">
        <f>1/(COUNT(SimData5000!$B$9:$B$5008)-1)+$I$5125</f>
        <v>2.340468093618726E-2</v>
      </c>
      <c r="J5126">
        <f>SMALL(SimData5000!$C$9:$C$5008,118)</f>
        <v>2.2262887432589196E-2</v>
      </c>
      <c r="K5126">
        <f>1/(COUNT(SimData5000!$C$9:$C$5008)-1)+$K$5125</f>
        <v>2.340468093618726E-2</v>
      </c>
    </row>
    <row r="5127" spans="8:11">
      <c r="H5127">
        <f>SMALL(SimData5000!$B$9:$B$5008,119)</f>
        <v>2.3654545858328824E-2</v>
      </c>
      <c r="I5127">
        <f>1/(COUNT(SimData5000!$B$9:$B$5008)-1)+$I$5126</f>
        <v>2.3604720944188862E-2</v>
      </c>
      <c r="J5127">
        <f>SMALL(SimData5000!$C$9:$C$5008,119)</f>
        <v>2.2270169296476183E-2</v>
      </c>
      <c r="K5127">
        <f>1/(COUNT(SimData5000!$C$9:$C$5008)-1)+$K$5126</f>
        <v>2.3604720944188862E-2</v>
      </c>
    </row>
    <row r="5128" spans="8:11">
      <c r="H5128">
        <f>SMALL(SimData5000!$B$9:$B$5008,120)</f>
        <v>2.3894111989274183E-2</v>
      </c>
      <c r="I5128">
        <f>1/(COUNT(SimData5000!$B$9:$B$5008)-1)+$I$5127</f>
        <v>2.3804760952190463E-2</v>
      </c>
      <c r="J5128">
        <f>SMALL(SimData5000!$C$9:$C$5008,120)</f>
        <v>2.2648867120551586E-2</v>
      </c>
      <c r="K5128">
        <f>1/(COUNT(SimData5000!$C$9:$C$5008)-1)+$K$5127</f>
        <v>2.3804760952190463E-2</v>
      </c>
    </row>
    <row r="5129" spans="8:11">
      <c r="H5129">
        <f>SMALL(SimData5000!$B$9:$B$5008,121)</f>
        <v>2.4089030396167426E-2</v>
      </c>
      <c r="I5129">
        <f>1/(COUNT(SimData5000!$B$9:$B$5008)-1)+$I$5128</f>
        <v>2.4004800960192064E-2</v>
      </c>
      <c r="J5129">
        <f>SMALL(SimData5000!$C$9:$C$5008,121)</f>
        <v>2.2815419442849816E-2</v>
      </c>
      <c r="K5129">
        <f>1/(COUNT(SimData5000!$C$9:$C$5008)-1)+$K$5128</f>
        <v>2.4004800960192064E-2</v>
      </c>
    </row>
    <row r="5130" spans="8:11">
      <c r="H5130">
        <f>SMALL(SimData5000!$B$9:$B$5008,122)</f>
        <v>2.4251652436948299E-2</v>
      </c>
      <c r="I5130">
        <f>1/(COUNT(SimData5000!$B$9:$B$5008)-1)+$I$5129</f>
        <v>2.4204840968193666E-2</v>
      </c>
      <c r="J5130">
        <f>SMALL(SimData5000!$C$9:$C$5008,122)</f>
        <v>2.2891582781994657E-2</v>
      </c>
      <c r="K5130">
        <f>1/(COUNT(SimData5000!$C$9:$C$5008)-1)+$K$5129</f>
        <v>2.4204840968193666E-2</v>
      </c>
    </row>
    <row r="5131" spans="8:11">
      <c r="H5131">
        <f>SMALL(SimData5000!$B$9:$B$5008,123)</f>
        <v>2.4420530745159028E-2</v>
      </c>
      <c r="I5131">
        <f>1/(COUNT(SimData5000!$B$9:$B$5008)-1)+$I$5130</f>
        <v>2.4404880976195267E-2</v>
      </c>
      <c r="J5131">
        <f>SMALL(SimData5000!$C$9:$C$5008,123)</f>
        <v>2.2957247507292777E-2</v>
      </c>
      <c r="K5131">
        <f>1/(COUNT(SimData5000!$C$9:$C$5008)-1)+$K$5130</f>
        <v>2.4404880976195267E-2</v>
      </c>
    </row>
    <row r="5132" spans="8:11">
      <c r="H5132">
        <f>SMALL(SimData5000!$B$9:$B$5008,124)</f>
        <v>2.4678895390005524E-2</v>
      </c>
      <c r="I5132">
        <f>1/(COUNT(SimData5000!$B$9:$B$5008)-1)+$I$5131</f>
        <v>2.4604920984196869E-2</v>
      </c>
      <c r="J5132">
        <f>SMALL(SimData5000!$C$9:$C$5008,124)</f>
        <v>2.311018251839414E-2</v>
      </c>
      <c r="K5132">
        <f>1/(COUNT(SimData5000!$C$9:$C$5008)-1)+$K$5131</f>
        <v>2.4604920984196869E-2</v>
      </c>
    </row>
    <row r="5133" spans="8:11">
      <c r="H5133">
        <f>SMALL(SimData5000!$B$9:$B$5008,125)</f>
        <v>2.4829670333869215E-2</v>
      </c>
      <c r="I5133">
        <f>1/(COUNT(SimData5000!$B$9:$B$5008)-1)+$I$5132</f>
        <v>2.480496099219847E-2</v>
      </c>
      <c r="J5133">
        <f>SMALL(SimData5000!$C$9:$C$5008,125)</f>
        <v>2.332212393048394E-2</v>
      </c>
      <c r="K5133">
        <f>1/(COUNT(SimData5000!$C$9:$C$5008)-1)+$K$5132</f>
        <v>2.480496099219847E-2</v>
      </c>
    </row>
    <row r="5134" spans="8:11">
      <c r="H5134">
        <f>SMALL(SimData5000!$B$9:$B$5008,126)</f>
        <v>2.5184097212363057E-2</v>
      </c>
      <c r="I5134">
        <f>1/(COUNT(SimData5000!$B$9:$B$5008)-1)+$I$5133</f>
        <v>2.5005001000200072E-2</v>
      </c>
      <c r="J5134">
        <f>SMALL(SimData5000!$C$9:$C$5008,126)</f>
        <v>2.3684268002398312E-2</v>
      </c>
      <c r="K5134">
        <f>1/(COUNT(SimData5000!$C$9:$C$5008)-1)+$K$5133</f>
        <v>2.5005001000200072E-2</v>
      </c>
    </row>
    <row r="5135" spans="8:11">
      <c r="H5135">
        <f>SMALL(SimData5000!$B$9:$B$5008,127)</f>
        <v>2.5209577849090468E-2</v>
      </c>
      <c r="I5135">
        <f>1/(COUNT(SimData5000!$B$9:$B$5008)-1)+$I$5134</f>
        <v>2.5205041008201673E-2</v>
      </c>
      <c r="J5135">
        <f>SMALL(SimData5000!$C$9:$C$5008,127)</f>
        <v>2.3830467504922126E-2</v>
      </c>
      <c r="K5135">
        <f>1/(COUNT(SimData5000!$C$9:$C$5008)-1)+$K$5134</f>
        <v>2.5205041008201673E-2</v>
      </c>
    </row>
    <row r="5136" spans="8:11">
      <c r="H5136">
        <f>SMALL(SimData5000!$B$9:$B$5008,128)</f>
        <v>2.5404028320360005E-2</v>
      </c>
      <c r="I5136">
        <f>1/(COUNT(SimData5000!$B$9:$B$5008)-1)+$I$5135</f>
        <v>2.5405081016203274E-2</v>
      </c>
      <c r="J5136">
        <f>SMALL(SimData5000!$C$9:$C$5008,128)</f>
        <v>2.4259594545583241E-2</v>
      </c>
      <c r="K5136">
        <f>1/(COUNT(SimData5000!$C$9:$C$5008)-1)+$K$5135</f>
        <v>2.5405081016203274E-2</v>
      </c>
    </row>
    <row r="5137" spans="8:11">
      <c r="H5137">
        <f>SMALL(SimData5000!$B$9:$B$5008,129)</f>
        <v>2.5750033040659041E-2</v>
      </c>
      <c r="I5137">
        <f>1/(COUNT(SimData5000!$B$9:$B$5008)-1)+$I$5136</f>
        <v>2.5605121024204876E-2</v>
      </c>
      <c r="J5137">
        <f>SMALL(SimData5000!$C$9:$C$5008,129)</f>
        <v>2.4528953204935533E-2</v>
      </c>
      <c r="K5137">
        <f>1/(COUNT(SimData5000!$C$9:$C$5008)-1)+$K$5136</f>
        <v>2.5605121024204876E-2</v>
      </c>
    </row>
    <row r="5138" spans="8:11">
      <c r="H5138">
        <f>SMALL(SimData5000!$B$9:$B$5008,130)</f>
        <v>2.5806981629227982E-2</v>
      </c>
      <c r="I5138">
        <f>1/(COUNT(SimData5000!$B$9:$B$5008)-1)+$I$5137</f>
        <v>2.5805161032206477E-2</v>
      </c>
      <c r="J5138">
        <f>SMALL(SimData5000!$C$9:$C$5008,130)</f>
        <v>2.4786119398413575E-2</v>
      </c>
      <c r="K5138">
        <f>1/(COUNT(SimData5000!$C$9:$C$5008)-1)+$K$5137</f>
        <v>2.5805161032206477E-2</v>
      </c>
    </row>
    <row r="5139" spans="8:11">
      <c r="H5139">
        <f>SMALL(SimData5000!$B$9:$B$5008,131)</f>
        <v>2.6156602302742329E-2</v>
      </c>
      <c r="I5139">
        <f>1/(COUNT(SimData5000!$B$9:$B$5008)-1)+$I$5138</f>
        <v>2.6005201040208079E-2</v>
      </c>
      <c r="J5139">
        <f>SMALL(SimData5000!$C$9:$C$5008,131)</f>
        <v>2.4931180576459155E-2</v>
      </c>
      <c r="K5139">
        <f>1/(COUNT(SimData5000!$C$9:$C$5008)-1)+$K$5138</f>
        <v>2.6005201040208079E-2</v>
      </c>
    </row>
    <row r="5140" spans="8:11">
      <c r="H5140">
        <f>SMALL(SimData5000!$B$9:$B$5008,132)</f>
        <v>2.63208067912424E-2</v>
      </c>
      <c r="I5140">
        <f>1/(COUNT(SimData5000!$B$9:$B$5008)-1)+$I$5139</f>
        <v>2.620524104820968E-2</v>
      </c>
      <c r="J5140">
        <f>SMALL(SimData5000!$C$9:$C$5008,132)</f>
        <v>2.514340130801429E-2</v>
      </c>
      <c r="K5140">
        <f>1/(COUNT(SimData5000!$C$9:$C$5008)-1)+$K$5139</f>
        <v>2.620524104820968E-2</v>
      </c>
    </row>
    <row r="5141" spans="8:11">
      <c r="H5141">
        <f>SMALL(SimData5000!$B$9:$B$5008,133)</f>
        <v>2.6533415136051695E-2</v>
      </c>
      <c r="I5141">
        <f>1/(COUNT(SimData5000!$B$9:$B$5008)-1)+$I$5140</f>
        <v>2.6405281056211281E-2</v>
      </c>
      <c r="J5141">
        <f>SMALL(SimData5000!$C$9:$C$5008,133)</f>
        <v>2.5226823942830379E-2</v>
      </c>
      <c r="K5141">
        <f>1/(COUNT(SimData5000!$C$9:$C$5008)-1)+$K$5140</f>
        <v>2.6405281056211281E-2</v>
      </c>
    </row>
    <row r="5142" spans="8:11">
      <c r="H5142">
        <f>SMALL(SimData5000!$B$9:$B$5008,134)</f>
        <v>2.6639697372736339E-2</v>
      </c>
      <c r="I5142">
        <f>1/(COUNT(SimData5000!$B$9:$B$5008)-1)+$I$5141</f>
        <v>2.6605321064212883E-2</v>
      </c>
      <c r="J5142">
        <f>SMALL(SimData5000!$C$9:$C$5008,134)</f>
        <v>2.5414971867576241E-2</v>
      </c>
      <c r="K5142">
        <f>1/(COUNT(SimData5000!$C$9:$C$5008)-1)+$K$5141</f>
        <v>2.6605321064212883E-2</v>
      </c>
    </row>
    <row r="5143" spans="8:11">
      <c r="H5143">
        <f>SMALL(SimData5000!$B$9:$B$5008,135)</f>
        <v>2.6858882298846469E-2</v>
      </c>
      <c r="I5143">
        <f>1/(COUNT(SimData5000!$B$9:$B$5008)-1)+$I$5142</f>
        <v>2.6805361072214484E-2</v>
      </c>
      <c r="J5143">
        <f>SMALL(SimData5000!$C$9:$C$5008,135)</f>
        <v>2.5671854127736538E-2</v>
      </c>
      <c r="K5143">
        <f>1/(COUNT(SimData5000!$C$9:$C$5008)-1)+$K$5142</f>
        <v>2.6805361072214484E-2</v>
      </c>
    </row>
    <row r="5144" spans="8:11">
      <c r="H5144">
        <f>SMALL(SimData5000!$B$9:$B$5008,136)</f>
        <v>2.7121837251149541E-2</v>
      </c>
      <c r="I5144">
        <f>1/(COUNT(SimData5000!$B$9:$B$5008)-1)+$I$5143</f>
        <v>2.7005401080216086E-2</v>
      </c>
      <c r="J5144">
        <f>SMALL(SimData5000!$C$9:$C$5008,136)</f>
        <v>2.5672971029962355E-2</v>
      </c>
      <c r="K5144">
        <f>1/(COUNT(SimData5000!$C$9:$C$5008)-1)+$K$5143</f>
        <v>2.7005401080216086E-2</v>
      </c>
    </row>
    <row r="5145" spans="8:11">
      <c r="H5145">
        <f>SMALL(SimData5000!$B$9:$B$5008,137)</f>
        <v>2.7282167652221904E-2</v>
      </c>
      <c r="I5145">
        <f>1/(COUNT(SimData5000!$B$9:$B$5008)-1)+$I$5144</f>
        <v>2.7205441088217687E-2</v>
      </c>
      <c r="J5145">
        <f>SMALL(SimData5000!$C$9:$C$5008,137)</f>
        <v>2.5679687956653652E-2</v>
      </c>
      <c r="K5145">
        <f>1/(COUNT(SimData5000!$C$9:$C$5008)-1)+$K$5144</f>
        <v>2.7205441088217687E-2</v>
      </c>
    </row>
    <row r="5146" spans="8:11">
      <c r="H5146">
        <f>SMALL(SimData5000!$B$9:$B$5008,138)</f>
        <v>2.7411909548102856E-2</v>
      </c>
      <c r="I5146">
        <f>1/(COUNT(SimData5000!$B$9:$B$5008)-1)+$I$5145</f>
        <v>2.7405481096219288E-2</v>
      </c>
      <c r="J5146">
        <f>SMALL(SimData5000!$C$9:$C$5008,138)</f>
        <v>2.5890074442941113E-2</v>
      </c>
      <c r="K5146">
        <f>1/(COUNT(SimData5000!$C$9:$C$5008)-1)+$K$5145</f>
        <v>2.7405481096219288E-2</v>
      </c>
    </row>
    <row r="5147" spans="8:11">
      <c r="H5147">
        <f>SMALL(SimData5000!$B$9:$B$5008,139)</f>
        <v>2.7743454680345826E-2</v>
      </c>
      <c r="I5147">
        <f>1/(COUNT(SimData5000!$B$9:$B$5008)-1)+$I$5146</f>
        <v>2.760552110422089E-2</v>
      </c>
      <c r="J5147">
        <f>SMALL(SimData5000!$C$9:$C$5008,139)</f>
        <v>2.6266059636327554E-2</v>
      </c>
      <c r="K5147">
        <f>1/(COUNT(SimData5000!$C$9:$C$5008)-1)+$K$5146</f>
        <v>2.760552110422089E-2</v>
      </c>
    </row>
    <row r="5148" spans="8:11">
      <c r="H5148">
        <f>SMALL(SimData5000!$B$9:$B$5008,140)</f>
        <v>2.7813681914194876E-2</v>
      </c>
      <c r="I5148">
        <f>1/(COUNT(SimData5000!$B$9:$B$5008)-1)+$I$5147</f>
        <v>2.7805561112222491E-2</v>
      </c>
      <c r="J5148">
        <f>SMALL(SimData5000!$C$9:$C$5008,140)</f>
        <v>2.6432833237777231E-2</v>
      </c>
      <c r="K5148">
        <f>1/(COUNT(SimData5000!$C$9:$C$5008)-1)+$K$5147</f>
        <v>2.7805561112222491E-2</v>
      </c>
    </row>
    <row r="5149" spans="8:11">
      <c r="H5149">
        <f>SMALL(SimData5000!$B$9:$B$5008,141)</f>
        <v>2.8183845016542784E-2</v>
      </c>
      <c r="I5149">
        <f>1/(COUNT(SimData5000!$B$9:$B$5008)-1)+$I$5148</f>
        <v>2.8005601120224093E-2</v>
      </c>
      <c r="J5149">
        <f>SMALL(SimData5000!$C$9:$C$5008,141)</f>
        <v>2.6664787872505258E-2</v>
      </c>
      <c r="K5149">
        <f>1/(COUNT(SimData5000!$C$9:$C$5008)-1)+$K$5148</f>
        <v>2.8005601120224093E-2</v>
      </c>
    </row>
    <row r="5150" spans="8:11">
      <c r="H5150">
        <f>SMALL(SimData5000!$B$9:$B$5008,142)</f>
        <v>2.8392399083960896E-2</v>
      </c>
      <c r="I5150">
        <f>1/(COUNT(SimData5000!$B$9:$B$5008)-1)+$I$5149</f>
        <v>2.8205641128225694E-2</v>
      </c>
      <c r="J5150">
        <f>SMALL(SimData5000!$C$9:$C$5008,142)</f>
        <v>2.7021098870136484E-2</v>
      </c>
      <c r="K5150">
        <f>1/(COUNT(SimData5000!$C$9:$C$5008)-1)+$K$5149</f>
        <v>2.8205641128225694E-2</v>
      </c>
    </row>
    <row r="5151" spans="8:11">
      <c r="H5151">
        <f>SMALL(SimData5000!$B$9:$B$5008,143)</f>
        <v>2.8583773251758832E-2</v>
      </c>
      <c r="I5151">
        <f>1/(COUNT(SimData5000!$B$9:$B$5008)-1)+$I$5150</f>
        <v>2.8405681136227295E-2</v>
      </c>
      <c r="J5151">
        <f>SMALL(SimData5000!$C$9:$C$5008,143)</f>
        <v>2.7167300318069465E-2</v>
      </c>
      <c r="K5151">
        <f>1/(COUNT(SimData5000!$C$9:$C$5008)-1)+$K$5150</f>
        <v>2.8405681136227295E-2</v>
      </c>
    </row>
    <row r="5152" spans="8:11">
      <c r="H5152">
        <f>SMALL(SimData5000!$B$9:$B$5008,144)</f>
        <v>2.8745055191811416E-2</v>
      </c>
      <c r="I5152">
        <f>1/(COUNT(SimData5000!$B$9:$B$5008)-1)+$I$5151</f>
        <v>2.8605721144228897E-2</v>
      </c>
      <c r="J5152">
        <f>SMALL(SimData5000!$C$9:$C$5008,144)</f>
        <v>2.7500210478137888E-2</v>
      </c>
      <c r="K5152">
        <f>1/(COUNT(SimData5000!$C$9:$C$5008)-1)+$K$5151</f>
        <v>2.8605721144228897E-2</v>
      </c>
    </row>
    <row r="5153" spans="8:11">
      <c r="H5153">
        <f>SMALL(SimData5000!$B$9:$B$5008,145)</f>
        <v>2.8933577572492316E-2</v>
      </c>
      <c r="I5153">
        <f>1/(COUNT(SimData5000!$B$9:$B$5008)-1)+$I$5152</f>
        <v>2.8805761152230498E-2</v>
      </c>
      <c r="J5153">
        <f>SMALL(SimData5000!$C$9:$C$5008,145)</f>
        <v>2.7744066756895336E-2</v>
      </c>
      <c r="K5153">
        <f>1/(COUNT(SimData5000!$C$9:$C$5008)-1)+$K$5152</f>
        <v>2.8805761152230498E-2</v>
      </c>
    </row>
    <row r="5154" spans="8:11">
      <c r="H5154">
        <f>SMALL(SimData5000!$B$9:$B$5008,146)</f>
        <v>2.9050591824588037E-2</v>
      </c>
      <c r="I5154">
        <f>1/(COUNT(SimData5000!$B$9:$B$5008)-1)+$I$5153</f>
        <v>2.90058011602321E-2</v>
      </c>
      <c r="J5154">
        <f>SMALL(SimData5000!$C$9:$C$5008,146)</f>
        <v>2.7918199074520089E-2</v>
      </c>
      <c r="K5154">
        <f>1/(COUNT(SimData5000!$C$9:$C$5008)-1)+$K$5153</f>
        <v>2.90058011602321E-2</v>
      </c>
    </row>
    <row r="5155" spans="8:11">
      <c r="H5155">
        <f>SMALL(SimData5000!$B$9:$B$5008,147)</f>
        <v>2.9306432770077703E-2</v>
      </c>
      <c r="I5155">
        <f>1/(COUNT(SimData5000!$B$9:$B$5008)-1)+$I$5154</f>
        <v>2.9205841168233701E-2</v>
      </c>
      <c r="J5155">
        <f>SMALL(SimData5000!$C$9:$C$5008,147)</f>
        <v>2.7985301659100514E-2</v>
      </c>
      <c r="K5155">
        <f>1/(COUNT(SimData5000!$C$9:$C$5008)-1)+$K$5154</f>
        <v>2.9205841168233701E-2</v>
      </c>
    </row>
    <row r="5156" spans="8:11">
      <c r="H5156">
        <f>SMALL(SimData5000!$B$9:$B$5008,148)</f>
        <v>2.9595487637164884E-2</v>
      </c>
      <c r="I5156">
        <f>1/(COUNT(SimData5000!$B$9:$B$5008)-1)+$I$5155</f>
        <v>2.9405881176235302E-2</v>
      </c>
      <c r="J5156">
        <f>SMALL(SimData5000!$C$9:$C$5008,148)</f>
        <v>2.8099689626287727E-2</v>
      </c>
      <c r="K5156">
        <f>1/(COUNT(SimData5000!$C$9:$C$5008)-1)+$K$5155</f>
        <v>2.9405881176235302E-2</v>
      </c>
    </row>
    <row r="5157" spans="8:11">
      <c r="H5157">
        <f>SMALL(SimData5000!$B$9:$B$5008,149)</f>
        <v>2.9740926683820067E-2</v>
      </c>
      <c r="I5157">
        <f>1/(COUNT(SimData5000!$B$9:$B$5008)-1)+$I$5156</f>
        <v>2.9605921184236904E-2</v>
      </c>
      <c r="J5157">
        <f>SMALL(SimData5000!$C$9:$C$5008,149)</f>
        <v>2.8128042146818188E-2</v>
      </c>
      <c r="K5157">
        <f>1/(COUNT(SimData5000!$C$9:$C$5008)-1)+$K$5156</f>
        <v>2.9605921184236904E-2</v>
      </c>
    </row>
    <row r="5158" spans="8:11">
      <c r="H5158">
        <f>SMALL(SimData5000!$B$9:$B$5008,150)</f>
        <v>2.9936875081978939E-2</v>
      </c>
      <c r="I5158">
        <f>1/(COUNT(SimData5000!$B$9:$B$5008)-1)+$I$5157</f>
        <v>2.9805961192238505E-2</v>
      </c>
      <c r="J5158">
        <f>SMALL(SimData5000!$C$9:$C$5008,150)</f>
        <v>2.8895009178995679E-2</v>
      </c>
      <c r="K5158">
        <f>1/(COUNT(SimData5000!$C$9:$C$5008)-1)+$K$5157</f>
        <v>2.9805961192238505E-2</v>
      </c>
    </row>
    <row r="5159" spans="8:11">
      <c r="H5159">
        <f>SMALL(SimData5000!$B$9:$B$5008,151)</f>
        <v>3.0106928543817937E-2</v>
      </c>
      <c r="I5159">
        <f>1/(COUNT(SimData5000!$B$9:$B$5008)-1)+$I$5158</f>
        <v>3.0006001200240107E-2</v>
      </c>
      <c r="J5159">
        <f>SMALL(SimData5000!$C$9:$C$5008,151)</f>
        <v>2.8921851709128532E-2</v>
      </c>
      <c r="K5159">
        <f>1/(COUNT(SimData5000!$C$9:$C$5008)-1)+$K$5158</f>
        <v>3.0006001200240107E-2</v>
      </c>
    </row>
    <row r="5160" spans="8:11">
      <c r="H5160">
        <f>SMALL(SimData5000!$B$9:$B$5008,152)</f>
        <v>3.0275413232314263E-2</v>
      </c>
      <c r="I5160">
        <f>1/(COUNT(SimData5000!$B$9:$B$5008)-1)+$I$5159</f>
        <v>3.0206041208241708E-2</v>
      </c>
      <c r="J5160">
        <f>SMALL(SimData5000!$C$9:$C$5008,152)</f>
        <v>2.9363424475377542E-2</v>
      </c>
      <c r="K5160">
        <f>1/(COUNT(SimData5000!$C$9:$C$5008)-1)+$K$5159</f>
        <v>3.0206041208241708E-2</v>
      </c>
    </row>
    <row r="5161" spans="8:11">
      <c r="H5161">
        <f>SMALL(SimData5000!$B$9:$B$5008,153)</f>
        <v>3.0427798121009909E-2</v>
      </c>
      <c r="I5161">
        <f>1/(COUNT(SimData5000!$B$9:$B$5008)-1)+$I$5160</f>
        <v>3.0406081216243309E-2</v>
      </c>
      <c r="J5161">
        <f>SMALL(SimData5000!$C$9:$C$5008,153)</f>
        <v>2.9405522552224284E-2</v>
      </c>
      <c r="K5161">
        <f>1/(COUNT(SimData5000!$C$9:$C$5008)-1)+$K$5160</f>
        <v>3.0406081216243309E-2</v>
      </c>
    </row>
    <row r="5162" spans="8:11">
      <c r="H5162">
        <f>SMALL(SimData5000!$B$9:$B$5008,154)</f>
        <v>3.0771796666172288E-2</v>
      </c>
      <c r="I5162">
        <f>1/(COUNT(SimData5000!$B$9:$B$5008)-1)+$I$5161</f>
        <v>3.0606121224244911E-2</v>
      </c>
      <c r="J5162">
        <f>SMALL(SimData5000!$C$9:$C$5008,154)</f>
        <v>2.9433180935484415E-2</v>
      </c>
      <c r="K5162">
        <f>1/(COUNT(SimData5000!$C$9:$C$5008)-1)+$K$5161</f>
        <v>3.0606121224244911E-2</v>
      </c>
    </row>
    <row r="5163" spans="8:11">
      <c r="H5163">
        <f>SMALL(SimData5000!$B$9:$B$5008,155)</f>
        <v>3.0960327223213464E-2</v>
      </c>
      <c r="I5163">
        <f>1/(COUNT(SimData5000!$B$9:$B$5008)-1)+$I$5162</f>
        <v>3.0806161232246512E-2</v>
      </c>
      <c r="J5163">
        <f>SMALL(SimData5000!$C$9:$C$5008,155)</f>
        <v>2.9829029083884961E-2</v>
      </c>
      <c r="K5163">
        <f>1/(COUNT(SimData5000!$C$9:$C$5008)-1)+$K$5162</f>
        <v>3.0806161232246512E-2</v>
      </c>
    </row>
    <row r="5164" spans="8:11">
      <c r="H5164">
        <f>SMALL(SimData5000!$B$9:$B$5008,156)</f>
        <v>3.1180346520240498E-2</v>
      </c>
      <c r="I5164">
        <f>1/(COUNT(SimData5000!$B$9:$B$5008)-1)+$I$5163</f>
        <v>3.1006201240248114E-2</v>
      </c>
      <c r="J5164">
        <f>SMALL(SimData5000!$C$9:$C$5008,156)</f>
        <v>2.9972410152367956E-2</v>
      </c>
      <c r="K5164">
        <f>1/(COUNT(SimData5000!$C$9:$C$5008)-1)+$K$5163</f>
        <v>3.1006201240248114E-2</v>
      </c>
    </row>
    <row r="5165" spans="8:11">
      <c r="H5165">
        <f>SMALL(SimData5000!$B$9:$B$5008,157)</f>
        <v>3.1332749543556186E-2</v>
      </c>
      <c r="I5165">
        <f>1/(COUNT(SimData5000!$B$9:$B$5008)-1)+$I$5164</f>
        <v>3.1206241248249715E-2</v>
      </c>
      <c r="J5165">
        <f>SMALL(SimData5000!$C$9:$C$5008,157)</f>
        <v>3.0103581782896072E-2</v>
      </c>
      <c r="K5165">
        <f>1/(COUNT(SimData5000!$C$9:$C$5008)-1)+$K$5164</f>
        <v>3.1206241248249715E-2</v>
      </c>
    </row>
    <row r="5166" spans="8:11">
      <c r="H5166">
        <f>SMALL(SimData5000!$B$9:$B$5008,158)</f>
        <v>3.1510920713355511E-2</v>
      </c>
      <c r="I5166">
        <f>1/(COUNT(SimData5000!$B$9:$B$5008)-1)+$I$5165</f>
        <v>3.1406281256251313E-2</v>
      </c>
      <c r="J5166">
        <f>SMALL(SimData5000!$C$9:$C$5008,158)</f>
        <v>3.0432865472903359E-2</v>
      </c>
      <c r="K5166">
        <f>1/(COUNT(SimData5000!$C$9:$C$5008)-1)+$K$5165</f>
        <v>3.1406281256251313E-2</v>
      </c>
    </row>
    <row r="5167" spans="8:11">
      <c r="H5167">
        <f>SMALL(SimData5000!$B$9:$B$5008,159)</f>
        <v>3.1601519065490344E-2</v>
      </c>
      <c r="I5167">
        <f>1/(COUNT(SimData5000!$B$9:$B$5008)-1)+$I$5166</f>
        <v>3.1606321264252911E-2</v>
      </c>
      <c r="J5167">
        <f>SMALL(SimData5000!$C$9:$C$5008,159)</f>
        <v>3.0750826035728096E-2</v>
      </c>
      <c r="K5167">
        <f>1/(COUNT(SimData5000!$C$9:$C$5008)-1)+$K$5166</f>
        <v>3.1606321264252911E-2</v>
      </c>
    </row>
    <row r="5168" spans="8:11">
      <c r="H5168">
        <f>SMALL(SimData5000!$B$9:$B$5008,160)</f>
        <v>3.1895201177032477E-2</v>
      </c>
      <c r="I5168">
        <f>1/(COUNT(SimData5000!$B$9:$B$5008)-1)+$I$5167</f>
        <v>3.1806361272254509E-2</v>
      </c>
      <c r="J5168">
        <f>SMALL(SimData5000!$C$9:$C$5008,160)</f>
        <v>3.1223037701238354E-2</v>
      </c>
      <c r="K5168">
        <f>1/(COUNT(SimData5000!$C$9:$C$5008)-1)+$K$5167</f>
        <v>3.1806361272254509E-2</v>
      </c>
    </row>
    <row r="5169" spans="8:11">
      <c r="H5169">
        <f>SMALL(SimData5000!$B$9:$B$5008,161)</f>
        <v>3.2005865018583338E-2</v>
      </c>
      <c r="I5169">
        <f>1/(COUNT(SimData5000!$B$9:$B$5008)-1)+$I$5168</f>
        <v>3.2006401280256107E-2</v>
      </c>
      <c r="J5169">
        <f>SMALL(SimData5000!$C$9:$C$5008,161)</f>
        <v>3.1592285277852739E-2</v>
      </c>
      <c r="K5169">
        <f>1/(COUNT(SimData5000!$C$9:$C$5008)-1)+$K$5168</f>
        <v>3.2006401280256107E-2</v>
      </c>
    </row>
    <row r="5170" spans="8:11">
      <c r="H5170">
        <f>SMALL(SimData5000!$B$9:$B$5008,162)</f>
        <v>3.2326789476193205E-2</v>
      </c>
      <c r="I5170">
        <f>1/(COUNT(SimData5000!$B$9:$B$5008)-1)+$I$5169</f>
        <v>3.2206441288257705E-2</v>
      </c>
      <c r="J5170">
        <f>SMALL(SimData5000!$C$9:$C$5008,162)</f>
        <v>3.163518800829479E-2</v>
      </c>
      <c r="K5170">
        <f>1/(COUNT(SimData5000!$C$9:$C$5008)-1)+$K$5169</f>
        <v>3.2206441288257705E-2</v>
      </c>
    </row>
    <row r="5171" spans="8:11">
      <c r="H5171">
        <f>SMALL(SimData5000!$B$9:$B$5008,163)</f>
        <v>3.2563799733334176E-2</v>
      </c>
      <c r="I5171">
        <f>1/(COUNT(SimData5000!$B$9:$B$5008)-1)+$I$5170</f>
        <v>3.2406481296259303E-2</v>
      </c>
      <c r="J5171">
        <f>SMALL(SimData5000!$C$9:$C$5008,163)</f>
        <v>3.1642547077353811E-2</v>
      </c>
      <c r="K5171">
        <f>1/(COUNT(SimData5000!$C$9:$C$5008)-1)+$K$5170</f>
        <v>3.2406481296259303E-2</v>
      </c>
    </row>
    <row r="5172" spans="8:11">
      <c r="H5172">
        <f>SMALL(SimData5000!$B$9:$B$5008,164)</f>
        <v>3.2770128059939042E-2</v>
      </c>
      <c r="I5172">
        <f>1/(COUNT(SimData5000!$B$9:$B$5008)-1)+$I$5171</f>
        <v>3.2606521304260901E-2</v>
      </c>
      <c r="J5172">
        <f>SMALL(SimData5000!$C$9:$C$5008,164)</f>
        <v>3.1880484559223987E-2</v>
      </c>
      <c r="K5172">
        <f>1/(COUNT(SimData5000!$C$9:$C$5008)-1)+$K$5171</f>
        <v>3.2606521304260901E-2</v>
      </c>
    </row>
    <row r="5173" spans="8:11">
      <c r="H5173">
        <f>SMALL(SimData5000!$B$9:$B$5008,165)</f>
        <v>3.2992393964760093E-2</v>
      </c>
      <c r="I5173">
        <f>1/(COUNT(SimData5000!$B$9:$B$5008)-1)+$I$5172</f>
        <v>3.2806561312262499E-2</v>
      </c>
      <c r="J5173">
        <f>SMALL(SimData5000!$C$9:$C$5008,165)</f>
        <v>3.1972239210517728E-2</v>
      </c>
      <c r="K5173">
        <f>1/(COUNT(SimData5000!$C$9:$C$5008)-1)+$K$5172</f>
        <v>3.2806561312262499E-2</v>
      </c>
    </row>
    <row r="5174" spans="8:11">
      <c r="H5174">
        <f>SMALL(SimData5000!$B$9:$B$5008,166)</f>
        <v>3.3165890594703588E-2</v>
      </c>
      <c r="I5174">
        <f>1/(COUNT(SimData5000!$B$9:$B$5008)-1)+$I$5173</f>
        <v>3.3006601320264096E-2</v>
      </c>
      <c r="J5174">
        <f>SMALL(SimData5000!$C$9:$C$5008,166)</f>
        <v>3.2329539206330082E-2</v>
      </c>
      <c r="K5174">
        <f>1/(COUNT(SimData5000!$C$9:$C$5008)-1)+$K$5173</f>
        <v>3.3006601320264096E-2</v>
      </c>
    </row>
    <row r="5175" spans="8:11">
      <c r="H5175">
        <f>SMALL(SimData5000!$B$9:$B$5008,167)</f>
        <v>3.3273300606215674E-2</v>
      </c>
      <c r="I5175">
        <f>1/(COUNT(SimData5000!$B$9:$B$5008)-1)+$I$5174</f>
        <v>3.3206641328265694E-2</v>
      </c>
      <c r="J5175">
        <f>SMALL(SimData5000!$C$9:$C$5008,167)</f>
        <v>3.2509988302081183E-2</v>
      </c>
      <c r="K5175">
        <f>1/(COUNT(SimData5000!$C$9:$C$5008)-1)+$K$5174</f>
        <v>3.3206641328265694E-2</v>
      </c>
    </row>
    <row r="5176" spans="8:11">
      <c r="H5176">
        <f>SMALL(SimData5000!$B$9:$B$5008,168)</f>
        <v>3.3432983857773477E-2</v>
      </c>
      <c r="I5176">
        <f>1/(COUNT(SimData5000!$B$9:$B$5008)-1)+$I$5175</f>
        <v>3.3406681336267292E-2</v>
      </c>
      <c r="J5176">
        <f>SMALL(SimData5000!$C$9:$C$5008,168)</f>
        <v>3.2675477043085266E-2</v>
      </c>
      <c r="K5176">
        <f>1/(COUNT(SimData5000!$C$9:$C$5008)-1)+$K$5175</f>
        <v>3.3406681336267292E-2</v>
      </c>
    </row>
    <row r="5177" spans="8:11">
      <c r="H5177">
        <f>SMALL(SimData5000!$B$9:$B$5008,169)</f>
        <v>3.3747355960949174E-2</v>
      </c>
      <c r="I5177">
        <f>1/(COUNT(SimData5000!$B$9:$B$5008)-1)+$I$5176</f>
        <v>3.360672134426889E-2</v>
      </c>
      <c r="J5177">
        <f>SMALL(SimData5000!$C$9:$C$5008,169)</f>
        <v>3.2784404806989187E-2</v>
      </c>
      <c r="K5177">
        <f>1/(COUNT(SimData5000!$C$9:$C$5008)-1)+$K$5176</f>
        <v>3.360672134426889E-2</v>
      </c>
    </row>
    <row r="5178" spans="8:11">
      <c r="H5178">
        <f>SMALL(SimData5000!$B$9:$B$5008,170)</f>
        <v>3.3999904913641486E-2</v>
      </c>
      <c r="I5178">
        <f>1/(COUNT(SimData5000!$B$9:$B$5008)-1)+$I$5177</f>
        <v>3.3806761352270488E-2</v>
      </c>
      <c r="J5178">
        <f>SMALL(SimData5000!$C$9:$C$5008,170)</f>
        <v>3.2805444860969146E-2</v>
      </c>
      <c r="K5178">
        <f>1/(COUNT(SimData5000!$C$9:$C$5008)-1)+$K$5177</f>
        <v>3.3806761352270488E-2</v>
      </c>
    </row>
    <row r="5179" spans="8:11">
      <c r="H5179">
        <f>SMALL(SimData5000!$B$9:$B$5008,171)</f>
        <v>3.4139223355459804E-2</v>
      </c>
      <c r="I5179">
        <f>1/(COUNT(SimData5000!$B$9:$B$5008)-1)+$I$5178</f>
        <v>3.4006801360272086E-2</v>
      </c>
      <c r="J5179">
        <f>SMALL(SimData5000!$C$9:$C$5008,171)</f>
        <v>3.2892082399484934E-2</v>
      </c>
      <c r="K5179">
        <f>1/(COUNT(SimData5000!$C$9:$C$5008)-1)+$K$5178</f>
        <v>3.4006801360272086E-2</v>
      </c>
    </row>
    <row r="5180" spans="8:11">
      <c r="H5180">
        <f>SMALL(SimData5000!$B$9:$B$5008,172)</f>
        <v>3.4391870404032958E-2</v>
      </c>
      <c r="I5180">
        <f>1/(COUNT(SimData5000!$B$9:$B$5008)-1)+$I$5179</f>
        <v>3.4206841368273684E-2</v>
      </c>
      <c r="J5180">
        <f>SMALL(SimData5000!$C$9:$C$5008,172)</f>
        <v>3.3139179071440594E-2</v>
      </c>
      <c r="K5180">
        <f>1/(COUNT(SimData5000!$C$9:$C$5008)-1)+$K$5179</f>
        <v>3.4206841368273684E-2</v>
      </c>
    </row>
    <row r="5181" spans="8:11">
      <c r="H5181">
        <f>SMALL(SimData5000!$B$9:$B$5008,173)</f>
        <v>3.4540675735040723E-2</v>
      </c>
      <c r="I5181">
        <f>1/(COUNT(SimData5000!$B$9:$B$5008)-1)+$I$5180</f>
        <v>3.4406881376275282E-2</v>
      </c>
      <c r="J5181">
        <f>SMALL(SimData5000!$C$9:$C$5008,173)</f>
        <v>3.3249770791371702E-2</v>
      </c>
      <c r="K5181">
        <f>1/(COUNT(SimData5000!$C$9:$C$5008)-1)+$K$5180</f>
        <v>3.4406881376275282E-2</v>
      </c>
    </row>
    <row r="5182" spans="8:11">
      <c r="H5182">
        <f>SMALL(SimData5000!$B$9:$B$5008,174)</f>
        <v>3.4716910291117828E-2</v>
      </c>
      <c r="I5182">
        <f>1/(COUNT(SimData5000!$B$9:$B$5008)-1)+$I$5181</f>
        <v>3.460692138427688E-2</v>
      </c>
      <c r="J5182">
        <f>SMALL(SimData5000!$C$9:$C$5008,174)</f>
        <v>3.3323473460768582E-2</v>
      </c>
      <c r="K5182">
        <f>1/(COUNT(SimData5000!$C$9:$C$5008)-1)+$K$5181</f>
        <v>3.460692138427688E-2</v>
      </c>
    </row>
    <row r="5183" spans="8:11">
      <c r="H5183">
        <f>SMALL(SimData5000!$B$9:$B$5008,175)</f>
        <v>3.4968580260818956E-2</v>
      </c>
      <c r="I5183">
        <f>1/(COUNT(SimData5000!$B$9:$B$5008)-1)+$I$5182</f>
        <v>3.4806961392278478E-2</v>
      </c>
      <c r="J5183">
        <f>SMALL(SimData5000!$C$9:$C$5008,175)</f>
        <v>3.3606953576054366E-2</v>
      </c>
      <c r="K5183">
        <f>1/(COUNT(SimData5000!$C$9:$C$5008)-1)+$K$5182</f>
        <v>3.4806961392278478E-2</v>
      </c>
    </row>
    <row r="5184" spans="8:11">
      <c r="H5184">
        <f>SMALL(SimData5000!$B$9:$B$5008,176)</f>
        <v>3.5047463115455459E-2</v>
      </c>
      <c r="I5184">
        <f>1/(COUNT(SimData5000!$B$9:$B$5008)-1)+$I$5183</f>
        <v>3.5007001400280076E-2</v>
      </c>
      <c r="J5184">
        <f>SMALL(SimData5000!$C$9:$C$5008,176)</f>
        <v>3.3610671725909924E-2</v>
      </c>
      <c r="K5184">
        <f>1/(COUNT(SimData5000!$C$9:$C$5008)-1)+$K$5183</f>
        <v>3.5007001400280076E-2</v>
      </c>
    </row>
    <row r="5185" spans="8:11">
      <c r="H5185">
        <f>SMALL(SimData5000!$B$9:$B$5008,177)</f>
        <v>3.5334316727224348E-2</v>
      </c>
      <c r="I5185">
        <f>1/(COUNT(SimData5000!$B$9:$B$5008)-1)+$I$5184</f>
        <v>3.5207041408281674E-2</v>
      </c>
      <c r="J5185">
        <f>SMALL(SimData5000!$C$9:$C$5008,177)</f>
        <v>3.4009920901553414E-2</v>
      </c>
      <c r="K5185">
        <f>1/(COUNT(SimData5000!$C$9:$C$5008)-1)+$K$5184</f>
        <v>3.5207041408281674E-2</v>
      </c>
    </row>
    <row r="5186" spans="8:11">
      <c r="H5186">
        <f>SMALL(SimData5000!$B$9:$B$5008,178)</f>
        <v>3.5458661581962057E-2</v>
      </c>
      <c r="I5186">
        <f>1/(COUNT(SimData5000!$B$9:$B$5008)-1)+$I$5185</f>
        <v>3.5407081416283272E-2</v>
      </c>
      <c r="J5186">
        <f>SMALL(SimData5000!$C$9:$C$5008,178)</f>
        <v>3.4108711483895604E-2</v>
      </c>
      <c r="K5186">
        <f>1/(COUNT(SimData5000!$C$9:$C$5008)-1)+$K$5185</f>
        <v>3.5407081416283272E-2</v>
      </c>
    </row>
    <row r="5187" spans="8:11">
      <c r="H5187">
        <f>SMALL(SimData5000!$B$9:$B$5008,179)</f>
        <v>3.5731944958756659E-2</v>
      </c>
      <c r="I5187">
        <f>1/(COUNT(SimData5000!$B$9:$B$5008)-1)+$I$5186</f>
        <v>3.560712142428487E-2</v>
      </c>
      <c r="J5187">
        <f>SMALL(SimData5000!$C$9:$C$5008,179)</f>
        <v>3.4258118063007714E-2</v>
      </c>
      <c r="K5187">
        <f>1/(COUNT(SimData5000!$C$9:$C$5008)-1)+$K$5186</f>
        <v>3.560712142428487E-2</v>
      </c>
    </row>
    <row r="5188" spans="8:11">
      <c r="H5188">
        <f>SMALL(SimData5000!$B$9:$B$5008,180)</f>
        <v>3.5860197377172345E-2</v>
      </c>
      <c r="I5188">
        <f>1/(COUNT(SimData5000!$B$9:$B$5008)-1)+$I$5187</f>
        <v>3.5807161432286468E-2</v>
      </c>
      <c r="J5188">
        <f>SMALL(SimData5000!$C$9:$C$5008,180)</f>
        <v>3.4344111994869309E-2</v>
      </c>
      <c r="K5188">
        <f>1/(COUNT(SimData5000!$C$9:$C$5008)-1)+$K$5187</f>
        <v>3.5807161432286468E-2</v>
      </c>
    </row>
    <row r="5189" spans="8:11">
      <c r="H5189">
        <f>SMALL(SimData5000!$B$9:$B$5008,181)</f>
        <v>3.6006091391156916E-2</v>
      </c>
      <c r="I5189">
        <f>1/(COUNT(SimData5000!$B$9:$B$5008)-1)+$I$5188</f>
        <v>3.6007201440288066E-2</v>
      </c>
      <c r="J5189">
        <f>SMALL(SimData5000!$C$9:$C$5008,181)</f>
        <v>3.4408283160701103E-2</v>
      </c>
      <c r="K5189">
        <f>1/(COUNT(SimData5000!$C$9:$C$5008)-1)+$K$5188</f>
        <v>3.6007201440288066E-2</v>
      </c>
    </row>
    <row r="5190" spans="8:11">
      <c r="H5190">
        <f>SMALL(SimData5000!$B$9:$B$5008,182)</f>
        <v>3.6321527085435006E-2</v>
      </c>
      <c r="I5190">
        <f>1/(COUNT(SimData5000!$B$9:$B$5008)-1)+$I$5189</f>
        <v>3.6207241448289663E-2</v>
      </c>
      <c r="J5190">
        <f>SMALL(SimData5000!$C$9:$C$5008,182)</f>
        <v>3.4640259765183146E-2</v>
      </c>
      <c r="K5190">
        <f>1/(COUNT(SimData5000!$C$9:$C$5008)-1)+$K$5189</f>
        <v>3.6207241448289663E-2</v>
      </c>
    </row>
    <row r="5191" spans="8:11">
      <c r="H5191">
        <f>SMALL(SimData5000!$B$9:$B$5008,183)</f>
        <v>3.6586832470071232E-2</v>
      </c>
      <c r="I5191">
        <f>1/(COUNT(SimData5000!$B$9:$B$5008)-1)+$I$5190</f>
        <v>3.6407281456291261E-2</v>
      </c>
      <c r="J5191">
        <f>SMALL(SimData5000!$C$9:$C$5008,183)</f>
        <v>3.5004178470444458E-2</v>
      </c>
      <c r="K5191">
        <f>1/(COUNT(SimData5000!$C$9:$C$5008)-1)+$K$5190</f>
        <v>3.6407281456291261E-2</v>
      </c>
    </row>
    <row r="5192" spans="8:11">
      <c r="H5192">
        <f>SMALL(SimData5000!$B$9:$B$5008,184)</f>
        <v>3.6640500576943277E-2</v>
      </c>
      <c r="I5192">
        <f>1/(COUNT(SimData5000!$B$9:$B$5008)-1)+$I$5191</f>
        <v>3.6607321464292859E-2</v>
      </c>
      <c r="J5192">
        <f>SMALL(SimData5000!$C$9:$C$5008,184)</f>
        <v>3.5163861816727149E-2</v>
      </c>
      <c r="K5192">
        <f>1/(COUNT(SimData5000!$C$9:$C$5008)-1)+$K$5191</f>
        <v>3.6607321464292859E-2</v>
      </c>
    </row>
    <row r="5193" spans="8:11">
      <c r="H5193">
        <f>SMALL(SimData5000!$B$9:$B$5008,185)</f>
        <v>3.6939925692961534E-2</v>
      </c>
      <c r="I5193">
        <f>1/(COUNT(SimData5000!$B$9:$B$5008)-1)+$I$5192</f>
        <v>3.6807361472294457E-2</v>
      </c>
      <c r="J5193">
        <f>SMALL(SimData5000!$C$9:$C$5008,185)</f>
        <v>3.5534159634153184E-2</v>
      </c>
      <c r="K5193">
        <f>1/(COUNT(SimData5000!$C$9:$C$5008)-1)+$K$5192</f>
        <v>3.6807361472294457E-2</v>
      </c>
    </row>
    <row r="5194" spans="8:11">
      <c r="H5194">
        <f>SMALL(SimData5000!$B$9:$B$5008,186)</f>
        <v>3.7079184816516744E-2</v>
      </c>
      <c r="I5194">
        <f>1/(COUNT(SimData5000!$B$9:$B$5008)-1)+$I$5193</f>
        <v>3.7007401480296055E-2</v>
      </c>
      <c r="J5194">
        <f>SMALL(SimData5000!$C$9:$C$5008,186)</f>
        <v>3.558613494351448E-2</v>
      </c>
      <c r="K5194">
        <f>1/(COUNT(SimData5000!$C$9:$C$5008)-1)+$K$5193</f>
        <v>3.7007401480296055E-2</v>
      </c>
    </row>
    <row r="5195" spans="8:11">
      <c r="H5195">
        <f>SMALL(SimData5000!$B$9:$B$5008,187)</f>
        <v>3.735125292724726E-2</v>
      </c>
      <c r="I5195">
        <f>1/(COUNT(SimData5000!$B$9:$B$5008)-1)+$I$5194</f>
        <v>3.7207441488297653E-2</v>
      </c>
      <c r="J5195">
        <f>SMALL(SimData5000!$C$9:$C$5008,187)</f>
        <v>3.5677299631061032E-2</v>
      </c>
      <c r="K5195">
        <f>1/(COUNT(SimData5000!$C$9:$C$5008)-1)+$K$5194</f>
        <v>3.7207441488297653E-2</v>
      </c>
    </row>
    <row r="5196" spans="8:11">
      <c r="H5196">
        <f>SMALL(SimData5000!$B$9:$B$5008,188)</f>
        <v>3.753275772070809E-2</v>
      </c>
      <c r="I5196">
        <f>1/(COUNT(SimData5000!$B$9:$B$5008)-1)+$I$5195</f>
        <v>3.7407481496299251E-2</v>
      </c>
      <c r="J5196">
        <f>SMALL(SimData5000!$C$9:$C$5008,188)</f>
        <v>3.5918909881729633E-2</v>
      </c>
      <c r="K5196">
        <f>1/(COUNT(SimData5000!$C$9:$C$5008)-1)+$K$5195</f>
        <v>3.7407481496299251E-2</v>
      </c>
    </row>
    <row r="5197" spans="8:11">
      <c r="H5197">
        <f>SMALL(SimData5000!$B$9:$B$5008,189)</f>
        <v>3.7664827134801265E-2</v>
      </c>
      <c r="I5197">
        <f>1/(COUNT(SimData5000!$B$9:$B$5008)-1)+$I$5196</f>
        <v>3.7607521504300849E-2</v>
      </c>
      <c r="J5197">
        <f>SMALL(SimData5000!$C$9:$C$5008,189)</f>
        <v>3.5942731614341028E-2</v>
      </c>
      <c r="K5197">
        <f>1/(COUNT(SimData5000!$C$9:$C$5008)-1)+$K$5196</f>
        <v>3.7607521504300849E-2</v>
      </c>
    </row>
    <row r="5198" spans="8:11">
      <c r="H5198">
        <f>SMALL(SimData5000!$B$9:$B$5008,190)</f>
        <v>3.7923872606717951E-2</v>
      </c>
      <c r="I5198">
        <f>1/(COUNT(SimData5000!$B$9:$B$5008)-1)+$I$5197</f>
        <v>3.7807561512302447E-2</v>
      </c>
      <c r="J5198">
        <f>SMALL(SimData5000!$C$9:$C$5008,190)</f>
        <v>3.6020925729644659E-2</v>
      </c>
      <c r="K5198">
        <f>1/(COUNT(SimData5000!$C$9:$C$5008)-1)+$K$5197</f>
        <v>3.7807561512302447E-2</v>
      </c>
    </row>
    <row r="5199" spans="8:11">
      <c r="H5199">
        <f>SMALL(SimData5000!$B$9:$B$5008,191)</f>
        <v>3.809374999666907E-2</v>
      </c>
      <c r="I5199">
        <f>1/(COUNT(SimData5000!$B$9:$B$5008)-1)+$I$5198</f>
        <v>3.8007601520304045E-2</v>
      </c>
      <c r="J5199">
        <f>SMALL(SimData5000!$C$9:$C$5008,191)</f>
        <v>3.6125357314631401E-2</v>
      </c>
      <c r="K5199">
        <f>1/(COUNT(SimData5000!$C$9:$C$5008)-1)+$K$5198</f>
        <v>3.8007601520304045E-2</v>
      </c>
    </row>
    <row r="5200" spans="8:11">
      <c r="H5200">
        <f>SMALL(SimData5000!$B$9:$B$5008,192)</f>
        <v>3.8283428121005048E-2</v>
      </c>
      <c r="I5200">
        <f>1/(COUNT(SimData5000!$B$9:$B$5008)-1)+$I$5199</f>
        <v>3.8207641528305643E-2</v>
      </c>
      <c r="J5200">
        <f>SMALL(SimData5000!$C$9:$C$5008,192)</f>
        <v>3.6158167179564771E-2</v>
      </c>
      <c r="K5200">
        <f>1/(COUNT(SimData5000!$C$9:$C$5008)-1)+$K$5199</f>
        <v>3.8207641528305643E-2</v>
      </c>
    </row>
    <row r="5201" spans="8:11">
      <c r="H5201">
        <f>SMALL(SimData5000!$B$9:$B$5008,193)</f>
        <v>3.8533648389655548E-2</v>
      </c>
      <c r="I5201">
        <f>1/(COUNT(SimData5000!$B$9:$B$5008)-1)+$I$5200</f>
        <v>3.8407681536307241E-2</v>
      </c>
      <c r="J5201">
        <f>SMALL(SimData5000!$C$9:$C$5008,193)</f>
        <v>3.6258587591873948E-2</v>
      </c>
      <c r="K5201">
        <f>1/(COUNT(SimData5000!$C$9:$C$5008)-1)+$K$5200</f>
        <v>3.8407681536307241E-2</v>
      </c>
    </row>
    <row r="5202" spans="8:11">
      <c r="H5202">
        <f>SMALL(SimData5000!$B$9:$B$5008,194)</f>
        <v>3.868664958357966E-2</v>
      </c>
      <c r="I5202">
        <f>1/(COUNT(SimData5000!$B$9:$B$5008)-1)+$I$5201</f>
        <v>3.8607721544308839E-2</v>
      </c>
      <c r="J5202">
        <f>SMALL(SimData5000!$C$9:$C$5008,194)</f>
        <v>3.6730909584548499E-2</v>
      </c>
      <c r="K5202">
        <f>1/(COUNT(SimData5000!$C$9:$C$5008)-1)+$K$5201</f>
        <v>3.8607721544308839E-2</v>
      </c>
    </row>
    <row r="5203" spans="8:11">
      <c r="H5203">
        <f>SMALL(SimData5000!$B$9:$B$5008,195)</f>
        <v>3.885017059008828E-2</v>
      </c>
      <c r="I5203">
        <f>1/(COUNT(SimData5000!$B$9:$B$5008)-1)+$I$5202</f>
        <v>3.8807761552310437E-2</v>
      </c>
      <c r="J5203">
        <f>SMALL(SimData5000!$C$9:$C$5008,195)</f>
        <v>3.6910603454998636E-2</v>
      </c>
      <c r="K5203">
        <f>1/(COUNT(SimData5000!$C$9:$C$5008)-1)+$K$5202</f>
        <v>3.8807761552310437E-2</v>
      </c>
    </row>
    <row r="5204" spans="8:11">
      <c r="H5204">
        <f>SMALL(SimData5000!$B$9:$B$5008,196)</f>
        <v>3.906353013507638E-2</v>
      </c>
      <c r="I5204">
        <f>1/(COUNT(SimData5000!$B$9:$B$5008)-1)+$I$5203</f>
        <v>3.9007801560312035E-2</v>
      </c>
      <c r="J5204">
        <f>SMALL(SimData5000!$C$9:$C$5008,196)</f>
        <v>3.7187934247413068E-2</v>
      </c>
      <c r="K5204">
        <f>1/(COUNT(SimData5000!$C$9:$C$5008)-1)+$K$5203</f>
        <v>3.9007801560312035E-2</v>
      </c>
    </row>
    <row r="5205" spans="8:11">
      <c r="H5205">
        <f>SMALL(SimData5000!$B$9:$B$5008,197)</f>
        <v>3.9225566989329073E-2</v>
      </c>
      <c r="I5205">
        <f>1/(COUNT(SimData5000!$B$9:$B$5008)-1)+$I$5204</f>
        <v>3.9207841568313632E-2</v>
      </c>
      <c r="J5205">
        <f>SMALL(SimData5000!$C$9:$C$5008,197)</f>
        <v>3.7280091913999058E-2</v>
      </c>
      <c r="K5205">
        <f>1/(COUNT(SimData5000!$C$9:$C$5008)-1)+$K$5204</f>
        <v>3.9207841568313632E-2</v>
      </c>
    </row>
    <row r="5206" spans="8:11">
      <c r="H5206">
        <f>SMALL(SimData5000!$B$9:$B$5008,198)</f>
        <v>3.9592997837763509E-2</v>
      </c>
      <c r="I5206">
        <f>1/(COUNT(SimData5000!$B$9:$B$5008)-1)+$I$5205</f>
        <v>3.940788157631523E-2</v>
      </c>
      <c r="J5206">
        <f>SMALL(SimData5000!$C$9:$C$5008,198)</f>
        <v>3.7373812849182286E-2</v>
      </c>
      <c r="K5206">
        <f>1/(COUNT(SimData5000!$C$9:$C$5008)-1)+$K$5205</f>
        <v>3.940788157631523E-2</v>
      </c>
    </row>
    <row r="5207" spans="8:11">
      <c r="H5207">
        <f>SMALL(SimData5000!$B$9:$B$5008,199)</f>
        <v>3.970251142045076E-2</v>
      </c>
      <c r="I5207">
        <f>1/(COUNT(SimData5000!$B$9:$B$5008)-1)+$I$5206</f>
        <v>3.9607921584316828E-2</v>
      </c>
      <c r="J5207">
        <f>SMALL(SimData5000!$C$9:$C$5008,199)</f>
        <v>3.7502665782994882E-2</v>
      </c>
      <c r="K5207">
        <f>1/(COUNT(SimData5000!$C$9:$C$5008)-1)+$K$5206</f>
        <v>3.9607921584316828E-2</v>
      </c>
    </row>
    <row r="5208" spans="8:11">
      <c r="H5208">
        <f>SMALL(SimData5000!$B$9:$B$5008,200)</f>
        <v>3.9919424464069174E-2</v>
      </c>
      <c r="I5208">
        <f>1/(COUNT(SimData5000!$B$9:$B$5008)-1)+$I$5207</f>
        <v>3.9807961592318426E-2</v>
      </c>
      <c r="J5208">
        <f>SMALL(SimData5000!$C$9:$C$5008,200)</f>
        <v>3.7620920445095685E-2</v>
      </c>
      <c r="K5208">
        <f>1/(COUNT(SimData5000!$C$9:$C$5008)-1)+$K$5207</f>
        <v>3.9807961592318426E-2</v>
      </c>
    </row>
    <row r="5209" spans="8:11">
      <c r="H5209">
        <f>SMALL(SimData5000!$B$9:$B$5008,201)</f>
        <v>4.0016460276631742E-2</v>
      </c>
      <c r="I5209">
        <f>1/(COUNT(SimData5000!$B$9:$B$5008)-1)+$I$5208</f>
        <v>4.0008001600320024E-2</v>
      </c>
      <c r="J5209">
        <f>SMALL(SimData5000!$C$9:$C$5008,201)</f>
        <v>3.7680942757106095E-2</v>
      </c>
      <c r="K5209">
        <f>1/(COUNT(SimData5000!$C$9:$C$5008)-1)+$K$5208</f>
        <v>4.0008001600320024E-2</v>
      </c>
    </row>
    <row r="5210" spans="8:11">
      <c r="H5210">
        <f>SMALL(SimData5000!$B$9:$B$5008,202)</f>
        <v>4.0325344721443335E-2</v>
      </c>
      <c r="I5210">
        <f>1/(COUNT(SimData5000!$B$9:$B$5008)-1)+$I$5209</f>
        <v>4.0208041608321622E-2</v>
      </c>
      <c r="J5210">
        <f>SMALL(SimData5000!$C$9:$C$5008,202)</f>
        <v>3.7764377279955852E-2</v>
      </c>
      <c r="K5210">
        <f>1/(COUNT(SimData5000!$C$9:$C$5008)-1)+$K$5209</f>
        <v>4.0208041608321622E-2</v>
      </c>
    </row>
    <row r="5211" spans="8:11">
      <c r="H5211">
        <f>SMALL(SimData5000!$B$9:$B$5008,203)</f>
        <v>4.0419788455176117E-2</v>
      </c>
      <c r="I5211">
        <f>1/(COUNT(SimData5000!$B$9:$B$5008)-1)+$I$5210</f>
        <v>4.040808161632322E-2</v>
      </c>
      <c r="J5211">
        <f>SMALL(SimData5000!$C$9:$C$5008,203)</f>
        <v>3.780877079043421E-2</v>
      </c>
      <c r="K5211">
        <f>1/(COUNT(SimData5000!$C$9:$C$5008)-1)+$K$5210</f>
        <v>4.040808161632322E-2</v>
      </c>
    </row>
    <row r="5212" spans="8:11">
      <c r="H5212">
        <f>SMALL(SimData5000!$B$9:$B$5008,204)</f>
        <v>4.0761081175403925E-2</v>
      </c>
      <c r="I5212">
        <f>1/(COUNT(SimData5000!$B$9:$B$5008)-1)+$I$5211</f>
        <v>4.0608121624324818E-2</v>
      </c>
      <c r="J5212">
        <f>SMALL(SimData5000!$C$9:$C$5008,204)</f>
        <v>3.8016453570890008E-2</v>
      </c>
      <c r="K5212">
        <f>1/(COUNT(SimData5000!$C$9:$C$5008)-1)+$K$5211</f>
        <v>4.0608121624324818E-2</v>
      </c>
    </row>
    <row r="5213" spans="8:11">
      <c r="H5213">
        <f>SMALL(SimData5000!$B$9:$B$5008,205)</f>
        <v>4.094761548897894E-2</v>
      </c>
      <c r="I5213">
        <f>1/(COUNT(SimData5000!$B$9:$B$5008)-1)+$I$5212</f>
        <v>4.0808161632326416E-2</v>
      </c>
      <c r="J5213">
        <f>SMALL(SimData5000!$C$9:$C$5008,205)</f>
        <v>3.8024541601771489E-2</v>
      </c>
      <c r="K5213">
        <f>1/(COUNT(SimData5000!$C$9:$C$5008)-1)+$K$5212</f>
        <v>4.0808161632326416E-2</v>
      </c>
    </row>
    <row r="5214" spans="8:11">
      <c r="H5214">
        <f>SMALL(SimData5000!$B$9:$B$5008,206)</f>
        <v>4.1159398288503152E-2</v>
      </c>
      <c r="I5214">
        <f>1/(COUNT(SimData5000!$B$9:$B$5008)-1)+$I$5213</f>
        <v>4.1008201640328014E-2</v>
      </c>
      <c r="J5214">
        <f>SMALL(SimData5000!$C$9:$C$5008,206)</f>
        <v>3.8283699629573675E-2</v>
      </c>
      <c r="K5214">
        <f>1/(COUNT(SimData5000!$C$9:$C$5008)-1)+$K$5213</f>
        <v>4.1008201640328014E-2</v>
      </c>
    </row>
    <row r="5215" spans="8:11">
      <c r="H5215">
        <f>SMALL(SimData5000!$B$9:$B$5008,207)</f>
        <v>4.1291241044525813E-2</v>
      </c>
      <c r="I5215">
        <f>1/(COUNT(SimData5000!$B$9:$B$5008)-1)+$I$5214</f>
        <v>4.1208241648329612E-2</v>
      </c>
      <c r="J5215">
        <f>SMALL(SimData5000!$C$9:$C$5008,207)</f>
        <v>3.8385681878025935E-2</v>
      </c>
      <c r="K5215">
        <f>1/(COUNT(SimData5000!$C$9:$C$5008)-1)+$K$5214</f>
        <v>4.1208241648329612E-2</v>
      </c>
    </row>
    <row r="5216" spans="8:11">
      <c r="H5216">
        <f>SMALL(SimData5000!$B$9:$B$5008,208)</f>
        <v>4.1402732546348762E-2</v>
      </c>
      <c r="I5216">
        <f>1/(COUNT(SimData5000!$B$9:$B$5008)-1)+$I$5215</f>
        <v>4.140828165633121E-2</v>
      </c>
      <c r="J5216">
        <f>SMALL(SimData5000!$C$9:$C$5008,208)</f>
        <v>3.8603100407271995E-2</v>
      </c>
      <c r="K5216">
        <f>1/(COUNT(SimData5000!$C$9:$C$5008)-1)+$K$5215</f>
        <v>4.140828165633121E-2</v>
      </c>
    </row>
    <row r="5217" spans="8:11">
      <c r="H5217">
        <f>SMALL(SimData5000!$B$9:$B$5008,209)</f>
        <v>4.171456536224917E-2</v>
      </c>
      <c r="I5217">
        <f>1/(COUNT(SimData5000!$B$9:$B$5008)-1)+$I$5216</f>
        <v>4.1608321664332808E-2</v>
      </c>
      <c r="J5217">
        <f>SMALL(SimData5000!$C$9:$C$5008,209)</f>
        <v>3.8658929639495909E-2</v>
      </c>
      <c r="K5217">
        <f>1/(COUNT(SimData5000!$C$9:$C$5008)-1)+$K$5216</f>
        <v>4.1608321664332808E-2</v>
      </c>
    </row>
    <row r="5218" spans="8:11">
      <c r="H5218">
        <f>SMALL(SimData5000!$B$9:$B$5008,210)</f>
        <v>4.1912039011510097E-2</v>
      </c>
      <c r="I5218">
        <f>1/(COUNT(SimData5000!$B$9:$B$5008)-1)+$I$5217</f>
        <v>4.1808361672334406E-2</v>
      </c>
      <c r="J5218">
        <f>SMALL(SimData5000!$C$9:$C$5008,210)</f>
        <v>3.8873670466273325E-2</v>
      </c>
      <c r="K5218">
        <f>1/(COUNT(SimData5000!$C$9:$C$5008)-1)+$K$5217</f>
        <v>4.1808361672334406E-2</v>
      </c>
    </row>
    <row r="5219" spans="8:11">
      <c r="H5219">
        <f>SMALL(SimData5000!$B$9:$B$5008,211)</f>
        <v>4.2128027560219175E-2</v>
      </c>
      <c r="I5219">
        <f>1/(COUNT(SimData5000!$B$9:$B$5008)-1)+$I$5218</f>
        <v>4.2008401680336004E-2</v>
      </c>
      <c r="J5219">
        <f>SMALL(SimData5000!$C$9:$C$5008,211)</f>
        <v>3.89663364212538E-2</v>
      </c>
      <c r="K5219">
        <f>1/(COUNT(SimData5000!$C$9:$C$5008)-1)+$K$5218</f>
        <v>4.2008401680336004E-2</v>
      </c>
    </row>
    <row r="5220" spans="8:11">
      <c r="H5220">
        <f>SMALL(SimData5000!$B$9:$B$5008,212)</f>
        <v>4.2387239697200069E-2</v>
      </c>
      <c r="I5220">
        <f>1/(COUNT(SimData5000!$B$9:$B$5008)-1)+$I$5219</f>
        <v>4.2208441688337602E-2</v>
      </c>
      <c r="J5220">
        <f>SMALL(SimData5000!$C$9:$C$5008,212)</f>
        <v>3.9271062594707473E-2</v>
      </c>
      <c r="K5220">
        <f>1/(COUNT(SimData5000!$C$9:$C$5008)-1)+$K$5219</f>
        <v>4.2208441688337602E-2</v>
      </c>
    </row>
    <row r="5221" spans="8:11">
      <c r="H5221">
        <f>SMALL(SimData5000!$B$9:$B$5008,213)</f>
        <v>4.2516858491747841E-2</v>
      </c>
      <c r="I5221">
        <f>1/(COUNT(SimData5000!$B$9:$B$5008)-1)+$I$5220</f>
        <v>4.2408481696339199E-2</v>
      </c>
      <c r="J5221">
        <f>SMALL(SimData5000!$C$9:$C$5008,213)</f>
        <v>3.9364180834127183E-2</v>
      </c>
      <c r="K5221">
        <f>1/(COUNT(SimData5000!$C$9:$C$5008)-1)+$K$5220</f>
        <v>4.2408481696339199E-2</v>
      </c>
    </row>
    <row r="5222" spans="8:11">
      <c r="H5222">
        <f>SMALL(SimData5000!$B$9:$B$5008,214)</f>
        <v>4.2743651369340635E-2</v>
      </c>
      <c r="I5222">
        <f>1/(COUNT(SimData5000!$B$9:$B$5008)-1)+$I$5221</f>
        <v>4.2608521704340797E-2</v>
      </c>
      <c r="J5222">
        <f>SMALL(SimData5000!$C$9:$C$5008,214)</f>
        <v>3.9444558523427986E-2</v>
      </c>
      <c r="K5222">
        <f>1/(COUNT(SimData5000!$C$9:$C$5008)-1)+$K$5221</f>
        <v>4.2608521704340797E-2</v>
      </c>
    </row>
    <row r="5223" spans="8:11">
      <c r="H5223">
        <f>SMALL(SimData5000!$B$9:$B$5008,215)</f>
        <v>4.2987797969483724E-2</v>
      </c>
      <c r="I5223">
        <f>1/(COUNT(SimData5000!$B$9:$B$5008)-1)+$I$5222</f>
        <v>4.2808561712342395E-2</v>
      </c>
      <c r="J5223">
        <f>SMALL(SimData5000!$C$9:$C$5008,215)</f>
        <v>3.9602600913895003E-2</v>
      </c>
      <c r="K5223">
        <f>1/(COUNT(SimData5000!$C$9:$C$5008)-1)+$K$5222</f>
        <v>4.2808561712342395E-2</v>
      </c>
    </row>
    <row r="5224" spans="8:11">
      <c r="H5224">
        <f>SMALL(SimData5000!$B$9:$B$5008,216)</f>
        <v>4.3074525460338811E-2</v>
      </c>
      <c r="I5224">
        <f>1/(COUNT(SimData5000!$B$9:$B$5008)-1)+$I$5223</f>
        <v>4.3008601720343993E-2</v>
      </c>
      <c r="J5224">
        <f>SMALL(SimData5000!$C$9:$C$5008,216)</f>
        <v>4.007644516241271E-2</v>
      </c>
      <c r="K5224">
        <f>1/(COUNT(SimData5000!$C$9:$C$5008)-1)+$K$5223</f>
        <v>4.3008601720343993E-2</v>
      </c>
    </row>
    <row r="5225" spans="8:11">
      <c r="H5225">
        <f>SMALL(SimData5000!$B$9:$B$5008,217)</f>
        <v>4.3397181587758751E-2</v>
      </c>
      <c r="I5225">
        <f>1/(COUNT(SimData5000!$B$9:$B$5008)-1)+$I$5224</f>
        <v>4.3208641728345591E-2</v>
      </c>
      <c r="J5225">
        <f>SMALL(SimData5000!$C$9:$C$5008,217)</f>
        <v>4.0095543744428142E-2</v>
      </c>
      <c r="K5225">
        <f>1/(COUNT(SimData5000!$C$9:$C$5008)-1)+$K$5224</f>
        <v>4.3208641728345591E-2</v>
      </c>
    </row>
    <row r="5226" spans="8:11">
      <c r="H5226">
        <f>SMALL(SimData5000!$B$9:$B$5008,218)</f>
        <v>4.3568880585573816E-2</v>
      </c>
      <c r="I5226">
        <f>1/(COUNT(SimData5000!$B$9:$B$5008)-1)+$I$5225</f>
        <v>4.3408681736347189E-2</v>
      </c>
      <c r="J5226">
        <f>SMALL(SimData5000!$C$9:$C$5008,218)</f>
        <v>4.012690128365648E-2</v>
      </c>
      <c r="K5226">
        <f>1/(COUNT(SimData5000!$C$9:$C$5008)-1)+$K$5225</f>
        <v>4.3408681736347189E-2</v>
      </c>
    </row>
    <row r="5227" spans="8:11">
      <c r="H5227">
        <f>SMALL(SimData5000!$B$9:$B$5008,219)</f>
        <v>4.373099743922497E-2</v>
      </c>
      <c r="I5227">
        <f>1/(COUNT(SimData5000!$B$9:$B$5008)-1)+$I$5226</f>
        <v>4.3608721744348787E-2</v>
      </c>
      <c r="J5227">
        <f>SMALL(SimData5000!$C$9:$C$5008,219)</f>
        <v>4.0740583493061422E-2</v>
      </c>
      <c r="K5227">
        <f>1/(COUNT(SimData5000!$C$9:$C$5008)-1)+$K$5226</f>
        <v>4.3608721744348787E-2</v>
      </c>
    </row>
    <row r="5228" spans="8:11">
      <c r="H5228">
        <f>SMALL(SimData5000!$B$9:$B$5008,220)</f>
        <v>4.3835870103453252E-2</v>
      </c>
      <c r="I5228">
        <f>1/(COUNT(SimData5000!$B$9:$B$5008)-1)+$I$5227</f>
        <v>4.3808761752350385E-2</v>
      </c>
      <c r="J5228">
        <f>SMALL(SimData5000!$C$9:$C$5008,220)</f>
        <v>4.090400954191864E-2</v>
      </c>
      <c r="K5228">
        <f>1/(COUNT(SimData5000!$C$9:$C$5008)-1)+$K$5227</f>
        <v>4.3808761752350385E-2</v>
      </c>
    </row>
    <row r="5229" spans="8:11">
      <c r="H5229">
        <f>SMALL(SimData5000!$B$9:$B$5008,221)</f>
        <v>4.4009960776430081E-2</v>
      </c>
      <c r="I5229">
        <f>1/(COUNT(SimData5000!$B$9:$B$5008)-1)+$I$5228</f>
        <v>4.4008801760351983E-2</v>
      </c>
      <c r="J5229">
        <f>SMALL(SimData5000!$C$9:$C$5008,221)</f>
        <v>4.0954681480798172E-2</v>
      </c>
      <c r="K5229">
        <f>1/(COUNT(SimData5000!$C$9:$C$5008)-1)+$K$5228</f>
        <v>4.4008801760351983E-2</v>
      </c>
    </row>
    <row r="5230" spans="8:11">
      <c r="H5230">
        <f>SMALL(SimData5000!$B$9:$B$5008,222)</f>
        <v>4.4368142024746197E-2</v>
      </c>
      <c r="I5230">
        <f>1/(COUNT(SimData5000!$B$9:$B$5008)-1)+$I$5229</f>
        <v>4.4208841768353581E-2</v>
      </c>
      <c r="J5230">
        <f>SMALL(SimData5000!$C$9:$C$5008,222)</f>
        <v>4.0991275036503794E-2</v>
      </c>
      <c r="K5230">
        <f>1/(COUNT(SimData5000!$C$9:$C$5008)-1)+$K$5229</f>
        <v>4.4208841768353581E-2</v>
      </c>
    </row>
    <row r="5231" spans="8:11">
      <c r="H5231">
        <f>SMALL(SimData5000!$B$9:$B$5008,223)</f>
        <v>4.4500799828651551E-2</v>
      </c>
      <c r="I5231">
        <f>1/(COUNT(SimData5000!$B$9:$B$5008)-1)+$I$5230</f>
        <v>4.4408881776355179E-2</v>
      </c>
      <c r="J5231">
        <f>SMALL(SimData5000!$C$9:$C$5008,223)</f>
        <v>4.1160588662023656E-2</v>
      </c>
      <c r="K5231">
        <f>1/(COUNT(SimData5000!$C$9:$C$5008)-1)+$K$5230</f>
        <v>4.4408881776355179E-2</v>
      </c>
    </row>
    <row r="5232" spans="8:11">
      <c r="H5232">
        <f>SMALL(SimData5000!$B$9:$B$5008,224)</f>
        <v>4.4787220016258587E-2</v>
      </c>
      <c r="I5232">
        <f>1/(COUNT(SimData5000!$B$9:$B$5008)-1)+$I$5231</f>
        <v>4.4608921784356777E-2</v>
      </c>
      <c r="J5232">
        <f>SMALL(SimData5000!$C$9:$C$5008,224)</f>
        <v>4.1441235035563295E-2</v>
      </c>
      <c r="K5232">
        <f>1/(COUNT(SimData5000!$C$9:$C$5008)-1)+$K$5231</f>
        <v>4.4608921784356777E-2</v>
      </c>
    </row>
    <row r="5233" spans="8:11">
      <c r="H5233">
        <f>SMALL(SimData5000!$B$9:$B$5008,225)</f>
        <v>4.4916476669469026E-2</v>
      </c>
      <c r="I5233">
        <f>1/(COUNT(SimData5000!$B$9:$B$5008)-1)+$I$5232</f>
        <v>4.4808961792358375E-2</v>
      </c>
      <c r="J5233">
        <f>SMALL(SimData5000!$C$9:$C$5008,225)</f>
        <v>4.1466127951025555E-2</v>
      </c>
      <c r="K5233">
        <f>1/(COUNT(SimData5000!$C$9:$C$5008)-1)+$K$5232</f>
        <v>4.4808961792358375E-2</v>
      </c>
    </row>
    <row r="5234" spans="8:11">
      <c r="H5234">
        <f>SMALL(SimData5000!$B$9:$B$5008,226)</f>
        <v>4.5155346688291839E-2</v>
      </c>
      <c r="I5234">
        <f>1/(COUNT(SimData5000!$B$9:$B$5008)-1)+$I$5233</f>
        <v>4.5009001800359973E-2</v>
      </c>
      <c r="J5234">
        <f>SMALL(SimData5000!$C$9:$C$5008,226)</f>
        <v>4.1954885563427524E-2</v>
      </c>
      <c r="K5234">
        <f>1/(COUNT(SimData5000!$C$9:$C$5008)-1)+$K$5233</f>
        <v>4.5009001800359973E-2</v>
      </c>
    </row>
    <row r="5235" spans="8:11">
      <c r="H5235">
        <f>SMALL(SimData5000!$B$9:$B$5008,227)</f>
        <v>4.5398132364451456E-2</v>
      </c>
      <c r="I5235">
        <f>1/(COUNT(SimData5000!$B$9:$B$5008)-1)+$I$5234</f>
        <v>4.5209041808361571E-2</v>
      </c>
      <c r="J5235">
        <f>SMALL(SimData5000!$C$9:$C$5008,227)</f>
        <v>4.2019783122668741E-2</v>
      </c>
      <c r="K5235">
        <f>1/(COUNT(SimData5000!$C$9:$C$5008)-1)+$K$5234</f>
        <v>4.5209041808361571E-2</v>
      </c>
    </row>
    <row r="5236" spans="8:11">
      <c r="H5236">
        <f>SMALL(SimData5000!$B$9:$B$5008,228)</f>
        <v>4.5497708586393321E-2</v>
      </c>
      <c r="I5236">
        <f>1/(COUNT(SimData5000!$B$9:$B$5008)-1)+$I$5235</f>
        <v>4.5409081816363168E-2</v>
      </c>
      <c r="J5236">
        <f>SMALL(SimData5000!$C$9:$C$5008,228)</f>
        <v>4.2092809429959743E-2</v>
      </c>
      <c r="K5236">
        <f>1/(COUNT(SimData5000!$C$9:$C$5008)-1)+$K$5235</f>
        <v>4.5409081816363168E-2</v>
      </c>
    </row>
    <row r="5237" spans="8:11">
      <c r="H5237">
        <f>SMALL(SimData5000!$B$9:$B$5008,229)</f>
        <v>4.5753324589634624E-2</v>
      </c>
      <c r="I5237">
        <f>1/(COUNT(SimData5000!$B$9:$B$5008)-1)+$I$5236</f>
        <v>4.5609121824364766E-2</v>
      </c>
      <c r="J5237">
        <f>SMALL(SimData5000!$C$9:$C$5008,229)</f>
        <v>4.2132648277402041E-2</v>
      </c>
      <c r="K5237">
        <f>1/(COUNT(SimData5000!$C$9:$C$5008)-1)+$K$5236</f>
        <v>4.5609121824364766E-2</v>
      </c>
    </row>
    <row r="5238" spans="8:11">
      <c r="H5238">
        <f>SMALL(SimData5000!$B$9:$B$5008,230)</f>
        <v>4.5875358152174243E-2</v>
      </c>
      <c r="I5238">
        <f>1/(COUNT(SimData5000!$B$9:$B$5008)-1)+$I$5237</f>
        <v>4.5809161832366364E-2</v>
      </c>
      <c r="J5238">
        <f>SMALL(SimData5000!$C$9:$C$5008,230)</f>
        <v>4.244556755929807E-2</v>
      </c>
      <c r="K5238">
        <f>1/(COUNT(SimData5000!$C$9:$C$5008)-1)+$K$5237</f>
        <v>4.5809161832366364E-2</v>
      </c>
    </row>
    <row r="5239" spans="8:11">
      <c r="H5239">
        <f>SMALL(SimData5000!$B$9:$B$5008,231)</f>
        <v>4.6156232290658218E-2</v>
      </c>
      <c r="I5239">
        <f>1/(COUNT(SimData5000!$B$9:$B$5008)-1)+$I$5238</f>
        <v>4.6009201840367962E-2</v>
      </c>
      <c r="J5239">
        <f>SMALL(SimData5000!$C$9:$C$5008,231)</f>
        <v>4.271480472652911E-2</v>
      </c>
      <c r="K5239">
        <f>1/(COUNT(SimData5000!$C$9:$C$5008)-1)+$K$5238</f>
        <v>4.6009201840367962E-2</v>
      </c>
    </row>
    <row r="5240" spans="8:11">
      <c r="H5240">
        <f>SMALL(SimData5000!$B$9:$B$5008,232)</f>
        <v>4.6311452541060616E-2</v>
      </c>
      <c r="I5240">
        <f>1/(COUNT(SimData5000!$B$9:$B$5008)-1)+$I$5239</f>
        <v>4.620924184836956E-2</v>
      </c>
      <c r="J5240">
        <f>SMALL(SimData5000!$C$9:$C$5008,232)</f>
        <v>4.2901205923044472E-2</v>
      </c>
      <c r="K5240">
        <f>1/(COUNT(SimData5000!$C$9:$C$5008)-1)+$K$5239</f>
        <v>4.620924184836956E-2</v>
      </c>
    </row>
    <row r="5241" spans="8:11">
      <c r="H5241">
        <f>SMALL(SimData5000!$B$9:$B$5008,233)</f>
        <v>4.6557371289785342E-2</v>
      </c>
      <c r="I5241">
        <f>1/(COUNT(SimData5000!$B$9:$B$5008)-1)+$I$5240</f>
        <v>4.6409281856371158E-2</v>
      </c>
      <c r="J5241">
        <f>SMALL(SimData5000!$C$9:$C$5008,233)</f>
        <v>4.2975340851626243E-2</v>
      </c>
      <c r="K5241">
        <f>1/(COUNT(SimData5000!$C$9:$C$5008)-1)+$K$5240</f>
        <v>4.6409281856371158E-2</v>
      </c>
    </row>
    <row r="5242" spans="8:11">
      <c r="H5242">
        <f>SMALL(SimData5000!$B$9:$B$5008,234)</f>
        <v>4.6632389696322475E-2</v>
      </c>
      <c r="I5242">
        <f>1/(COUNT(SimData5000!$B$9:$B$5008)-1)+$I$5241</f>
        <v>4.6609321864372756E-2</v>
      </c>
      <c r="J5242">
        <f>SMALL(SimData5000!$C$9:$C$5008,234)</f>
        <v>4.3129704564307758E-2</v>
      </c>
      <c r="K5242">
        <f>1/(COUNT(SimData5000!$C$9:$C$5008)-1)+$K$5241</f>
        <v>4.6609321864372756E-2</v>
      </c>
    </row>
    <row r="5243" spans="8:11">
      <c r="H5243">
        <f>SMALL(SimData5000!$B$9:$B$5008,235)</f>
        <v>4.6930117031682775E-2</v>
      </c>
      <c r="I5243">
        <f>1/(COUNT(SimData5000!$B$9:$B$5008)-1)+$I$5242</f>
        <v>4.6809361872374354E-2</v>
      </c>
      <c r="J5243">
        <f>SMALL(SimData5000!$C$9:$C$5008,235)</f>
        <v>4.3234568486695935E-2</v>
      </c>
      <c r="K5243">
        <f>1/(COUNT(SimData5000!$C$9:$C$5008)-1)+$K$5242</f>
        <v>4.6809361872374354E-2</v>
      </c>
    </row>
    <row r="5244" spans="8:11">
      <c r="H5244">
        <f>SMALL(SimData5000!$B$9:$B$5008,236)</f>
        <v>4.7089199203785792E-2</v>
      </c>
      <c r="I5244">
        <f>1/(COUNT(SimData5000!$B$9:$B$5008)-1)+$I$5243</f>
        <v>4.7009401880375952E-2</v>
      </c>
      <c r="J5244">
        <f>SMALL(SimData5000!$C$9:$C$5008,236)</f>
        <v>4.3237151341600111E-2</v>
      </c>
      <c r="K5244">
        <f>1/(COUNT(SimData5000!$C$9:$C$5008)-1)+$K$5243</f>
        <v>4.7009401880375952E-2</v>
      </c>
    </row>
    <row r="5245" spans="8:11">
      <c r="H5245">
        <f>SMALL(SimData5000!$B$9:$B$5008,237)</f>
        <v>4.7239337173299707E-2</v>
      </c>
      <c r="I5245">
        <f>1/(COUNT(SimData5000!$B$9:$B$5008)-1)+$I$5244</f>
        <v>4.720944188837755E-2</v>
      </c>
      <c r="J5245">
        <f>SMALL(SimData5000!$C$9:$C$5008,237)</f>
        <v>4.3269016763588297E-2</v>
      </c>
      <c r="K5245">
        <f>1/(COUNT(SimData5000!$C$9:$C$5008)-1)+$K$5244</f>
        <v>4.720944188837755E-2</v>
      </c>
    </row>
    <row r="5246" spans="8:11">
      <c r="H5246">
        <f>SMALL(SimData5000!$B$9:$B$5008,238)</f>
        <v>4.7549049224459808E-2</v>
      </c>
      <c r="I5246">
        <f>1/(COUNT(SimData5000!$B$9:$B$5008)-1)+$I$5245</f>
        <v>4.7409481896379148E-2</v>
      </c>
      <c r="J5246">
        <f>SMALL(SimData5000!$C$9:$C$5008,238)</f>
        <v>4.3537187636502495E-2</v>
      </c>
      <c r="K5246">
        <f>1/(COUNT(SimData5000!$C$9:$C$5008)-1)+$K$5245</f>
        <v>4.7409481896379148E-2</v>
      </c>
    </row>
    <row r="5247" spans="8:11">
      <c r="H5247">
        <f>SMALL(SimData5000!$B$9:$B$5008,239)</f>
        <v>4.7735178327871296E-2</v>
      </c>
      <c r="I5247">
        <f>1/(COUNT(SimData5000!$B$9:$B$5008)-1)+$I$5246</f>
        <v>4.7609521904380746E-2</v>
      </c>
      <c r="J5247">
        <f>SMALL(SimData5000!$C$9:$C$5008,239)</f>
        <v>4.3580645819929487E-2</v>
      </c>
      <c r="K5247">
        <f>1/(COUNT(SimData5000!$C$9:$C$5008)-1)+$K$5246</f>
        <v>4.7609521904380746E-2</v>
      </c>
    </row>
    <row r="5248" spans="8:11">
      <c r="H5248">
        <f>SMALL(SimData5000!$B$9:$B$5008,240)</f>
        <v>4.791075487004378E-2</v>
      </c>
      <c r="I5248">
        <f>1/(COUNT(SimData5000!$B$9:$B$5008)-1)+$I$5247</f>
        <v>4.7809561912382344E-2</v>
      </c>
      <c r="J5248">
        <f>SMALL(SimData5000!$C$9:$C$5008,240)</f>
        <v>4.3849793641129509E-2</v>
      </c>
      <c r="K5248">
        <f>1/(COUNT(SimData5000!$C$9:$C$5008)-1)+$K$5247</f>
        <v>4.7809561912382344E-2</v>
      </c>
    </row>
    <row r="5249" spans="8:11">
      <c r="H5249">
        <f>SMALL(SimData5000!$B$9:$B$5008,241)</f>
        <v>4.8052678509161964E-2</v>
      </c>
      <c r="I5249">
        <f>1/(COUNT(SimData5000!$B$9:$B$5008)-1)+$I$5248</f>
        <v>4.8009601920383942E-2</v>
      </c>
      <c r="J5249">
        <f>SMALL(SimData5000!$C$9:$C$5008,241)</f>
        <v>4.4074069257476367E-2</v>
      </c>
      <c r="K5249">
        <f>1/(COUNT(SimData5000!$C$9:$C$5008)-1)+$K$5248</f>
        <v>4.8009601920383942E-2</v>
      </c>
    </row>
    <row r="5250" spans="8:11">
      <c r="H5250">
        <f>SMALL(SimData5000!$B$9:$B$5008,242)</f>
        <v>4.8338560979845596E-2</v>
      </c>
      <c r="I5250">
        <f>1/(COUNT(SimData5000!$B$9:$B$5008)-1)+$I$5249</f>
        <v>4.820964192838554E-2</v>
      </c>
      <c r="J5250">
        <f>SMALL(SimData5000!$C$9:$C$5008,242)</f>
        <v>4.4195592314281384E-2</v>
      </c>
      <c r="K5250">
        <f>1/(COUNT(SimData5000!$C$9:$C$5008)-1)+$K$5249</f>
        <v>4.820964192838554E-2</v>
      </c>
    </row>
    <row r="5251" spans="8:11">
      <c r="H5251">
        <f>SMALL(SimData5000!$B$9:$B$5008,243)</f>
        <v>4.8436550538157243E-2</v>
      </c>
      <c r="I5251">
        <f>1/(COUNT(SimData5000!$B$9:$B$5008)-1)+$I$5250</f>
        <v>4.8409681936387138E-2</v>
      </c>
      <c r="J5251">
        <f>SMALL(SimData5000!$C$9:$C$5008,243)</f>
        <v>4.5037204131403996E-2</v>
      </c>
      <c r="K5251">
        <f>1/(COUNT(SimData5000!$C$9:$C$5008)-1)+$K$5250</f>
        <v>4.8409681936387138E-2</v>
      </c>
    </row>
    <row r="5252" spans="8:11">
      <c r="H5252">
        <f>SMALL(SimData5000!$B$9:$B$5008,244)</f>
        <v>4.8704837839422942E-2</v>
      </c>
      <c r="I5252">
        <f>1/(COUNT(SimData5000!$B$9:$B$5008)-1)+$I$5251</f>
        <v>4.8609721944388735E-2</v>
      </c>
      <c r="J5252">
        <f>SMALL(SimData5000!$C$9:$C$5008,244)</f>
        <v>4.5166341436924995E-2</v>
      </c>
      <c r="K5252">
        <f>1/(COUNT(SimData5000!$C$9:$C$5008)-1)+$K$5251</f>
        <v>4.8609721944388735E-2</v>
      </c>
    </row>
    <row r="5253" spans="8:11">
      <c r="H5253">
        <f>SMALL(SimData5000!$B$9:$B$5008,245)</f>
        <v>4.8912322061907577E-2</v>
      </c>
      <c r="I5253">
        <f>1/(COUNT(SimData5000!$B$9:$B$5008)-1)+$I$5252</f>
        <v>4.8809761952390333E-2</v>
      </c>
      <c r="J5253">
        <f>SMALL(SimData5000!$C$9:$C$5008,245)</f>
        <v>4.516993190645735E-2</v>
      </c>
      <c r="K5253">
        <f>1/(COUNT(SimData5000!$C$9:$C$5008)-1)+$K$5252</f>
        <v>4.8809761952390333E-2</v>
      </c>
    </row>
    <row r="5254" spans="8:11">
      <c r="H5254">
        <f>SMALL(SimData5000!$B$9:$B$5008,246)</f>
        <v>4.9006191735809251E-2</v>
      </c>
      <c r="I5254">
        <f>1/(COUNT(SimData5000!$B$9:$B$5008)-1)+$I$5253</f>
        <v>4.9009801960391931E-2</v>
      </c>
      <c r="J5254">
        <f>SMALL(SimData5000!$C$9:$C$5008,246)</f>
        <v>4.5326036460210162E-2</v>
      </c>
      <c r="K5254">
        <f>1/(COUNT(SimData5000!$C$9:$C$5008)-1)+$K$5253</f>
        <v>4.9009801960391931E-2</v>
      </c>
    </row>
    <row r="5255" spans="8:11">
      <c r="H5255">
        <f>SMALL(SimData5000!$B$9:$B$5008,247)</f>
        <v>4.9311625521516342E-2</v>
      </c>
      <c r="I5255">
        <f>1/(COUNT(SimData5000!$B$9:$B$5008)-1)+$I$5254</f>
        <v>4.9209841968393529E-2</v>
      </c>
      <c r="J5255">
        <f>SMALL(SimData5000!$C$9:$C$5008,247)</f>
        <v>4.5353019200319977E-2</v>
      </c>
      <c r="K5255">
        <f>1/(COUNT(SimData5000!$C$9:$C$5008)-1)+$K$5254</f>
        <v>4.9209841968393529E-2</v>
      </c>
    </row>
    <row r="5256" spans="8:11">
      <c r="H5256">
        <f>SMALL(SimData5000!$B$9:$B$5008,248)</f>
        <v>4.9481261401269877E-2</v>
      </c>
      <c r="I5256">
        <f>1/(COUNT(SimData5000!$B$9:$B$5008)-1)+$I$5255</f>
        <v>4.9409881976395127E-2</v>
      </c>
      <c r="J5256">
        <f>SMALL(SimData5000!$C$9:$C$5008,248)</f>
        <v>4.5416543864121195E-2</v>
      </c>
      <c r="K5256">
        <f>1/(COUNT(SimData5000!$C$9:$C$5008)-1)+$K$5255</f>
        <v>4.9409881976395127E-2</v>
      </c>
    </row>
    <row r="5257" spans="8:11">
      <c r="H5257">
        <f>SMALL(SimData5000!$B$9:$B$5008,249)</f>
        <v>4.9703249899135729E-2</v>
      </c>
      <c r="I5257">
        <f>1/(COUNT(SimData5000!$B$9:$B$5008)-1)+$I$5256</f>
        <v>4.9609921984396725E-2</v>
      </c>
      <c r="J5257">
        <f>SMALL(SimData5000!$C$9:$C$5008,249)</f>
        <v>4.562464148602885E-2</v>
      </c>
      <c r="K5257">
        <f>1/(COUNT(SimData5000!$C$9:$C$5008)-1)+$K$5256</f>
        <v>4.9609921984396725E-2</v>
      </c>
    </row>
    <row r="5258" spans="8:11">
      <c r="H5258">
        <f>SMALL(SimData5000!$B$9:$B$5008,250)</f>
        <v>4.9943689079383319E-2</v>
      </c>
      <c r="I5258">
        <f>1/(COUNT(SimData5000!$B$9:$B$5008)-1)+$I$5257</f>
        <v>4.9809961992398323E-2</v>
      </c>
      <c r="J5258">
        <f>SMALL(SimData5000!$C$9:$C$5008,250)</f>
        <v>4.5726720244601893E-2</v>
      </c>
      <c r="K5258">
        <f>1/(COUNT(SimData5000!$C$9:$C$5008)-1)+$K$5257</f>
        <v>4.9809961992398323E-2</v>
      </c>
    </row>
    <row r="5259" spans="8:11">
      <c r="H5259">
        <f>SMALL(SimData5000!$B$9:$B$5008,251)</f>
        <v>5.0043285148833709E-2</v>
      </c>
      <c r="I5259">
        <f>1/(COUNT(SimData5000!$B$9:$B$5008)-1)+$I$5258</f>
        <v>5.0010002000399921E-2</v>
      </c>
      <c r="J5259">
        <f>SMALL(SimData5000!$C$9:$C$5008,251)</f>
        <v>4.5904351142780797E-2</v>
      </c>
      <c r="K5259">
        <f>1/(COUNT(SimData5000!$C$9:$C$5008)-1)+$K$5258</f>
        <v>5.0010002000399921E-2</v>
      </c>
    </row>
    <row r="5260" spans="8:11">
      <c r="H5260">
        <f>SMALL(SimData5000!$B$9:$B$5008,252)</f>
        <v>5.0283116772045174E-2</v>
      </c>
      <c r="I5260">
        <f>1/(COUNT(SimData5000!$B$9:$B$5008)-1)+$I$5259</f>
        <v>5.0210042008401519E-2</v>
      </c>
      <c r="J5260">
        <f>SMALL(SimData5000!$C$9:$C$5008,252)</f>
        <v>4.5924943608952162E-2</v>
      </c>
      <c r="K5260">
        <f>1/(COUNT(SimData5000!$C$9:$C$5008)-1)+$K$5259</f>
        <v>5.0210042008401519E-2</v>
      </c>
    </row>
    <row r="5261" spans="8:11">
      <c r="H5261">
        <f>SMALL(SimData5000!$B$9:$B$5008,253)</f>
        <v>5.0581397583703835E-2</v>
      </c>
      <c r="I5261">
        <f>1/(COUNT(SimData5000!$B$9:$B$5008)-1)+$I$5260</f>
        <v>5.0410082016403117E-2</v>
      </c>
      <c r="J5261">
        <f>SMALL(SimData5000!$C$9:$C$5008,253)</f>
        <v>4.5966519590365351E-2</v>
      </c>
      <c r="K5261">
        <f>1/(COUNT(SimData5000!$C$9:$C$5008)-1)+$K$5260</f>
        <v>5.0410082016403117E-2</v>
      </c>
    </row>
    <row r="5262" spans="8:11">
      <c r="H5262">
        <f>SMALL(SimData5000!$B$9:$B$5008,254)</f>
        <v>5.0645900565489635E-2</v>
      </c>
      <c r="I5262">
        <f>1/(COUNT(SimData5000!$B$9:$B$5008)-1)+$I$5261</f>
        <v>5.0610122024404715E-2</v>
      </c>
      <c r="J5262">
        <f>SMALL(SimData5000!$C$9:$C$5008,254)</f>
        <v>4.6082309302619251E-2</v>
      </c>
      <c r="K5262">
        <f>1/(COUNT(SimData5000!$C$9:$C$5008)-1)+$K$5261</f>
        <v>5.0610122024404715E-2</v>
      </c>
    </row>
    <row r="5263" spans="8:11">
      <c r="H5263">
        <f>SMALL(SimData5000!$B$9:$B$5008,255)</f>
        <v>5.080969514223041E-2</v>
      </c>
      <c r="I5263">
        <f>1/(COUNT(SimData5000!$B$9:$B$5008)-1)+$I$5262</f>
        <v>5.0810162032406313E-2</v>
      </c>
      <c r="J5263">
        <f>SMALL(SimData5000!$C$9:$C$5008,255)</f>
        <v>4.6488171021337621E-2</v>
      </c>
      <c r="K5263">
        <f>1/(COUNT(SimData5000!$C$9:$C$5008)-1)+$K$5262</f>
        <v>5.0810162032406313E-2</v>
      </c>
    </row>
    <row r="5264" spans="8:11">
      <c r="H5264">
        <f>SMALL(SimData5000!$B$9:$B$5008,256)</f>
        <v>5.1072728119062424E-2</v>
      </c>
      <c r="I5264">
        <f>1/(COUNT(SimData5000!$B$9:$B$5008)-1)+$I$5263</f>
        <v>5.1010202040407911E-2</v>
      </c>
      <c r="J5264">
        <f>SMALL(SimData5000!$C$9:$C$5008,256)</f>
        <v>4.6816042040518369E-2</v>
      </c>
      <c r="K5264">
        <f>1/(COUNT(SimData5000!$C$9:$C$5008)-1)+$K$5263</f>
        <v>5.1010202040407911E-2</v>
      </c>
    </row>
    <row r="5265" spans="8:11">
      <c r="H5265">
        <f>SMALL(SimData5000!$B$9:$B$5008,257)</f>
        <v>5.1397571786399365E-2</v>
      </c>
      <c r="I5265">
        <f>1/(COUNT(SimData5000!$B$9:$B$5008)-1)+$I$5264</f>
        <v>5.1210242048409509E-2</v>
      </c>
      <c r="J5265">
        <f>SMALL(SimData5000!$C$9:$C$5008,257)</f>
        <v>4.7844874398833781E-2</v>
      </c>
      <c r="K5265">
        <f>1/(COUNT(SimData5000!$C$9:$C$5008)-1)+$K$5264</f>
        <v>5.1210242048409509E-2</v>
      </c>
    </row>
    <row r="5266" spans="8:11">
      <c r="H5266">
        <f>SMALL(SimData5000!$B$9:$B$5008,258)</f>
        <v>5.1407480942040562E-2</v>
      </c>
      <c r="I5266">
        <f>1/(COUNT(SimData5000!$B$9:$B$5008)-1)+$I$5265</f>
        <v>5.1410282056411107E-2</v>
      </c>
      <c r="J5266">
        <f>SMALL(SimData5000!$C$9:$C$5008,258)</f>
        <v>4.8051139259769116E-2</v>
      </c>
      <c r="K5266">
        <f>1/(COUNT(SimData5000!$C$9:$C$5008)-1)+$K$5265</f>
        <v>5.1410282056411107E-2</v>
      </c>
    </row>
    <row r="5267" spans="8:11">
      <c r="H5267">
        <f>SMALL(SimData5000!$B$9:$B$5008,259)</f>
        <v>5.1755716071686643E-2</v>
      </c>
      <c r="I5267">
        <f>1/(COUNT(SimData5000!$B$9:$B$5008)-1)+$I$5266</f>
        <v>5.1610322064412704E-2</v>
      </c>
      <c r="J5267">
        <f>SMALL(SimData5000!$C$9:$C$5008,259)</f>
        <v>4.8053507980512222E-2</v>
      </c>
      <c r="K5267">
        <f>1/(COUNT(SimData5000!$C$9:$C$5008)-1)+$K$5266</f>
        <v>5.1610322064412704E-2</v>
      </c>
    </row>
    <row r="5268" spans="8:11">
      <c r="H5268">
        <f>SMALL(SimData5000!$B$9:$B$5008,260)</f>
        <v>5.1933833916190511E-2</v>
      </c>
      <c r="I5268">
        <f>1/(COUNT(SimData5000!$B$9:$B$5008)-1)+$I$5267</f>
        <v>5.1810362072414302E-2</v>
      </c>
      <c r="J5268">
        <f>SMALL(SimData5000!$C$9:$C$5008,260)</f>
        <v>4.8277671986397763E-2</v>
      </c>
      <c r="K5268">
        <f>1/(COUNT(SimData5000!$C$9:$C$5008)-1)+$K$5267</f>
        <v>5.1810362072414302E-2</v>
      </c>
    </row>
    <row r="5269" spans="8:11">
      <c r="H5269">
        <f>SMALL(SimData5000!$B$9:$B$5008,261)</f>
        <v>5.2183974525142458E-2</v>
      </c>
      <c r="I5269">
        <f>1/(COUNT(SimData5000!$B$9:$B$5008)-1)+$I$5268</f>
        <v>5.20104020804159E-2</v>
      </c>
      <c r="J5269">
        <f>SMALL(SimData5000!$C$9:$C$5008,261)</f>
        <v>4.8514960752996217E-2</v>
      </c>
      <c r="K5269">
        <f>1/(COUNT(SimData5000!$C$9:$C$5008)-1)+$K$5268</f>
        <v>5.20104020804159E-2</v>
      </c>
    </row>
    <row r="5270" spans="8:11">
      <c r="H5270">
        <f>SMALL(SimData5000!$B$9:$B$5008,262)</f>
        <v>5.2294998412741121E-2</v>
      </c>
      <c r="I5270">
        <f>1/(COUNT(SimData5000!$B$9:$B$5008)-1)+$I$5269</f>
        <v>5.2210442088417498E-2</v>
      </c>
      <c r="J5270">
        <f>SMALL(SimData5000!$C$9:$C$5008,262)</f>
        <v>4.922930824704963E-2</v>
      </c>
      <c r="K5270">
        <f>1/(COUNT(SimData5000!$C$9:$C$5008)-1)+$K$5269</f>
        <v>5.2210442088417498E-2</v>
      </c>
    </row>
    <row r="5271" spans="8:11">
      <c r="H5271">
        <f>SMALL(SimData5000!$B$9:$B$5008,263)</f>
        <v>5.2409979225790583E-2</v>
      </c>
      <c r="I5271">
        <f>1/(COUNT(SimData5000!$B$9:$B$5008)-1)+$I$5270</f>
        <v>5.2410482096419096E-2</v>
      </c>
      <c r="J5271">
        <f>SMALL(SimData5000!$C$9:$C$5008,263)</f>
        <v>4.9268128830590285E-2</v>
      </c>
      <c r="K5271">
        <f>1/(COUNT(SimData5000!$C$9:$C$5008)-1)+$K$5270</f>
        <v>5.2410482096419096E-2</v>
      </c>
    </row>
    <row r="5272" spans="8:11">
      <c r="H5272">
        <f>SMALL(SimData5000!$B$9:$B$5008,264)</f>
        <v>5.2655407958490642E-2</v>
      </c>
      <c r="I5272">
        <f>1/(COUNT(SimData5000!$B$9:$B$5008)-1)+$I$5271</f>
        <v>5.2610522104420694E-2</v>
      </c>
      <c r="J5272">
        <f>SMALL(SimData5000!$C$9:$C$5008,264)</f>
        <v>4.9731319862075907E-2</v>
      </c>
      <c r="K5272">
        <f>1/(COUNT(SimData5000!$C$9:$C$5008)-1)+$K$5271</f>
        <v>5.2610522104420694E-2</v>
      </c>
    </row>
    <row r="5273" spans="8:11">
      <c r="H5273">
        <f>SMALL(SimData5000!$B$9:$B$5008,265)</f>
        <v>5.2836629886328389E-2</v>
      </c>
      <c r="I5273">
        <f>1/(COUNT(SimData5000!$B$9:$B$5008)-1)+$I$5272</f>
        <v>5.2810562112422292E-2</v>
      </c>
      <c r="J5273">
        <f>SMALL(SimData5000!$C$9:$C$5008,265)</f>
        <v>4.9735800737863656E-2</v>
      </c>
      <c r="K5273">
        <f>1/(COUNT(SimData5000!$C$9:$C$5008)-1)+$K$5272</f>
        <v>5.2810562112422292E-2</v>
      </c>
    </row>
    <row r="5274" spans="8:11">
      <c r="H5274">
        <f>SMALL(SimData5000!$B$9:$B$5008,266)</f>
        <v>5.3198532077669759E-2</v>
      </c>
      <c r="I5274">
        <f>1/(COUNT(SimData5000!$B$9:$B$5008)-1)+$I$5273</f>
        <v>5.301060212042389E-2</v>
      </c>
      <c r="J5274">
        <f>SMALL(SimData5000!$C$9:$C$5008,266)</f>
        <v>4.9837106368613604E-2</v>
      </c>
      <c r="K5274">
        <f>1/(COUNT(SimData5000!$C$9:$C$5008)-1)+$K$5273</f>
        <v>5.301060212042389E-2</v>
      </c>
    </row>
    <row r="5275" spans="8:11">
      <c r="H5275">
        <f>SMALL(SimData5000!$B$9:$B$5008,267)</f>
        <v>5.3383669174272494E-2</v>
      </c>
      <c r="I5275">
        <f>1/(COUNT(SimData5000!$B$9:$B$5008)-1)+$I$5274</f>
        <v>5.3210642128425488E-2</v>
      </c>
      <c r="J5275">
        <f>SMALL(SimData5000!$C$9:$C$5008,267)</f>
        <v>5.0397277857882727E-2</v>
      </c>
      <c r="K5275">
        <f>1/(COUNT(SimData5000!$C$9:$C$5008)-1)+$K$5274</f>
        <v>5.3210642128425488E-2</v>
      </c>
    </row>
    <row r="5276" spans="8:11">
      <c r="H5276">
        <f>SMALL(SimData5000!$B$9:$B$5008,268)</f>
        <v>5.3437653011837428E-2</v>
      </c>
      <c r="I5276">
        <f>1/(COUNT(SimData5000!$B$9:$B$5008)-1)+$I$5275</f>
        <v>5.3410682136427086E-2</v>
      </c>
      <c r="J5276">
        <f>SMALL(SimData5000!$C$9:$C$5008,268)</f>
        <v>5.0404383871864411E-2</v>
      </c>
      <c r="K5276">
        <f>1/(COUNT(SimData5000!$C$9:$C$5008)-1)+$K$5275</f>
        <v>5.3410682136427086E-2</v>
      </c>
    </row>
    <row r="5277" spans="8:11">
      <c r="H5277">
        <f>SMALL(SimData5000!$B$9:$B$5008,269)</f>
        <v>5.3657331269201199E-2</v>
      </c>
      <c r="I5277">
        <f>1/(COUNT(SimData5000!$B$9:$B$5008)-1)+$I$5276</f>
        <v>5.3610722144428684E-2</v>
      </c>
      <c r="J5277">
        <f>SMALL(SimData5000!$C$9:$C$5008,269)</f>
        <v>5.0458537256417912E-2</v>
      </c>
      <c r="K5277">
        <f>1/(COUNT(SimData5000!$C$9:$C$5008)-1)+$K$5276</f>
        <v>5.3610722144428684E-2</v>
      </c>
    </row>
    <row r="5278" spans="8:11">
      <c r="H5278">
        <f>SMALL(SimData5000!$B$9:$B$5008,270)</f>
        <v>5.380128910178348E-2</v>
      </c>
      <c r="I5278">
        <f>1/(COUNT(SimData5000!$B$9:$B$5008)-1)+$I$5277</f>
        <v>5.3810762152430282E-2</v>
      </c>
      <c r="J5278">
        <f>SMALL(SimData5000!$C$9:$C$5008,270)</f>
        <v>5.0646656039134541E-2</v>
      </c>
      <c r="K5278">
        <f>1/(COUNT(SimData5000!$C$9:$C$5008)-1)+$K$5277</f>
        <v>5.3810762152430282E-2</v>
      </c>
    </row>
    <row r="5279" spans="8:11">
      <c r="H5279">
        <f>SMALL(SimData5000!$B$9:$B$5008,271)</f>
        <v>5.4129936044088084E-2</v>
      </c>
      <c r="I5279">
        <f>1/(COUNT(SimData5000!$B$9:$B$5008)-1)+$I$5278</f>
        <v>5.401080216043188E-2</v>
      </c>
      <c r="J5279">
        <f>SMALL(SimData5000!$C$9:$C$5008,271)</f>
        <v>5.0669146397922304E-2</v>
      </c>
      <c r="K5279">
        <f>1/(COUNT(SimData5000!$C$9:$C$5008)-1)+$K$5278</f>
        <v>5.401080216043188E-2</v>
      </c>
    </row>
    <row r="5280" spans="8:11">
      <c r="H5280">
        <f>SMALL(SimData5000!$B$9:$B$5008,272)</f>
        <v>5.43973686617793E-2</v>
      </c>
      <c r="I5280">
        <f>1/(COUNT(SimData5000!$B$9:$B$5008)-1)+$I$5279</f>
        <v>5.4210842168433478E-2</v>
      </c>
      <c r="J5280">
        <f>SMALL(SimData5000!$C$9:$C$5008,272)</f>
        <v>5.0710205647192197E-2</v>
      </c>
      <c r="K5280">
        <f>1/(COUNT(SimData5000!$C$9:$C$5008)-1)+$K$5279</f>
        <v>5.4210842168433478E-2</v>
      </c>
    </row>
    <row r="5281" spans="8:11">
      <c r="H5281">
        <f>SMALL(SimData5000!$B$9:$B$5008,273)</f>
        <v>5.4547393825079178E-2</v>
      </c>
      <c r="I5281">
        <f>1/(COUNT(SimData5000!$B$9:$B$5008)-1)+$I$5280</f>
        <v>5.4410882176435076E-2</v>
      </c>
      <c r="J5281">
        <f>SMALL(SimData5000!$C$9:$C$5008,273)</f>
        <v>5.0884233115539246E-2</v>
      </c>
      <c r="K5281">
        <f>1/(COUNT(SimData5000!$C$9:$C$5008)-1)+$K$5280</f>
        <v>5.4410882176435076E-2</v>
      </c>
    </row>
    <row r="5282" spans="8:11">
      <c r="H5282">
        <f>SMALL(SimData5000!$B$9:$B$5008,274)</f>
        <v>5.4746689770358306E-2</v>
      </c>
      <c r="I5282">
        <f>1/(COUNT(SimData5000!$B$9:$B$5008)-1)+$I$5281</f>
        <v>5.4610922184436674E-2</v>
      </c>
      <c r="J5282">
        <f>SMALL(SimData5000!$C$9:$C$5008,274)</f>
        <v>5.0884609678178094E-2</v>
      </c>
      <c r="K5282">
        <f>1/(COUNT(SimData5000!$C$9:$C$5008)-1)+$K$5281</f>
        <v>5.4610922184436674E-2</v>
      </c>
    </row>
    <row r="5283" spans="8:11">
      <c r="H5283">
        <f>SMALL(SimData5000!$B$9:$B$5008,275)</f>
        <v>5.4854489888682613E-2</v>
      </c>
      <c r="I5283">
        <f>1/(COUNT(SimData5000!$B$9:$B$5008)-1)+$I$5282</f>
        <v>5.4810962192438271E-2</v>
      </c>
      <c r="J5283">
        <f>SMALL(SimData5000!$C$9:$C$5008,275)</f>
        <v>5.1004168002691586E-2</v>
      </c>
      <c r="K5283">
        <f>1/(COUNT(SimData5000!$C$9:$C$5008)-1)+$K$5282</f>
        <v>5.4810962192438271E-2</v>
      </c>
    </row>
    <row r="5284" spans="8:11">
      <c r="H5284">
        <f>SMALL(SimData5000!$B$9:$B$5008,276)</f>
        <v>5.5183736765054926E-2</v>
      </c>
      <c r="I5284">
        <f>1/(COUNT(SimData5000!$B$9:$B$5008)-1)+$I$5283</f>
        <v>5.5011002200439869E-2</v>
      </c>
      <c r="J5284">
        <f>SMALL(SimData5000!$C$9:$C$5008,276)</f>
        <v>5.1149204636232071E-2</v>
      </c>
      <c r="K5284">
        <f>1/(COUNT(SimData5000!$C$9:$C$5008)-1)+$K$5283</f>
        <v>5.5011002200439869E-2</v>
      </c>
    </row>
    <row r="5285" spans="8:11">
      <c r="H5285">
        <f>SMALL(SimData5000!$B$9:$B$5008,277)</f>
        <v>5.5338317087092047E-2</v>
      </c>
      <c r="I5285">
        <f>1/(COUNT(SimData5000!$B$9:$B$5008)-1)+$I$5284</f>
        <v>5.5211042208441467E-2</v>
      </c>
      <c r="J5285">
        <f>SMALL(SimData5000!$C$9:$C$5008,277)</f>
        <v>5.1390701039053965E-2</v>
      </c>
      <c r="K5285">
        <f>1/(COUNT(SimData5000!$C$9:$C$5008)-1)+$K$5284</f>
        <v>5.5211042208441467E-2</v>
      </c>
    </row>
    <row r="5286" spans="8:11">
      <c r="H5286">
        <f>SMALL(SimData5000!$B$9:$B$5008,278)</f>
        <v>5.5574923928029582E-2</v>
      </c>
      <c r="I5286">
        <f>1/(COUNT(SimData5000!$B$9:$B$5008)-1)+$I$5285</f>
        <v>5.5411082216443065E-2</v>
      </c>
      <c r="J5286">
        <f>SMALL(SimData5000!$C$9:$C$5008,278)</f>
        <v>5.1402899502136279E-2</v>
      </c>
      <c r="K5286">
        <f>1/(COUNT(SimData5000!$C$9:$C$5008)-1)+$K$5285</f>
        <v>5.5411082216443065E-2</v>
      </c>
    </row>
    <row r="5287" spans="8:11">
      <c r="H5287">
        <f>SMALL(SimData5000!$B$9:$B$5008,279)</f>
        <v>5.5685410379545157E-2</v>
      </c>
      <c r="I5287">
        <f>1/(COUNT(SimData5000!$B$9:$B$5008)-1)+$I$5286</f>
        <v>5.5611122224444663E-2</v>
      </c>
      <c r="J5287">
        <f>SMALL(SimData5000!$C$9:$C$5008,279)</f>
        <v>5.1521697784664866E-2</v>
      </c>
      <c r="K5287">
        <f>1/(COUNT(SimData5000!$C$9:$C$5008)-1)+$K$5286</f>
        <v>5.5611122224444663E-2</v>
      </c>
    </row>
    <row r="5288" spans="8:11">
      <c r="H5288">
        <f>SMALL(SimData5000!$B$9:$B$5008,280)</f>
        <v>5.5824704270955337E-2</v>
      </c>
      <c r="I5288">
        <f>1/(COUNT(SimData5000!$B$9:$B$5008)-1)+$I$5287</f>
        <v>5.5811162232446261E-2</v>
      </c>
      <c r="J5288">
        <f>SMALL(SimData5000!$C$9:$C$5008,280)</f>
        <v>5.1666788413967879E-2</v>
      </c>
      <c r="K5288">
        <f>1/(COUNT(SimData5000!$C$9:$C$5008)-1)+$K$5287</f>
        <v>5.5811162232446261E-2</v>
      </c>
    </row>
    <row r="5289" spans="8:11">
      <c r="H5289">
        <f>SMALL(SimData5000!$B$9:$B$5008,281)</f>
        <v>5.6063853847809104E-2</v>
      </c>
      <c r="I5289">
        <f>1/(COUNT(SimData5000!$B$9:$B$5008)-1)+$I$5288</f>
        <v>5.6011202240447859E-2</v>
      </c>
      <c r="J5289">
        <f>SMALL(SimData5000!$C$9:$C$5008,281)</f>
        <v>5.1681657810149773E-2</v>
      </c>
      <c r="K5289">
        <f>1/(COUNT(SimData5000!$C$9:$C$5008)-1)+$K$5288</f>
        <v>5.6011202240447859E-2</v>
      </c>
    </row>
    <row r="5290" spans="8:11">
      <c r="H5290">
        <f>SMALL(SimData5000!$B$9:$B$5008,282)</f>
        <v>5.6249369156185856E-2</v>
      </c>
      <c r="I5290">
        <f>1/(COUNT(SimData5000!$B$9:$B$5008)-1)+$I$5289</f>
        <v>5.6211242248449457E-2</v>
      </c>
      <c r="J5290">
        <f>SMALL(SimData5000!$C$9:$C$5008,282)</f>
        <v>5.1710556610487401E-2</v>
      </c>
      <c r="K5290">
        <f>1/(COUNT(SimData5000!$C$9:$C$5008)-1)+$K$5289</f>
        <v>5.6211242248449457E-2</v>
      </c>
    </row>
    <row r="5291" spans="8:11">
      <c r="H5291">
        <f>SMALL(SimData5000!$B$9:$B$5008,283)</f>
        <v>5.6537054345974946E-2</v>
      </c>
      <c r="I5291">
        <f>1/(COUNT(SimData5000!$B$9:$B$5008)-1)+$I$5290</f>
        <v>5.6411282256451055E-2</v>
      </c>
      <c r="J5291">
        <f>SMALL(SimData5000!$C$9:$C$5008,283)</f>
        <v>5.199769710907276E-2</v>
      </c>
      <c r="K5291">
        <f>1/(COUNT(SimData5000!$C$9:$C$5008)-1)+$K$5290</f>
        <v>5.6411282256451055E-2</v>
      </c>
    </row>
    <row r="5292" spans="8:11">
      <c r="H5292">
        <f>SMALL(SimData5000!$B$9:$B$5008,284)</f>
        <v>5.6645049808697091E-2</v>
      </c>
      <c r="I5292">
        <f>1/(COUNT(SimData5000!$B$9:$B$5008)-1)+$I$5291</f>
        <v>5.6611322264452653E-2</v>
      </c>
      <c r="J5292">
        <f>SMALL(SimData5000!$C$9:$C$5008,284)</f>
        <v>5.2197186980265542E-2</v>
      </c>
      <c r="K5292">
        <f>1/(COUNT(SimData5000!$C$9:$C$5008)-1)+$K$5291</f>
        <v>5.6611322264452653E-2</v>
      </c>
    </row>
    <row r="5293" spans="8:11">
      <c r="H5293">
        <f>SMALL(SimData5000!$B$9:$B$5008,285)</f>
        <v>5.6872835815062944E-2</v>
      </c>
      <c r="I5293">
        <f>1/(COUNT(SimData5000!$B$9:$B$5008)-1)+$I$5292</f>
        <v>5.6811362272454251E-2</v>
      </c>
      <c r="J5293">
        <f>SMALL(SimData5000!$C$9:$C$5008,285)</f>
        <v>5.2272394295869162E-2</v>
      </c>
      <c r="K5293">
        <f>1/(COUNT(SimData5000!$C$9:$C$5008)-1)+$K$5292</f>
        <v>5.6811362272454251E-2</v>
      </c>
    </row>
    <row r="5294" spans="8:11">
      <c r="H5294">
        <f>SMALL(SimData5000!$B$9:$B$5008,286)</f>
        <v>5.7113074487706902E-2</v>
      </c>
      <c r="I5294">
        <f>1/(COUNT(SimData5000!$B$9:$B$5008)-1)+$I$5293</f>
        <v>5.7011402280455849E-2</v>
      </c>
      <c r="J5294">
        <f>SMALL(SimData5000!$C$9:$C$5008,286)</f>
        <v>5.2576935398974456E-2</v>
      </c>
      <c r="K5294">
        <f>1/(COUNT(SimData5000!$C$9:$C$5008)-1)+$K$5293</f>
        <v>5.7011402280455849E-2</v>
      </c>
    </row>
    <row r="5295" spans="8:11">
      <c r="H5295">
        <f>SMALL(SimData5000!$B$9:$B$5008,287)</f>
        <v>5.7337546610212314E-2</v>
      </c>
      <c r="I5295">
        <f>1/(COUNT(SimData5000!$B$9:$B$5008)-1)+$I$5294</f>
        <v>5.7211442288457447E-2</v>
      </c>
      <c r="J5295">
        <f>SMALL(SimData5000!$C$9:$C$5008,287)</f>
        <v>5.2583304299332667E-2</v>
      </c>
      <c r="K5295">
        <f>1/(COUNT(SimData5000!$C$9:$C$5008)-1)+$K$5294</f>
        <v>5.7211442288457447E-2</v>
      </c>
    </row>
    <row r="5296" spans="8:11">
      <c r="H5296">
        <f>SMALL(SimData5000!$B$9:$B$5008,288)</f>
        <v>5.754569146413023E-2</v>
      </c>
      <c r="I5296">
        <f>1/(COUNT(SimData5000!$B$9:$B$5008)-1)+$I$5295</f>
        <v>5.7411482296459045E-2</v>
      </c>
      <c r="J5296">
        <f>SMALL(SimData5000!$C$9:$C$5008,288)</f>
        <v>5.2716279190462956E-2</v>
      </c>
      <c r="K5296">
        <f>1/(COUNT(SimData5000!$C$9:$C$5008)-1)+$K$5295</f>
        <v>5.7411482296459045E-2</v>
      </c>
    </row>
    <row r="5297" spans="8:11">
      <c r="H5297">
        <f>SMALL(SimData5000!$B$9:$B$5008,289)</f>
        <v>5.7688279177082767E-2</v>
      </c>
      <c r="I5297">
        <f>1/(COUNT(SimData5000!$B$9:$B$5008)-1)+$I$5296</f>
        <v>5.7611522304460643E-2</v>
      </c>
      <c r="J5297">
        <f>SMALL(SimData5000!$C$9:$C$5008,289)</f>
        <v>5.2854468519399234E-2</v>
      </c>
      <c r="K5297">
        <f>1/(COUNT(SimData5000!$C$9:$C$5008)-1)+$K$5296</f>
        <v>5.7611522304460643E-2</v>
      </c>
    </row>
    <row r="5298" spans="8:11">
      <c r="H5298">
        <f>SMALL(SimData5000!$B$9:$B$5008,290)</f>
        <v>5.7993927098436732E-2</v>
      </c>
      <c r="I5298">
        <f>1/(COUNT(SimData5000!$B$9:$B$5008)-1)+$I$5297</f>
        <v>5.781156231246224E-2</v>
      </c>
      <c r="J5298">
        <f>SMALL(SimData5000!$C$9:$C$5008,290)</f>
        <v>5.3044980592858337E-2</v>
      </c>
      <c r="K5298">
        <f>1/(COUNT(SimData5000!$C$9:$C$5008)-1)+$K$5297</f>
        <v>5.781156231246224E-2</v>
      </c>
    </row>
    <row r="5299" spans="8:11">
      <c r="H5299">
        <f>SMALL(SimData5000!$B$9:$B$5008,291)</f>
        <v>5.8197129977167847E-2</v>
      </c>
      <c r="I5299">
        <f>1/(COUNT(SimData5000!$B$9:$B$5008)-1)+$I$5298</f>
        <v>5.8011602320463838E-2</v>
      </c>
      <c r="J5299">
        <f>SMALL(SimData5000!$C$9:$C$5008,291)</f>
        <v>5.3056179287523264E-2</v>
      </c>
      <c r="K5299">
        <f>1/(COUNT(SimData5000!$C$9:$C$5008)-1)+$K$5298</f>
        <v>5.8011602320463838E-2</v>
      </c>
    </row>
    <row r="5300" spans="8:11">
      <c r="H5300">
        <f>SMALL(SimData5000!$B$9:$B$5008,292)</f>
        <v>5.8286153969095582E-2</v>
      </c>
      <c r="I5300">
        <f>1/(COUNT(SimData5000!$B$9:$B$5008)-1)+$I$5299</f>
        <v>5.8211642328465436E-2</v>
      </c>
      <c r="J5300">
        <f>SMALL(SimData5000!$C$9:$C$5008,292)</f>
        <v>5.3654122914849722E-2</v>
      </c>
      <c r="K5300">
        <f>1/(COUNT(SimData5000!$C$9:$C$5008)-1)+$K$5299</f>
        <v>5.8211642328465436E-2</v>
      </c>
    </row>
    <row r="5301" spans="8:11">
      <c r="H5301">
        <f>SMALL(SimData5000!$B$9:$B$5008,293)</f>
        <v>5.8555141885149091E-2</v>
      </c>
      <c r="I5301">
        <f>1/(COUNT(SimData5000!$B$9:$B$5008)-1)+$I$5300</f>
        <v>5.8411682336467034E-2</v>
      </c>
      <c r="J5301">
        <f>SMALL(SimData5000!$C$9:$C$5008,293)</f>
        <v>5.411567472765455E-2</v>
      </c>
      <c r="K5301">
        <f>1/(COUNT(SimData5000!$C$9:$C$5008)-1)+$K$5300</f>
        <v>5.8411682336467034E-2</v>
      </c>
    </row>
    <row r="5302" spans="8:11">
      <c r="H5302">
        <f>SMALL(SimData5000!$B$9:$B$5008,294)</f>
        <v>5.8626687356463335E-2</v>
      </c>
      <c r="I5302">
        <f>1/(COUNT(SimData5000!$B$9:$B$5008)-1)+$I$5301</f>
        <v>5.8611722344468632E-2</v>
      </c>
      <c r="J5302">
        <f>SMALL(SimData5000!$C$9:$C$5008,294)</f>
        <v>5.4746998079281184E-2</v>
      </c>
      <c r="K5302">
        <f>1/(COUNT(SimData5000!$C$9:$C$5008)-1)+$K$5301</f>
        <v>5.8611722344468632E-2</v>
      </c>
    </row>
    <row r="5303" spans="8:11">
      <c r="H5303">
        <f>SMALL(SimData5000!$B$9:$B$5008,295)</f>
        <v>5.8962000044566115E-2</v>
      </c>
      <c r="I5303">
        <f>1/(COUNT(SimData5000!$B$9:$B$5008)-1)+$I$5302</f>
        <v>5.881176235247023E-2</v>
      </c>
      <c r="J5303">
        <f>SMALL(SimData5000!$C$9:$C$5008,295)</f>
        <v>5.4870545510311786E-2</v>
      </c>
      <c r="K5303">
        <f>1/(COUNT(SimData5000!$C$9:$C$5008)-1)+$K$5302</f>
        <v>5.881176235247023E-2</v>
      </c>
    </row>
    <row r="5304" spans="8:11">
      <c r="H5304">
        <f>SMALL(SimData5000!$B$9:$B$5008,296)</f>
        <v>5.9068556422383657E-2</v>
      </c>
      <c r="I5304">
        <f>1/(COUNT(SimData5000!$B$9:$B$5008)-1)+$I$5303</f>
        <v>5.9011802360471828E-2</v>
      </c>
      <c r="J5304">
        <f>SMALL(SimData5000!$C$9:$C$5008,296)</f>
        <v>5.494189612363698E-2</v>
      </c>
      <c r="K5304">
        <f>1/(COUNT(SimData5000!$C$9:$C$5008)-1)+$K$5303</f>
        <v>5.9011802360471828E-2</v>
      </c>
    </row>
    <row r="5305" spans="8:11">
      <c r="H5305">
        <f>SMALL(SimData5000!$B$9:$B$5008,297)</f>
        <v>5.9371211952709405E-2</v>
      </c>
      <c r="I5305">
        <f>1/(COUNT(SimData5000!$B$9:$B$5008)-1)+$I$5304</f>
        <v>5.9211842368473426E-2</v>
      </c>
      <c r="J5305">
        <f>SMALL(SimData5000!$C$9:$C$5008,297)</f>
        <v>5.5387538244758616E-2</v>
      </c>
      <c r="K5305">
        <f>1/(COUNT(SimData5000!$C$9:$C$5008)-1)+$K$5304</f>
        <v>5.9211842368473426E-2</v>
      </c>
    </row>
    <row r="5306" spans="8:11">
      <c r="H5306">
        <f>SMALL(SimData5000!$B$9:$B$5008,298)</f>
        <v>5.950729739351833E-2</v>
      </c>
      <c r="I5306">
        <f>1/(COUNT(SimData5000!$B$9:$B$5008)-1)+$I$5305</f>
        <v>5.9411882376475024E-2</v>
      </c>
      <c r="J5306">
        <f>SMALL(SimData5000!$C$9:$C$5008,298)</f>
        <v>5.6430992683090153E-2</v>
      </c>
      <c r="K5306">
        <f>1/(COUNT(SimData5000!$C$9:$C$5008)-1)+$K$5305</f>
        <v>5.9411882376475024E-2</v>
      </c>
    </row>
    <row r="5307" spans="8:11">
      <c r="H5307">
        <f>SMALL(SimData5000!$B$9:$B$5008,299)</f>
        <v>5.9778045601299505E-2</v>
      </c>
      <c r="I5307">
        <f>1/(COUNT(SimData5000!$B$9:$B$5008)-1)+$I$5306</f>
        <v>5.9611922384476622E-2</v>
      </c>
      <c r="J5307">
        <f>SMALL(SimData5000!$C$9:$C$5008,299)</f>
        <v>5.6561825441349356E-2</v>
      </c>
      <c r="K5307">
        <f>1/(COUNT(SimData5000!$C$9:$C$5008)-1)+$K$5306</f>
        <v>5.9611922384476622E-2</v>
      </c>
    </row>
    <row r="5308" spans="8:11">
      <c r="H5308">
        <f>SMALL(SimData5000!$B$9:$B$5008,300)</f>
        <v>5.9804099896690832E-2</v>
      </c>
      <c r="I5308">
        <f>1/(COUNT(SimData5000!$B$9:$B$5008)-1)+$I$5307</f>
        <v>5.981196239247822E-2</v>
      </c>
      <c r="J5308">
        <f>SMALL(SimData5000!$C$9:$C$5008,300)</f>
        <v>5.670931150780234E-2</v>
      </c>
      <c r="K5308">
        <f>1/(COUNT(SimData5000!$C$9:$C$5008)-1)+$K$5307</f>
        <v>5.981196239247822E-2</v>
      </c>
    </row>
    <row r="5309" spans="8:11">
      <c r="H5309">
        <f>SMALL(SimData5000!$B$9:$B$5008,301)</f>
        <v>6.0114894931557333E-2</v>
      </c>
      <c r="I5309">
        <f>1/(COUNT(SimData5000!$B$9:$B$5008)-1)+$I$5308</f>
        <v>6.0012002400479818E-2</v>
      </c>
      <c r="J5309">
        <f>SMALL(SimData5000!$C$9:$C$5008,301)</f>
        <v>5.6827453608093492E-2</v>
      </c>
      <c r="K5309">
        <f>1/(COUNT(SimData5000!$C$9:$C$5008)-1)+$K$5308</f>
        <v>6.0012002400479818E-2</v>
      </c>
    </row>
    <row r="5310" spans="8:11">
      <c r="H5310">
        <f>SMALL(SimData5000!$B$9:$B$5008,302)</f>
        <v>6.0207335562074402E-2</v>
      </c>
      <c r="I5310">
        <f>1/(COUNT(SimData5000!$B$9:$B$5008)-1)+$I$5309</f>
        <v>6.0212042408481416E-2</v>
      </c>
      <c r="J5310">
        <f>SMALL(SimData5000!$C$9:$C$5008,302)</f>
        <v>5.6867554379095964E-2</v>
      </c>
      <c r="K5310">
        <f>1/(COUNT(SimData5000!$C$9:$C$5008)-1)+$K$5309</f>
        <v>6.0212042408481416E-2</v>
      </c>
    </row>
    <row r="5311" spans="8:11">
      <c r="H5311">
        <f>SMALL(SimData5000!$B$9:$B$5008,303)</f>
        <v>6.0556758247911173E-2</v>
      </c>
      <c r="I5311">
        <f>1/(COUNT(SimData5000!$B$9:$B$5008)-1)+$I$5310</f>
        <v>6.0412082416483014E-2</v>
      </c>
      <c r="J5311">
        <f>SMALL(SimData5000!$C$9:$C$5008,303)</f>
        <v>5.689473161692149E-2</v>
      </c>
      <c r="K5311">
        <f>1/(COUNT(SimData5000!$C$9:$C$5008)-1)+$K$5310</f>
        <v>6.0412082416483014E-2</v>
      </c>
    </row>
    <row r="5312" spans="8:11">
      <c r="H5312">
        <f>SMALL(SimData5000!$B$9:$B$5008,304)</f>
        <v>6.0707758044010907E-2</v>
      </c>
      <c r="I5312">
        <f>1/(COUNT(SimData5000!$B$9:$B$5008)-1)+$I$5311</f>
        <v>6.0612122424484612E-2</v>
      </c>
      <c r="J5312">
        <f>SMALL(SimData5000!$C$9:$C$5008,304)</f>
        <v>5.6967788886140625E-2</v>
      </c>
      <c r="K5312">
        <f>1/(COUNT(SimData5000!$C$9:$C$5008)-1)+$K$5311</f>
        <v>6.0612122424484612E-2</v>
      </c>
    </row>
    <row r="5313" spans="8:11">
      <c r="H5313">
        <f>SMALL(SimData5000!$B$9:$B$5008,305)</f>
        <v>6.0802097964101028E-2</v>
      </c>
      <c r="I5313">
        <f>1/(COUNT(SimData5000!$B$9:$B$5008)-1)+$I$5312</f>
        <v>6.081216243248621E-2</v>
      </c>
      <c r="J5313">
        <f>SMALL(SimData5000!$C$9:$C$5008,305)</f>
        <v>5.7044724059778673E-2</v>
      </c>
      <c r="K5313">
        <f>1/(COUNT(SimData5000!$C$9:$C$5008)-1)+$K$5312</f>
        <v>6.081216243248621E-2</v>
      </c>
    </row>
    <row r="5314" spans="8:11">
      <c r="H5314">
        <f>SMALL(SimData5000!$B$9:$B$5008,306)</f>
        <v>6.1011817902934695E-2</v>
      </c>
      <c r="I5314">
        <f>1/(COUNT(SimData5000!$B$9:$B$5008)-1)+$I$5313</f>
        <v>6.1012202440487807E-2</v>
      </c>
      <c r="J5314">
        <f>SMALL(SimData5000!$C$9:$C$5008,306)</f>
        <v>5.7085595118252286E-2</v>
      </c>
      <c r="K5314">
        <f>1/(COUNT(SimData5000!$C$9:$C$5008)-1)+$K$5313</f>
        <v>6.1012202440487807E-2</v>
      </c>
    </row>
    <row r="5315" spans="8:11">
      <c r="H5315">
        <f>SMALL(SimData5000!$B$9:$B$5008,307)</f>
        <v>6.1303204892599772E-2</v>
      </c>
      <c r="I5315">
        <f>1/(COUNT(SimData5000!$B$9:$B$5008)-1)+$I$5314</f>
        <v>6.1212242448489405E-2</v>
      </c>
      <c r="J5315">
        <f>SMALL(SimData5000!$C$9:$C$5008,307)</f>
        <v>5.7684426125888422E-2</v>
      </c>
      <c r="K5315">
        <f>1/(COUNT(SimData5000!$C$9:$C$5008)-1)+$K$5314</f>
        <v>6.1212242448489405E-2</v>
      </c>
    </row>
    <row r="5316" spans="8:11">
      <c r="H5316">
        <f>SMALL(SimData5000!$B$9:$B$5008,308)</f>
        <v>6.142323900736478E-2</v>
      </c>
      <c r="I5316">
        <f>1/(COUNT(SimData5000!$B$9:$B$5008)-1)+$I$5315</f>
        <v>6.1412282456491003E-2</v>
      </c>
      <c r="J5316">
        <f>SMALL(SimData5000!$C$9:$C$5008,308)</f>
        <v>5.7714425900485367E-2</v>
      </c>
      <c r="K5316">
        <f>1/(COUNT(SimData5000!$C$9:$C$5008)-1)+$K$5315</f>
        <v>6.1412282456491003E-2</v>
      </c>
    </row>
    <row r="5317" spans="8:11">
      <c r="H5317">
        <f>SMALL(SimData5000!$B$9:$B$5008,309)</f>
        <v>6.1629826016311957E-2</v>
      </c>
      <c r="I5317">
        <f>1/(COUNT(SimData5000!$B$9:$B$5008)-1)+$I$5316</f>
        <v>6.1612322464492601E-2</v>
      </c>
      <c r="J5317">
        <f>SMALL(SimData5000!$C$9:$C$5008,309)</f>
        <v>5.7785322033851116E-2</v>
      </c>
      <c r="K5317">
        <f>1/(COUNT(SimData5000!$C$9:$C$5008)-1)+$K$5316</f>
        <v>6.1612322464492601E-2</v>
      </c>
    </row>
    <row r="5318" spans="8:11">
      <c r="H5318">
        <f>SMALL(SimData5000!$B$9:$B$5008,310)</f>
        <v>6.1864796244368143E-2</v>
      </c>
      <c r="I5318">
        <f>1/(COUNT(SimData5000!$B$9:$B$5008)-1)+$I$5317</f>
        <v>6.1812362472494199E-2</v>
      </c>
      <c r="J5318">
        <f>SMALL(SimData5000!$C$9:$C$5008,310)</f>
        <v>5.7848285722684523E-2</v>
      </c>
      <c r="K5318">
        <f>1/(COUNT(SimData5000!$C$9:$C$5008)-1)+$K$5317</f>
        <v>6.1812362472494199E-2</v>
      </c>
    </row>
    <row r="5319" spans="8:11">
      <c r="H5319">
        <f>SMALL(SimData5000!$B$9:$B$5008,311)</f>
        <v>6.2120352246081541E-2</v>
      </c>
      <c r="I5319">
        <f>1/(COUNT(SimData5000!$B$9:$B$5008)-1)+$I$5318</f>
        <v>6.2012402480495797E-2</v>
      </c>
      <c r="J5319">
        <f>SMALL(SimData5000!$C$9:$C$5008,311)</f>
        <v>5.8125961162659223E-2</v>
      </c>
      <c r="K5319">
        <f>1/(COUNT(SimData5000!$C$9:$C$5008)-1)+$K$5318</f>
        <v>6.2012402480495797E-2</v>
      </c>
    </row>
    <row r="5320" spans="8:11">
      <c r="H5320">
        <f>SMALL(SimData5000!$B$9:$B$5008,312)</f>
        <v>6.229100005274895E-2</v>
      </c>
      <c r="I5320">
        <f>1/(COUNT(SimData5000!$B$9:$B$5008)-1)+$I$5319</f>
        <v>6.2212442488497395E-2</v>
      </c>
      <c r="J5320">
        <f>SMALL(SimData5000!$C$9:$C$5008,312)</f>
        <v>5.8487079763835936E-2</v>
      </c>
      <c r="K5320">
        <f>1/(COUNT(SimData5000!$C$9:$C$5008)-1)+$K$5319</f>
        <v>6.2212442488497395E-2</v>
      </c>
    </row>
    <row r="5321" spans="8:11">
      <c r="H5321">
        <f>SMALL(SimData5000!$B$9:$B$5008,313)</f>
        <v>6.2401204592362328E-2</v>
      </c>
      <c r="I5321">
        <f>1/(COUNT(SimData5000!$B$9:$B$5008)-1)+$I$5320</f>
        <v>6.2412482496498993E-2</v>
      </c>
      <c r="J5321">
        <f>SMALL(SimData5000!$C$9:$C$5008,313)</f>
        <v>5.9485772116204316E-2</v>
      </c>
      <c r="K5321">
        <f>1/(COUNT(SimData5000!$C$9:$C$5008)-1)+$K$5320</f>
        <v>6.2412482496498993E-2</v>
      </c>
    </row>
    <row r="5322" spans="8:11">
      <c r="H5322">
        <f>SMALL(SimData5000!$B$9:$B$5008,314)</f>
        <v>6.2618979600914518E-2</v>
      </c>
      <c r="I5322">
        <f>1/(COUNT(SimData5000!$B$9:$B$5008)-1)+$I$5321</f>
        <v>6.2612522504500598E-2</v>
      </c>
      <c r="J5322">
        <f>SMALL(SimData5000!$C$9:$C$5008,314)</f>
        <v>5.9600607465654321E-2</v>
      </c>
      <c r="K5322">
        <f>1/(COUNT(SimData5000!$C$9:$C$5008)-1)+$K$5321</f>
        <v>6.2612522504500598E-2</v>
      </c>
    </row>
    <row r="5323" spans="8:11">
      <c r="H5323">
        <f>SMALL(SimData5000!$B$9:$B$5008,315)</f>
        <v>6.2802907462884416E-2</v>
      </c>
      <c r="I5323">
        <f>1/(COUNT(SimData5000!$B$9:$B$5008)-1)+$I$5322</f>
        <v>6.2812562512502196E-2</v>
      </c>
      <c r="J5323">
        <f>SMALL(SimData5000!$C$9:$C$5008,315)</f>
        <v>5.9654196544215665E-2</v>
      </c>
      <c r="K5323">
        <f>1/(COUNT(SimData5000!$C$9:$C$5008)-1)+$K$5322</f>
        <v>6.2812562512502196E-2</v>
      </c>
    </row>
    <row r="5324" spans="8:11">
      <c r="H5324">
        <f>SMALL(SimData5000!$B$9:$B$5008,316)</f>
        <v>6.319961317060506E-2</v>
      </c>
      <c r="I5324">
        <f>1/(COUNT(SimData5000!$B$9:$B$5008)-1)+$I$5323</f>
        <v>6.3012602520503794E-2</v>
      </c>
      <c r="J5324">
        <f>SMALL(SimData5000!$C$9:$C$5008,316)</f>
        <v>6.0087867575930431E-2</v>
      </c>
      <c r="K5324">
        <f>1/(COUNT(SimData5000!$C$9:$C$5008)-1)+$K$5323</f>
        <v>6.3012602520503794E-2</v>
      </c>
    </row>
    <row r="5325" spans="8:11">
      <c r="H5325">
        <f>SMALL(SimData5000!$B$9:$B$5008,317)</f>
        <v>6.3347707902255398E-2</v>
      </c>
      <c r="I5325">
        <f>1/(COUNT(SimData5000!$B$9:$B$5008)-1)+$I$5324</f>
        <v>6.3212642528505392E-2</v>
      </c>
      <c r="J5325">
        <f>SMALL(SimData5000!$C$9:$C$5008,317)</f>
        <v>6.0723982592207904E-2</v>
      </c>
      <c r="K5325">
        <f>1/(COUNT(SimData5000!$C$9:$C$5008)-1)+$K$5324</f>
        <v>6.3212642528505392E-2</v>
      </c>
    </row>
    <row r="5326" spans="8:11">
      <c r="H5326">
        <f>SMALL(SimData5000!$B$9:$B$5008,318)</f>
        <v>6.3520977055495836E-2</v>
      </c>
      <c r="I5326">
        <f>1/(COUNT(SimData5000!$B$9:$B$5008)-1)+$I$5325</f>
        <v>6.341268253650699E-2</v>
      </c>
      <c r="J5326">
        <f>SMALL(SimData5000!$C$9:$C$5008,318)</f>
        <v>6.0987992791524448E-2</v>
      </c>
      <c r="K5326">
        <f>1/(COUNT(SimData5000!$C$9:$C$5008)-1)+$K$5325</f>
        <v>6.341268253650699E-2</v>
      </c>
    </row>
    <row r="5327" spans="8:11">
      <c r="H5327">
        <f>SMALL(SimData5000!$B$9:$B$5008,319)</f>
        <v>6.3669383399437507E-2</v>
      </c>
      <c r="I5327">
        <f>1/(COUNT(SimData5000!$B$9:$B$5008)-1)+$I$5326</f>
        <v>6.3612722544508588E-2</v>
      </c>
      <c r="J5327">
        <f>SMALL(SimData5000!$C$9:$C$5008,319)</f>
        <v>6.1070821703651745E-2</v>
      </c>
      <c r="K5327">
        <f>1/(COUNT(SimData5000!$C$9:$C$5008)-1)+$K$5326</f>
        <v>6.3612722544508588E-2</v>
      </c>
    </row>
    <row r="5328" spans="8:11">
      <c r="H5328">
        <f>SMALL(SimData5000!$B$9:$B$5008,320)</f>
        <v>6.3969001327308123E-2</v>
      </c>
      <c r="I5328">
        <f>1/(COUNT(SimData5000!$B$9:$B$5008)-1)+$I$5327</f>
        <v>6.3812762552510185E-2</v>
      </c>
      <c r="J5328">
        <f>SMALL(SimData5000!$C$9:$C$5008,320)</f>
        <v>6.1140503436035942E-2</v>
      </c>
      <c r="K5328">
        <f>1/(COUNT(SimData5000!$C$9:$C$5008)-1)+$K$5327</f>
        <v>6.3812762552510185E-2</v>
      </c>
    </row>
    <row r="5329" spans="8:11">
      <c r="H5329">
        <f>SMALL(SimData5000!$B$9:$B$5008,321)</f>
        <v>6.4082027018834378E-2</v>
      </c>
      <c r="I5329">
        <f>1/(COUNT(SimData5000!$B$9:$B$5008)-1)+$I$5328</f>
        <v>6.4012802560511783E-2</v>
      </c>
      <c r="J5329">
        <f>SMALL(SimData5000!$C$9:$C$5008,321)</f>
        <v>6.1342632927335217E-2</v>
      </c>
      <c r="K5329">
        <f>1/(COUNT(SimData5000!$C$9:$C$5008)-1)+$K$5328</f>
        <v>6.4012802560511783E-2</v>
      </c>
    </row>
    <row r="5330" spans="8:11">
      <c r="H5330">
        <f>SMALL(SimData5000!$B$9:$B$5008,322)</f>
        <v>6.4392904408646964E-2</v>
      </c>
      <c r="I5330">
        <f>1/(COUNT(SimData5000!$B$9:$B$5008)-1)+$I$5329</f>
        <v>6.4212842568513381E-2</v>
      </c>
      <c r="J5330">
        <f>SMALL(SimData5000!$C$9:$C$5008,322)</f>
        <v>6.1749624008371029E-2</v>
      </c>
      <c r="K5330">
        <f>1/(COUNT(SimData5000!$C$9:$C$5008)-1)+$K$5329</f>
        <v>6.4212842568513381E-2</v>
      </c>
    </row>
    <row r="5331" spans="8:11">
      <c r="H5331">
        <f>SMALL(SimData5000!$B$9:$B$5008,323)</f>
        <v>6.4451013778068833E-2</v>
      </c>
      <c r="I5331">
        <f>1/(COUNT(SimData5000!$B$9:$B$5008)-1)+$I$5330</f>
        <v>6.4412882576514979E-2</v>
      </c>
      <c r="J5331">
        <f>SMALL(SimData5000!$C$9:$C$5008,323)</f>
        <v>6.1969017514456937E-2</v>
      </c>
      <c r="K5331">
        <f>1/(COUNT(SimData5000!$C$9:$C$5008)-1)+$K$5330</f>
        <v>6.4412882576514979E-2</v>
      </c>
    </row>
    <row r="5332" spans="8:11">
      <c r="H5332">
        <f>SMALL(SimData5000!$B$9:$B$5008,324)</f>
        <v>6.476921457591682E-2</v>
      </c>
      <c r="I5332">
        <f>1/(COUNT(SimData5000!$B$9:$B$5008)-1)+$I$5331</f>
        <v>6.4612922584516577E-2</v>
      </c>
      <c r="J5332">
        <f>SMALL(SimData5000!$C$9:$C$5008,324)</f>
        <v>6.2080679856080678E-2</v>
      </c>
      <c r="K5332">
        <f>1/(COUNT(SimData5000!$C$9:$C$5008)-1)+$K$5331</f>
        <v>6.4612922584516577E-2</v>
      </c>
    </row>
    <row r="5333" spans="8:11">
      <c r="H5333">
        <f>SMALL(SimData5000!$B$9:$B$5008,325)</f>
        <v>6.4906171709323807E-2</v>
      </c>
      <c r="I5333">
        <f>1/(COUNT(SimData5000!$B$9:$B$5008)-1)+$I$5332</f>
        <v>6.4812962592518175E-2</v>
      </c>
      <c r="J5333">
        <f>SMALL(SimData5000!$C$9:$C$5008,325)</f>
        <v>6.2289356334986223E-2</v>
      </c>
      <c r="K5333">
        <f>1/(COUNT(SimData5000!$C$9:$C$5008)-1)+$K$5332</f>
        <v>6.4812962592518175E-2</v>
      </c>
    </row>
    <row r="5334" spans="8:11">
      <c r="H5334">
        <f>SMALL(SimData5000!$B$9:$B$5008,326)</f>
        <v>6.5059223089660334E-2</v>
      </c>
      <c r="I5334">
        <f>1/(COUNT(SimData5000!$B$9:$B$5008)-1)+$I$5333</f>
        <v>6.5013002600519773E-2</v>
      </c>
      <c r="J5334">
        <f>SMALL(SimData5000!$C$9:$C$5008,326)</f>
        <v>6.2607267408566258E-2</v>
      </c>
      <c r="K5334">
        <f>1/(COUNT(SimData5000!$C$9:$C$5008)-1)+$K$5333</f>
        <v>6.5013002600519773E-2</v>
      </c>
    </row>
    <row r="5335" spans="8:11">
      <c r="H5335">
        <f>SMALL(SimData5000!$B$9:$B$5008,327)</f>
        <v>6.532449733217352E-2</v>
      </c>
      <c r="I5335">
        <f>1/(COUNT(SimData5000!$B$9:$B$5008)-1)+$I$5334</f>
        <v>6.5213042608521371E-2</v>
      </c>
      <c r="J5335">
        <f>SMALL(SimData5000!$C$9:$C$5008,327)</f>
        <v>6.2836185640662734E-2</v>
      </c>
      <c r="K5335">
        <f>1/(COUNT(SimData5000!$C$9:$C$5008)-1)+$K$5334</f>
        <v>6.5213042608521371E-2</v>
      </c>
    </row>
    <row r="5336" spans="8:11">
      <c r="H5336">
        <f>SMALL(SimData5000!$B$9:$B$5008,328)</f>
        <v>6.5429428125924768E-2</v>
      </c>
      <c r="I5336">
        <f>1/(COUNT(SimData5000!$B$9:$B$5008)-1)+$I$5335</f>
        <v>6.5413082616522969E-2</v>
      </c>
      <c r="J5336">
        <f>SMALL(SimData5000!$C$9:$C$5008,328)</f>
        <v>6.3291824280895526E-2</v>
      </c>
      <c r="K5336">
        <f>1/(COUNT(SimData5000!$C$9:$C$5008)-1)+$K$5335</f>
        <v>6.5413082616522969E-2</v>
      </c>
    </row>
    <row r="5337" spans="8:11">
      <c r="H5337">
        <f>SMALL(SimData5000!$B$9:$B$5008,329)</f>
        <v>6.5761398488832959E-2</v>
      </c>
      <c r="I5337">
        <f>1/(COUNT(SimData5000!$B$9:$B$5008)-1)+$I$5336</f>
        <v>6.5613122624524567E-2</v>
      </c>
      <c r="J5337">
        <f>SMALL(SimData5000!$C$9:$C$5008,329)</f>
        <v>6.3500746716272261E-2</v>
      </c>
      <c r="K5337">
        <f>1/(COUNT(SimData5000!$C$9:$C$5008)-1)+$K$5336</f>
        <v>6.5613122624524567E-2</v>
      </c>
    </row>
    <row r="5338" spans="8:11">
      <c r="H5338">
        <f>SMALL(SimData5000!$B$9:$B$5008,330)</f>
        <v>6.5858695451183877E-2</v>
      </c>
      <c r="I5338">
        <f>1/(COUNT(SimData5000!$B$9:$B$5008)-1)+$I$5337</f>
        <v>6.5813162632526165E-2</v>
      </c>
      <c r="J5338">
        <f>SMALL(SimData5000!$C$9:$C$5008,330)</f>
        <v>6.3603061852518294E-2</v>
      </c>
      <c r="K5338">
        <f>1/(COUNT(SimData5000!$C$9:$C$5008)-1)+$K$5337</f>
        <v>6.5813162632526165E-2</v>
      </c>
    </row>
    <row r="5339" spans="8:11">
      <c r="H5339">
        <f>SMALL(SimData5000!$B$9:$B$5008,331)</f>
        <v>6.6008087105818111E-2</v>
      </c>
      <c r="I5339">
        <f>1/(COUNT(SimData5000!$B$9:$B$5008)-1)+$I$5338</f>
        <v>6.6013202640527763E-2</v>
      </c>
      <c r="J5339">
        <f>SMALL(SimData5000!$C$9:$C$5008,331)</f>
        <v>6.3728644456205075E-2</v>
      </c>
      <c r="K5339">
        <f>1/(COUNT(SimData5000!$C$9:$C$5008)-1)+$K$5338</f>
        <v>6.6013202640527763E-2</v>
      </c>
    </row>
    <row r="5340" spans="8:11">
      <c r="H5340">
        <f>SMALL(SimData5000!$B$9:$B$5008,332)</f>
        <v>6.6376239830901893E-2</v>
      </c>
      <c r="I5340">
        <f>1/(COUNT(SimData5000!$B$9:$B$5008)-1)+$I$5339</f>
        <v>6.6213242648529361E-2</v>
      </c>
      <c r="J5340">
        <f>SMALL(SimData5000!$C$9:$C$5008,332)</f>
        <v>6.396808157205669E-2</v>
      </c>
      <c r="K5340">
        <f>1/(COUNT(SimData5000!$C$9:$C$5008)-1)+$K$5339</f>
        <v>6.6213242648529361E-2</v>
      </c>
    </row>
    <row r="5341" spans="8:11">
      <c r="H5341">
        <f>SMALL(SimData5000!$B$9:$B$5008,333)</f>
        <v>6.6447331556083469E-2</v>
      </c>
      <c r="I5341">
        <f>1/(COUNT(SimData5000!$B$9:$B$5008)-1)+$I$5340</f>
        <v>6.6413282656530959E-2</v>
      </c>
      <c r="J5341">
        <f>SMALL(SimData5000!$C$9:$C$5008,333)</f>
        <v>6.3987150898356049E-2</v>
      </c>
      <c r="K5341">
        <f>1/(COUNT(SimData5000!$C$9:$C$5008)-1)+$K$5340</f>
        <v>6.6413282656530959E-2</v>
      </c>
    </row>
    <row r="5342" spans="8:11">
      <c r="H5342">
        <f>SMALL(SimData5000!$B$9:$B$5008,334)</f>
        <v>6.670956614797692E-2</v>
      </c>
      <c r="I5342">
        <f>1/(COUNT(SimData5000!$B$9:$B$5008)-1)+$I$5341</f>
        <v>6.6613322664532557E-2</v>
      </c>
      <c r="J5342">
        <f>SMALL(SimData5000!$C$9:$C$5008,334)</f>
        <v>6.4160283236560645E-2</v>
      </c>
      <c r="K5342">
        <f>1/(COUNT(SimData5000!$C$9:$C$5008)-1)+$K$5341</f>
        <v>6.6613322664532557E-2</v>
      </c>
    </row>
    <row r="5343" spans="8:11">
      <c r="H5343">
        <f>SMALL(SimData5000!$B$9:$B$5008,335)</f>
        <v>6.6850083499040938E-2</v>
      </c>
      <c r="I5343">
        <f>1/(COUNT(SimData5000!$B$9:$B$5008)-1)+$I$5342</f>
        <v>6.6813362672534155E-2</v>
      </c>
      <c r="J5343">
        <f>SMALL(SimData5000!$C$9:$C$5008,335)</f>
        <v>6.4422553131407767E-2</v>
      </c>
      <c r="K5343">
        <f>1/(COUNT(SimData5000!$C$9:$C$5008)-1)+$K$5342</f>
        <v>6.6813362672534155E-2</v>
      </c>
    </row>
    <row r="5344" spans="8:11">
      <c r="H5344">
        <f>SMALL(SimData5000!$B$9:$B$5008,336)</f>
        <v>6.7118787003475899E-2</v>
      </c>
      <c r="I5344">
        <f>1/(COUNT(SimData5000!$B$9:$B$5008)-1)+$I$5343</f>
        <v>6.7013402680535752E-2</v>
      </c>
      <c r="J5344">
        <f>SMALL(SimData5000!$C$9:$C$5008,336)</f>
        <v>6.4937694040054339E-2</v>
      </c>
      <c r="K5344">
        <f>1/(COUNT(SimData5000!$C$9:$C$5008)-1)+$K$5343</f>
        <v>6.7013402680535752E-2</v>
      </c>
    </row>
    <row r="5345" spans="8:11">
      <c r="H5345">
        <f>SMALL(SimData5000!$B$9:$B$5008,337)</f>
        <v>6.7312619871812085E-2</v>
      </c>
      <c r="I5345">
        <f>1/(COUNT(SimData5000!$B$9:$B$5008)-1)+$I$5344</f>
        <v>6.721344268853735E-2</v>
      </c>
      <c r="J5345">
        <f>SMALL(SimData5000!$C$9:$C$5008,337)</f>
        <v>6.5023653860407649E-2</v>
      </c>
      <c r="K5345">
        <f>1/(COUNT(SimData5000!$C$9:$C$5008)-1)+$K$5344</f>
        <v>6.721344268853735E-2</v>
      </c>
    </row>
    <row r="5346" spans="8:11">
      <c r="H5346">
        <f>SMALL(SimData5000!$B$9:$B$5008,338)</f>
        <v>6.7577747261938118E-2</v>
      </c>
      <c r="I5346">
        <f>1/(COUNT(SimData5000!$B$9:$B$5008)-1)+$I$5345</f>
        <v>6.7413482696538948E-2</v>
      </c>
      <c r="J5346">
        <f>SMALL(SimData5000!$C$9:$C$5008,338)</f>
        <v>6.5149689282407053E-2</v>
      </c>
      <c r="K5346">
        <f>1/(COUNT(SimData5000!$C$9:$C$5008)-1)+$K$5345</f>
        <v>6.7413482696538948E-2</v>
      </c>
    </row>
    <row r="5347" spans="8:11">
      <c r="H5347">
        <f>SMALL(SimData5000!$B$9:$B$5008,339)</f>
        <v>6.772262893564128E-2</v>
      </c>
      <c r="I5347">
        <f>1/(COUNT(SimData5000!$B$9:$B$5008)-1)+$I$5346</f>
        <v>6.7613522704540546E-2</v>
      </c>
      <c r="J5347">
        <f>SMALL(SimData5000!$C$9:$C$5008,339)</f>
        <v>6.5155273830896476E-2</v>
      </c>
      <c r="K5347">
        <f>1/(COUNT(SimData5000!$C$9:$C$5008)-1)+$K$5346</f>
        <v>6.7613522704540546E-2</v>
      </c>
    </row>
    <row r="5348" spans="8:11">
      <c r="H5348">
        <f>SMALL(SimData5000!$B$9:$B$5008,340)</f>
        <v>6.790762958738665E-2</v>
      </c>
      <c r="I5348">
        <f>1/(COUNT(SimData5000!$B$9:$B$5008)-1)+$I$5347</f>
        <v>6.7813562712542144E-2</v>
      </c>
      <c r="J5348">
        <f>SMALL(SimData5000!$C$9:$C$5008,340)</f>
        <v>6.5195645731364493E-2</v>
      </c>
      <c r="K5348">
        <f>1/(COUNT(SimData5000!$C$9:$C$5008)-1)+$K$5347</f>
        <v>6.7813562712542144E-2</v>
      </c>
    </row>
    <row r="5349" spans="8:11">
      <c r="H5349">
        <f>SMALL(SimData5000!$B$9:$B$5008,341)</f>
        <v>6.8199943368835364E-2</v>
      </c>
      <c r="I5349">
        <f>1/(COUNT(SimData5000!$B$9:$B$5008)-1)+$I$5348</f>
        <v>6.8013602720543742E-2</v>
      </c>
      <c r="J5349">
        <f>SMALL(SimData5000!$C$9:$C$5008,341)</f>
        <v>6.5318597288751334E-2</v>
      </c>
      <c r="K5349">
        <f>1/(COUNT(SimData5000!$C$9:$C$5008)-1)+$K$5348</f>
        <v>6.8013602720543742E-2</v>
      </c>
    </row>
    <row r="5350" spans="8:11">
      <c r="H5350">
        <f>SMALL(SimData5000!$B$9:$B$5008,342)</f>
        <v>6.8344398623086597E-2</v>
      </c>
      <c r="I5350">
        <f>1/(COUNT(SimData5000!$B$9:$B$5008)-1)+$I$5349</f>
        <v>6.821364272854534E-2</v>
      </c>
      <c r="J5350">
        <f>SMALL(SimData5000!$C$9:$C$5008,342)</f>
        <v>6.5451630292955087E-2</v>
      </c>
      <c r="K5350">
        <f>1/(COUNT(SimData5000!$C$9:$C$5008)-1)+$K$5349</f>
        <v>6.821364272854534E-2</v>
      </c>
    </row>
    <row r="5351" spans="8:11">
      <c r="H5351">
        <f>SMALL(SimData5000!$B$9:$B$5008,343)</f>
        <v>6.843895494501083E-2</v>
      </c>
      <c r="I5351">
        <f>1/(COUNT(SimData5000!$B$9:$B$5008)-1)+$I$5350</f>
        <v>6.8413682736546938E-2</v>
      </c>
      <c r="J5351">
        <f>SMALL(SimData5000!$C$9:$C$5008,343)</f>
        <v>6.5464314699056558E-2</v>
      </c>
      <c r="K5351">
        <f>1/(COUNT(SimData5000!$C$9:$C$5008)-1)+$K$5350</f>
        <v>6.8413682736546938E-2</v>
      </c>
    </row>
    <row r="5352" spans="8:11">
      <c r="H5352">
        <f>SMALL(SimData5000!$B$9:$B$5008,344)</f>
        <v>6.8755154712254921E-2</v>
      </c>
      <c r="I5352">
        <f>1/(COUNT(SimData5000!$B$9:$B$5008)-1)+$I$5351</f>
        <v>6.8613722744548536E-2</v>
      </c>
      <c r="J5352">
        <f>SMALL(SimData5000!$C$9:$C$5008,344)</f>
        <v>6.5478901533424505E-2</v>
      </c>
      <c r="K5352">
        <f>1/(COUNT(SimData5000!$C$9:$C$5008)-1)+$K$5351</f>
        <v>6.8613722744548536E-2</v>
      </c>
    </row>
    <row r="5353" spans="8:11">
      <c r="H5353">
        <f>SMALL(SimData5000!$B$9:$B$5008,345)</f>
        <v>6.8948596533375928E-2</v>
      </c>
      <c r="I5353">
        <f>1/(COUNT(SimData5000!$B$9:$B$5008)-1)+$I$5352</f>
        <v>6.8813762752550134E-2</v>
      </c>
      <c r="J5353">
        <f>SMALL(SimData5000!$C$9:$C$5008,345)</f>
        <v>6.5761918674979825E-2</v>
      </c>
      <c r="K5353">
        <f>1/(COUNT(SimData5000!$C$9:$C$5008)-1)+$K$5352</f>
        <v>6.8813762752550134E-2</v>
      </c>
    </row>
    <row r="5354" spans="8:11">
      <c r="H5354">
        <f>SMALL(SimData5000!$B$9:$B$5008,346)</f>
        <v>6.9104862282403021E-2</v>
      </c>
      <c r="I5354">
        <f>1/(COUNT(SimData5000!$B$9:$B$5008)-1)+$I$5353</f>
        <v>6.9013802760551732E-2</v>
      </c>
      <c r="J5354">
        <f>SMALL(SimData5000!$C$9:$C$5008,346)</f>
        <v>6.6077661246708885E-2</v>
      </c>
      <c r="K5354">
        <f>1/(COUNT(SimData5000!$C$9:$C$5008)-1)+$K$5353</f>
        <v>6.9013802760551732E-2</v>
      </c>
    </row>
    <row r="5355" spans="8:11">
      <c r="H5355">
        <f>SMALL(SimData5000!$B$9:$B$5008,347)</f>
        <v>6.9222041949402083E-2</v>
      </c>
      <c r="I5355">
        <f>1/(COUNT(SimData5000!$B$9:$B$5008)-1)+$I$5354</f>
        <v>6.921384276855333E-2</v>
      </c>
      <c r="J5355">
        <f>SMALL(SimData5000!$C$9:$C$5008,347)</f>
        <v>6.6243933792065945E-2</v>
      </c>
      <c r="K5355">
        <f>1/(COUNT(SimData5000!$C$9:$C$5008)-1)+$K$5354</f>
        <v>6.921384276855333E-2</v>
      </c>
    </row>
    <row r="5356" spans="8:11">
      <c r="H5356">
        <f>SMALL(SimData5000!$B$9:$B$5008,348)</f>
        <v>6.9490941605225884E-2</v>
      </c>
      <c r="I5356">
        <f>1/(COUNT(SimData5000!$B$9:$B$5008)-1)+$I$5355</f>
        <v>6.9413882776554928E-2</v>
      </c>
      <c r="J5356">
        <f>SMALL(SimData5000!$C$9:$C$5008,348)</f>
        <v>6.7007729176111752E-2</v>
      </c>
      <c r="K5356">
        <f>1/(COUNT(SimData5000!$C$9:$C$5008)-1)+$K$5355</f>
        <v>6.9413882776554928E-2</v>
      </c>
    </row>
    <row r="5357" spans="8:11">
      <c r="H5357">
        <f>SMALL(SimData5000!$B$9:$B$5008,349)</f>
        <v>6.9709988673895135E-2</v>
      </c>
      <c r="I5357">
        <f>1/(COUNT(SimData5000!$B$9:$B$5008)-1)+$I$5356</f>
        <v>6.9613922784556526E-2</v>
      </c>
      <c r="J5357">
        <f>SMALL(SimData5000!$C$9:$C$5008,349)</f>
        <v>6.7190702669904567E-2</v>
      </c>
      <c r="K5357">
        <f>1/(COUNT(SimData5000!$C$9:$C$5008)-1)+$K$5356</f>
        <v>6.9613922784556526E-2</v>
      </c>
    </row>
    <row r="5358" spans="8:11">
      <c r="H5358">
        <f>SMALL(SimData5000!$B$9:$B$5008,350)</f>
        <v>6.983570299056259E-2</v>
      </c>
      <c r="I5358">
        <f>1/(COUNT(SimData5000!$B$9:$B$5008)-1)+$I$5357</f>
        <v>6.9813962792558124E-2</v>
      </c>
      <c r="J5358">
        <f>SMALL(SimData5000!$C$9:$C$5008,350)</f>
        <v>6.7494835368961503E-2</v>
      </c>
      <c r="K5358">
        <f>1/(COUNT(SimData5000!$C$9:$C$5008)-1)+$K$5357</f>
        <v>6.9813962792558124E-2</v>
      </c>
    </row>
    <row r="5359" spans="8:11">
      <c r="H5359">
        <f>SMALL(SimData5000!$B$9:$B$5008,351)</f>
        <v>7.0029235030531239E-2</v>
      </c>
      <c r="I5359">
        <f>1/(COUNT(SimData5000!$B$9:$B$5008)-1)+$I$5358</f>
        <v>7.0014002800559721E-2</v>
      </c>
      <c r="J5359">
        <f>SMALL(SimData5000!$C$9:$C$5008,351)</f>
        <v>6.8060673273976136E-2</v>
      </c>
      <c r="K5359">
        <f>1/(COUNT(SimData5000!$C$9:$C$5008)-1)+$K$5358</f>
        <v>7.0014002800559721E-2</v>
      </c>
    </row>
    <row r="5360" spans="8:11">
      <c r="H5360">
        <f>SMALL(SimData5000!$B$9:$B$5008,352)</f>
        <v>7.0378843765468074E-2</v>
      </c>
      <c r="I5360">
        <f>1/(COUNT(SimData5000!$B$9:$B$5008)-1)+$I$5359</f>
        <v>7.0214042808561319E-2</v>
      </c>
      <c r="J5360">
        <f>SMALL(SimData5000!$C$9:$C$5008,352)</f>
        <v>6.8081092255852127E-2</v>
      </c>
      <c r="K5360">
        <f>1/(COUNT(SimData5000!$C$9:$C$5008)-1)+$K$5359</f>
        <v>7.0214042808561319E-2</v>
      </c>
    </row>
    <row r="5361" spans="8:11">
      <c r="H5361">
        <f>SMALL(SimData5000!$B$9:$B$5008,353)</f>
        <v>7.0467877925016881E-2</v>
      </c>
      <c r="I5361">
        <f>1/(COUNT(SimData5000!$B$9:$B$5008)-1)+$I$5360</f>
        <v>7.0414082816562917E-2</v>
      </c>
      <c r="J5361">
        <f>SMALL(SimData5000!$C$9:$C$5008,353)</f>
        <v>6.8282703904515074E-2</v>
      </c>
      <c r="K5361">
        <f>1/(COUNT(SimData5000!$C$9:$C$5008)-1)+$K$5360</f>
        <v>7.0414082816562917E-2</v>
      </c>
    </row>
    <row r="5362" spans="8:11">
      <c r="H5362">
        <f>SMALL(SimData5000!$B$9:$B$5008,354)</f>
        <v>7.0719022620450489E-2</v>
      </c>
      <c r="I5362">
        <f>1/(COUNT(SimData5000!$B$9:$B$5008)-1)+$I$5361</f>
        <v>7.0614122824564515E-2</v>
      </c>
      <c r="J5362">
        <f>SMALL(SimData5000!$C$9:$C$5008,354)</f>
        <v>6.8436697518336587E-2</v>
      </c>
      <c r="K5362">
        <f>1/(COUNT(SimData5000!$C$9:$C$5008)-1)+$K$5361</f>
        <v>7.0614122824564515E-2</v>
      </c>
    </row>
    <row r="5363" spans="8:11">
      <c r="H5363">
        <f>SMALL(SimData5000!$B$9:$B$5008,355)</f>
        <v>7.0939388239276452E-2</v>
      </c>
      <c r="I5363">
        <f>1/(COUNT(SimData5000!$B$9:$B$5008)-1)+$I$5362</f>
        <v>7.0814162832566113E-2</v>
      </c>
      <c r="J5363">
        <f>SMALL(SimData5000!$C$9:$C$5008,355)</f>
        <v>6.8695646634296281E-2</v>
      </c>
      <c r="K5363">
        <f>1/(COUNT(SimData5000!$C$9:$C$5008)-1)+$K$5362</f>
        <v>7.0814162832566113E-2</v>
      </c>
    </row>
    <row r="5364" spans="8:11">
      <c r="H5364">
        <f>SMALL(SimData5000!$B$9:$B$5008,356)</f>
        <v>7.1102135487157422E-2</v>
      </c>
      <c r="I5364">
        <f>1/(COUNT(SimData5000!$B$9:$B$5008)-1)+$I$5363</f>
        <v>7.1014202840567711E-2</v>
      </c>
      <c r="J5364">
        <f>SMALL(SimData5000!$C$9:$C$5008,356)</f>
        <v>6.9004132396003115E-2</v>
      </c>
      <c r="K5364">
        <f>1/(COUNT(SimData5000!$C$9:$C$5008)-1)+$K$5363</f>
        <v>7.1014202840567711E-2</v>
      </c>
    </row>
    <row r="5365" spans="8:11">
      <c r="H5365">
        <f>SMALL(SimData5000!$B$9:$B$5008,357)</f>
        <v>7.1217397705003946E-2</v>
      </c>
      <c r="I5365">
        <f>1/(COUNT(SimData5000!$B$9:$B$5008)-1)+$I$5364</f>
        <v>7.1214242848569309E-2</v>
      </c>
      <c r="J5365">
        <f>SMALL(SimData5000!$C$9:$C$5008,357)</f>
        <v>6.9254972100679879E-2</v>
      </c>
      <c r="K5365">
        <f>1/(COUNT(SimData5000!$C$9:$C$5008)-1)+$K$5364</f>
        <v>7.1214242848569309E-2</v>
      </c>
    </row>
    <row r="5366" spans="8:11">
      <c r="H5366">
        <f>SMALL(SimData5000!$B$9:$B$5008,358)</f>
        <v>7.1479987255129954E-2</v>
      </c>
      <c r="I5366">
        <f>1/(COUNT(SimData5000!$B$9:$B$5008)-1)+$I$5365</f>
        <v>7.1414282856570907E-2</v>
      </c>
      <c r="J5366">
        <f>SMALL(SimData5000!$C$9:$C$5008,358)</f>
        <v>6.9298058158892673E-2</v>
      </c>
      <c r="K5366">
        <f>1/(COUNT(SimData5000!$C$9:$C$5008)-1)+$K$5365</f>
        <v>7.1414282856570907E-2</v>
      </c>
    </row>
    <row r="5367" spans="8:11">
      <c r="H5367">
        <f>SMALL(SimData5000!$B$9:$B$5008,359)</f>
        <v>7.1726637961698383E-2</v>
      </c>
      <c r="I5367">
        <f>1/(COUNT(SimData5000!$B$9:$B$5008)-1)+$I$5366</f>
        <v>7.1614322864572505E-2</v>
      </c>
      <c r="J5367">
        <f>SMALL(SimData5000!$C$9:$C$5008,359)</f>
        <v>6.9438620675100537E-2</v>
      </c>
      <c r="K5367">
        <f>1/(COUNT(SimData5000!$C$9:$C$5008)-1)+$K$5366</f>
        <v>7.1614322864572505E-2</v>
      </c>
    </row>
    <row r="5368" spans="8:11">
      <c r="H5368">
        <f>SMALL(SimData5000!$B$9:$B$5008,360)</f>
        <v>7.1979734873766951E-2</v>
      </c>
      <c r="I5368">
        <f>1/(COUNT(SimData5000!$B$9:$B$5008)-1)+$I$5367</f>
        <v>7.1814362872574103E-2</v>
      </c>
      <c r="J5368">
        <f>SMALL(SimData5000!$C$9:$C$5008,360)</f>
        <v>6.9460565537156072E-2</v>
      </c>
      <c r="K5368">
        <f>1/(COUNT(SimData5000!$C$9:$C$5008)-1)+$K$5367</f>
        <v>7.1814362872574103E-2</v>
      </c>
    </row>
    <row r="5369" spans="8:11">
      <c r="H5369">
        <f>SMALL(SimData5000!$B$9:$B$5008,361)</f>
        <v>7.2110811955554133E-2</v>
      </c>
      <c r="I5369">
        <f>1/(COUNT(SimData5000!$B$9:$B$5008)-1)+$I$5368</f>
        <v>7.2014402880575701E-2</v>
      </c>
      <c r="J5369">
        <f>SMALL(SimData5000!$C$9:$C$5008,361)</f>
        <v>6.9473328689127811E-2</v>
      </c>
      <c r="K5369">
        <f>1/(COUNT(SimData5000!$C$9:$C$5008)-1)+$K$5368</f>
        <v>7.2014402880575701E-2</v>
      </c>
    </row>
    <row r="5370" spans="8:11">
      <c r="H5370">
        <f>SMALL(SimData5000!$B$9:$B$5008,362)</f>
        <v>7.2324854072817801E-2</v>
      </c>
      <c r="I5370">
        <f>1/(COUNT(SimData5000!$B$9:$B$5008)-1)+$I$5369</f>
        <v>7.2214442888577299E-2</v>
      </c>
      <c r="J5370">
        <f>SMALL(SimData5000!$C$9:$C$5008,362)</f>
        <v>6.9496519181484473E-2</v>
      </c>
      <c r="K5370">
        <f>1/(COUNT(SimData5000!$C$9:$C$5008)-1)+$K$5369</f>
        <v>7.2214442888577299E-2</v>
      </c>
    </row>
    <row r="5371" spans="8:11">
      <c r="H5371">
        <f>SMALL(SimData5000!$B$9:$B$5008,363)</f>
        <v>7.2521783036487597E-2</v>
      </c>
      <c r="I5371">
        <f>1/(COUNT(SimData5000!$B$9:$B$5008)-1)+$I$5370</f>
        <v>7.2414482896578897E-2</v>
      </c>
      <c r="J5371">
        <f>SMALL(SimData5000!$C$9:$C$5008,363)</f>
        <v>6.9593382570928952E-2</v>
      </c>
      <c r="K5371">
        <f>1/(COUNT(SimData5000!$C$9:$C$5008)-1)+$K$5370</f>
        <v>7.2414482896578897E-2</v>
      </c>
    </row>
    <row r="5372" spans="8:11">
      <c r="H5372">
        <f>SMALL(SimData5000!$B$9:$B$5008,364)</f>
        <v>7.2767618349978608E-2</v>
      </c>
      <c r="I5372">
        <f>1/(COUNT(SimData5000!$B$9:$B$5008)-1)+$I$5371</f>
        <v>7.2614522904580495E-2</v>
      </c>
      <c r="J5372">
        <f>SMALL(SimData5000!$C$9:$C$5008,364)</f>
        <v>6.9603076091880212E-2</v>
      </c>
      <c r="K5372">
        <f>1/(COUNT(SimData5000!$C$9:$C$5008)-1)+$K$5371</f>
        <v>7.2614522904580495E-2</v>
      </c>
    </row>
    <row r="5373" spans="8:11">
      <c r="H5373">
        <f>SMALL(SimData5000!$B$9:$B$5008,365)</f>
        <v>7.2870639134913373E-2</v>
      </c>
      <c r="I5373">
        <f>1/(COUNT(SimData5000!$B$9:$B$5008)-1)+$I$5372</f>
        <v>7.2814562912582093E-2</v>
      </c>
      <c r="J5373">
        <f>SMALL(SimData5000!$C$9:$C$5008,365)</f>
        <v>6.9977179587112914E-2</v>
      </c>
      <c r="K5373">
        <f>1/(COUNT(SimData5000!$C$9:$C$5008)-1)+$K$5372</f>
        <v>7.2814562912582093E-2</v>
      </c>
    </row>
    <row r="5374" spans="8:11">
      <c r="H5374">
        <f>SMALL(SimData5000!$B$9:$B$5008,366)</f>
        <v>7.3110468573661158E-2</v>
      </c>
      <c r="I5374">
        <f>1/(COUNT(SimData5000!$B$9:$B$5008)-1)+$I$5373</f>
        <v>7.3014602920583691E-2</v>
      </c>
      <c r="J5374">
        <f>SMALL(SimData5000!$C$9:$C$5008,366)</f>
        <v>7.0113493669850868E-2</v>
      </c>
      <c r="K5374">
        <f>1/(COUNT(SimData5000!$C$9:$C$5008)-1)+$K$5373</f>
        <v>7.3014602920583691E-2</v>
      </c>
    </row>
    <row r="5375" spans="8:11">
      <c r="H5375">
        <f>SMALL(SimData5000!$B$9:$B$5008,367)</f>
        <v>7.3349196981813108E-2</v>
      </c>
      <c r="I5375">
        <f>1/(COUNT(SimData5000!$B$9:$B$5008)-1)+$I$5374</f>
        <v>7.3214642928585288E-2</v>
      </c>
      <c r="J5375">
        <f>SMALL(SimData5000!$C$9:$C$5008,367)</f>
        <v>7.0410886922218197E-2</v>
      </c>
      <c r="K5375">
        <f>1/(COUNT(SimData5000!$C$9:$C$5008)-1)+$K$5374</f>
        <v>7.3214642928585288E-2</v>
      </c>
    </row>
    <row r="5376" spans="8:11">
      <c r="H5376">
        <f>SMALL(SimData5000!$B$9:$B$5008,368)</f>
        <v>7.3408997164529047E-2</v>
      </c>
      <c r="I5376">
        <f>1/(COUNT(SimData5000!$B$9:$B$5008)-1)+$I$5375</f>
        <v>7.3414682936586886E-2</v>
      </c>
      <c r="J5376">
        <f>SMALL(SimData5000!$C$9:$C$5008,368)</f>
        <v>7.0484268597283517E-2</v>
      </c>
      <c r="K5376">
        <f>1/(COUNT(SimData5000!$C$9:$C$5008)-1)+$K$5375</f>
        <v>7.3414682936586886E-2</v>
      </c>
    </row>
    <row r="5377" spans="8:11">
      <c r="H5377">
        <f>SMALL(SimData5000!$B$9:$B$5008,369)</f>
        <v>7.3675541846937392E-2</v>
      </c>
      <c r="I5377">
        <f>1/(COUNT(SimData5000!$B$9:$B$5008)-1)+$I$5376</f>
        <v>7.3614722944588484E-2</v>
      </c>
      <c r="J5377">
        <f>SMALL(SimData5000!$C$9:$C$5008,369)</f>
        <v>7.0526347198210715E-2</v>
      </c>
      <c r="K5377">
        <f>1/(COUNT(SimData5000!$C$9:$C$5008)-1)+$K$5376</f>
        <v>7.3614722944588484E-2</v>
      </c>
    </row>
    <row r="5378" spans="8:11">
      <c r="H5378">
        <f>SMALL(SimData5000!$B$9:$B$5008,370)</f>
        <v>7.395886607662748E-2</v>
      </c>
      <c r="I5378">
        <f>1/(COUNT(SimData5000!$B$9:$B$5008)-1)+$I$5377</f>
        <v>7.3814762952590082E-2</v>
      </c>
      <c r="J5378">
        <f>SMALL(SimData5000!$C$9:$C$5008,370)</f>
        <v>7.1114053837845859E-2</v>
      </c>
      <c r="K5378">
        <f>1/(COUNT(SimData5000!$C$9:$C$5008)-1)+$K$5377</f>
        <v>7.3814762952590082E-2</v>
      </c>
    </row>
    <row r="5379" spans="8:11">
      <c r="H5379">
        <f>SMALL(SimData5000!$B$9:$B$5008,371)</f>
        <v>7.4094080710200155E-2</v>
      </c>
      <c r="I5379">
        <f>1/(COUNT(SimData5000!$B$9:$B$5008)-1)+$I$5378</f>
        <v>7.401480296059168E-2</v>
      </c>
      <c r="J5379">
        <f>SMALL(SimData5000!$C$9:$C$5008,371)</f>
        <v>7.1126986320450669E-2</v>
      </c>
      <c r="K5379">
        <f>1/(COUNT(SimData5000!$C$9:$C$5008)-1)+$K$5378</f>
        <v>7.401480296059168E-2</v>
      </c>
    </row>
    <row r="5380" spans="8:11">
      <c r="H5380">
        <f>SMALL(SimData5000!$B$9:$B$5008,372)</f>
        <v>7.4263574717255212E-2</v>
      </c>
      <c r="I5380">
        <f>1/(COUNT(SimData5000!$B$9:$B$5008)-1)+$I$5379</f>
        <v>7.4214842968593278E-2</v>
      </c>
      <c r="J5380">
        <f>SMALL(SimData5000!$C$9:$C$5008,372)</f>
        <v>7.1251099873734347E-2</v>
      </c>
      <c r="K5380">
        <f>1/(COUNT(SimData5000!$C$9:$C$5008)-1)+$K$5379</f>
        <v>7.4214842968593278E-2</v>
      </c>
    </row>
    <row r="5381" spans="8:11">
      <c r="H5381">
        <f>SMALL(SimData5000!$B$9:$B$5008,373)</f>
        <v>7.4583009047383214E-2</v>
      </c>
      <c r="I5381">
        <f>1/(COUNT(SimData5000!$B$9:$B$5008)-1)+$I$5380</f>
        <v>7.4414882976594876E-2</v>
      </c>
      <c r="J5381">
        <f>SMALL(SimData5000!$C$9:$C$5008,373)</f>
        <v>7.1286323827735032E-2</v>
      </c>
      <c r="K5381">
        <f>1/(COUNT(SimData5000!$C$9:$C$5008)-1)+$K$5380</f>
        <v>7.4414882976594876E-2</v>
      </c>
    </row>
    <row r="5382" spans="8:11">
      <c r="H5382">
        <f>SMALL(SimData5000!$B$9:$B$5008,374)</f>
        <v>7.4790532869377757E-2</v>
      </c>
      <c r="I5382">
        <f>1/(COUNT(SimData5000!$B$9:$B$5008)-1)+$I$5381</f>
        <v>7.4614922984596474E-2</v>
      </c>
      <c r="J5382">
        <f>SMALL(SimData5000!$C$9:$C$5008,374)</f>
        <v>7.1302200972240826E-2</v>
      </c>
      <c r="K5382">
        <f>1/(COUNT(SimData5000!$C$9:$C$5008)-1)+$K$5381</f>
        <v>7.4614922984596474E-2</v>
      </c>
    </row>
    <row r="5383" spans="8:11">
      <c r="H5383">
        <f>SMALL(SimData5000!$B$9:$B$5008,375)</f>
        <v>7.4971072162308514E-2</v>
      </c>
      <c r="I5383">
        <f>1/(COUNT(SimData5000!$B$9:$B$5008)-1)+$I$5382</f>
        <v>7.4814962992598072E-2</v>
      </c>
      <c r="J5383">
        <f>SMALL(SimData5000!$C$9:$C$5008,375)</f>
        <v>7.1307886987597158E-2</v>
      </c>
      <c r="K5383">
        <f>1/(COUNT(SimData5000!$C$9:$C$5008)-1)+$K$5382</f>
        <v>7.4814962992598072E-2</v>
      </c>
    </row>
    <row r="5384" spans="8:11">
      <c r="H5384">
        <f>SMALL(SimData5000!$B$9:$B$5008,376)</f>
        <v>7.5128643833968944E-2</v>
      </c>
      <c r="I5384">
        <f>1/(COUNT(SimData5000!$B$9:$B$5008)-1)+$I$5383</f>
        <v>7.501500300059967E-2</v>
      </c>
      <c r="J5384">
        <f>SMALL(SimData5000!$C$9:$C$5008,376)</f>
        <v>7.1460578315964085E-2</v>
      </c>
      <c r="K5384">
        <f>1/(COUNT(SimData5000!$C$9:$C$5008)-1)+$K$5383</f>
        <v>7.501500300059967E-2</v>
      </c>
    </row>
    <row r="5385" spans="8:11">
      <c r="H5385">
        <f>SMALL(SimData5000!$B$9:$B$5008,377)</f>
        <v>7.5303122099745809E-2</v>
      </c>
      <c r="I5385">
        <f>1/(COUNT(SimData5000!$B$9:$B$5008)-1)+$I$5384</f>
        <v>7.5215043008601268E-2</v>
      </c>
      <c r="J5385">
        <f>SMALL(SimData5000!$C$9:$C$5008,377)</f>
        <v>7.1645256775809685E-2</v>
      </c>
      <c r="K5385">
        <f>1/(COUNT(SimData5000!$C$9:$C$5008)-1)+$K$5384</f>
        <v>7.5215043008601268E-2</v>
      </c>
    </row>
    <row r="5386" spans="8:11">
      <c r="H5386">
        <f>SMALL(SimData5000!$B$9:$B$5008,378)</f>
        <v>7.5509777742789538E-2</v>
      </c>
      <c r="I5386">
        <f>1/(COUNT(SimData5000!$B$9:$B$5008)-1)+$I$5385</f>
        <v>7.5415083016602866E-2</v>
      </c>
      <c r="J5386">
        <f>SMALL(SimData5000!$C$9:$C$5008,378)</f>
        <v>7.1719464500347385E-2</v>
      </c>
      <c r="K5386">
        <f>1/(COUNT(SimData5000!$C$9:$C$5008)-1)+$K$5385</f>
        <v>7.5415083016602866E-2</v>
      </c>
    </row>
    <row r="5387" spans="8:11">
      <c r="H5387">
        <f>SMALL(SimData5000!$B$9:$B$5008,379)</f>
        <v>7.5767932776214533E-2</v>
      </c>
      <c r="I5387">
        <f>1/(COUNT(SimData5000!$B$9:$B$5008)-1)+$I$5386</f>
        <v>7.5615123024604464E-2</v>
      </c>
      <c r="J5387">
        <f>SMALL(SimData5000!$C$9:$C$5008,379)</f>
        <v>7.1843252487269638E-2</v>
      </c>
      <c r="K5387">
        <f>1/(COUNT(SimData5000!$C$9:$C$5008)-1)+$K$5386</f>
        <v>7.5615123024604464E-2</v>
      </c>
    </row>
    <row r="5388" spans="8:11">
      <c r="H5388">
        <f>SMALL(SimData5000!$B$9:$B$5008,380)</f>
        <v>7.595352698922006E-2</v>
      </c>
      <c r="I5388">
        <f>1/(COUNT(SimData5000!$B$9:$B$5008)-1)+$I$5387</f>
        <v>7.5815163032606062E-2</v>
      </c>
      <c r="J5388">
        <f>SMALL(SimData5000!$C$9:$C$5008,380)</f>
        <v>7.1863238098558213E-2</v>
      </c>
      <c r="K5388">
        <f>1/(COUNT(SimData5000!$C$9:$C$5008)-1)+$K$5387</f>
        <v>7.5815163032606062E-2</v>
      </c>
    </row>
    <row r="5389" spans="8:11">
      <c r="H5389">
        <f>SMALL(SimData5000!$B$9:$B$5008,381)</f>
        <v>7.6108295145516355E-2</v>
      </c>
      <c r="I5389">
        <f>1/(COUNT(SimData5000!$B$9:$B$5008)-1)+$I$5388</f>
        <v>7.601520304060766E-2</v>
      </c>
      <c r="J5389">
        <f>SMALL(SimData5000!$C$9:$C$5008,381)</f>
        <v>7.2216669587760407E-2</v>
      </c>
      <c r="K5389">
        <f>1/(COUNT(SimData5000!$C$9:$C$5008)-1)+$K$5388</f>
        <v>7.601520304060766E-2</v>
      </c>
    </row>
    <row r="5390" spans="8:11">
      <c r="H5390">
        <f>SMALL(SimData5000!$B$9:$B$5008,382)</f>
        <v>7.6243725160286699E-2</v>
      </c>
      <c r="I5390">
        <f>1/(COUNT(SimData5000!$B$9:$B$5008)-1)+$I$5389</f>
        <v>7.6215243048609257E-2</v>
      </c>
      <c r="J5390">
        <f>SMALL(SimData5000!$C$9:$C$5008,382)</f>
        <v>7.234243514812988E-2</v>
      </c>
      <c r="K5390">
        <f>1/(COUNT(SimData5000!$C$9:$C$5008)-1)+$K$5389</f>
        <v>7.6215243048609257E-2</v>
      </c>
    </row>
    <row r="5391" spans="8:11">
      <c r="H5391">
        <f>SMALL(SimData5000!$B$9:$B$5008,383)</f>
        <v>7.6443038062668181E-2</v>
      </c>
      <c r="I5391">
        <f>1/(COUNT(SimData5000!$B$9:$B$5008)-1)+$I$5390</f>
        <v>7.6415283056610855E-2</v>
      </c>
      <c r="J5391">
        <f>SMALL(SimData5000!$C$9:$C$5008,383)</f>
        <v>7.2555676196316199E-2</v>
      </c>
      <c r="K5391">
        <f>1/(COUNT(SimData5000!$C$9:$C$5008)-1)+$K$5390</f>
        <v>7.6415283056610855E-2</v>
      </c>
    </row>
    <row r="5392" spans="8:11">
      <c r="H5392">
        <f>SMALL(SimData5000!$B$9:$B$5008,384)</f>
        <v>7.6615345239875676E-2</v>
      </c>
      <c r="I5392">
        <f>1/(COUNT(SimData5000!$B$9:$B$5008)-1)+$I$5391</f>
        <v>7.6615323064612453E-2</v>
      </c>
      <c r="J5392">
        <f>SMALL(SimData5000!$C$9:$C$5008,384)</f>
        <v>7.2628610095307522E-2</v>
      </c>
      <c r="K5392">
        <f>1/(COUNT(SimData5000!$C$9:$C$5008)-1)+$K$5391</f>
        <v>7.6615323064612453E-2</v>
      </c>
    </row>
    <row r="5393" spans="8:11">
      <c r="H5393">
        <f>SMALL(SimData5000!$B$9:$B$5008,385)</f>
        <v>7.6910632187852324E-2</v>
      </c>
      <c r="I5393">
        <f>1/(COUNT(SimData5000!$B$9:$B$5008)-1)+$I$5392</f>
        <v>7.6815363072614051E-2</v>
      </c>
      <c r="J5393">
        <f>SMALL(SimData5000!$C$9:$C$5008,385)</f>
        <v>7.282365926039347E-2</v>
      </c>
      <c r="K5393">
        <f>1/(COUNT(SimData5000!$C$9:$C$5008)-1)+$K$5392</f>
        <v>7.6815363072614051E-2</v>
      </c>
    </row>
    <row r="5394" spans="8:11">
      <c r="H5394">
        <f>SMALL(SimData5000!$B$9:$B$5008,386)</f>
        <v>7.7074210319638764E-2</v>
      </c>
      <c r="I5394">
        <f>1/(COUNT(SimData5000!$B$9:$B$5008)-1)+$I$5393</f>
        <v>7.7015403080615649E-2</v>
      </c>
      <c r="J5394">
        <f>SMALL(SimData5000!$C$9:$C$5008,386)</f>
        <v>7.3068403997240239E-2</v>
      </c>
      <c r="K5394">
        <f>1/(COUNT(SimData5000!$C$9:$C$5008)-1)+$K$5393</f>
        <v>7.7015403080615649E-2</v>
      </c>
    </row>
    <row r="5395" spans="8:11">
      <c r="H5395">
        <f>SMALL(SimData5000!$B$9:$B$5008,387)</f>
        <v>7.7368702953627494E-2</v>
      </c>
      <c r="I5395">
        <f>1/(COUNT(SimData5000!$B$9:$B$5008)-1)+$I$5394</f>
        <v>7.7215443088617247E-2</v>
      </c>
      <c r="J5395">
        <f>SMALL(SimData5000!$C$9:$C$5008,387)</f>
        <v>7.3077867131360108E-2</v>
      </c>
      <c r="K5395">
        <f>1/(COUNT(SimData5000!$C$9:$C$5008)-1)+$K$5394</f>
        <v>7.7215443088617247E-2</v>
      </c>
    </row>
    <row r="5396" spans="8:11">
      <c r="H5396">
        <f>SMALL(SimData5000!$B$9:$B$5008,388)</f>
        <v>7.746673506839824E-2</v>
      </c>
      <c r="I5396">
        <f>1/(COUNT(SimData5000!$B$9:$B$5008)-1)+$I$5395</f>
        <v>7.7415483096618845E-2</v>
      </c>
      <c r="J5396">
        <f>SMALL(SimData5000!$C$9:$C$5008,388)</f>
        <v>7.3397412927079131E-2</v>
      </c>
      <c r="K5396">
        <f>1/(COUNT(SimData5000!$C$9:$C$5008)-1)+$K$5395</f>
        <v>7.7415483096618845E-2</v>
      </c>
    </row>
    <row r="5397" spans="8:11">
      <c r="H5397">
        <f>SMALL(SimData5000!$B$9:$B$5008,389)</f>
        <v>7.7764774714122714E-2</v>
      </c>
      <c r="I5397">
        <f>1/(COUNT(SimData5000!$B$9:$B$5008)-1)+$I$5396</f>
        <v>7.7615523104620443E-2</v>
      </c>
      <c r="J5397">
        <f>SMALL(SimData5000!$C$9:$C$5008,389)</f>
        <v>7.3543379871807701E-2</v>
      </c>
      <c r="K5397">
        <f>1/(COUNT(SimData5000!$C$9:$C$5008)-1)+$K$5396</f>
        <v>7.7615523104620443E-2</v>
      </c>
    </row>
    <row r="5398" spans="8:11">
      <c r="H5398">
        <f>SMALL(SimData5000!$B$9:$B$5008,390)</f>
        <v>7.7850678629067416E-2</v>
      </c>
      <c r="I5398">
        <f>1/(COUNT(SimData5000!$B$9:$B$5008)-1)+$I$5397</f>
        <v>7.7815563112622041E-2</v>
      </c>
      <c r="J5398">
        <f>SMALL(SimData5000!$C$9:$C$5008,390)</f>
        <v>7.3759355557740491E-2</v>
      </c>
      <c r="K5398">
        <f>1/(COUNT(SimData5000!$C$9:$C$5008)-1)+$K$5397</f>
        <v>7.7815563112622041E-2</v>
      </c>
    </row>
    <row r="5399" spans="8:11">
      <c r="H5399">
        <f>SMALL(SimData5000!$B$9:$B$5008,391)</f>
        <v>7.8096592189207809E-2</v>
      </c>
      <c r="I5399">
        <f>1/(COUNT(SimData5000!$B$9:$B$5008)-1)+$I$5398</f>
        <v>7.8015603120623639E-2</v>
      </c>
      <c r="J5399">
        <f>SMALL(SimData5000!$C$9:$C$5008,391)</f>
        <v>7.408445555212495E-2</v>
      </c>
      <c r="K5399">
        <f>1/(COUNT(SimData5000!$C$9:$C$5008)-1)+$K$5398</f>
        <v>7.8015603120623639E-2</v>
      </c>
    </row>
    <row r="5400" spans="8:11">
      <c r="H5400">
        <f>SMALL(SimData5000!$B$9:$B$5008,392)</f>
        <v>7.8275942454923864E-2</v>
      </c>
      <c r="I5400">
        <f>1/(COUNT(SimData5000!$B$9:$B$5008)-1)+$I$5399</f>
        <v>7.8215643128625237E-2</v>
      </c>
      <c r="J5400">
        <f>SMALL(SimData5000!$C$9:$C$5008,392)</f>
        <v>7.4243768089218065E-2</v>
      </c>
      <c r="K5400">
        <f>1/(COUNT(SimData5000!$C$9:$C$5008)-1)+$K$5399</f>
        <v>7.8215643128625237E-2</v>
      </c>
    </row>
    <row r="5401" spans="8:11">
      <c r="H5401">
        <f>SMALL(SimData5000!$B$9:$B$5008,393)</f>
        <v>7.8470707662513184E-2</v>
      </c>
      <c r="I5401">
        <f>1/(COUNT(SimData5000!$B$9:$B$5008)-1)+$I$5400</f>
        <v>7.8415683136626835E-2</v>
      </c>
      <c r="J5401">
        <f>SMALL(SimData5000!$C$9:$C$5008,393)</f>
        <v>7.4529584500851342E-2</v>
      </c>
      <c r="K5401">
        <f>1/(COUNT(SimData5000!$C$9:$C$5008)-1)+$K$5400</f>
        <v>7.8415683136626835E-2</v>
      </c>
    </row>
    <row r="5402" spans="8:11">
      <c r="H5402">
        <f>SMALL(SimData5000!$B$9:$B$5008,394)</f>
        <v>7.874018518504225E-2</v>
      </c>
      <c r="I5402">
        <f>1/(COUNT(SimData5000!$B$9:$B$5008)-1)+$I$5401</f>
        <v>7.8615723144628433E-2</v>
      </c>
      <c r="J5402">
        <f>SMALL(SimData5000!$C$9:$C$5008,394)</f>
        <v>7.4620263822907873E-2</v>
      </c>
      <c r="K5402">
        <f>1/(COUNT(SimData5000!$C$9:$C$5008)-1)+$K$5401</f>
        <v>7.8615723144628433E-2</v>
      </c>
    </row>
    <row r="5403" spans="8:11">
      <c r="H5403">
        <f>SMALL(SimData5000!$B$9:$B$5008,395)</f>
        <v>7.8966128377701644E-2</v>
      </c>
      <c r="I5403">
        <f>1/(COUNT(SimData5000!$B$9:$B$5008)-1)+$I$5402</f>
        <v>7.8815763152630031E-2</v>
      </c>
      <c r="J5403">
        <f>SMALL(SimData5000!$C$9:$C$5008,395)</f>
        <v>7.4764918842461725E-2</v>
      </c>
      <c r="K5403">
        <f>1/(COUNT(SimData5000!$C$9:$C$5008)-1)+$K$5402</f>
        <v>7.8815763152630031E-2</v>
      </c>
    </row>
    <row r="5404" spans="8:11">
      <c r="H5404">
        <f>SMALL(SimData5000!$B$9:$B$5008,396)</f>
        <v>7.9084103509989581E-2</v>
      </c>
      <c r="I5404">
        <f>1/(COUNT(SimData5000!$B$9:$B$5008)-1)+$I$5403</f>
        <v>7.9015803160631629E-2</v>
      </c>
      <c r="J5404">
        <f>SMALL(SimData5000!$C$9:$C$5008,396)</f>
        <v>7.4874970900964399E-2</v>
      </c>
      <c r="K5404">
        <f>1/(COUNT(SimData5000!$C$9:$C$5008)-1)+$K$5403</f>
        <v>7.9015803160631629E-2</v>
      </c>
    </row>
    <row r="5405" spans="8:11">
      <c r="H5405">
        <f>SMALL(SimData5000!$B$9:$B$5008,397)</f>
        <v>7.9243722170135866E-2</v>
      </c>
      <c r="I5405">
        <f>1/(COUNT(SimData5000!$B$9:$B$5008)-1)+$I$5404</f>
        <v>7.9215843168633227E-2</v>
      </c>
      <c r="J5405">
        <f>SMALL(SimData5000!$C$9:$C$5008,397)</f>
        <v>7.4990121802329668E-2</v>
      </c>
      <c r="K5405">
        <f>1/(COUNT(SimData5000!$C$9:$C$5008)-1)+$K$5404</f>
        <v>7.9215843168633227E-2</v>
      </c>
    </row>
    <row r="5406" spans="8:11">
      <c r="H5406">
        <f>SMALL(SimData5000!$B$9:$B$5008,398)</f>
        <v>7.9481473690616311E-2</v>
      </c>
      <c r="I5406">
        <f>1/(COUNT(SimData5000!$B$9:$B$5008)-1)+$I$5405</f>
        <v>7.9415883176634824E-2</v>
      </c>
      <c r="J5406">
        <f>SMALL(SimData5000!$C$9:$C$5008,398)</f>
        <v>7.5029431636721711E-2</v>
      </c>
      <c r="K5406">
        <f>1/(COUNT(SimData5000!$C$9:$C$5008)-1)+$K$5405</f>
        <v>7.9415883176634824E-2</v>
      </c>
    </row>
    <row r="5407" spans="8:11">
      <c r="H5407">
        <f>SMALL(SimData5000!$B$9:$B$5008,399)</f>
        <v>7.9651534068643004E-2</v>
      </c>
      <c r="I5407">
        <f>1/(COUNT(SimData5000!$B$9:$B$5008)-1)+$I$5406</f>
        <v>7.9615923184636422E-2</v>
      </c>
      <c r="J5407">
        <f>SMALL(SimData5000!$C$9:$C$5008,399)</f>
        <v>7.5066593853080121E-2</v>
      </c>
      <c r="K5407">
        <f>1/(COUNT(SimData5000!$C$9:$C$5008)-1)+$K$5406</f>
        <v>7.9615923184636422E-2</v>
      </c>
    </row>
    <row r="5408" spans="8:11">
      <c r="H5408">
        <f>SMALL(SimData5000!$B$9:$B$5008,400)</f>
        <v>7.9805117403530773E-2</v>
      </c>
      <c r="I5408">
        <f>1/(COUNT(SimData5000!$B$9:$B$5008)-1)+$I$5407</f>
        <v>7.981596319263802E-2</v>
      </c>
      <c r="J5408">
        <f>SMALL(SimData5000!$C$9:$C$5008,400)</f>
        <v>7.5126096789972507E-2</v>
      </c>
      <c r="K5408">
        <f>1/(COUNT(SimData5000!$C$9:$C$5008)-1)+$K$5407</f>
        <v>7.981596319263802E-2</v>
      </c>
    </row>
    <row r="5409" spans="8:11">
      <c r="H5409">
        <f>SMALL(SimData5000!$B$9:$B$5008,401)</f>
        <v>8.0081174945617367E-2</v>
      </c>
      <c r="I5409">
        <f>1/(COUNT(SimData5000!$B$9:$B$5008)-1)+$I$5408</f>
        <v>8.0016003200639618E-2</v>
      </c>
      <c r="J5409">
        <f>SMALL(SimData5000!$C$9:$C$5008,401)</f>
        <v>7.5172796327933611E-2</v>
      </c>
      <c r="K5409">
        <f>1/(COUNT(SimData5000!$C$9:$C$5008)-1)+$K$5408</f>
        <v>8.0016003200639618E-2</v>
      </c>
    </row>
    <row r="5410" spans="8:11">
      <c r="H5410">
        <f>SMALL(SimData5000!$B$9:$B$5008,402)</f>
        <v>8.0306661433937637E-2</v>
      </c>
      <c r="I5410">
        <f>1/(COUNT(SimData5000!$B$9:$B$5008)-1)+$I$5409</f>
        <v>8.0216043208641216E-2</v>
      </c>
      <c r="J5410">
        <f>SMALL(SimData5000!$C$9:$C$5008,402)</f>
        <v>7.5374384849055787E-2</v>
      </c>
      <c r="K5410">
        <f>1/(COUNT(SimData5000!$C$9:$C$5008)-1)+$K$5409</f>
        <v>8.0216043208641216E-2</v>
      </c>
    </row>
    <row r="5411" spans="8:11">
      <c r="H5411">
        <f>SMALL(SimData5000!$B$9:$B$5008,403)</f>
        <v>8.0580619213585891E-2</v>
      </c>
      <c r="I5411">
        <f>1/(COUNT(SimData5000!$B$9:$B$5008)-1)+$I$5410</f>
        <v>8.0416083216642814E-2</v>
      </c>
      <c r="J5411">
        <f>SMALL(SimData5000!$C$9:$C$5008,403)</f>
        <v>7.5482349841877294E-2</v>
      </c>
      <c r="K5411">
        <f>1/(COUNT(SimData5000!$C$9:$C$5008)-1)+$K$5410</f>
        <v>8.0416083216642814E-2</v>
      </c>
    </row>
    <row r="5412" spans="8:11">
      <c r="H5412">
        <f>SMALL(SimData5000!$B$9:$B$5008,404)</f>
        <v>8.0792097412699854E-2</v>
      </c>
      <c r="I5412">
        <f>1/(COUNT(SimData5000!$B$9:$B$5008)-1)+$I$5411</f>
        <v>8.0616123224644412E-2</v>
      </c>
      <c r="J5412">
        <f>SMALL(SimData5000!$C$9:$C$5008,404)</f>
        <v>7.554709449505026E-2</v>
      </c>
      <c r="K5412">
        <f>1/(COUNT(SimData5000!$C$9:$C$5008)-1)+$K$5411</f>
        <v>8.0616123224644412E-2</v>
      </c>
    </row>
    <row r="5413" spans="8:11">
      <c r="H5413">
        <f>SMALL(SimData5000!$B$9:$B$5008,405)</f>
        <v>8.0813941322829097E-2</v>
      </c>
      <c r="I5413">
        <f>1/(COUNT(SimData5000!$B$9:$B$5008)-1)+$I$5412</f>
        <v>8.081616323264601E-2</v>
      </c>
      <c r="J5413">
        <f>SMALL(SimData5000!$C$9:$C$5008,405)</f>
        <v>7.5756467867904576E-2</v>
      </c>
      <c r="K5413">
        <f>1/(COUNT(SimData5000!$C$9:$C$5008)-1)+$K$5412</f>
        <v>8.081616323264601E-2</v>
      </c>
    </row>
    <row r="5414" spans="8:11">
      <c r="H5414">
        <f>SMALL(SimData5000!$B$9:$B$5008,406)</f>
        <v>8.1158813066770974E-2</v>
      </c>
      <c r="I5414">
        <f>1/(COUNT(SimData5000!$B$9:$B$5008)-1)+$I$5413</f>
        <v>8.1016203240647608E-2</v>
      </c>
      <c r="J5414">
        <f>SMALL(SimData5000!$C$9:$C$5008,406)</f>
        <v>7.5767578288832738E-2</v>
      </c>
      <c r="K5414">
        <f>1/(COUNT(SimData5000!$C$9:$C$5008)-1)+$K$5413</f>
        <v>8.1016203240647608E-2</v>
      </c>
    </row>
    <row r="5415" spans="8:11">
      <c r="H5415">
        <f>SMALL(SimData5000!$B$9:$B$5008,407)</f>
        <v>8.1394816244019855E-2</v>
      </c>
      <c r="I5415">
        <f>1/(COUNT(SimData5000!$B$9:$B$5008)-1)+$I$5414</f>
        <v>8.1216243248649206E-2</v>
      </c>
      <c r="J5415">
        <f>SMALL(SimData5000!$C$9:$C$5008,407)</f>
        <v>7.5958749881465337E-2</v>
      </c>
      <c r="K5415">
        <f>1/(COUNT(SimData5000!$C$9:$C$5008)-1)+$K$5414</f>
        <v>8.1216243248649206E-2</v>
      </c>
    </row>
    <row r="5416" spans="8:11">
      <c r="H5416">
        <f>SMALL(SimData5000!$B$9:$B$5008,408)</f>
        <v>8.1505396199344063E-2</v>
      </c>
      <c r="I5416">
        <f>1/(COUNT(SimData5000!$B$9:$B$5008)-1)+$I$5415</f>
        <v>8.1416283256650804E-2</v>
      </c>
      <c r="J5416">
        <f>SMALL(SimData5000!$C$9:$C$5008,408)</f>
        <v>7.602823292472749E-2</v>
      </c>
      <c r="K5416">
        <f>1/(COUNT(SimData5000!$C$9:$C$5008)-1)+$K$5415</f>
        <v>8.1416283256650804E-2</v>
      </c>
    </row>
    <row r="5417" spans="8:11">
      <c r="H5417">
        <f>SMALL(SimData5000!$B$9:$B$5008,409)</f>
        <v>8.1734129495391189E-2</v>
      </c>
      <c r="I5417">
        <f>1/(COUNT(SimData5000!$B$9:$B$5008)-1)+$I$5416</f>
        <v>8.1616323264652402E-2</v>
      </c>
      <c r="J5417">
        <f>SMALL(SimData5000!$C$9:$C$5008,409)</f>
        <v>7.6815793684545497E-2</v>
      </c>
      <c r="K5417">
        <f>1/(COUNT(SimData5000!$C$9:$C$5008)-1)+$K$5416</f>
        <v>8.1616323264652402E-2</v>
      </c>
    </row>
    <row r="5418" spans="8:11">
      <c r="H5418">
        <f>SMALL(SimData5000!$B$9:$B$5008,410)</f>
        <v>8.1842985875309207E-2</v>
      </c>
      <c r="I5418">
        <f>1/(COUNT(SimData5000!$B$9:$B$5008)-1)+$I$5417</f>
        <v>8.1816363272654E-2</v>
      </c>
      <c r="J5418">
        <f>SMALL(SimData5000!$C$9:$C$5008,410)</f>
        <v>7.7135715487230527E-2</v>
      </c>
      <c r="K5418">
        <f>1/(COUNT(SimData5000!$C$9:$C$5008)-1)+$K$5417</f>
        <v>8.1816363272654E-2</v>
      </c>
    </row>
    <row r="5419" spans="8:11">
      <c r="H5419">
        <f>SMALL(SimData5000!$B$9:$B$5008,411)</f>
        <v>8.2081832999848253E-2</v>
      </c>
      <c r="I5419">
        <f>1/(COUNT(SimData5000!$B$9:$B$5008)-1)+$I$5418</f>
        <v>8.2016403280655598E-2</v>
      </c>
      <c r="J5419">
        <f>SMALL(SimData5000!$C$9:$C$5008,411)</f>
        <v>7.7206225882036961E-2</v>
      </c>
      <c r="K5419">
        <f>1/(COUNT(SimData5000!$C$9:$C$5008)-1)+$K$5418</f>
        <v>8.2016403280655598E-2</v>
      </c>
    </row>
    <row r="5420" spans="8:11">
      <c r="H5420">
        <f>SMALL(SimData5000!$B$9:$B$5008,412)</f>
        <v>8.2376512264268592E-2</v>
      </c>
      <c r="I5420">
        <f>1/(COUNT(SimData5000!$B$9:$B$5008)-1)+$I$5419</f>
        <v>8.2216443288657196E-2</v>
      </c>
      <c r="J5420">
        <f>SMALL(SimData5000!$C$9:$C$5008,412)</f>
        <v>7.7381381788654835E-2</v>
      </c>
      <c r="K5420">
        <f>1/(COUNT(SimData5000!$C$9:$C$5008)-1)+$K$5419</f>
        <v>8.2216443288657196E-2</v>
      </c>
    </row>
    <row r="5421" spans="8:11">
      <c r="H5421">
        <f>SMALL(SimData5000!$B$9:$B$5008,413)</f>
        <v>8.2447246576903221E-2</v>
      </c>
      <c r="I5421">
        <f>1/(COUNT(SimData5000!$B$9:$B$5008)-1)+$I$5420</f>
        <v>8.2416483296658793E-2</v>
      </c>
      <c r="J5421">
        <f>SMALL(SimData5000!$C$9:$C$5008,413)</f>
        <v>7.7679991627519485E-2</v>
      </c>
      <c r="K5421">
        <f>1/(COUNT(SimData5000!$C$9:$C$5008)-1)+$K$5420</f>
        <v>8.2416483296658793E-2</v>
      </c>
    </row>
    <row r="5422" spans="8:11">
      <c r="H5422">
        <f>SMALL(SimData5000!$B$9:$B$5008,414)</f>
        <v>8.2653831584577869E-2</v>
      </c>
      <c r="I5422">
        <f>1/(COUNT(SimData5000!$B$9:$B$5008)-1)+$I$5421</f>
        <v>8.2616523304660391E-2</v>
      </c>
      <c r="J5422">
        <f>SMALL(SimData5000!$C$9:$C$5008,414)</f>
        <v>7.7692688375009311E-2</v>
      </c>
      <c r="K5422">
        <f>1/(COUNT(SimData5000!$C$9:$C$5008)-1)+$K$5421</f>
        <v>8.2616523304660391E-2</v>
      </c>
    </row>
    <row r="5423" spans="8:11">
      <c r="H5423">
        <f>SMALL(SimData5000!$B$9:$B$5008,415)</f>
        <v>8.2867603692567821E-2</v>
      </c>
      <c r="I5423">
        <f>1/(COUNT(SimData5000!$B$9:$B$5008)-1)+$I$5422</f>
        <v>8.2816563312661989E-2</v>
      </c>
      <c r="J5423">
        <f>SMALL(SimData5000!$C$9:$C$5008,415)</f>
        <v>7.7715131769764412E-2</v>
      </c>
      <c r="K5423">
        <f>1/(COUNT(SimData5000!$C$9:$C$5008)-1)+$K$5422</f>
        <v>8.2816563312661989E-2</v>
      </c>
    </row>
    <row r="5424" spans="8:11">
      <c r="H5424">
        <f>SMALL(SimData5000!$B$9:$B$5008,416)</f>
        <v>8.305075358507473E-2</v>
      </c>
      <c r="I5424">
        <f>1/(COUNT(SimData5000!$B$9:$B$5008)-1)+$I$5423</f>
        <v>8.3016603320663587E-2</v>
      </c>
      <c r="J5424">
        <f>SMALL(SimData5000!$C$9:$C$5008,416)</f>
        <v>7.7986583274650911E-2</v>
      </c>
      <c r="K5424">
        <f>1/(COUNT(SimData5000!$C$9:$C$5008)-1)+$K$5423</f>
        <v>8.3016603320663587E-2</v>
      </c>
    </row>
    <row r="5425" spans="8:11">
      <c r="H5425">
        <f>SMALL(SimData5000!$B$9:$B$5008,417)</f>
        <v>8.3343312080005019E-2</v>
      </c>
      <c r="I5425">
        <f>1/(COUNT(SimData5000!$B$9:$B$5008)-1)+$I$5424</f>
        <v>8.3216643328665185E-2</v>
      </c>
      <c r="J5425">
        <f>SMALL(SimData5000!$C$9:$C$5008,417)</f>
        <v>7.8000211220569327E-2</v>
      </c>
      <c r="K5425">
        <f>1/(COUNT(SimData5000!$C$9:$C$5008)-1)+$K$5424</f>
        <v>8.3216643328665185E-2</v>
      </c>
    </row>
    <row r="5426" spans="8:11">
      <c r="H5426">
        <f>SMALL(SimData5000!$B$9:$B$5008,418)</f>
        <v>8.3428810142499588E-2</v>
      </c>
      <c r="I5426">
        <f>1/(COUNT(SimData5000!$B$9:$B$5008)-1)+$I$5425</f>
        <v>8.3416683336666783E-2</v>
      </c>
      <c r="J5426">
        <f>SMALL(SimData5000!$C$9:$C$5008,418)</f>
        <v>7.8524863171878678E-2</v>
      </c>
      <c r="K5426">
        <f>1/(COUNT(SimData5000!$C$9:$C$5008)-1)+$K$5425</f>
        <v>8.3416683336666783E-2</v>
      </c>
    </row>
    <row r="5427" spans="8:11">
      <c r="H5427">
        <f>SMALL(SimData5000!$B$9:$B$5008,419)</f>
        <v>8.3654373646726454E-2</v>
      </c>
      <c r="I5427">
        <f>1/(COUNT(SimData5000!$B$9:$B$5008)-1)+$I$5426</f>
        <v>8.3616723344668381E-2</v>
      </c>
      <c r="J5427">
        <f>SMALL(SimData5000!$C$9:$C$5008,419)</f>
        <v>7.8825306977705623E-2</v>
      </c>
      <c r="K5427">
        <f>1/(COUNT(SimData5000!$C$9:$C$5008)-1)+$K$5426</f>
        <v>8.3616723344668381E-2</v>
      </c>
    </row>
    <row r="5428" spans="8:11">
      <c r="H5428">
        <f>SMALL(SimData5000!$B$9:$B$5008,420)</f>
        <v>8.3965974574341892E-2</v>
      </c>
      <c r="I5428">
        <f>1/(COUNT(SimData5000!$B$9:$B$5008)-1)+$I$5427</f>
        <v>8.3816763352669979E-2</v>
      </c>
      <c r="J5428">
        <f>SMALL(SimData5000!$C$9:$C$5008,420)</f>
        <v>7.9172852307237918E-2</v>
      </c>
      <c r="K5428">
        <f>1/(COUNT(SimData5000!$C$9:$C$5008)-1)+$K$5427</f>
        <v>8.3816763352669979E-2</v>
      </c>
    </row>
    <row r="5429" spans="8:11">
      <c r="H5429">
        <f>SMALL(SimData5000!$B$9:$B$5008,421)</f>
        <v>8.4147237039252004E-2</v>
      </c>
      <c r="I5429">
        <f>1/(COUNT(SimData5000!$B$9:$B$5008)-1)+$I$5428</f>
        <v>8.4016803360671577E-2</v>
      </c>
      <c r="J5429">
        <f>SMALL(SimData5000!$C$9:$C$5008,421)</f>
        <v>7.9256354880271829E-2</v>
      </c>
      <c r="K5429">
        <f>1/(COUNT(SimData5000!$C$9:$C$5008)-1)+$K$5428</f>
        <v>8.4016803360671577E-2</v>
      </c>
    </row>
    <row r="5430" spans="8:11">
      <c r="H5430">
        <f>SMALL(SimData5000!$B$9:$B$5008,422)</f>
        <v>8.4366591122412724E-2</v>
      </c>
      <c r="I5430">
        <f>1/(COUNT(SimData5000!$B$9:$B$5008)-1)+$I$5429</f>
        <v>8.4216843368673175E-2</v>
      </c>
      <c r="J5430">
        <f>SMALL(SimData5000!$C$9:$C$5008,422)</f>
        <v>7.9259683914642665E-2</v>
      </c>
      <c r="K5430">
        <f>1/(COUNT(SimData5000!$C$9:$C$5008)-1)+$K$5429</f>
        <v>8.4216843368673175E-2</v>
      </c>
    </row>
    <row r="5431" spans="8:11">
      <c r="H5431">
        <f>SMALL(SimData5000!$B$9:$B$5008,423)</f>
        <v>8.4445769674527868E-2</v>
      </c>
      <c r="I5431">
        <f>1/(COUNT(SimData5000!$B$9:$B$5008)-1)+$I$5430</f>
        <v>8.4416883376674773E-2</v>
      </c>
      <c r="J5431">
        <f>SMALL(SimData5000!$C$9:$C$5008,423)</f>
        <v>7.9583449757592462E-2</v>
      </c>
      <c r="K5431">
        <f>1/(COUNT(SimData5000!$C$9:$C$5008)-1)+$K$5430</f>
        <v>8.4416883376674773E-2</v>
      </c>
    </row>
    <row r="5432" spans="8:11">
      <c r="H5432">
        <f>SMALL(SimData5000!$B$9:$B$5008,424)</f>
        <v>8.4722618213743578E-2</v>
      </c>
      <c r="I5432">
        <f>1/(COUNT(SimData5000!$B$9:$B$5008)-1)+$I$5431</f>
        <v>8.4616923384676371E-2</v>
      </c>
      <c r="J5432">
        <f>SMALL(SimData5000!$C$9:$C$5008,424)</f>
        <v>7.964255593924463E-2</v>
      </c>
      <c r="K5432">
        <f>1/(COUNT(SimData5000!$C$9:$C$5008)-1)+$K$5431</f>
        <v>8.4616923384676371E-2</v>
      </c>
    </row>
    <row r="5433" spans="8:11">
      <c r="H5433">
        <f>SMALL(SimData5000!$B$9:$B$5008,425)</f>
        <v>8.4977162889478999E-2</v>
      </c>
      <c r="I5433">
        <f>1/(COUNT(SimData5000!$B$9:$B$5008)-1)+$I$5432</f>
        <v>8.4816963392677969E-2</v>
      </c>
      <c r="J5433">
        <f>SMALL(SimData5000!$C$9:$C$5008,425)</f>
        <v>7.9964890943301725E-2</v>
      </c>
      <c r="K5433">
        <f>1/(COUNT(SimData5000!$C$9:$C$5008)-1)+$K$5432</f>
        <v>8.4816963392677969E-2</v>
      </c>
    </row>
    <row r="5434" spans="8:11">
      <c r="H5434">
        <f>SMALL(SimData5000!$B$9:$B$5008,426)</f>
        <v>8.5084096415267346E-2</v>
      </c>
      <c r="I5434">
        <f>1/(COUNT(SimData5000!$B$9:$B$5008)-1)+$I$5433</f>
        <v>8.5017003400679567E-2</v>
      </c>
      <c r="J5434">
        <f>SMALL(SimData5000!$C$9:$C$5008,426)</f>
        <v>8.0118905643757898E-2</v>
      </c>
      <c r="K5434">
        <f>1/(COUNT(SimData5000!$C$9:$C$5008)-1)+$K$5433</f>
        <v>8.5017003400679567E-2</v>
      </c>
    </row>
    <row r="5435" spans="8:11">
      <c r="H5435">
        <f>SMALL(SimData5000!$B$9:$B$5008,427)</f>
        <v>8.527642115277155E-2</v>
      </c>
      <c r="I5435">
        <f>1/(COUNT(SimData5000!$B$9:$B$5008)-1)+$I$5434</f>
        <v>8.5217043408681165E-2</v>
      </c>
      <c r="J5435">
        <f>SMALL(SimData5000!$C$9:$C$5008,427)</f>
        <v>8.0209746374748647E-2</v>
      </c>
      <c r="K5435">
        <f>1/(COUNT(SimData5000!$C$9:$C$5008)-1)+$K$5434</f>
        <v>8.5217043408681165E-2</v>
      </c>
    </row>
    <row r="5436" spans="8:11">
      <c r="H5436">
        <f>SMALL(SimData5000!$B$9:$B$5008,428)</f>
        <v>8.5430519134139293E-2</v>
      </c>
      <c r="I5436">
        <f>1/(COUNT(SimData5000!$B$9:$B$5008)-1)+$I$5435</f>
        <v>8.5417083416682762E-2</v>
      </c>
      <c r="J5436">
        <f>SMALL(SimData5000!$C$9:$C$5008,428)</f>
        <v>8.0687008887252887E-2</v>
      </c>
      <c r="K5436">
        <f>1/(COUNT(SimData5000!$C$9:$C$5008)-1)+$K$5435</f>
        <v>8.5417083416682762E-2</v>
      </c>
    </row>
    <row r="5437" spans="8:11">
      <c r="H5437">
        <f>SMALL(SimData5000!$B$9:$B$5008,429)</f>
        <v>8.5682360935044097E-2</v>
      </c>
      <c r="I5437">
        <f>1/(COUNT(SimData5000!$B$9:$B$5008)-1)+$I$5436</f>
        <v>8.561712342468436E-2</v>
      </c>
      <c r="J5437">
        <f>SMALL(SimData5000!$C$9:$C$5008,429)</f>
        <v>8.0890938718766847E-2</v>
      </c>
      <c r="K5437">
        <f>1/(COUNT(SimData5000!$C$9:$C$5008)-1)+$K$5436</f>
        <v>8.561712342468436E-2</v>
      </c>
    </row>
    <row r="5438" spans="8:11">
      <c r="H5438">
        <f>SMALL(SimData5000!$B$9:$B$5008,430)</f>
        <v>8.584871425457502E-2</v>
      </c>
      <c r="I5438">
        <f>1/(COUNT(SimData5000!$B$9:$B$5008)-1)+$I$5437</f>
        <v>8.5817163432685958E-2</v>
      </c>
      <c r="J5438">
        <f>SMALL(SimData5000!$C$9:$C$5008,430)</f>
        <v>8.0940448146066046E-2</v>
      </c>
      <c r="K5438">
        <f>1/(COUNT(SimData5000!$C$9:$C$5008)-1)+$K$5437</f>
        <v>8.5817163432685958E-2</v>
      </c>
    </row>
    <row r="5439" spans="8:11">
      <c r="H5439">
        <f>SMALL(SimData5000!$B$9:$B$5008,431)</f>
        <v>8.6106179533504468E-2</v>
      </c>
      <c r="I5439">
        <f>1/(COUNT(SimData5000!$B$9:$B$5008)-1)+$I$5438</f>
        <v>8.6017203440687556E-2</v>
      </c>
      <c r="J5439">
        <f>SMALL(SimData5000!$C$9:$C$5008,431)</f>
        <v>8.1155847298759909E-2</v>
      </c>
      <c r="K5439">
        <f>1/(COUNT(SimData5000!$C$9:$C$5008)-1)+$K$5438</f>
        <v>8.6017203440687556E-2</v>
      </c>
    </row>
    <row r="5440" spans="8:11">
      <c r="H5440">
        <f>SMALL(SimData5000!$B$9:$B$5008,432)</f>
        <v>8.6254980776518345E-2</v>
      </c>
      <c r="I5440">
        <f>1/(COUNT(SimData5000!$B$9:$B$5008)-1)+$I$5439</f>
        <v>8.6217243448689154E-2</v>
      </c>
      <c r="J5440">
        <f>SMALL(SimData5000!$C$9:$C$5008,432)</f>
        <v>8.1195811147154018E-2</v>
      </c>
      <c r="K5440">
        <f>1/(COUNT(SimData5000!$C$9:$C$5008)-1)+$K$5439</f>
        <v>8.6217243448689154E-2</v>
      </c>
    </row>
    <row r="5441" spans="8:11">
      <c r="H5441">
        <f>SMALL(SimData5000!$B$9:$B$5008,433)</f>
        <v>8.6561425311575041E-2</v>
      </c>
      <c r="I5441">
        <f>1/(COUNT(SimData5000!$B$9:$B$5008)-1)+$I$5440</f>
        <v>8.6417283456690752E-2</v>
      </c>
      <c r="J5441">
        <f>SMALL(SimData5000!$C$9:$C$5008,433)</f>
        <v>8.1223067210885347E-2</v>
      </c>
      <c r="K5441">
        <f>1/(COUNT(SimData5000!$C$9:$C$5008)-1)+$K$5440</f>
        <v>8.6417283456690752E-2</v>
      </c>
    </row>
    <row r="5442" spans="8:11">
      <c r="H5442">
        <f>SMALL(SimData5000!$B$9:$B$5008,434)</f>
        <v>8.6636099252113158E-2</v>
      </c>
      <c r="I5442">
        <f>1/(COUNT(SimData5000!$B$9:$B$5008)-1)+$I$5441</f>
        <v>8.661732346469235E-2</v>
      </c>
      <c r="J5442">
        <f>SMALL(SimData5000!$C$9:$C$5008,434)</f>
        <v>8.1243048147371155E-2</v>
      </c>
      <c r="K5442">
        <f>1/(COUNT(SimData5000!$C$9:$C$5008)-1)+$K$5441</f>
        <v>8.661732346469235E-2</v>
      </c>
    </row>
    <row r="5443" spans="8:11">
      <c r="H5443">
        <f>SMALL(SimData5000!$B$9:$B$5008,435)</f>
        <v>8.6883338058340212E-2</v>
      </c>
      <c r="I5443">
        <f>1/(COUNT(SimData5000!$B$9:$B$5008)-1)+$I$5442</f>
        <v>8.6817363472693948E-2</v>
      </c>
      <c r="J5443">
        <f>SMALL(SimData5000!$C$9:$C$5008,435)</f>
        <v>8.1553069333494932E-2</v>
      </c>
      <c r="K5443">
        <f>1/(COUNT(SimData5000!$C$9:$C$5008)-1)+$K$5442</f>
        <v>8.6817363472693948E-2</v>
      </c>
    </row>
    <row r="5444" spans="8:11">
      <c r="H5444">
        <f>SMALL(SimData5000!$B$9:$B$5008,436)</f>
        <v>8.7015696671981294E-2</v>
      </c>
      <c r="I5444">
        <f>1/(COUNT(SimData5000!$B$9:$B$5008)-1)+$I$5443</f>
        <v>8.7017403480695546E-2</v>
      </c>
      <c r="J5444">
        <f>SMALL(SimData5000!$C$9:$C$5008,436)</f>
        <v>8.1603655629805871E-2</v>
      </c>
      <c r="K5444">
        <f>1/(COUNT(SimData5000!$C$9:$C$5008)-1)+$K$5443</f>
        <v>8.7017403480695546E-2</v>
      </c>
    </row>
    <row r="5445" spans="8:11">
      <c r="H5445">
        <f>SMALL(SimData5000!$B$9:$B$5008,437)</f>
        <v>8.7227827399789321E-2</v>
      </c>
      <c r="I5445">
        <f>1/(COUNT(SimData5000!$B$9:$B$5008)-1)+$I$5444</f>
        <v>8.7217443488697144E-2</v>
      </c>
      <c r="J5445">
        <f>SMALL(SimData5000!$C$9:$C$5008,437)</f>
        <v>8.1636157829962031E-2</v>
      </c>
      <c r="K5445">
        <f>1/(COUNT(SimData5000!$C$9:$C$5008)-1)+$K$5444</f>
        <v>8.7217443488697144E-2</v>
      </c>
    </row>
    <row r="5446" spans="8:11">
      <c r="H5446">
        <f>SMALL(SimData5000!$B$9:$B$5008,438)</f>
        <v>8.7487040350420181E-2</v>
      </c>
      <c r="I5446">
        <f>1/(COUNT(SimData5000!$B$9:$B$5008)-1)+$I$5445</f>
        <v>8.7417483496698742E-2</v>
      </c>
      <c r="J5446">
        <f>SMALL(SimData5000!$C$9:$C$5008,438)</f>
        <v>8.1877017530132434E-2</v>
      </c>
      <c r="K5446">
        <f>1/(COUNT(SimData5000!$C$9:$C$5008)-1)+$K$5445</f>
        <v>8.7417483496698742E-2</v>
      </c>
    </row>
    <row r="5447" spans="8:11">
      <c r="H5447">
        <f>SMALL(SimData5000!$B$9:$B$5008,439)</f>
        <v>8.7651677529618999E-2</v>
      </c>
      <c r="I5447">
        <f>1/(COUNT(SimData5000!$B$9:$B$5008)-1)+$I$5446</f>
        <v>8.761752350470034E-2</v>
      </c>
      <c r="J5447">
        <f>SMALL(SimData5000!$C$9:$C$5008,439)</f>
        <v>8.1909929873290821E-2</v>
      </c>
      <c r="K5447">
        <f>1/(COUNT(SimData5000!$C$9:$C$5008)-1)+$K$5446</f>
        <v>8.761752350470034E-2</v>
      </c>
    </row>
    <row r="5448" spans="8:11">
      <c r="H5448">
        <f>SMALL(SimData5000!$B$9:$B$5008,440)</f>
        <v>8.7849365170451194E-2</v>
      </c>
      <c r="I5448">
        <f>1/(COUNT(SimData5000!$B$9:$B$5008)-1)+$I$5447</f>
        <v>8.7817563512701938E-2</v>
      </c>
      <c r="J5448">
        <f>SMALL(SimData5000!$C$9:$C$5008,440)</f>
        <v>8.2086455489843502E-2</v>
      </c>
      <c r="K5448">
        <f>1/(COUNT(SimData5000!$C$9:$C$5008)-1)+$K$5447</f>
        <v>8.7817563512701938E-2</v>
      </c>
    </row>
    <row r="5449" spans="8:11">
      <c r="H5449">
        <f>SMALL(SimData5000!$B$9:$B$5008,441)</f>
        <v>8.8189577360355667E-2</v>
      </c>
      <c r="I5449">
        <f>1/(COUNT(SimData5000!$B$9:$B$5008)-1)+$I$5448</f>
        <v>8.8017603520703536E-2</v>
      </c>
      <c r="J5449">
        <f>SMALL(SimData5000!$C$9:$C$5008,441)</f>
        <v>8.2383442492755421E-2</v>
      </c>
      <c r="K5449">
        <f>1/(COUNT(SimData5000!$C$9:$C$5008)-1)+$K$5448</f>
        <v>8.8017603520703536E-2</v>
      </c>
    </row>
    <row r="5450" spans="8:11">
      <c r="H5450">
        <f>SMALL(SimData5000!$B$9:$B$5008,442)</f>
        <v>8.8398650208674059E-2</v>
      </c>
      <c r="I5450">
        <f>1/(COUNT(SimData5000!$B$9:$B$5008)-1)+$I$5449</f>
        <v>8.8217643528705134E-2</v>
      </c>
      <c r="J5450">
        <f>SMALL(SimData5000!$C$9:$C$5008,442)</f>
        <v>8.2442720879043918E-2</v>
      </c>
      <c r="K5450">
        <f>1/(COUNT(SimData5000!$C$9:$C$5008)-1)+$K$5449</f>
        <v>8.8217643528705134E-2</v>
      </c>
    </row>
    <row r="5451" spans="8:11">
      <c r="H5451">
        <f>SMALL(SimData5000!$B$9:$B$5008,443)</f>
        <v>8.8456623990381289E-2</v>
      </c>
      <c r="I5451">
        <f>1/(COUNT(SimData5000!$B$9:$B$5008)-1)+$I$5450</f>
        <v>8.8417683536706732E-2</v>
      </c>
      <c r="J5451">
        <f>SMALL(SimData5000!$C$9:$C$5008,443)</f>
        <v>8.2699735088681336E-2</v>
      </c>
      <c r="K5451">
        <f>1/(COUNT(SimData5000!$C$9:$C$5008)-1)+$K$5450</f>
        <v>8.8417683536706732E-2</v>
      </c>
    </row>
    <row r="5452" spans="8:11">
      <c r="H5452">
        <f>SMALL(SimData5000!$B$9:$B$5008,444)</f>
        <v>8.8786230392192078E-2</v>
      </c>
      <c r="I5452">
        <f>1/(COUNT(SimData5000!$B$9:$B$5008)-1)+$I$5451</f>
        <v>8.8617723544708329E-2</v>
      </c>
      <c r="J5452">
        <f>SMALL(SimData5000!$C$9:$C$5008,444)</f>
        <v>8.2921813080247375E-2</v>
      </c>
      <c r="K5452">
        <f>1/(COUNT(SimData5000!$C$9:$C$5008)-1)+$K$5451</f>
        <v>8.8617723544708329E-2</v>
      </c>
    </row>
    <row r="5453" spans="8:11">
      <c r="H5453">
        <f>SMALL(SimData5000!$B$9:$B$5008,445)</f>
        <v>8.8824517681641624E-2</v>
      </c>
      <c r="I5453">
        <f>1/(COUNT(SimData5000!$B$9:$B$5008)-1)+$I$5452</f>
        <v>8.8817763552709927E-2</v>
      </c>
      <c r="J5453">
        <f>SMALL(SimData5000!$C$9:$C$5008,445)</f>
        <v>8.31779853469925E-2</v>
      </c>
      <c r="K5453">
        <f>1/(COUNT(SimData5000!$C$9:$C$5008)-1)+$K$5452</f>
        <v>8.8817763552709927E-2</v>
      </c>
    </row>
    <row r="5454" spans="8:11">
      <c r="H5454">
        <f>SMALL(SimData5000!$B$9:$B$5008,446)</f>
        <v>8.9191501721737787E-2</v>
      </c>
      <c r="I5454">
        <f>1/(COUNT(SimData5000!$B$9:$B$5008)-1)+$I$5453</f>
        <v>8.9017803560711525E-2</v>
      </c>
      <c r="J5454">
        <f>SMALL(SimData5000!$C$9:$C$5008,446)</f>
        <v>8.3218422512800316E-2</v>
      </c>
      <c r="K5454">
        <f>1/(COUNT(SimData5000!$C$9:$C$5008)-1)+$K$5453</f>
        <v>8.9017803560711525E-2</v>
      </c>
    </row>
    <row r="5455" spans="8:11">
      <c r="H5455">
        <f>SMALL(SimData5000!$B$9:$B$5008,447)</f>
        <v>8.9356535405236429E-2</v>
      </c>
      <c r="I5455">
        <f>1/(COUNT(SimData5000!$B$9:$B$5008)-1)+$I$5454</f>
        <v>8.9217843568713123E-2</v>
      </c>
      <c r="J5455">
        <f>SMALL(SimData5000!$C$9:$C$5008,447)</f>
        <v>8.3377678351553186E-2</v>
      </c>
      <c r="K5455">
        <f>1/(COUNT(SimData5000!$C$9:$C$5008)-1)+$K$5454</f>
        <v>8.9217843568713123E-2</v>
      </c>
    </row>
    <row r="5456" spans="8:11">
      <c r="H5456">
        <f>SMALL(SimData5000!$B$9:$B$5008,448)</f>
        <v>8.9410264477415541E-2</v>
      </c>
      <c r="I5456">
        <f>1/(COUNT(SimData5000!$B$9:$B$5008)-1)+$I$5455</f>
        <v>8.9417883576714721E-2</v>
      </c>
      <c r="J5456">
        <f>SMALL(SimData5000!$C$9:$C$5008,448)</f>
        <v>8.3668176634091651E-2</v>
      </c>
      <c r="K5456">
        <f>1/(COUNT(SimData5000!$C$9:$C$5008)-1)+$K$5455</f>
        <v>8.9417883576714721E-2</v>
      </c>
    </row>
    <row r="5457" spans="8:11">
      <c r="H5457">
        <f>SMALL(SimData5000!$B$9:$B$5008,449)</f>
        <v>8.9641183296274671E-2</v>
      </c>
      <c r="I5457">
        <f>1/(COUNT(SimData5000!$B$9:$B$5008)-1)+$I$5456</f>
        <v>8.9617923584716319E-2</v>
      </c>
      <c r="J5457">
        <f>SMALL(SimData5000!$C$9:$C$5008,449)</f>
        <v>8.415394837356871E-2</v>
      </c>
      <c r="K5457">
        <f>1/(COUNT(SimData5000!$C$9:$C$5008)-1)+$K$5456</f>
        <v>8.9617923584716319E-2</v>
      </c>
    </row>
    <row r="5458" spans="8:11">
      <c r="H5458">
        <f>SMALL(SimData5000!$B$9:$B$5008,450)</f>
        <v>8.9836218744431678E-2</v>
      </c>
      <c r="I5458">
        <f>1/(COUNT(SimData5000!$B$9:$B$5008)-1)+$I$5457</f>
        <v>8.9817963592717917E-2</v>
      </c>
      <c r="J5458">
        <f>SMALL(SimData5000!$C$9:$C$5008,450)</f>
        <v>8.4182721843717445E-2</v>
      </c>
      <c r="K5458">
        <f>1/(COUNT(SimData5000!$C$9:$C$5008)-1)+$K$5457</f>
        <v>8.9817963592717917E-2</v>
      </c>
    </row>
    <row r="5459" spans="8:11">
      <c r="H5459">
        <f>SMALL(SimData5000!$B$9:$B$5008,451)</f>
        <v>9.0122054195246215E-2</v>
      </c>
      <c r="I5459">
        <f>1/(COUNT(SimData5000!$B$9:$B$5008)-1)+$I$5458</f>
        <v>9.0018003600719515E-2</v>
      </c>
      <c r="J5459">
        <f>SMALL(SimData5000!$C$9:$C$5008,451)</f>
        <v>8.4220399056903261E-2</v>
      </c>
      <c r="K5459">
        <f>1/(COUNT(SimData5000!$C$9:$C$5008)-1)+$K$5458</f>
        <v>9.0018003600719515E-2</v>
      </c>
    </row>
    <row r="5460" spans="8:11">
      <c r="H5460">
        <f>SMALL(SimData5000!$B$9:$B$5008,452)</f>
        <v>9.0310568461406643E-2</v>
      </c>
      <c r="I5460">
        <f>1/(COUNT(SimData5000!$B$9:$B$5008)-1)+$I$5459</f>
        <v>9.0218043608721113E-2</v>
      </c>
      <c r="J5460">
        <f>SMALL(SimData5000!$C$9:$C$5008,452)</f>
        <v>8.4828660046696314E-2</v>
      </c>
      <c r="K5460">
        <f>1/(COUNT(SimData5000!$C$9:$C$5008)-1)+$K$5459</f>
        <v>9.0218043608721113E-2</v>
      </c>
    </row>
    <row r="5461" spans="8:11">
      <c r="H5461">
        <f>SMALL(SimData5000!$B$9:$B$5008,453)</f>
        <v>9.0560014791311705E-2</v>
      </c>
      <c r="I5461">
        <f>1/(COUNT(SimData5000!$B$9:$B$5008)-1)+$I$5460</f>
        <v>9.0418083616722711E-2</v>
      </c>
      <c r="J5461">
        <f>SMALL(SimData5000!$C$9:$C$5008,453)</f>
        <v>8.4854197603817738E-2</v>
      </c>
      <c r="K5461">
        <f>1/(COUNT(SimData5000!$C$9:$C$5008)-1)+$K$5460</f>
        <v>9.0418083616722711E-2</v>
      </c>
    </row>
    <row r="5462" spans="8:11">
      <c r="H5462">
        <f>SMALL(SimData5000!$B$9:$B$5008,454)</f>
        <v>9.0714597298790375E-2</v>
      </c>
      <c r="I5462">
        <f>1/(COUNT(SimData5000!$B$9:$B$5008)-1)+$I$5461</f>
        <v>9.0618123624724309E-2</v>
      </c>
      <c r="J5462">
        <f>SMALL(SimData5000!$C$9:$C$5008,454)</f>
        <v>8.5450771759497002E-2</v>
      </c>
      <c r="K5462">
        <f>1/(COUNT(SimData5000!$C$9:$C$5008)-1)+$K$5461</f>
        <v>9.0618123624724309E-2</v>
      </c>
    </row>
    <row r="5463" spans="8:11">
      <c r="H5463">
        <f>SMALL(SimData5000!$B$9:$B$5008,455)</f>
        <v>9.0808496871732286E-2</v>
      </c>
      <c r="I5463">
        <f>1/(COUNT(SimData5000!$B$9:$B$5008)-1)+$I$5462</f>
        <v>9.0818163632725907E-2</v>
      </c>
      <c r="J5463">
        <f>SMALL(SimData5000!$C$9:$C$5008,455)</f>
        <v>8.6006379435275448E-2</v>
      </c>
      <c r="K5463">
        <f>1/(COUNT(SimData5000!$C$9:$C$5008)-1)+$K$5462</f>
        <v>9.0818163632725907E-2</v>
      </c>
    </row>
    <row r="5464" spans="8:11">
      <c r="H5464">
        <f>SMALL(SimData5000!$B$9:$B$5008,456)</f>
        <v>9.1048526992939541E-2</v>
      </c>
      <c r="I5464">
        <f>1/(COUNT(SimData5000!$B$9:$B$5008)-1)+$I$5463</f>
        <v>9.1018203640727505E-2</v>
      </c>
      <c r="J5464">
        <f>SMALL(SimData5000!$C$9:$C$5008,456)</f>
        <v>8.6072960229103046E-2</v>
      </c>
      <c r="K5464">
        <f>1/(COUNT(SimData5000!$C$9:$C$5008)-1)+$K$5463</f>
        <v>9.1018203640727505E-2</v>
      </c>
    </row>
    <row r="5465" spans="8:11">
      <c r="H5465">
        <f>SMALL(SimData5000!$B$9:$B$5008,457)</f>
        <v>9.1308537999426148E-2</v>
      </c>
      <c r="I5465">
        <f>1/(COUNT(SimData5000!$B$9:$B$5008)-1)+$I$5464</f>
        <v>9.1218243648729103E-2</v>
      </c>
      <c r="J5465">
        <f>SMALL(SimData5000!$C$9:$C$5008,457)</f>
        <v>8.6315156861928699E-2</v>
      </c>
      <c r="K5465">
        <f>1/(COUNT(SimData5000!$C$9:$C$5008)-1)+$K$5464</f>
        <v>9.1218243648729103E-2</v>
      </c>
    </row>
    <row r="5466" spans="8:11">
      <c r="H5466">
        <f>SMALL(SimData5000!$B$9:$B$5008,458)</f>
        <v>9.1444455776979322E-2</v>
      </c>
      <c r="I5466">
        <f>1/(COUNT(SimData5000!$B$9:$B$5008)-1)+$I$5465</f>
        <v>9.1418283656730701E-2</v>
      </c>
      <c r="J5466">
        <f>SMALL(SimData5000!$C$9:$C$5008,458)</f>
        <v>8.6368487237450609E-2</v>
      </c>
      <c r="K5466">
        <f>1/(COUNT(SimData5000!$C$9:$C$5008)-1)+$K$5465</f>
        <v>9.1418283656730701E-2</v>
      </c>
    </row>
    <row r="5467" spans="8:11">
      <c r="H5467">
        <f>SMALL(SimData5000!$B$9:$B$5008,459)</f>
        <v>9.1620236349203674E-2</v>
      </c>
      <c r="I5467">
        <f>1/(COUNT(SimData5000!$B$9:$B$5008)-1)+$I$5466</f>
        <v>9.1618323664732298E-2</v>
      </c>
      <c r="J5467">
        <f>SMALL(SimData5000!$C$9:$C$5008,459)</f>
        <v>8.6522680490816128E-2</v>
      </c>
      <c r="K5467">
        <f>1/(COUNT(SimData5000!$C$9:$C$5008)-1)+$K$5466</f>
        <v>9.1618323664732298E-2</v>
      </c>
    </row>
    <row r="5468" spans="8:11">
      <c r="H5468">
        <f>SMALL(SimData5000!$B$9:$B$5008,460)</f>
        <v>9.1896723633002664E-2</v>
      </c>
      <c r="I5468">
        <f>1/(COUNT(SimData5000!$B$9:$B$5008)-1)+$I$5467</f>
        <v>9.1818363672733896E-2</v>
      </c>
      <c r="J5468">
        <f>SMALL(SimData5000!$C$9:$C$5008,460)</f>
        <v>8.6917506548161327E-2</v>
      </c>
      <c r="K5468">
        <f>1/(COUNT(SimData5000!$C$9:$C$5008)-1)+$K$5467</f>
        <v>9.1818363672733896E-2</v>
      </c>
    </row>
    <row r="5469" spans="8:11">
      <c r="H5469">
        <f>SMALL(SimData5000!$B$9:$B$5008,461)</f>
        <v>9.2109502053332876E-2</v>
      </c>
      <c r="I5469">
        <f>1/(COUNT(SimData5000!$B$9:$B$5008)-1)+$I$5468</f>
        <v>9.2018403680735494E-2</v>
      </c>
      <c r="J5469">
        <f>SMALL(SimData5000!$C$9:$C$5008,461)</f>
        <v>8.7028119375645474E-2</v>
      </c>
      <c r="K5469">
        <f>1/(COUNT(SimData5000!$C$9:$C$5008)-1)+$K$5468</f>
        <v>9.2018403680735494E-2</v>
      </c>
    </row>
    <row r="5470" spans="8:11">
      <c r="H5470">
        <f>SMALL(SimData5000!$B$9:$B$5008,462)</f>
        <v>9.2252780918463312E-2</v>
      </c>
      <c r="I5470">
        <f>1/(COUNT(SimData5000!$B$9:$B$5008)-1)+$I$5469</f>
        <v>9.2218443688737092E-2</v>
      </c>
      <c r="J5470">
        <f>SMALL(SimData5000!$C$9:$C$5008,462)</f>
        <v>8.8109307321246888E-2</v>
      </c>
      <c r="K5470">
        <f>1/(COUNT(SimData5000!$C$9:$C$5008)-1)+$K$5469</f>
        <v>9.2218443688737092E-2</v>
      </c>
    </row>
    <row r="5471" spans="8:11">
      <c r="H5471">
        <f>SMALL(SimData5000!$B$9:$B$5008,463)</f>
        <v>9.2595201176729799E-2</v>
      </c>
      <c r="I5471">
        <f>1/(COUNT(SimData5000!$B$9:$B$5008)-1)+$I$5470</f>
        <v>9.241848369673869E-2</v>
      </c>
      <c r="J5471">
        <f>SMALL(SimData5000!$C$9:$C$5008,463)</f>
        <v>8.814932483528537E-2</v>
      </c>
      <c r="K5471">
        <f>1/(COUNT(SimData5000!$C$9:$C$5008)-1)+$K$5470</f>
        <v>9.241848369673869E-2</v>
      </c>
    </row>
    <row r="5472" spans="8:11">
      <c r="H5472">
        <f>SMALL(SimData5000!$B$9:$B$5008,464)</f>
        <v>9.2611471374335577E-2</v>
      </c>
      <c r="I5472">
        <f>1/(COUNT(SimData5000!$B$9:$B$5008)-1)+$I$5471</f>
        <v>9.2618523704740288E-2</v>
      </c>
      <c r="J5472">
        <f>SMALL(SimData5000!$C$9:$C$5008,464)</f>
        <v>8.8190235243928328E-2</v>
      </c>
      <c r="K5472">
        <f>1/(COUNT(SimData5000!$C$9:$C$5008)-1)+$K$5471</f>
        <v>9.2618523704740288E-2</v>
      </c>
    </row>
    <row r="5473" spans="8:11">
      <c r="H5473">
        <f>SMALL(SimData5000!$B$9:$B$5008,465)</f>
        <v>9.2998201598505997E-2</v>
      </c>
      <c r="I5473">
        <f>1/(COUNT(SimData5000!$B$9:$B$5008)-1)+$I$5472</f>
        <v>9.2818563712741886E-2</v>
      </c>
      <c r="J5473">
        <f>SMALL(SimData5000!$C$9:$C$5008,465)</f>
        <v>8.8249843925950699E-2</v>
      </c>
      <c r="K5473">
        <f>1/(COUNT(SimData5000!$C$9:$C$5008)-1)+$K$5472</f>
        <v>9.2818563712741886E-2</v>
      </c>
    </row>
    <row r="5474" spans="8:11">
      <c r="H5474">
        <f>SMALL(SimData5000!$B$9:$B$5008,466)</f>
        <v>9.3079470854084814E-2</v>
      </c>
      <c r="I5474">
        <f>1/(COUNT(SimData5000!$B$9:$B$5008)-1)+$I$5473</f>
        <v>9.3018603720743484E-2</v>
      </c>
      <c r="J5474">
        <f>SMALL(SimData5000!$C$9:$C$5008,466)</f>
        <v>8.8283478600715171E-2</v>
      </c>
      <c r="K5474">
        <f>1/(COUNT(SimData5000!$C$9:$C$5008)-1)+$K$5473</f>
        <v>9.3018603720743484E-2</v>
      </c>
    </row>
    <row r="5475" spans="8:11">
      <c r="H5475">
        <f>SMALL(SimData5000!$B$9:$B$5008,467)</f>
        <v>9.3261018525590433E-2</v>
      </c>
      <c r="I5475">
        <f>1/(COUNT(SimData5000!$B$9:$B$5008)-1)+$I$5474</f>
        <v>9.3218643728745082E-2</v>
      </c>
      <c r="J5475">
        <f>SMALL(SimData5000!$C$9:$C$5008,467)</f>
        <v>8.8378358606860274E-2</v>
      </c>
      <c r="K5475">
        <f>1/(COUNT(SimData5000!$C$9:$C$5008)-1)+$K$5474</f>
        <v>9.3218643728745082E-2</v>
      </c>
    </row>
    <row r="5476" spans="8:11">
      <c r="H5476">
        <f>SMALL(SimData5000!$B$9:$B$5008,468)</f>
        <v>9.3582027284284594E-2</v>
      </c>
      <c r="I5476">
        <f>1/(COUNT(SimData5000!$B$9:$B$5008)-1)+$I$5475</f>
        <v>9.341868373674668E-2</v>
      </c>
      <c r="J5476">
        <f>SMALL(SimData5000!$C$9:$C$5008,468)</f>
        <v>8.8466190984036075E-2</v>
      </c>
      <c r="K5476">
        <f>1/(COUNT(SimData5000!$C$9:$C$5008)-1)+$K$5475</f>
        <v>9.341868373674668E-2</v>
      </c>
    </row>
    <row r="5477" spans="8:11">
      <c r="H5477">
        <f>SMALL(SimData5000!$B$9:$B$5008,469)</f>
        <v>9.3705910101511025E-2</v>
      </c>
      <c r="I5477">
        <f>1/(COUNT(SimData5000!$B$9:$B$5008)-1)+$I$5476</f>
        <v>9.3618723744748278E-2</v>
      </c>
      <c r="J5477">
        <f>SMALL(SimData5000!$C$9:$C$5008,469)</f>
        <v>8.8520785304353922E-2</v>
      </c>
      <c r="K5477">
        <f>1/(COUNT(SimData5000!$C$9:$C$5008)-1)+$K$5476</f>
        <v>9.3618723744748278E-2</v>
      </c>
    </row>
    <row r="5478" spans="8:11">
      <c r="H5478">
        <f>SMALL(SimData5000!$B$9:$B$5008,470)</f>
        <v>9.3801325074816436E-2</v>
      </c>
      <c r="I5478">
        <f>1/(COUNT(SimData5000!$B$9:$B$5008)-1)+$I$5477</f>
        <v>9.3818763752749876E-2</v>
      </c>
      <c r="J5478">
        <f>SMALL(SimData5000!$C$9:$C$5008,470)</f>
        <v>8.8910971101540781E-2</v>
      </c>
      <c r="K5478">
        <f>1/(COUNT(SimData5000!$C$9:$C$5008)-1)+$K$5477</f>
        <v>9.3818763752749876E-2</v>
      </c>
    </row>
    <row r="5479" spans="8:11">
      <c r="H5479">
        <f>SMALL(SimData5000!$B$9:$B$5008,471)</f>
        <v>9.4198516032704738E-2</v>
      </c>
      <c r="I5479">
        <f>1/(COUNT(SimData5000!$B$9:$B$5008)-1)+$I$5478</f>
        <v>9.4018803760751474E-2</v>
      </c>
      <c r="J5479">
        <f>SMALL(SimData5000!$C$9:$C$5008,471)</f>
        <v>9.0584246528123913E-2</v>
      </c>
      <c r="K5479">
        <f>1/(COUNT(SimData5000!$C$9:$C$5008)-1)+$K$5478</f>
        <v>9.4018803760751474E-2</v>
      </c>
    </row>
    <row r="5480" spans="8:11">
      <c r="H5480">
        <f>SMALL(SimData5000!$B$9:$B$5008,472)</f>
        <v>9.4206935301191855E-2</v>
      </c>
      <c r="I5480">
        <f>1/(COUNT(SimData5000!$B$9:$B$5008)-1)+$I$5479</f>
        <v>9.4218843768753072E-2</v>
      </c>
      <c r="J5480">
        <f>SMALL(SimData5000!$C$9:$C$5008,472)</f>
        <v>9.0731486887307256E-2</v>
      </c>
      <c r="K5480">
        <f>1/(COUNT(SimData5000!$C$9:$C$5008)-1)+$K$5479</f>
        <v>9.4218843768753072E-2</v>
      </c>
    </row>
    <row r="5481" spans="8:11">
      <c r="H5481">
        <f>SMALL(SimData5000!$B$9:$B$5008,473)</f>
        <v>9.4500602246192417E-2</v>
      </c>
      <c r="I5481">
        <f>1/(COUNT(SimData5000!$B$9:$B$5008)-1)+$I$5480</f>
        <v>9.441888377675467E-2</v>
      </c>
      <c r="J5481">
        <f>SMALL(SimData5000!$C$9:$C$5008,473)</f>
        <v>9.114493515517097E-2</v>
      </c>
      <c r="K5481">
        <f>1/(COUNT(SimData5000!$C$9:$C$5008)-1)+$K$5480</f>
        <v>9.441888377675467E-2</v>
      </c>
    </row>
    <row r="5482" spans="8:11">
      <c r="H5482">
        <f>SMALL(SimData5000!$B$9:$B$5008,474)</f>
        <v>9.4669244716518844E-2</v>
      </c>
      <c r="I5482">
        <f>1/(COUNT(SimData5000!$B$9:$B$5008)-1)+$I$5481</f>
        <v>9.4618923784756268E-2</v>
      </c>
      <c r="J5482">
        <f>SMALL(SimData5000!$C$9:$C$5008,474)</f>
        <v>9.1658698225742796E-2</v>
      </c>
      <c r="K5482">
        <f>1/(COUNT(SimData5000!$C$9:$C$5008)-1)+$K$5481</f>
        <v>9.4618923784756268E-2</v>
      </c>
    </row>
    <row r="5483" spans="8:11">
      <c r="H5483">
        <f>SMALL(SimData5000!$B$9:$B$5008,475)</f>
        <v>9.4806251627021998E-2</v>
      </c>
      <c r="I5483">
        <f>1/(COUNT(SimData5000!$B$9:$B$5008)-1)+$I$5482</f>
        <v>9.4818963792757865E-2</v>
      </c>
      <c r="J5483">
        <f>SMALL(SimData5000!$C$9:$C$5008,475)</f>
        <v>9.1719145301794924E-2</v>
      </c>
      <c r="K5483">
        <f>1/(COUNT(SimData5000!$C$9:$C$5008)-1)+$K$5482</f>
        <v>9.4818963792757865E-2</v>
      </c>
    </row>
    <row r="5484" spans="8:11">
      <c r="H5484">
        <f>SMALL(SimData5000!$B$9:$B$5008,476)</f>
        <v>9.5034096743733171E-2</v>
      </c>
      <c r="I5484">
        <f>1/(COUNT(SimData5000!$B$9:$B$5008)-1)+$I$5483</f>
        <v>9.5019003800759463E-2</v>
      </c>
      <c r="J5484">
        <f>SMALL(SimData5000!$C$9:$C$5008,476)</f>
        <v>9.1961011658895586E-2</v>
      </c>
      <c r="K5484">
        <f>1/(COUNT(SimData5000!$C$9:$C$5008)-1)+$K$5483</f>
        <v>9.5019003800759463E-2</v>
      </c>
    </row>
    <row r="5485" spans="8:11">
      <c r="H5485">
        <f>SMALL(SimData5000!$B$9:$B$5008,477)</f>
        <v>9.5237715914528287E-2</v>
      </c>
      <c r="I5485">
        <f>1/(COUNT(SimData5000!$B$9:$B$5008)-1)+$I$5484</f>
        <v>9.5219043808761061E-2</v>
      </c>
      <c r="J5485">
        <f>SMALL(SimData5000!$C$9:$C$5008,477)</f>
        <v>9.236103144576191E-2</v>
      </c>
      <c r="K5485">
        <f>1/(COUNT(SimData5000!$C$9:$C$5008)-1)+$K$5484</f>
        <v>9.5219043808761061E-2</v>
      </c>
    </row>
    <row r="5486" spans="8:11">
      <c r="H5486">
        <f>SMALL(SimData5000!$B$9:$B$5008,478)</f>
        <v>9.5427146420028794E-2</v>
      </c>
      <c r="I5486">
        <f>1/(COUNT(SimData5000!$B$9:$B$5008)-1)+$I$5485</f>
        <v>9.5419083816762659E-2</v>
      </c>
      <c r="J5486">
        <f>SMALL(SimData5000!$C$9:$C$5008,478)</f>
        <v>9.2517982906429097E-2</v>
      </c>
      <c r="K5486">
        <f>1/(COUNT(SimData5000!$C$9:$C$5008)-1)+$K$5485</f>
        <v>9.5419083816762659E-2</v>
      </c>
    </row>
    <row r="5487" spans="8:11">
      <c r="H5487">
        <f>SMALL(SimData5000!$B$9:$B$5008,479)</f>
        <v>9.5615640472484664E-2</v>
      </c>
      <c r="I5487">
        <f>1/(COUNT(SimData5000!$B$9:$B$5008)-1)+$I$5486</f>
        <v>9.5619123824764257E-2</v>
      </c>
      <c r="J5487">
        <f>SMALL(SimData5000!$C$9:$C$5008,479)</f>
        <v>9.2799048631604819E-2</v>
      </c>
      <c r="K5487">
        <f>1/(COUNT(SimData5000!$C$9:$C$5008)-1)+$K$5486</f>
        <v>9.5619123824764257E-2</v>
      </c>
    </row>
    <row r="5488" spans="8:11">
      <c r="H5488">
        <f>SMALL(SimData5000!$B$9:$B$5008,480)</f>
        <v>9.5946603759086355E-2</v>
      </c>
      <c r="I5488">
        <f>1/(COUNT(SimData5000!$B$9:$B$5008)-1)+$I$5487</f>
        <v>9.5819163832765855E-2</v>
      </c>
      <c r="J5488">
        <f>SMALL(SimData5000!$C$9:$C$5008,480)</f>
        <v>9.2865702416020213E-2</v>
      </c>
      <c r="K5488">
        <f>1/(COUNT(SimData5000!$C$9:$C$5008)-1)+$K$5487</f>
        <v>9.5819163832765855E-2</v>
      </c>
    </row>
    <row r="5489" spans="8:11">
      <c r="H5489">
        <f>SMALL(SimData5000!$B$9:$B$5008,481)</f>
        <v>9.6090065629661575E-2</v>
      </c>
      <c r="I5489">
        <f>1/(COUNT(SimData5000!$B$9:$B$5008)-1)+$I$5488</f>
        <v>9.6019203840767453E-2</v>
      </c>
      <c r="J5489">
        <f>SMALL(SimData5000!$C$9:$C$5008,481)</f>
        <v>9.2892697886782116E-2</v>
      </c>
      <c r="K5489">
        <f>1/(COUNT(SimData5000!$C$9:$C$5008)-1)+$K$5488</f>
        <v>9.6019203840767453E-2</v>
      </c>
    </row>
    <row r="5490" spans="8:11">
      <c r="H5490">
        <f>SMALL(SimData5000!$B$9:$B$5008,482)</f>
        <v>9.6226191449404266E-2</v>
      </c>
      <c r="I5490">
        <f>1/(COUNT(SimData5000!$B$9:$B$5008)-1)+$I$5489</f>
        <v>9.6219243848769051E-2</v>
      </c>
      <c r="J5490">
        <f>SMALL(SimData5000!$C$9:$C$5008,482)</f>
        <v>9.2936827756602725E-2</v>
      </c>
      <c r="K5490">
        <f>1/(COUNT(SimData5000!$C$9:$C$5008)-1)+$K$5489</f>
        <v>9.6219243848769051E-2</v>
      </c>
    </row>
    <row r="5491" spans="8:11">
      <c r="H5491">
        <f>SMALL(SimData5000!$B$9:$B$5008,483)</f>
        <v>9.6591297051587907E-2</v>
      </c>
      <c r="I5491">
        <f>1/(COUNT(SimData5000!$B$9:$B$5008)-1)+$I$5490</f>
        <v>9.6419283856770649E-2</v>
      </c>
      <c r="J5491">
        <f>SMALL(SimData5000!$C$9:$C$5008,483)</f>
        <v>9.3213904579897644E-2</v>
      </c>
      <c r="K5491">
        <f>1/(COUNT(SimData5000!$C$9:$C$5008)-1)+$K$5490</f>
        <v>9.6419283856770649E-2</v>
      </c>
    </row>
    <row r="5492" spans="8:11">
      <c r="H5492">
        <f>SMALL(SimData5000!$B$9:$B$5008,484)</f>
        <v>9.6644711153918109E-2</v>
      </c>
      <c r="I5492">
        <f>1/(COUNT(SimData5000!$B$9:$B$5008)-1)+$I$5491</f>
        <v>9.6619323864772247E-2</v>
      </c>
      <c r="J5492">
        <f>SMALL(SimData5000!$C$9:$C$5008,484)</f>
        <v>9.3339301246487594E-2</v>
      </c>
      <c r="K5492">
        <f>1/(COUNT(SimData5000!$C$9:$C$5008)-1)+$K$5491</f>
        <v>9.6619323864772247E-2</v>
      </c>
    </row>
    <row r="5493" spans="8:11">
      <c r="H5493">
        <f>SMALL(SimData5000!$B$9:$B$5008,485)</f>
        <v>9.6865945044734045E-2</v>
      </c>
      <c r="I5493">
        <f>1/(COUNT(SimData5000!$B$9:$B$5008)-1)+$I$5492</f>
        <v>9.6819363872773845E-2</v>
      </c>
      <c r="J5493">
        <f>SMALL(SimData5000!$C$9:$C$5008,485)</f>
        <v>9.3375598038619501E-2</v>
      </c>
      <c r="K5493">
        <f>1/(COUNT(SimData5000!$C$9:$C$5008)-1)+$K$5492</f>
        <v>9.6819363872773845E-2</v>
      </c>
    </row>
    <row r="5494" spans="8:11">
      <c r="H5494">
        <f>SMALL(SimData5000!$B$9:$B$5008,486)</f>
        <v>9.7018915876843706E-2</v>
      </c>
      <c r="I5494">
        <f>1/(COUNT(SimData5000!$B$9:$B$5008)-1)+$I$5493</f>
        <v>9.7019403880775443E-2</v>
      </c>
      <c r="J5494">
        <f>SMALL(SimData5000!$C$9:$C$5008,486)</f>
        <v>9.3564709098245658E-2</v>
      </c>
      <c r="K5494">
        <f>1/(COUNT(SimData5000!$C$9:$C$5008)-1)+$K$5493</f>
        <v>9.7019403880775443E-2</v>
      </c>
    </row>
    <row r="5495" spans="8:11">
      <c r="H5495">
        <f>SMALL(SimData5000!$B$9:$B$5008,487)</f>
        <v>9.7246140670926809E-2</v>
      </c>
      <c r="I5495">
        <f>1/(COUNT(SimData5000!$B$9:$B$5008)-1)+$I$5494</f>
        <v>9.7219443888777041E-2</v>
      </c>
      <c r="J5495">
        <f>SMALL(SimData5000!$C$9:$C$5008,487)</f>
        <v>9.376147175225924E-2</v>
      </c>
      <c r="K5495">
        <f>1/(COUNT(SimData5000!$C$9:$C$5008)-1)+$K$5494</f>
        <v>9.7219443888777041E-2</v>
      </c>
    </row>
    <row r="5496" spans="8:11">
      <c r="H5496">
        <f>SMALL(SimData5000!$B$9:$B$5008,488)</f>
        <v>9.7460934843369984E-2</v>
      </c>
      <c r="I5496">
        <f>1/(COUNT(SimData5000!$B$9:$B$5008)-1)+$I$5495</f>
        <v>9.7419483896778639E-2</v>
      </c>
      <c r="J5496">
        <f>SMALL(SimData5000!$C$9:$C$5008,488)</f>
        <v>9.4057708378386451E-2</v>
      </c>
      <c r="K5496">
        <f>1/(COUNT(SimData5000!$C$9:$C$5008)-1)+$K$5495</f>
        <v>9.7419483896778639E-2</v>
      </c>
    </row>
    <row r="5497" spans="8:11">
      <c r="H5497">
        <f>SMALL(SimData5000!$B$9:$B$5008,489)</f>
        <v>9.7652587245370404E-2</v>
      </c>
      <c r="I5497">
        <f>1/(COUNT(SimData5000!$B$9:$B$5008)-1)+$I$5496</f>
        <v>9.7619523904780237E-2</v>
      </c>
      <c r="J5497">
        <f>SMALL(SimData5000!$C$9:$C$5008,489)</f>
        <v>9.4130073915948742E-2</v>
      </c>
      <c r="K5497">
        <f>1/(COUNT(SimData5000!$C$9:$C$5008)-1)+$K$5496</f>
        <v>9.7619523904780237E-2</v>
      </c>
    </row>
    <row r="5498" spans="8:11">
      <c r="H5498">
        <f>SMALL(SimData5000!$B$9:$B$5008,490)</f>
        <v>9.7810331866939174E-2</v>
      </c>
      <c r="I5498">
        <f>1/(COUNT(SimData5000!$B$9:$B$5008)-1)+$I$5497</f>
        <v>9.7819563912781834E-2</v>
      </c>
      <c r="J5498">
        <f>SMALL(SimData5000!$C$9:$C$5008,490)</f>
        <v>9.4284862330823671E-2</v>
      </c>
      <c r="K5498">
        <f>1/(COUNT(SimData5000!$C$9:$C$5008)-1)+$K$5497</f>
        <v>9.7819563912781834E-2</v>
      </c>
    </row>
    <row r="5499" spans="8:11">
      <c r="H5499">
        <f>SMALL(SimData5000!$B$9:$B$5008,491)</f>
        <v>9.8077552836359841E-2</v>
      </c>
      <c r="I5499">
        <f>1/(COUNT(SimData5000!$B$9:$B$5008)-1)+$I$5498</f>
        <v>9.8019603920783432E-2</v>
      </c>
      <c r="J5499">
        <f>SMALL(SimData5000!$C$9:$C$5008,491)</f>
        <v>9.4421746178340982E-2</v>
      </c>
      <c r="K5499">
        <f>1/(COUNT(SimData5000!$C$9:$C$5008)-1)+$K$5498</f>
        <v>9.8019603920783432E-2</v>
      </c>
    </row>
    <row r="5500" spans="8:11">
      <c r="H5500">
        <f>SMALL(SimData5000!$B$9:$B$5008,492)</f>
        <v>9.8225630798010541E-2</v>
      </c>
      <c r="I5500">
        <f>1/(COUNT(SimData5000!$B$9:$B$5008)-1)+$I$5499</f>
        <v>9.821964392878503E-2</v>
      </c>
      <c r="J5500">
        <f>SMALL(SimData5000!$C$9:$C$5008,492)</f>
        <v>9.462644246104901E-2</v>
      </c>
      <c r="K5500">
        <f>1/(COUNT(SimData5000!$C$9:$C$5008)-1)+$K$5499</f>
        <v>9.821964392878503E-2</v>
      </c>
    </row>
    <row r="5501" spans="8:11">
      <c r="H5501">
        <f>SMALL(SimData5000!$B$9:$B$5008,493)</f>
        <v>9.8506322460972309E-2</v>
      </c>
      <c r="I5501">
        <f>1/(COUNT(SimData5000!$B$9:$B$5008)-1)+$I$5500</f>
        <v>9.8419683936786628E-2</v>
      </c>
      <c r="J5501">
        <f>SMALL(SimData5000!$C$9:$C$5008,493)</f>
        <v>9.4695286137721268E-2</v>
      </c>
      <c r="K5501">
        <f>1/(COUNT(SimData5000!$C$9:$C$5008)-1)+$K$5500</f>
        <v>9.8419683936786628E-2</v>
      </c>
    </row>
    <row r="5502" spans="8:11">
      <c r="H5502">
        <f>SMALL(SimData5000!$B$9:$B$5008,494)</f>
        <v>9.8639321057926707E-2</v>
      </c>
      <c r="I5502">
        <f>1/(COUNT(SimData5000!$B$9:$B$5008)-1)+$I$5501</f>
        <v>9.8619723944788226E-2</v>
      </c>
      <c r="J5502">
        <f>SMALL(SimData5000!$C$9:$C$5008,494)</f>
        <v>9.4843892791686812E-2</v>
      </c>
      <c r="K5502">
        <f>1/(COUNT(SimData5000!$C$9:$C$5008)-1)+$K$5501</f>
        <v>9.8619723944788226E-2</v>
      </c>
    </row>
    <row r="5503" spans="8:11">
      <c r="H5503">
        <f>SMALL(SimData5000!$B$9:$B$5008,495)</f>
        <v>9.8938713744501292E-2</v>
      </c>
      <c r="I5503">
        <f>1/(COUNT(SimData5000!$B$9:$B$5008)-1)+$I$5502</f>
        <v>9.8819763952789824E-2</v>
      </c>
      <c r="J5503">
        <f>SMALL(SimData5000!$C$9:$C$5008,495)</f>
        <v>9.491979609538248E-2</v>
      </c>
      <c r="K5503">
        <f>1/(COUNT(SimData5000!$C$9:$C$5008)-1)+$K$5502</f>
        <v>9.8819763952789824E-2</v>
      </c>
    </row>
    <row r="5504" spans="8:11">
      <c r="H5504">
        <f>SMALL(SimData5000!$B$9:$B$5008,496)</f>
        <v>9.904411216965972E-2</v>
      </c>
      <c r="I5504">
        <f>1/(COUNT(SimData5000!$B$9:$B$5008)-1)+$I$5503</f>
        <v>9.9019803960791422E-2</v>
      </c>
      <c r="J5504">
        <f>SMALL(SimData5000!$C$9:$C$5008,496)</f>
        <v>9.4956995861139148E-2</v>
      </c>
      <c r="K5504">
        <f>1/(COUNT(SimData5000!$C$9:$C$5008)-1)+$K$5503</f>
        <v>9.9019803960791422E-2</v>
      </c>
    </row>
    <row r="5505" spans="8:11">
      <c r="H5505">
        <f>SMALL(SimData5000!$B$9:$B$5008,497)</f>
        <v>9.9275121375051123E-2</v>
      </c>
      <c r="I5505">
        <f>1/(COUNT(SimData5000!$B$9:$B$5008)-1)+$I$5504</f>
        <v>9.921984396879302E-2</v>
      </c>
      <c r="J5505">
        <f>SMALL(SimData5000!$C$9:$C$5008,497)</f>
        <v>9.5081738004409999E-2</v>
      </c>
      <c r="K5505">
        <f>1/(COUNT(SimData5000!$C$9:$C$5008)-1)+$K$5504</f>
        <v>9.921984396879302E-2</v>
      </c>
    </row>
    <row r="5506" spans="8:11">
      <c r="H5506">
        <f>SMALL(SimData5000!$B$9:$B$5008,498)</f>
        <v>9.9449896454589889E-2</v>
      </c>
      <c r="I5506">
        <f>1/(COUNT(SimData5000!$B$9:$B$5008)-1)+$I$5505</f>
        <v>9.9419883976794618E-2</v>
      </c>
      <c r="J5506">
        <f>SMALL(SimData5000!$C$9:$C$5008,498)</f>
        <v>9.5094243502899189E-2</v>
      </c>
      <c r="K5506">
        <f>1/(COUNT(SimData5000!$C$9:$C$5008)-1)+$K$5505</f>
        <v>9.9419883976794618E-2</v>
      </c>
    </row>
    <row r="5507" spans="8:11">
      <c r="H5507">
        <f>SMALL(SimData5000!$B$9:$B$5008,499)</f>
        <v>9.977514565316381E-2</v>
      </c>
      <c r="I5507">
        <f>1/(COUNT(SimData5000!$B$9:$B$5008)-1)+$I$5506</f>
        <v>9.9619923984796216E-2</v>
      </c>
      <c r="J5507">
        <f>SMALL(SimData5000!$C$9:$C$5008,499)</f>
        <v>9.5121133317661588E-2</v>
      </c>
      <c r="K5507">
        <f>1/(COUNT(SimData5000!$C$9:$C$5008)-1)+$K$5506</f>
        <v>9.9619923984796216E-2</v>
      </c>
    </row>
    <row r="5508" spans="8:11">
      <c r="H5508">
        <f>SMALL(SimData5000!$B$9:$B$5008,500)</f>
        <v>9.992522443261119E-2</v>
      </c>
      <c r="I5508">
        <f>1/(COUNT(SimData5000!$B$9:$B$5008)-1)+$I$5507</f>
        <v>9.9819963992797814E-2</v>
      </c>
      <c r="J5508">
        <f>SMALL(SimData5000!$C$9:$C$5008,500)</f>
        <v>9.5468891156087921E-2</v>
      </c>
      <c r="K5508">
        <f>1/(COUNT(SimData5000!$C$9:$C$5008)-1)+$K$5507</f>
        <v>9.9819963992797814E-2</v>
      </c>
    </row>
    <row r="5509" spans="8:11">
      <c r="H5509">
        <f>SMALL(SimData5000!$B$9:$B$5008,501)</f>
        <v>0.10014680147314137</v>
      </c>
      <c r="I5509">
        <f>1/(COUNT(SimData5000!$B$9:$B$5008)-1)+$I$5508</f>
        <v>0.10002000400079941</v>
      </c>
      <c r="J5509">
        <f>SMALL(SimData5000!$C$9:$C$5008,501)</f>
        <v>9.5684374043230491E-2</v>
      </c>
      <c r="K5509">
        <f>1/(COUNT(SimData5000!$C$9:$C$5008)-1)+$K$5508</f>
        <v>0.10002000400079941</v>
      </c>
    </row>
    <row r="5510" spans="8:11">
      <c r="H5510">
        <f>SMALL(SimData5000!$B$9:$B$5008,502)</f>
        <v>0.1003065300890027</v>
      </c>
      <c r="I5510">
        <f>1/(COUNT(SimData5000!$B$9:$B$5008)-1)+$I$5509</f>
        <v>0.10022004400880101</v>
      </c>
      <c r="J5510">
        <f>SMALL(SimData5000!$C$9:$C$5008,502)</f>
        <v>9.595933084256103E-2</v>
      </c>
      <c r="K5510">
        <f>1/(COUNT(SimData5000!$C$9:$C$5008)-1)+$K$5509</f>
        <v>0.10022004400880101</v>
      </c>
    </row>
    <row r="5511" spans="8:11">
      <c r="H5511">
        <f>SMALL(SimData5000!$B$9:$B$5008,503)</f>
        <v>0.10055496205947245</v>
      </c>
      <c r="I5511">
        <f>1/(COUNT(SimData5000!$B$9:$B$5008)-1)+$I$5510</f>
        <v>0.10042008401680261</v>
      </c>
      <c r="J5511">
        <f>SMALL(SimData5000!$C$9:$C$5008,503)</f>
        <v>9.6153916198090883E-2</v>
      </c>
      <c r="K5511">
        <f>1/(COUNT(SimData5000!$C$9:$C$5008)-1)+$K$5510</f>
        <v>0.10042008401680261</v>
      </c>
    </row>
    <row r="5512" spans="8:11">
      <c r="H5512">
        <f>SMALL(SimData5000!$B$9:$B$5008,504)</f>
        <v>0.10071332700515942</v>
      </c>
      <c r="I5512">
        <f>1/(COUNT(SimData5000!$B$9:$B$5008)-1)+$I$5511</f>
        <v>0.10062012402480421</v>
      </c>
      <c r="J5512">
        <f>SMALL(SimData5000!$C$9:$C$5008,504)</f>
        <v>9.6471941735217115E-2</v>
      </c>
      <c r="K5512">
        <f>1/(COUNT(SimData5000!$C$9:$C$5008)-1)+$K$5511</f>
        <v>0.10062012402480421</v>
      </c>
    </row>
    <row r="5513" spans="8:11">
      <c r="H5513">
        <f>SMALL(SimData5000!$B$9:$B$5008,505)</f>
        <v>0.10097646179310429</v>
      </c>
      <c r="I5513">
        <f>1/(COUNT(SimData5000!$B$9:$B$5008)-1)+$I$5512</f>
        <v>0.1008201640328058</v>
      </c>
      <c r="J5513">
        <f>SMALL(SimData5000!$C$9:$C$5008,505)</f>
        <v>9.6651620370721503E-2</v>
      </c>
      <c r="K5513">
        <f>1/(COUNT(SimData5000!$C$9:$C$5008)-1)+$K$5512</f>
        <v>0.1008201640328058</v>
      </c>
    </row>
    <row r="5514" spans="8:11">
      <c r="H5514">
        <f>SMALL(SimData5000!$B$9:$B$5008,506)</f>
        <v>0.10103726535375167</v>
      </c>
      <c r="I5514">
        <f>1/(COUNT(SimData5000!$B$9:$B$5008)-1)+$I$5513</f>
        <v>0.1010202040408074</v>
      </c>
      <c r="J5514">
        <f>SMALL(SimData5000!$C$9:$C$5008,506)</f>
        <v>9.6707295641863311E-2</v>
      </c>
      <c r="K5514">
        <f>1/(COUNT(SimData5000!$C$9:$C$5008)-1)+$K$5513</f>
        <v>0.1010202040408074</v>
      </c>
    </row>
    <row r="5515" spans="8:11">
      <c r="H5515">
        <f>SMALL(SimData5000!$B$9:$B$5008,507)</f>
        <v>0.10137114896824843</v>
      </c>
      <c r="I5515">
        <f>1/(COUNT(SimData5000!$B$9:$B$5008)-1)+$I$5514</f>
        <v>0.101220244048809</v>
      </c>
      <c r="J5515">
        <f>SMALL(SimData5000!$C$9:$C$5008,507)</f>
        <v>9.6730420342282741E-2</v>
      </c>
      <c r="K5515">
        <f>1/(COUNT(SimData5000!$C$9:$C$5008)-1)+$K$5514</f>
        <v>0.101220244048809</v>
      </c>
    </row>
    <row r="5516" spans="8:11">
      <c r="H5516">
        <f>SMALL(SimData5000!$B$9:$B$5008,508)</f>
        <v>0.10142068870002886</v>
      </c>
      <c r="I5516">
        <f>1/(COUNT(SimData5000!$B$9:$B$5008)-1)+$I$5515</f>
        <v>0.1014202840568106</v>
      </c>
      <c r="J5516">
        <f>SMALL(SimData5000!$C$9:$C$5008,508)</f>
        <v>9.7134054652997293E-2</v>
      </c>
      <c r="K5516">
        <f>1/(COUNT(SimData5000!$C$9:$C$5008)-1)+$K$5515</f>
        <v>0.1014202840568106</v>
      </c>
    </row>
    <row r="5517" spans="8:11">
      <c r="H5517">
        <f>SMALL(SimData5000!$B$9:$B$5008,509)</f>
        <v>0.10171637664039535</v>
      </c>
      <c r="I5517">
        <f>1/(COUNT(SimData5000!$B$9:$B$5008)-1)+$I$5516</f>
        <v>0.1016203240648122</v>
      </c>
      <c r="J5517">
        <f>SMALL(SimData5000!$C$9:$C$5008,509)</f>
        <v>9.7134246494533727E-2</v>
      </c>
      <c r="K5517">
        <f>1/(COUNT(SimData5000!$C$9:$C$5008)-1)+$K$5516</f>
        <v>0.1016203240648122</v>
      </c>
    </row>
    <row r="5518" spans="8:11">
      <c r="H5518">
        <f>SMALL(SimData5000!$B$9:$B$5008,510)</f>
        <v>0.10191786534449036</v>
      </c>
      <c r="I5518">
        <f>1/(COUNT(SimData5000!$B$9:$B$5008)-1)+$I$5517</f>
        <v>0.10182036407281379</v>
      </c>
      <c r="J5518">
        <f>SMALL(SimData5000!$C$9:$C$5008,510)</f>
        <v>9.7258184975544282E-2</v>
      </c>
      <c r="K5518">
        <f>1/(COUNT(SimData5000!$C$9:$C$5008)-1)+$K$5517</f>
        <v>0.10182036407281379</v>
      </c>
    </row>
    <row r="5519" spans="8:11">
      <c r="H5519">
        <f>SMALL(SimData5000!$B$9:$B$5008,511)</f>
        <v>0.10219570486280036</v>
      </c>
      <c r="I5519">
        <f>1/(COUNT(SimData5000!$B$9:$B$5008)-1)+$I$5518</f>
        <v>0.10202040408081539</v>
      </c>
      <c r="J5519">
        <f>SMALL(SimData5000!$C$9:$C$5008,511)</f>
        <v>9.7505495254154084E-2</v>
      </c>
      <c r="K5519">
        <f>1/(COUNT(SimData5000!$C$9:$C$5008)-1)+$K$5518</f>
        <v>0.10202040408081539</v>
      </c>
    </row>
    <row r="5520" spans="8:11">
      <c r="H5520">
        <f>SMALL(SimData5000!$B$9:$B$5008,512)</f>
        <v>0.10222862240994084</v>
      </c>
      <c r="I5520">
        <f>1/(COUNT(SimData5000!$B$9:$B$5008)-1)+$I$5519</f>
        <v>0.10222044408881699</v>
      </c>
      <c r="J5520">
        <f>SMALL(SimData5000!$C$9:$C$5008,512)</f>
        <v>9.8104149668870377E-2</v>
      </c>
      <c r="K5520">
        <f>1/(COUNT(SimData5000!$C$9:$C$5008)-1)+$K$5519</f>
        <v>0.10222044408881699</v>
      </c>
    </row>
    <row r="5521" spans="8:11">
      <c r="H5521">
        <f>SMALL(SimData5000!$B$9:$B$5008,513)</f>
        <v>0.10259000535048313</v>
      </c>
      <c r="I5521">
        <f>1/(COUNT(SimData5000!$B$9:$B$5008)-1)+$I$5520</f>
        <v>0.10242048409681859</v>
      </c>
      <c r="J5521">
        <f>SMALL(SimData5000!$C$9:$C$5008,513)</f>
        <v>9.833383252225758E-2</v>
      </c>
      <c r="K5521">
        <f>1/(COUNT(SimData5000!$C$9:$C$5008)-1)+$K$5520</f>
        <v>0.10242048409681859</v>
      </c>
    </row>
    <row r="5522" spans="8:11">
      <c r="H5522">
        <f>SMALL(SimData5000!$B$9:$B$5008,514)</f>
        <v>0.10268452960603977</v>
      </c>
      <c r="I5522">
        <f>1/(COUNT(SimData5000!$B$9:$B$5008)-1)+$I$5521</f>
        <v>0.10262052410482018</v>
      </c>
      <c r="J5522">
        <f>SMALL(SimData5000!$C$9:$C$5008,514)</f>
        <v>9.856775763182668E-2</v>
      </c>
      <c r="K5522">
        <f>1/(COUNT(SimData5000!$C$9:$C$5008)-1)+$K$5521</f>
        <v>0.10262052410482018</v>
      </c>
    </row>
    <row r="5523" spans="8:11">
      <c r="H5523">
        <f>SMALL(SimData5000!$B$9:$B$5008,515)</f>
        <v>0.1029436925375703</v>
      </c>
      <c r="I5523">
        <f>1/(COUNT(SimData5000!$B$9:$B$5008)-1)+$I$5522</f>
        <v>0.10282056411282178</v>
      </c>
      <c r="J5523">
        <f>SMALL(SimData5000!$C$9:$C$5008,515)</f>
        <v>9.9055461975694925E-2</v>
      </c>
      <c r="K5523">
        <f>1/(COUNT(SimData5000!$C$9:$C$5008)-1)+$K$5522</f>
        <v>0.10282056411282178</v>
      </c>
    </row>
    <row r="5524" spans="8:11">
      <c r="H5524">
        <f>SMALL(SimData5000!$B$9:$B$5008,516)</f>
        <v>0.10311968954096543</v>
      </c>
      <c r="I5524">
        <f>1/(COUNT(SimData5000!$B$9:$B$5008)-1)+$I$5523</f>
        <v>0.10302060412082338</v>
      </c>
      <c r="J5524">
        <f>SMALL(SimData5000!$C$9:$C$5008,516)</f>
        <v>9.9099888546334114E-2</v>
      </c>
      <c r="K5524">
        <f>1/(COUNT(SimData5000!$C$9:$C$5008)-1)+$K$5523</f>
        <v>0.10302060412082338</v>
      </c>
    </row>
    <row r="5525" spans="8:11">
      <c r="H5525">
        <f>SMALL(SimData5000!$B$9:$B$5008,517)</f>
        <v>0.10330394590159503</v>
      </c>
      <c r="I5525">
        <f>1/(COUNT(SimData5000!$B$9:$B$5008)-1)+$I$5524</f>
        <v>0.10322064412882498</v>
      </c>
      <c r="J5525">
        <f>SMALL(SimData5000!$C$9:$C$5008,517)</f>
        <v>0.10004381100679893</v>
      </c>
      <c r="K5525">
        <f>1/(COUNT(SimData5000!$C$9:$C$5008)-1)+$K$5524</f>
        <v>0.10322064412882498</v>
      </c>
    </row>
    <row r="5526" spans="8:11">
      <c r="H5526">
        <f>SMALL(SimData5000!$B$9:$B$5008,518)</f>
        <v>0.10348630627134962</v>
      </c>
      <c r="I5526">
        <f>1/(COUNT(SimData5000!$B$9:$B$5008)-1)+$I$5525</f>
        <v>0.10342068413682658</v>
      </c>
      <c r="J5526">
        <f>SMALL(SimData5000!$C$9:$C$5008,518)</f>
        <v>0.10064056030205393</v>
      </c>
      <c r="K5526">
        <f>1/(COUNT(SimData5000!$C$9:$C$5008)-1)+$K$5525</f>
        <v>0.10342068413682658</v>
      </c>
    </row>
    <row r="5527" spans="8:11">
      <c r="H5527">
        <f>SMALL(SimData5000!$B$9:$B$5008,519)</f>
        <v>0.10361624280647752</v>
      </c>
      <c r="I5527">
        <f>1/(COUNT(SimData5000!$B$9:$B$5008)-1)+$I$5526</f>
        <v>0.10362072414482817</v>
      </c>
      <c r="J5527">
        <f>SMALL(SimData5000!$C$9:$C$5008,519)</f>
        <v>0.10064853807216423</v>
      </c>
      <c r="K5527">
        <f>1/(COUNT(SimData5000!$C$9:$C$5008)-1)+$K$5526</f>
        <v>0.10362072414482817</v>
      </c>
    </row>
    <row r="5528" spans="8:11">
      <c r="H5528">
        <f>SMALL(SimData5000!$B$9:$B$5008,520)</f>
        <v>0.10382838957221908</v>
      </c>
      <c r="I5528">
        <f>1/(COUNT(SimData5000!$B$9:$B$5008)-1)+$I$5527</f>
        <v>0.10382076415282977</v>
      </c>
      <c r="J5528">
        <f>SMALL(SimData5000!$C$9:$C$5008,520)</f>
        <v>0.10105952343656099</v>
      </c>
      <c r="K5528">
        <f>1/(COUNT(SimData5000!$C$9:$C$5008)-1)+$K$5527</f>
        <v>0.10382076415282977</v>
      </c>
    </row>
    <row r="5529" spans="8:11">
      <c r="H5529">
        <f>SMALL(SimData5000!$B$9:$B$5008,521)</f>
        <v>0.10412901250294619</v>
      </c>
      <c r="I5529">
        <f>1/(COUNT(SimData5000!$B$9:$B$5008)-1)+$I$5528</f>
        <v>0.10402080416083137</v>
      </c>
      <c r="J5529">
        <f>SMALL(SimData5000!$C$9:$C$5008,521)</f>
        <v>0.10121631764013728</v>
      </c>
      <c r="K5529">
        <f>1/(COUNT(SimData5000!$C$9:$C$5008)-1)+$K$5528</f>
        <v>0.10402080416083137</v>
      </c>
    </row>
    <row r="5530" spans="8:11">
      <c r="H5530">
        <f>SMALL(SimData5000!$B$9:$B$5008,522)</f>
        <v>0.10434779194829701</v>
      </c>
      <c r="I5530">
        <f>1/(COUNT(SimData5000!$B$9:$B$5008)-1)+$I$5529</f>
        <v>0.10422084416883297</v>
      </c>
      <c r="J5530">
        <f>SMALL(SimData5000!$C$9:$C$5008,522)</f>
        <v>0.10150015382987476</v>
      </c>
      <c r="K5530">
        <f>1/(COUNT(SimData5000!$C$9:$C$5008)-1)+$K$5529</f>
        <v>0.10422084416883297</v>
      </c>
    </row>
    <row r="5531" spans="8:11">
      <c r="H5531">
        <f>SMALL(SimData5000!$B$9:$B$5008,523)</f>
        <v>0.10442367917774796</v>
      </c>
      <c r="I5531">
        <f>1/(COUNT(SimData5000!$B$9:$B$5008)-1)+$I$5530</f>
        <v>0.10442088417683457</v>
      </c>
      <c r="J5531">
        <f>SMALL(SimData5000!$C$9:$C$5008,523)</f>
        <v>0.10174448599627794</v>
      </c>
      <c r="K5531">
        <f>1/(COUNT(SimData5000!$C$9:$C$5008)-1)+$K$5530</f>
        <v>0.10442088417683457</v>
      </c>
    </row>
    <row r="5532" spans="8:11">
      <c r="H5532">
        <f>SMALL(SimData5000!$B$9:$B$5008,524)</f>
        <v>0.10470297210568165</v>
      </c>
      <c r="I5532">
        <f>1/(COUNT(SimData5000!$B$9:$B$5008)-1)+$I$5531</f>
        <v>0.10462092418483616</v>
      </c>
      <c r="J5532">
        <f>SMALL(SimData5000!$C$9:$C$5008,524)</f>
        <v>0.10224305557494517</v>
      </c>
      <c r="K5532">
        <f>1/(COUNT(SimData5000!$C$9:$C$5008)-1)+$K$5531</f>
        <v>0.10462092418483616</v>
      </c>
    </row>
    <row r="5533" spans="8:11">
      <c r="H5533">
        <f>SMALL(SimData5000!$B$9:$B$5008,525)</f>
        <v>0.10482645418882054</v>
      </c>
      <c r="I5533">
        <f>1/(COUNT(SimData5000!$B$9:$B$5008)-1)+$I$5532</f>
        <v>0.10482096419283776</v>
      </c>
      <c r="J5533">
        <f>SMALL(SimData5000!$C$9:$C$5008,525)</f>
        <v>0.10262762339061737</v>
      </c>
      <c r="K5533">
        <f>1/(COUNT(SimData5000!$C$9:$C$5008)-1)+$K$5532</f>
        <v>0.10482096419283776</v>
      </c>
    </row>
    <row r="5534" spans="8:11">
      <c r="H5534">
        <f>SMALL(SimData5000!$B$9:$B$5008,526)</f>
        <v>0.10514808828545456</v>
      </c>
      <c r="I5534">
        <f>1/(COUNT(SimData5000!$B$9:$B$5008)-1)+$I$5533</f>
        <v>0.10502100420083936</v>
      </c>
      <c r="J5534">
        <f>SMALL(SimData5000!$C$9:$C$5008,526)</f>
        <v>0.10283931564208615</v>
      </c>
      <c r="K5534">
        <f>1/(COUNT(SimData5000!$C$9:$C$5008)-1)+$K$5533</f>
        <v>0.10502100420083936</v>
      </c>
    </row>
    <row r="5535" spans="8:11">
      <c r="H5535">
        <f>SMALL(SimData5000!$B$9:$B$5008,527)</f>
        <v>0.10527978996827263</v>
      </c>
      <c r="I5535">
        <f>1/(COUNT(SimData5000!$B$9:$B$5008)-1)+$I$5534</f>
        <v>0.10522104420884096</v>
      </c>
      <c r="J5535">
        <f>SMALL(SimData5000!$C$9:$C$5008,527)</f>
        <v>0.10321414315603761</v>
      </c>
      <c r="K5535">
        <f>1/(COUNT(SimData5000!$C$9:$C$5008)-1)+$K$5534</f>
        <v>0.10522104420884096</v>
      </c>
    </row>
    <row r="5536" spans="8:11">
      <c r="H5536">
        <f>SMALL(SimData5000!$B$9:$B$5008,528)</f>
        <v>0.10558740732650911</v>
      </c>
      <c r="I5536">
        <f>1/(COUNT(SimData5000!$B$9:$B$5008)-1)+$I$5535</f>
        <v>0.10542108421684256</v>
      </c>
      <c r="J5536">
        <f>SMALL(SimData5000!$C$9:$C$5008,528)</f>
        <v>0.10336571640073089</v>
      </c>
      <c r="K5536">
        <f>1/(COUNT(SimData5000!$C$9:$C$5008)-1)+$K$5535</f>
        <v>0.10542108421684256</v>
      </c>
    </row>
    <row r="5537" spans="8:11">
      <c r="H5537">
        <f>SMALL(SimData5000!$B$9:$B$5008,529)</f>
        <v>0.10573563072023347</v>
      </c>
      <c r="I5537">
        <f>1/(COUNT(SimData5000!$B$9:$B$5008)-1)+$I$5536</f>
        <v>0.10562112422484415</v>
      </c>
      <c r="J5537">
        <f>SMALL(SimData5000!$C$9:$C$5008,529)</f>
        <v>0.10340208795332728</v>
      </c>
      <c r="K5537">
        <f>1/(COUNT(SimData5000!$C$9:$C$5008)-1)+$K$5536</f>
        <v>0.10562112422484415</v>
      </c>
    </row>
    <row r="5538" spans="8:11">
      <c r="H5538">
        <f>SMALL(SimData5000!$B$9:$B$5008,530)</f>
        <v>0.10585079817577517</v>
      </c>
      <c r="I5538">
        <f>1/(COUNT(SimData5000!$B$9:$B$5008)-1)+$I$5537</f>
        <v>0.10582116423284575</v>
      </c>
      <c r="J5538">
        <f>SMALL(SimData5000!$C$9:$C$5008,530)</f>
        <v>0.1036823430831646</v>
      </c>
      <c r="K5538">
        <f>1/(COUNT(SimData5000!$C$9:$C$5008)-1)+$K$5537</f>
        <v>0.10582116423284575</v>
      </c>
    </row>
    <row r="5539" spans="8:11">
      <c r="H5539">
        <f>SMALL(SimData5000!$B$9:$B$5008,531)</f>
        <v>0.10608231715058962</v>
      </c>
      <c r="I5539">
        <f>1/(COUNT(SimData5000!$B$9:$B$5008)-1)+$I$5538</f>
        <v>0.10602120424084735</v>
      </c>
      <c r="J5539">
        <f>SMALL(SimData5000!$C$9:$C$5008,531)</f>
        <v>0.10389040053905774</v>
      </c>
      <c r="K5539">
        <f>1/(COUNT(SimData5000!$C$9:$C$5008)-1)+$K$5538</f>
        <v>0.10602120424084735</v>
      </c>
    </row>
    <row r="5540" spans="8:11">
      <c r="H5540">
        <f>SMALL(SimData5000!$B$9:$B$5008,532)</f>
        <v>0.10620632467018588</v>
      </c>
      <c r="I5540">
        <f>1/(COUNT(SimData5000!$B$9:$B$5008)-1)+$I$5539</f>
        <v>0.10622124424884895</v>
      </c>
      <c r="J5540">
        <f>SMALL(SimData5000!$C$9:$C$5008,532)</f>
        <v>0.10393883229608036</v>
      </c>
      <c r="K5540">
        <f>1/(COUNT(SimData5000!$C$9:$C$5008)-1)+$K$5539</f>
        <v>0.10622124424884895</v>
      </c>
    </row>
    <row r="5541" spans="8:11">
      <c r="H5541">
        <f>SMALL(SimData5000!$B$9:$B$5008,533)</f>
        <v>0.106433742400872</v>
      </c>
      <c r="I5541">
        <f>1/(COUNT(SimData5000!$B$9:$B$5008)-1)+$I$5540</f>
        <v>0.10642128425685055</v>
      </c>
      <c r="J5541">
        <f>SMALL(SimData5000!$C$9:$C$5008,533)</f>
        <v>0.10461947489602608</v>
      </c>
      <c r="K5541">
        <f>1/(COUNT(SimData5000!$C$9:$C$5008)-1)+$K$5540</f>
        <v>0.10642128425685055</v>
      </c>
    </row>
    <row r="5542" spans="8:11">
      <c r="H5542">
        <f>SMALL(SimData5000!$B$9:$B$5008,534)</f>
        <v>0.10672491517717132</v>
      </c>
      <c r="I5542">
        <f>1/(COUNT(SimData5000!$B$9:$B$5008)-1)+$I$5541</f>
        <v>0.10662132426485214</v>
      </c>
      <c r="J5542">
        <f>SMALL(SimData5000!$C$9:$C$5008,534)</f>
        <v>0.10466632984571334</v>
      </c>
      <c r="K5542">
        <f>1/(COUNT(SimData5000!$C$9:$C$5008)-1)+$K$5541</f>
        <v>0.10662132426485214</v>
      </c>
    </row>
    <row r="5543" spans="8:11">
      <c r="H5543">
        <f>SMALL(SimData5000!$B$9:$B$5008,535)</f>
        <v>0.10699982452038671</v>
      </c>
      <c r="I5543">
        <f>1/(COUNT(SimData5000!$B$9:$B$5008)-1)+$I$5542</f>
        <v>0.10682136427285374</v>
      </c>
      <c r="J5543">
        <f>SMALL(SimData5000!$C$9:$C$5008,535)</f>
        <v>0.10468751653615982</v>
      </c>
      <c r="K5543">
        <f>1/(COUNT(SimData5000!$C$9:$C$5008)-1)+$K$5542</f>
        <v>0.10682136427285374</v>
      </c>
    </row>
    <row r="5544" spans="8:11">
      <c r="H5544">
        <f>SMALL(SimData5000!$B$9:$B$5008,536)</f>
        <v>0.10704546414661349</v>
      </c>
      <c r="I5544">
        <f>1/(COUNT(SimData5000!$B$9:$B$5008)-1)+$I$5543</f>
        <v>0.10702140428085534</v>
      </c>
      <c r="J5544">
        <f>SMALL(SimData5000!$C$9:$C$5008,536)</f>
        <v>0.10471027263156429</v>
      </c>
      <c r="K5544">
        <f>1/(COUNT(SimData5000!$C$9:$C$5008)-1)+$K$5543</f>
        <v>0.10702140428085534</v>
      </c>
    </row>
    <row r="5545" spans="8:11">
      <c r="H5545">
        <f>SMALL(SimData5000!$B$9:$B$5008,537)</f>
        <v>0.10736601935167937</v>
      </c>
      <c r="I5545">
        <f>1/(COUNT(SimData5000!$B$9:$B$5008)-1)+$I$5544</f>
        <v>0.10722144428885694</v>
      </c>
      <c r="J5545">
        <f>SMALL(SimData5000!$C$9:$C$5008,537)</f>
        <v>0.10477154159525526</v>
      </c>
      <c r="K5545">
        <f>1/(COUNT(SimData5000!$C$9:$C$5008)-1)+$K$5544</f>
        <v>0.10722144428885694</v>
      </c>
    </row>
    <row r="5546" spans="8:11">
      <c r="H5546">
        <f>SMALL(SimData5000!$B$9:$B$5008,538)</f>
        <v>0.10749691819979271</v>
      </c>
      <c r="I5546">
        <f>1/(COUNT(SimData5000!$B$9:$B$5008)-1)+$I$5545</f>
        <v>0.10742148429685854</v>
      </c>
      <c r="J5546">
        <f>SMALL(SimData5000!$C$9:$C$5008,538)</f>
        <v>0.10482357859928015</v>
      </c>
      <c r="K5546">
        <f>1/(COUNT(SimData5000!$C$9:$C$5008)-1)+$K$5545</f>
        <v>0.10742148429685854</v>
      </c>
    </row>
    <row r="5547" spans="8:11">
      <c r="H5547">
        <f>SMALL(SimData5000!$B$9:$B$5008,539)</f>
        <v>0.10773508828555585</v>
      </c>
      <c r="I5547">
        <f>1/(COUNT(SimData5000!$B$9:$B$5008)-1)+$I$5546</f>
        <v>0.10762152430486013</v>
      </c>
      <c r="J5547">
        <f>SMALL(SimData5000!$C$9:$C$5008,539)</f>
        <v>0.10482730409330543</v>
      </c>
      <c r="K5547">
        <f>1/(COUNT(SimData5000!$C$9:$C$5008)-1)+$K$5546</f>
        <v>0.10762152430486013</v>
      </c>
    </row>
    <row r="5548" spans="8:11">
      <c r="H5548">
        <f>SMALL(SimData5000!$B$9:$B$5008,540)</f>
        <v>0.10781453138981353</v>
      </c>
      <c r="I5548">
        <f>1/(COUNT(SimData5000!$B$9:$B$5008)-1)+$I$5547</f>
        <v>0.10782156431286173</v>
      </c>
      <c r="J5548">
        <f>SMALL(SimData5000!$C$9:$C$5008,540)</f>
        <v>0.10487062724314455</v>
      </c>
      <c r="K5548">
        <f>1/(COUNT(SimData5000!$C$9:$C$5008)-1)+$K$5547</f>
        <v>0.10782156431286173</v>
      </c>
    </row>
    <row r="5549" spans="8:11">
      <c r="H5549">
        <f>SMALL(SimData5000!$B$9:$B$5008,541)</f>
        <v>0.10803285953552295</v>
      </c>
      <c r="I5549">
        <f>1/(COUNT(SimData5000!$B$9:$B$5008)-1)+$I$5548</f>
        <v>0.10802160432086333</v>
      </c>
      <c r="J5549">
        <f>SMALL(SimData5000!$C$9:$C$5008,541)</f>
        <v>0.10495508617259475</v>
      </c>
      <c r="K5549">
        <f>1/(COUNT(SimData5000!$C$9:$C$5008)-1)+$K$5548</f>
        <v>0.10802160432086333</v>
      </c>
    </row>
    <row r="5550" spans="8:11">
      <c r="H5550">
        <f>SMALL(SimData5000!$B$9:$B$5008,542)</f>
        <v>0.10836642128558979</v>
      </c>
      <c r="I5550">
        <f>1/(COUNT(SimData5000!$B$9:$B$5008)-1)+$I$5549</f>
        <v>0.10822164432886493</v>
      </c>
      <c r="J5550">
        <f>SMALL(SimData5000!$C$9:$C$5008,542)</f>
        <v>0.10513071221430437</v>
      </c>
      <c r="K5550">
        <f>1/(COUNT(SimData5000!$C$9:$C$5008)-1)+$K$5549</f>
        <v>0.10822164432886493</v>
      </c>
    </row>
    <row r="5551" spans="8:11">
      <c r="H5551">
        <f>SMALL(SimData5000!$B$9:$B$5008,543)</f>
        <v>0.10847025986096594</v>
      </c>
      <c r="I5551">
        <f>1/(COUNT(SimData5000!$B$9:$B$5008)-1)+$I$5550</f>
        <v>0.10842168433686653</v>
      </c>
      <c r="J5551">
        <f>SMALL(SimData5000!$C$9:$C$5008,543)</f>
        <v>0.1064640471167877</v>
      </c>
      <c r="K5551">
        <f>1/(COUNT(SimData5000!$C$9:$C$5008)-1)+$K$5550</f>
        <v>0.10842168433686653</v>
      </c>
    </row>
    <row r="5552" spans="8:11">
      <c r="H5552">
        <f>SMALL(SimData5000!$B$9:$B$5008,544)</f>
        <v>0.1087517215819917</v>
      </c>
      <c r="I5552">
        <f>1/(COUNT(SimData5000!$B$9:$B$5008)-1)+$I$5551</f>
        <v>0.10862172434486812</v>
      </c>
      <c r="J5552">
        <f>SMALL(SimData5000!$C$9:$C$5008,544)</f>
        <v>0.10658503595641378</v>
      </c>
      <c r="K5552">
        <f>1/(COUNT(SimData5000!$C$9:$C$5008)-1)+$K$5551</f>
        <v>0.10862172434486812</v>
      </c>
    </row>
    <row r="5553" spans="8:11">
      <c r="H5553">
        <f>SMALL(SimData5000!$B$9:$B$5008,545)</f>
        <v>0.10893393715553311</v>
      </c>
      <c r="I5553">
        <f>1/(COUNT(SimData5000!$B$9:$B$5008)-1)+$I$5552</f>
        <v>0.10882176435286972</v>
      </c>
      <c r="J5553">
        <f>SMALL(SimData5000!$C$9:$C$5008,545)</f>
        <v>0.10675781335612555</v>
      </c>
      <c r="K5553">
        <f>1/(COUNT(SimData5000!$C$9:$C$5008)-1)+$K$5552</f>
        <v>0.10882176435286972</v>
      </c>
    </row>
    <row r="5554" spans="8:11">
      <c r="H5554">
        <f>SMALL(SimData5000!$B$9:$B$5008,546)</f>
        <v>0.10916113576985922</v>
      </c>
      <c r="I5554">
        <f>1/(COUNT(SimData5000!$B$9:$B$5008)-1)+$I$5553</f>
        <v>0.10902180436087132</v>
      </c>
      <c r="J5554">
        <f>SMALL(SimData5000!$C$9:$C$5008,546)</f>
        <v>0.10686412035556714</v>
      </c>
      <c r="K5554">
        <f>1/(COUNT(SimData5000!$C$9:$C$5008)-1)+$K$5553</f>
        <v>0.10902180436087132</v>
      </c>
    </row>
    <row r="5555" spans="8:11">
      <c r="H5555">
        <f>SMALL(SimData5000!$B$9:$B$5008,547)</f>
        <v>0.10930114112992333</v>
      </c>
      <c r="I5555">
        <f>1/(COUNT(SimData5000!$B$9:$B$5008)-1)+$I$5554</f>
        <v>0.10922184436887292</v>
      </c>
      <c r="J5555">
        <f>SMALL(SimData5000!$C$9:$C$5008,547)</f>
        <v>0.10707068262399844</v>
      </c>
      <c r="K5555">
        <f>1/(COUNT(SimData5000!$C$9:$C$5008)-1)+$K$5554</f>
        <v>0.10922184436887292</v>
      </c>
    </row>
    <row r="5556" spans="8:11">
      <c r="H5556">
        <f>SMALL(SimData5000!$B$9:$B$5008,548)</f>
        <v>0.10957346779028267</v>
      </c>
      <c r="I5556">
        <f>1/(COUNT(SimData5000!$B$9:$B$5008)-1)+$I$5555</f>
        <v>0.10942188437687451</v>
      </c>
      <c r="J5556">
        <f>SMALL(SimData5000!$C$9:$C$5008,548)</f>
        <v>0.10710544454832416</v>
      </c>
      <c r="K5556">
        <f>1/(COUNT(SimData5000!$C$9:$C$5008)-1)+$K$5555</f>
        <v>0.10942188437687451</v>
      </c>
    </row>
    <row r="5557" spans="8:11">
      <c r="H5557">
        <f>SMALL(SimData5000!$B$9:$B$5008,549)</f>
        <v>0.10962327283048612</v>
      </c>
      <c r="I5557">
        <f>1/(COUNT(SimData5000!$B$9:$B$5008)-1)+$I$5556</f>
        <v>0.10962192438487611</v>
      </c>
      <c r="J5557">
        <f>SMALL(SimData5000!$C$9:$C$5008,549)</f>
        <v>0.10711445749620907</v>
      </c>
      <c r="K5557">
        <f>1/(COUNT(SimData5000!$C$9:$C$5008)-1)+$K$5556</f>
        <v>0.10962192438487611</v>
      </c>
    </row>
    <row r="5558" spans="8:11">
      <c r="H5558">
        <f>SMALL(SimData5000!$B$9:$B$5008,550)</f>
        <v>0.10981940058493508</v>
      </c>
      <c r="I5558">
        <f>1/(COUNT(SimData5000!$B$9:$B$5008)-1)+$I$5557</f>
        <v>0.10982196439287771</v>
      </c>
      <c r="J5558">
        <f>SMALL(SimData5000!$C$9:$C$5008,550)</f>
        <v>0.10717851177923876</v>
      </c>
      <c r="K5558">
        <f>1/(COUNT(SimData5000!$C$9:$C$5008)-1)+$K$5557</f>
        <v>0.10982196439287771</v>
      </c>
    </row>
    <row r="5559" spans="8:11">
      <c r="H5559">
        <f>SMALL(SimData5000!$B$9:$B$5008,551)</f>
        <v>0.11017822980153799</v>
      </c>
      <c r="I5559">
        <f>1/(COUNT(SimData5000!$B$9:$B$5008)-1)+$I$5558</f>
        <v>0.11002200440087931</v>
      </c>
      <c r="J5559">
        <f>SMALL(SimData5000!$C$9:$C$5008,551)</f>
        <v>0.10742008852957952</v>
      </c>
      <c r="K5559">
        <f>1/(COUNT(SimData5000!$C$9:$C$5008)-1)+$K$5558</f>
        <v>0.11002200440087931</v>
      </c>
    </row>
    <row r="5560" spans="8:11">
      <c r="H5560">
        <f>SMALL(SimData5000!$B$9:$B$5008,552)</f>
        <v>0.11023369764695728</v>
      </c>
      <c r="I5560">
        <f>1/(COUNT(SimData5000!$B$9:$B$5008)-1)+$I$5559</f>
        <v>0.11022204440888091</v>
      </c>
      <c r="J5560">
        <f>SMALL(SimData5000!$C$9:$C$5008,552)</f>
        <v>0.1074262451766117</v>
      </c>
      <c r="K5560">
        <f>1/(COUNT(SimData5000!$C$9:$C$5008)-1)+$K$5559</f>
        <v>0.11022204440888091</v>
      </c>
    </row>
    <row r="5561" spans="8:11">
      <c r="H5561">
        <f>SMALL(SimData5000!$B$9:$B$5008,553)</f>
        <v>0.11040977223878953</v>
      </c>
      <c r="I5561">
        <f>1/(COUNT(SimData5000!$B$9:$B$5008)-1)+$I$5560</f>
        <v>0.1104220844168825</v>
      </c>
      <c r="J5561">
        <f>SMALL(SimData5000!$C$9:$C$5008,553)</f>
        <v>0.10753355295400979</v>
      </c>
      <c r="K5561">
        <f>1/(COUNT(SimData5000!$C$9:$C$5008)-1)+$K$5560</f>
        <v>0.1104220844168825</v>
      </c>
    </row>
    <row r="5562" spans="8:11">
      <c r="H5562">
        <f>SMALL(SimData5000!$B$9:$B$5008,554)</f>
        <v>0.11073648373972078</v>
      </c>
      <c r="I5562">
        <f>1/(COUNT(SimData5000!$B$9:$B$5008)-1)+$I$5561</f>
        <v>0.1106221244248841</v>
      </c>
      <c r="J5562">
        <f>SMALL(SimData5000!$C$9:$C$5008,554)</f>
        <v>0.10806914195563877</v>
      </c>
      <c r="K5562">
        <f>1/(COUNT(SimData5000!$C$9:$C$5008)-1)+$K$5561</f>
        <v>0.1106221244248841</v>
      </c>
    </row>
    <row r="5563" spans="8:11">
      <c r="H5563">
        <f>SMALL(SimData5000!$B$9:$B$5008,555)</f>
        <v>0.11093156262178243</v>
      </c>
      <c r="I5563">
        <f>1/(COUNT(SimData5000!$B$9:$B$5008)-1)+$I$5562</f>
        <v>0.1108221644328857</v>
      </c>
      <c r="J5563">
        <f>SMALL(SimData5000!$C$9:$C$5008,555)</f>
        <v>0.10811799544080714</v>
      </c>
      <c r="K5563">
        <f>1/(COUNT(SimData5000!$C$9:$C$5008)-1)+$K$5562</f>
        <v>0.1108221644328857</v>
      </c>
    </row>
    <row r="5564" spans="8:11">
      <c r="H5564">
        <f>SMALL(SimData5000!$B$9:$B$5008,556)</f>
        <v>0.11110933413028469</v>
      </c>
      <c r="I5564">
        <f>1/(COUNT(SimData5000!$B$9:$B$5008)-1)+$I$5563</f>
        <v>0.1110222044408873</v>
      </c>
      <c r="J5564">
        <f>SMALL(SimData5000!$C$9:$C$5008,556)</f>
        <v>0.10840910531896952</v>
      </c>
      <c r="K5564">
        <f>1/(COUNT(SimData5000!$C$9:$C$5008)-1)+$K$5563</f>
        <v>0.1110222044408873</v>
      </c>
    </row>
    <row r="5565" spans="8:11">
      <c r="H5565">
        <f>SMALL(SimData5000!$B$9:$B$5008,557)</f>
        <v>0.11139503120640176</v>
      </c>
      <c r="I5565">
        <f>1/(COUNT(SimData5000!$B$9:$B$5008)-1)+$I$5564</f>
        <v>0.1112222444488889</v>
      </c>
      <c r="J5565">
        <f>SMALL(SimData5000!$C$9:$C$5008,557)</f>
        <v>0.10864433146070951</v>
      </c>
      <c r="K5565">
        <f>1/(COUNT(SimData5000!$C$9:$C$5008)-1)+$K$5564</f>
        <v>0.1112222444488889</v>
      </c>
    </row>
    <row r="5566" spans="8:11">
      <c r="H5566">
        <f>SMALL(SimData5000!$B$9:$B$5008,558)</f>
        <v>0.11147782584272274</v>
      </c>
      <c r="I5566">
        <f>1/(COUNT(SimData5000!$B$9:$B$5008)-1)+$I$5565</f>
        <v>0.11142228445689049</v>
      </c>
      <c r="J5566">
        <f>SMALL(SimData5000!$C$9:$C$5008,558)</f>
        <v>0.10873379453187226</v>
      </c>
      <c r="K5566">
        <f>1/(COUNT(SimData5000!$C$9:$C$5008)-1)+$K$5565</f>
        <v>0.11142228445689049</v>
      </c>
    </row>
    <row r="5567" spans="8:11">
      <c r="H5567">
        <f>SMALL(SimData5000!$B$9:$B$5008,559)</f>
        <v>0.1117792305390302</v>
      </c>
      <c r="I5567">
        <f>1/(COUNT(SimData5000!$B$9:$B$5008)-1)+$I$5566</f>
        <v>0.11162232446489209</v>
      </c>
      <c r="J5567">
        <f>SMALL(SimData5000!$C$9:$C$5008,559)</f>
        <v>0.10876177288719191</v>
      </c>
      <c r="K5567">
        <f>1/(COUNT(SimData5000!$C$9:$C$5008)-1)+$K$5566</f>
        <v>0.11162232446489209</v>
      </c>
    </row>
    <row r="5568" spans="8:11">
      <c r="H5568">
        <f>SMALL(SimData5000!$B$9:$B$5008,560)</f>
        <v>0.11184117944520926</v>
      </c>
      <c r="I5568">
        <f>1/(COUNT(SimData5000!$B$9:$B$5008)-1)+$I$5567</f>
        <v>0.11182236447289369</v>
      </c>
      <c r="J5568">
        <f>SMALL(SimData5000!$C$9:$C$5008,560)</f>
        <v>0.10905943060697609</v>
      </c>
      <c r="K5568">
        <f>1/(COUNT(SimData5000!$C$9:$C$5008)-1)+$K$5567</f>
        <v>0.11182236447289369</v>
      </c>
    </row>
    <row r="5569" spans="8:11">
      <c r="H5569">
        <f>SMALL(SimData5000!$B$9:$B$5008,561)</f>
        <v>0.11200455315113174</v>
      </c>
      <c r="I5569">
        <f>1/(COUNT(SimData5000!$B$9:$B$5008)-1)+$I$5568</f>
        <v>0.11202240448089529</v>
      </c>
      <c r="J5569">
        <f>SMALL(SimData5000!$C$9:$C$5008,561)</f>
        <v>0.10938823397282249</v>
      </c>
      <c r="K5569">
        <f>1/(COUNT(SimData5000!$C$9:$C$5008)-1)+$K$5568</f>
        <v>0.11202240448089529</v>
      </c>
    </row>
    <row r="5570" spans="8:11">
      <c r="H5570">
        <f>SMALL(SimData5000!$B$9:$B$5008,562)</f>
        <v>0.11234141922773361</v>
      </c>
      <c r="I5570">
        <f>1/(COUNT(SimData5000!$B$9:$B$5008)-1)+$I$5569</f>
        <v>0.11222244448889689</v>
      </c>
      <c r="J5570">
        <f>SMALL(SimData5000!$C$9:$C$5008,562)</f>
        <v>0.10943610276626714</v>
      </c>
      <c r="K5570">
        <f>1/(COUNT(SimData5000!$C$9:$C$5008)-1)+$K$5569</f>
        <v>0.11222244448889689</v>
      </c>
    </row>
    <row r="5571" spans="8:11">
      <c r="H5571">
        <f>SMALL(SimData5000!$B$9:$B$5008,563)</f>
        <v>0.11242474439177307</v>
      </c>
      <c r="I5571">
        <f>1/(COUNT(SimData5000!$B$9:$B$5008)-1)+$I$5570</f>
        <v>0.11242248449689848</v>
      </c>
      <c r="J5571">
        <f>SMALL(SimData5000!$C$9:$C$5008,563)</f>
        <v>0.10944158552047156</v>
      </c>
      <c r="K5571">
        <f>1/(COUNT(SimData5000!$C$9:$C$5008)-1)+$K$5570</f>
        <v>0.11242248449689848</v>
      </c>
    </row>
    <row r="5572" spans="8:11">
      <c r="H5572">
        <f>SMALL(SimData5000!$B$9:$B$5008,564)</f>
        <v>0.112791153264649</v>
      </c>
      <c r="I5572">
        <f>1/(COUNT(SimData5000!$B$9:$B$5008)-1)+$I$5571</f>
        <v>0.11262252450490008</v>
      </c>
      <c r="J5572">
        <f>SMALL(SimData5000!$C$9:$C$5008,564)</f>
        <v>0.10958872394806463</v>
      </c>
      <c r="K5572">
        <f>1/(COUNT(SimData5000!$C$9:$C$5008)-1)+$K$5571</f>
        <v>0.11262252450490008</v>
      </c>
    </row>
    <row r="5573" spans="8:11">
      <c r="H5573">
        <f>SMALL(SimData5000!$B$9:$B$5008,565)</f>
        <v>0.11293462136577224</v>
      </c>
      <c r="I5573">
        <f>1/(COUNT(SimData5000!$B$9:$B$5008)-1)+$I$5572</f>
        <v>0.11282256451290168</v>
      </c>
      <c r="J5573">
        <f>SMALL(SimData5000!$C$9:$C$5008,565)</f>
        <v>0.11001420866159606</v>
      </c>
      <c r="K5573">
        <f>1/(COUNT(SimData5000!$C$9:$C$5008)-1)+$K$5572</f>
        <v>0.11282256451290168</v>
      </c>
    </row>
    <row r="5574" spans="8:11">
      <c r="H5574">
        <f>SMALL(SimData5000!$B$9:$B$5008,566)</f>
        <v>0.11301634373078502</v>
      </c>
      <c r="I5574">
        <f>1/(COUNT(SimData5000!$B$9:$B$5008)-1)+$I$5573</f>
        <v>0.11302260452090328</v>
      </c>
      <c r="J5574">
        <f>SMALL(SimData5000!$C$9:$C$5008,566)</f>
        <v>0.11031256420301361</v>
      </c>
      <c r="K5574">
        <f>1/(COUNT(SimData5000!$C$9:$C$5008)-1)+$K$5573</f>
        <v>0.11302260452090328</v>
      </c>
    </row>
    <row r="5575" spans="8:11">
      <c r="H5575">
        <f>SMALL(SimData5000!$B$9:$B$5008,567)</f>
        <v>0.11331840866732375</v>
      </c>
      <c r="I5575">
        <f>1/(COUNT(SimData5000!$B$9:$B$5008)-1)+$I$5574</f>
        <v>0.11322264452890488</v>
      </c>
      <c r="J5575">
        <f>SMALL(SimData5000!$C$9:$C$5008,567)</f>
        <v>0.11050647862521146</v>
      </c>
      <c r="K5575">
        <f>1/(COUNT(SimData5000!$C$9:$C$5008)-1)+$K$5574</f>
        <v>0.11322264452890488</v>
      </c>
    </row>
    <row r="5576" spans="8:11">
      <c r="H5576">
        <f>SMALL(SimData5000!$B$9:$B$5008,568)</f>
        <v>0.11348572030418687</v>
      </c>
      <c r="I5576">
        <f>1/(COUNT(SimData5000!$B$9:$B$5008)-1)+$I$5575</f>
        <v>0.11342268453690647</v>
      </c>
      <c r="J5576">
        <f>SMALL(SimData5000!$C$9:$C$5008,568)</f>
        <v>0.11050651072036999</v>
      </c>
      <c r="K5576">
        <f>1/(COUNT(SimData5000!$C$9:$C$5008)-1)+$K$5575</f>
        <v>0.11342268453690647</v>
      </c>
    </row>
    <row r="5577" spans="8:11">
      <c r="H5577">
        <f>SMALL(SimData5000!$B$9:$B$5008,569)</f>
        <v>0.11360765335862702</v>
      </c>
      <c r="I5577">
        <f>1/(COUNT(SimData5000!$B$9:$B$5008)-1)+$I$5576</f>
        <v>0.11362272454490807</v>
      </c>
      <c r="J5577">
        <f>SMALL(SimData5000!$C$9:$C$5008,569)</f>
        <v>0.11063598755390558</v>
      </c>
      <c r="K5577">
        <f>1/(COUNT(SimData5000!$C$9:$C$5008)-1)+$K$5576</f>
        <v>0.11362272454490807</v>
      </c>
    </row>
    <row r="5578" spans="8:11">
      <c r="H5578">
        <f>SMALL(SimData5000!$B$9:$B$5008,570)</f>
        <v>0.11396714388601649</v>
      </c>
      <c r="I5578">
        <f>1/(COUNT(SimData5000!$B$9:$B$5008)-1)+$I$5577</f>
        <v>0.11382276455290967</v>
      </c>
      <c r="J5578">
        <f>SMALL(SimData5000!$C$9:$C$5008,570)</f>
        <v>0.11114503208318638</v>
      </c>
      <c r="K5578">
        <f>1/(COUNT(SimData5000!$C$9:$C$5008)-1)+$K$5577</f>
        <v>0.11382276455290967</v>
      </c>
    </row>
    <row r="5579" spans="8:11">
      <c r="H5579">
        <f>SMALL(SimData5000!$B$9:$B$5008,571)</f>
        <v>0.11409788113448253</v>
      </c>
      <c r="I5579">
        <f>1/(COUNT(SimData5000!$B$9:$B$5008)-1)+$I$5578</f>
        <v>0.11402280456091127</v>
      </c>
      <c r="J5579">
        <f>SMALL(SimData5000!$C$9:$C$5008,571)</f>
        <v>0.11118313466704421</v>
      </c>
      <c r="K5579">
        <f>1/(COUNT(SimData5000!$C$9:$C$5008)-1)+$K$5578</f>
        <v>0.11402280456091127</v>
      </c>
    </row>
    <row r="5580" spans="8:11">
      <c r="H5580">
        <f>SMALL(SimData5000!$B$9:$B$5008,572)</f>
        <v>0.11425128148180695</v>
      </c>
      <c r="I5580">
        <f>1/(COUNT(SimData5000!$B$9:$B$5008)-1)+$I$5579</f>
        <v>0.11422284456891287</v>
      </c>
      <c r="J5580">
        <f>SMALL(SimData5000!$C$9:$C$5008,572)</f>
        <v>0.11125560574419069</v>
      </c>
      <c r="K5580">
        <f>1/(COUNT(SimData5000!$C$9:$C$5008)-1)+$K$5579</f>
        <v>0.11422284456891287</v>
      </c>
    </row>
    <row r="5581" spans="8:11">
      <c r="H5581">
        <f>SMALL(SimData5000!$B$9:$B$5008,573)</f>
        <v>0.11459006620892091</v>
      </c>
      <c r="I5581">
        <f>1/(COUNT(SimData5000!$B$9:$B$5008)-1)+$I$5580</f>
        <v>0.11442288457691446</v>
      </c>
      <c r="J5581">
        <f>SMALL(SimData5000!$C$9:$C$5008,573)</f>
        <v>0.11131147733703983</v>
      </c>
      <c r="K5581">
        <f>1/(COUNT(SimData5000!$C$9:$C$5008)-1)+$K$5580</f>
        <v>0.11442288457691446</v>
      </c>
    </row>
    <row r="5582" spans="8:11">
      <c r="H5582">
        <f>SMALL(SimData5000!$B$9:$B$5008,574)</f>
        <v>0.11479901497787773</v>
      </c>
      <c r="I5582">
        <f>1/(COUNT(SimData5000!$B$9:$B$5008)-1)+$I$5581</f>
        <v>0.11462292458491606</v>
      </c>
      <c r="J5582">
        <f>SMALL(SimData5000!$C$9:$C$5008,574)</f>
        <v>0.11145340380153357</v>
      </c>
      <c r="K5582">
        <f>1/(COUNT(SimData5000!$C$9:$C$5008)-1)+$K$5581</f>
        <v>0.11462292458491606</v>
      </c>
    </row>
    <row r="5583" spans="8:11">
      <c r="H5583">
        <f>SMALL(SimData5000!$B$9:$B$5008,575)</f>
        <v>0.11494344284481915</v>
      </c>
      <c r="I5583">
        <f>1/(COUNT(SimData5000!$B$9:$B$5008)-1)+$I$5582</f>
        <v>0.11482296459291766</v>
      </c>
      <c r="J5583">
        <f>SMALL(SimData5000!$C$9:$C$5008,575)</f>
        <v>0.1118241138101439</v>
      </c>
      <c r="K5583">
        <f>1/(COUNT(SimData5000!$C$9:$C$5008)-1)+$K$5582</f>
        <v>0.11482296459291766</v>
      </c>
    </row>
    <row r="5584" spans="8:11">
      <c r="H5584">
        <f>SMALL(SimData5000!$B$9:$B$5008,576)</f>
        <v>0.1150387412416839</v>
      </c>
      <c r="I5584">
        <f>1/(COUNT(SimData5000!$B$9:$B$5008)-1)+$I$5583</f>
        <v>0.11502300460091926</v>
      </c>
      <c r="J5584">
        <f>SMALL(SimData5000!$C$9:$C$5008,576)</f>
        <v>0.11189707178527897</v>
      </c>
      <c r="K5584">
        <f>1/(COUNT(SimData5000!$C$9:$C$5008)-1)+$K$5583</f>
        <v>0.11502300460091926</v>
      </c>
    </row>
    <row r="5585" spans="8:11">
      <c r="H5585">
        <f>SMALL(SimData5000!$B$9:$B$5008,577)</f>
        <v>0.11531894827133951</v>
      </c>
      <c r="I5585">
        <f>1/(COUNT(SimData5000!$B$9:$B$5008)-1)+$I$5584</f>
        <v>0.11522304460892085</v>
      </c>
      <c r="J5585">
        <f>SMALL(SimData5000!$C$9:$C$5008,577)</f>
        <v>0.1120888517361891</v>
      </c>
      <c r="K5585">
        <f>1/(COUNT(SimData5000!$C$9:$C$5008)-1)+$K$5584</f>
        <v>0.11522304460892085</v>
      </c>
    </row>
    <row r="5586" spans="8:11">
      <c r="H5586">
        <f>SMALL(SimData5000!$B$9:$B$5008,578)</f>
        <v>0.11559551036162197</v>
      </c>
      <c r="I5586">
        <f>1/(COUNT(SimData5000!$B$9:$B$5008)-1)+$I$5585</f>
        <v>0.11542308461692245</v>
      </c>
      <c r="J5586">
        <f>SMALL(SimData5000!$C$9:$C$5008,578)</f>
        <v>0.11260873546325456</v>
      </c>
      <c r="K5586">
        <f>1/(COUNT(SimData5000!$C$9:$C$5008)-1)+$K$5585</f>
        <v>0.11542308461692245</v>
      </c>
    </row>
    <row r="5587" spans="8:11">
      <c r="H5587">
        <f>SMALL(SimData5000!$B$9:$B$5008,579)</f>
        <v>0.11564696287714107</v>
      </c>
      <c r="I5587">
        <f>1/(COUNT(SimData5000!$B$9:$B$5008)-1)+$I$5586</f>
        <v>0.11562312462492405</v>
      </c>
      <c r="J5587">
        <f>SMALL(SimData5000!$C$9:$C$5008,579)</f>
        <v>0.1126593927920112</v>
      </c>
      <c r="K5587">
        <f>1/(COUNT(SimData5000!$C$9:$C$5008)-1)+$K$5586</f>
        <v>0.11562312462492405</v>
      </c>
    </row>
    <row r="5588" spans="8:11">
      <c r="H5588">
        <f>SMALL(SimData5000!$B$9:$B$5008,580)</f>
        <v>0.11584432360153746</v>
      </c>
      <c r="I5588">
        <f>1/(COUNT(SimData5000!$B$9:$B$5008)-1)+$I$5587</f>
        <v>0.11582316463292565</v>
      </c>
      <c r="J5588">
        <f>SMALL(SimData5000!$C$9:$C$5008,580)</f>
        <v>0.11307205253615393</v>
      </c>
      <c r="K5588">
        <f>1/(COUNT(SimData5000!$C$9:$C$5008)-1)+$K$5587</f>
        <v>0.11582316463292565</v>
      </c>
    </row>
    <row r="5589" spans="8:11">
      <c r="H5589">
        <f>SMALL(SimData5000!$B$9:$B$5008,581)</f>
        <v>0.11613465782192878</v>
      </c>
      <c r="I5589">
        <f>1/(COUNT(SimData5000!$B$9:$B$5008)-1)+$I$5588</f>
        <v>0.11602320464092725</v>
      </c>
      <c r="J5589">
        <f>SMALL(SimData5000!$C$9:$C$5008,581)</f>
        <v>0.11358883275443077</v>
      </c>
      <c r="K5589">
        <f>1/(COUNT(SimData5000!$C$9:$C$5008)-1)+$K$5588</f>
        <v>0.11602320464092725</v>
      </c>
    </row>
    <row r="5590" spans="8:11">
      <c r="H5590">
        <f>SMALL(SimData5000!$B$9:$B$5008,582)</f>
        <v>0.11629672180742413</v>
      </c>
      <c r="I5590">
        <f>1/(COUNT(SimData5000!$B$9:$B$5008)-1)+$I$5589</f>
        <v>0.11622324464892884</v>
      </c>
      <c r="J5590">
        <f>SMALL(SimData5000!$C$9:$C$5008,582)</f>
        <v>0.11360378841345664</v>
      </c>
      <c r="K5590">
        <f>1/(COUNT(SimData5000!$C$9:$C$5008)-1)+$K$5589</f>
        <v>0.11622324464892884</v>
      </c>
    </row>
    <row r="5591" spans="8:11">
      <c r="H5591">
        <f>SMALL(SimData5000!$B$9:$B$5008,583)</f>
        <v>0.11655432708676772</v>
      </c>
      <c r="I5591">
        <f>1/(COUNT(SimData5000!$B$9:$B$5008)-1)+$I$5590</f>
        <v>0.11642328465693044</v>
      </c>
      <c r="J5591">
        <f>SMALL(SimData5000!$C$9:$C$5008,583)</f>
        <v>0.11374317999980121</v>
      </c>
      <c r="K5591">
        <f>1/(COUNT(SimData5000!$C$9:$C$5008)-1)+$K$5590</f>
        <v>0.11642328465693044</v>
      </c>
    </row>
    <row r="5592" spans="8:11">
      <c r="H5592">
        <f>SMALL(SimData5000!$B$9:$B$5008,584)</f>
        <v>0.11664556489336435</v>
      </c>
      <c r="I5592">
        <f>1/(COUNT(SimData5000!$B$9:$B$5008)-1)+$I$5591</f>
        <v>0.11662332466493204</v>
      </c>
      <c r="J5592">
        <f>SMALL(SimData5000!$C$9:$C$5008,584)</f>
        <v>0.11391130320771481</v>
      </c>
      <c r="K5592">
        <f>1/(COUNT(SimData5000!$C$9:$C$5008)-1)+$K$5591</f>
        <v>0.11662332466493204</v>
      </c>
    </row>
    <row r="5593" spans="8:11">
      <c r="H5593">
        <f>SMALL(SimData5000!$B$9:$B$5008,585)</f>
        <v>0.11698007436166054</v>
      </c>
      <c r="I5593">
        <f>1/(COUNT(SimData5000!$B$9:$B$5008)-1)+$I$5592</f>
        <v>0.11682336467293364</v>
      </c>
      <c r="J5593">
        <f>SMALL(SimData5000!$C$9:$C$5008,585)</f>
        <v>0.11413271236142464</v>
      </c>
      <c r="K5593">
        <f>1/(COUNT(SimData5000!$C$9:$C$5008)-1)+$K$5592</f>
        <v>0.11682336467293364</v>
      </c>
    </row>
    <row r="5594" spans="8:11">
      <c r="H5594">
        <f>SMALL(SimData5000!$B$9:$B$5008,586)</f>
        <v>0.11702240781169905</v>
      </c>
      <c r="I5594">
        <f>1/(COUNT(SimData5000!$B$9:$B$5008)-1)+$I$5593</f>
        <v>0.11702340468093524</v>
      </c>
      <c r="J5594">
        <f>SMALL(SimData5000!$C$9:$C$5008,586)</f>
        <v>0.11462781320369686</v>
      </c>
      <c r="K5594">
        <f>1/(COUNT(SimData5000!$C$9:$C$5008)-1)+$K$5593</f>
        <v>0.11702340468093524</v>
      </c>
    </row>
    <row r="5595" spans="8:11">
      <c r="H5595">
        <f>SMALL(SimData5000!$B$9:$B$5008,587)</f>
        <v>0.11727406227217849</v>
      </c>
      <c r="I5595">
        <f>1/(COUNT(SimData5000!$B$9:$B$5008)-1)+$I$5594</f>
        <v>0.11722344468893683</v>
      </c>
      <c r="J5595">
        <f>SMALL(SimData5000!$C$9:$C$5008,587)</f>
        <v>0.11481786678905337</v>
      </c>
      <c r="K5595">
        <f>1/(COUNT(SimData5000!$C$9:$C$5008)-1)+$K$5594</f>
        <v>0.11722344468893683</v>
      </c>
    </row>
    <row r="5596" spans="8:11">
      <c r="H5596">
        <f>SMALL(SimData5000!$B$9:$B$5008,588)</f>
        <v>0.11740685263117935</v>
      </c>
      <c r="I5596">
        <f>1/(COUNT(SimData5000!$B$9:$B$5008)-1)+$I$5595</f>
        <v>0.11742348469693843</v>
      </c>
      <c r="J5596">
        <f>SMALL(SimData5000!$C$9:$C$5008,588)</f>
        <v>0.11519578575462219</v>
      </c>
      <c r="K5596">
        <f>1/(COUNT(SimData5000!$C$9:$C$5008)-1)+$K$5595</f>
        <v>0.11742348469693843</v>
      </c>
    </row>
    <row r="5597" spans="8:11">
      <c r="H5597">
        <f>SMALL(SimData5000!$B$9:$B$5008,589)</f>
        <v>0.11763919225578177</v>
      </c>
      <c r="I5597">
        <f>1/(COUNT(SimData5000!$B$9:$B$5008)-1)+$I$5596</f>
        <v>0.11762352470494003</v>
      </c>
      <c r="J5597">
        <f>SMALL(SimData5000!$C$9:$C$5008,589)</f>
        <v>0.11527704278068995</v>
      </c>
      <c r="K5597">
        <f>1/(COUNT(SimData5000!$C$9:$C$5008)-1)+$K$5596</f>
        <v>0.11762352470494003</v>
      </c>
    </row>
    <row r="5598" spans="8:11">
      <c r="H5598">
        <f>SMALL(SimData5000!$B$9:$B$5008,590)</f>
        <v>0.11780524252904702</v>
      </c>
      <c r="I5598">
        <f>1/(COUNT(SimData5000!$B$9:$B$5008)-1)+$I$5597</f>
        <v>0.11782356471294163</v>
      </c>
      <c r="J5598">
        <f>SMALL(SimData5000!$C$9:$C$5008,590)</f>
        <v>0.11565175823488971</v>
      </c>
      <c r="K5598">
        <f>1/(COUNT(SimData5000!$C$9:$C$5008)-1)+$K$5597</f>
        <v>0.11782356471294163</v>
      </c>
    </row>
    <row r="5599" spans="8:11">
      <c r="H5599">
        <f>SMALL(SimData5000!$B$9:$B$5008,591)</f>
        <v>0.1181358490078095</v>
      </c>
      <c r="I5599">
        <f>1/(COUNT(SimData5000!$B$9:$B$5008)-1)+$I$5598</f>
        <v>0.11802360472094323</v>
      </c>
      <c r="J5599">
        <f>SMALL(SimData5000!$C$9:$C$5008,591)</f>
        <v>0.11567744199965091</v>
      </c>
      <c r="K5599">
        <f>1/(COUNT(SimData5000!$C$9:$C$5008)-1)+$K$5598</f>
        <v>0.11802360472094323</v>
      </c>
    </row>
    <row r="5600" spans="8:11">
      <c r="H5600">
        <f>SMALL(SimData5000!$B$9:$B$5008,592)</f>
        <v>0.11839187181028349</v>
      </c>
      <c r="I5600">
        <f>1/(COUNT(SimData5000!$B$9:$B$5008)-1)+$I$5599</f>
        <v>0.11822364472894482</v>
      </c>
      <c r="J5600">
        <f>SMALL(SimData5000!$C$9:$C$5008,592)</f>
        <v>0.11568401719341637</v>
      </c>
      <c r="K5600">
        <f>1/(COUNT(SimData5000!$C$9:$C$5008)-1)+$K$5599</f>
        <v>0.11822364472894482</v>
      </c>
    </row>
    <row r="5601" spans="8:11">
      <c r="H5601">
        <f>SMALL(SimData5000!$B$9:$B$5008,593)</f>
        <v>0.1185186669750881</v>
      </c>
      <c r="I5601">
        <f>1/(COUNT(SimData5000!$B$9:$B$5008)-1)+$I$5600</f>
        <v>0.11842368473694642</v>
      </c>
      <c r="J5601">
        <f>SMALL(SimData5000!$C$9:$C$5008,593)</f>
        <v>0.11589123932117218</v>
      </c>
      <c r="K5601">
        <f>1/(COUNT(SimData5000!$C$9:$C$5008)-1)+$K$5600</f>
        <v>0.11842368473694642</v>
      </c>
    </row>
    <row r="5602" spans="8:11">
      <c r="H5602">
        <f>SMALL(SimData5000!$B$9:$B$5008,594)</f>
        <v>0.11872373547170398</v>
      </c>
      <c r="I5602">
        <f>1/(COUNT(SimData5000!$B$9:$B$5008)-1)+$I$5601</f>
        <v>0.11862372474494802</v>
      </c>
      <c r="J5602">
        <f>SMALL(SimData5000!$C$9:$C$5008,594)</f>
        <v>0.11602362116900622</v>
      </c>
      <c r="K5602">
        <f>1/(COUNT(SimData5000!$C$9:$C$5008)-1)+$K$5601</f>
        <v>0.11862372474494802</v>
      </c>
    </row>
    <row r="5603" spans="8:11">
      <c r="H5603">
        <f>SMALL(SimData5000!$B$9:$B$5008,595)</f>
        <v>0.11892635202834531</v>
      </c>
      <c r="I5603">
        <f>1/(COUNT(SimData5000!$B$9:$B$5008)-1)+$I$5602</f>
        <v>0.11882376475294962</v>
      </c>
      <c r="J5603">
        <f>SMALL(SimData5000!$C$9:$C$5008,595)</f>
        <v>0.11605109635274857</v>
      </c>
      <c r="K5603">
        <f>1/(COUNT(SimData5000!$C$9:$C$5008)-1)+$K$5602</f>
        <v>0.11882376475294962</v>
      </c>
    </row>
    <row r="5604" spans="8:11">
      <c r="H5604">
        <f>SMALL(SimData5000!$B$9:$B$5008,596)</f>
        <v>0.11911020971692872</v>
      </c>
      <c r="I5604">
        <f>1/(COUNT(SimData5000!$B$9:$B$5008)-1)+$I$5603</f>
        <v>0.11902380476095122</v>
      </c>
      <c r="J5604">
        <f>SMALL(SimData5000!$C$9:$C$5008,596)</f>
        <v>0.11609393128037482</v>
      </c>
      <c r="K5604">
        <f>1/(COUNT(SimData5000!$C$9:$C$5008)-1)+$K$5603</f>
        <v>0.11902380476095122</v>
      </c>
    </row>
    <row r="5605" spans="8:11">
      <c r="H5605">
        <f>SMALL(SimData5000!$B$9:$B$5008,597)</f>
        <v>0.11939422001512587</v>
      </c>
      <c r="I5605">
        <f>1/(COUNT(SimData5000!$B$9:$B$5008)-1)+$I$5604</f>
        <v>0.11922384476895281</v>
      </c>
      <c r="J5605">
        <f>SMALL(SimData5000!$C$9:$C$5008,597)</f>
        <v>0.11655014779626072</v>
      </c>
      <c r="K5605">
        <f>1/(COUNT(SimData5000!$C$9:$C$5008)-1)+$K$5604</f>
        <v>0.11922384476895281</v>
      </c>
    </row>
    <row r="5606" spans="8:11">
      <c r="H5606">
        <f>SMALL(SimData5000!$B$9:$B$5008,598)</f>
        <v>0.11945941626673084</v>
      </c>
      <c r="I5606">
        <f>1/(COUNT(SimData5000!$B$9:$B$5008)-1)+$I$5605</f>
        <v>0.11942388477695441</v>
      </c>
      <c r="J5606">
        <f>SMALL(SimData5000!$C$9:$C$5008,598)</f>
        <v>0.11690804831778223</v>
      </c>
      <c r="K5606">
        <f>1/(COUNT(SimData5000!$C$9:$C$5008)-1)+$K$5605</f>
        <v>0.11942388477695441</v>
      </c>
    </row>
    <row r="5607" spans="8:11">
      <c r="H5607">
        <f>SMALL(SimData5000!$B$9:$B$5008,599)</f>
        <v>0.11960558064300697</v>
      </c>
      <c r="I5607">
        <f>1/(COUNT(SimData5000!$B$9:$B$5008)-1)+$I$5606</f>
        <v>0.11962392478495601</v>
      </c>
      <c r="J5607">
        <f>SMALL(SimData5000!$C$9:$C$5008,599)</f>
        <v>0.11691144017913757</v>
      </c>
      <c r="K5607">
        <f>1/(COUNT(SimData5000!$C$9:$C$5008)-1)+$K$5606</f>
        <v>0.11962392478495601</v>
      </c>
    </row>
    <row r="5608" spans="8:11">
      <c r="H5608">
        <f>SMALL(SimData5000!$B$9:$B$5008,600)</f>
        <v>0.1198502285836847</v>
      </c>
      <c r="I5608">
        <f>1/(COUNT(SimData5000!$B$9:$B$5008)-1)+$I$5607</f>
        <v>0.11982396479295761</v>
      </c>
      <c r="J5608">
        <f>SMALL(SimData5000!$C$9:$C$5008,600)</f>
        <v>0.11753323081666167</v>
      </c>
      <c r="K5608">
        <f>1/(COUNT(SimData5000!$C$9:$C$5008)-1)+$K$5607</f>
        <v>0.11982396479295761</v>
      </c>
    </row>
    <row r="5609" spans="8:11">
      <c r="H5609">
        <f>SMALL(SimData5000!$B$9:$B$5008,601)</f>
        <v>0.12005600063462182</v>
      </c>
      <c r="I5609">
        <f>1/(COUNT(SimData5000!$B$9:$B$5008)-1)+$I$5608</f>
        <v>0.12002400480095921</v>
      </c>
      <c r="J5609">
        <f>SMALL(SimData5000!$C$9:$C$5008,601)</f>
        <v>0.11753880522519466</v>
      </c>
      <c r="K5609">
        <f>1/(COUNT(SimData5000!$C$9:$C$5008)-1)+$K$5608</f>
        <v>0.12002400480095921</v>
      </c>
    </row>
    <row r="5610" spans="8:11">
      <c r="H5610">
        <f>SMALL(SimData5000!$B$9:$B$5008,602)</f>
        <v>0.1203572691848402</v>
      </c>
      <c r="I5610">
        <f>1/(COUNT(SimData5000!$B$9:$B$5008)-1)+$I$5609</f>
        <v>0.1202240448089608</v>
      </c>
      <c r="J5610">
        <f>SMALL(SimData5000!$C$9:$C$5008,602)</f>
        <v>0.11786562043016602</v>
      </c>
      <c r="K5610">
        <f>1/(COUNT(SimData5000!$C$9:$C$5008)-1)+$K$5609</f>
        <v>0.1202240448089608</v>
      </c>
    </row>
    <row r="5611" spans="8:11">
      <c r="H5611">
        <f>SMALL(SimData5000!$B$9:$B$5008,603)</f>
        <v>0.12054926784982656</v>
      </c>
      <c r="I5611">
        <f>1/(COUNT(SimData5000!$B$9:$B$5008)-1)+$I$5610</f>
        <v>0.1204240848169624</v>
      </c>
      <c r="J5611">
        <f>SMALL(SimData5000!$C$9:$C$5008,603)</f>
        <v>0.11811961291641637</v>
      </c>
      <c r="K5611">
        <f>1/(COUNT(SimData5000!$C$9:$C$5008)-1)+$K$5610</f>
        <v>0.1204240848169624</v>
      </c>
    </row>
    <row r="5612" spans="8:11">
      <c r="H5612">
        <f>SMALL(SimData5000!$B$9:$B$5008,604)</f>
        <v>0.12071589070249254</v>
      </c>
      <c r="I5612">
        <f>1/(COUNT(SimData5000!$B$9:$B$5008)-1)+$I$5611</f>
        <v>0.120624124824964</v>
      </c>
      <c r="J5612">
        <f>SMALL(SimData5000!$C$9:$C$5008,604)</f>
        <v>0.11816869073481939</v>
      </c>
      <c r="K5612">
        <f>1/(COUNT(SimData5000!$C$9:$C$5008)-1)+$K$5611</f>
        <v>0.120624124824964</v>
      </c>
    </row>
    <row r="5613" spans="8:11">
      <c r="H5613">
        <f>SMALL(SimData5000!$B$9:$B$5008,605)</f>
        <v>0.12088510155232741</v>
      </c>
      <c r="I5613">
        <f>1/(COUNT(SimData5000!$B$9:$B$5008)-1)+$I$5612</f>
        <v>0.1208241648329656</v>
      </c>
      <c r="J5613">
        <f>SMALL(SimData5000!$C$9:$C$5008,605)</f>
        <v>0.11859984632064879</v>
      </c>
      <c r="K5613">
        <f>1/(COUNT(SimData5000!$C$9:$C$5008)-1)+$K$5612</f>
        <v>0.1208241648329656</v>
      </c>
    </row>
    <row r="5614" spans="8:11">
      <c r="H5614">
        <f>SMALL(SimData5000!$B$9:$B$5008,606)</f>
        <v>0.12116025567337876</v>
      </c>
      <c r="I5614">
        <f>1/(COUNT(SimData5000!$B$9:$B$5008)-1)+$I$5613</f>
        <v>0.12102420484096719</v>
      </c>
      <c r="J5614">
        <f>SMALL(SimData5000!$C$9:$C$5008,606)</f>
        <v>0.11864122613405925</v>
      </c>
      <c r="K5614">
        <f>1/(COUNT(SimData5000!$C$9:$C$5008)-1)+$K$5613</f>
        <v>0.12102420484096719</v>
      </c>
    </row>
    <row r="5615" spans="8:11">
      <c r="H5615">
        <f>SMALL(SimData5000!$B$9:$B$5008,607)</f>
        <v>0.12130267201394369</v>
      </c>
      <c r="I5615">
        <f>1/(COUNT(SimData5000!$B$9:$B$5008)-1)+$I$5614</f>
        <v>0.12122424484896879</v>
      </c>
      <c r="J5615">
        <f>SMALL(SimData5000!$C$9:$C$5008,607)</f>
        <v>0.11904094002966303</v>
      </c>
      <c r="K5615">
        <f>1/(COUNT(SimData5000!$C$9:$C$5008)-1)+$K$5614</f>
        <v>0.12122424484896879</v>
      </c>
    </row>
    <row r="5616" spans="8:11">
      <c r="H5616">
        <f>SMALL(SimData5000!$B$9:$B$5008,608)</f>
        <v>0.12145387223345551</v>
      </c>
      <c r="I5616">
        <f>1/(COUNT(SimData5000!$B$9:$B$5008)-1)+$I$5615</f>
        <v>0.12142428485697039</v>
      </c>
      <c r="J5616">
        <f>SMALL(SimData5000!$C$9:$C$5008,608)</f>
        <v>0.11935942864056415</v>
      </c>
      <c r="K5616">
        <f>1/(COUNT(SimData5000!$C$9:$C$5008)-1)+$K$5615</f>
        <v>0.12142428485697039</v>
      </c>
    </row>
    <row r="5617" spans="8:11">
      <c r="H5617">
        <f>SMALL(SimData5000!$B$9:$B$5008,609)</f>
        <v>0.12160039609740497</v>
      </c>
      <c r="I5617">
        <f>1/(COUNT(SimData5000!$B$9:$B$5008)-1)+$I$5616</f>
        <v>0.12162432486497199</v>
      </c>
      <c r="J5617">
        <f>SMALL(SimData5000!$C$9:$C$5008,609)</f>
        <v>0.11940883424722415</v>
      </c>
      <c r="K5617">
        <f>1/(COUNT(SimData5000!$C$9:$C$5008)-1)+$K$5616</f>
        <v>0.12162432486497199</v>
      </c>
    </row>
    <row r="5618" spans="8:11">
      <c r="H5618">
        <f>SMALL(SimData5000!$B$9:$B$5008,610)</f>
        <v>0.12188950685921347</v>
      </c>
      <c r="I5618">
        <f>1/(COUNT(SimData5000!$B$9:$B$5008)-1)+$I$5617</f>
        <v>0.12182436487297359</v>
      </c>
      <c r="J5618">
        <f>SMALL(SimData5000!$C$9:$C$5008,610)</f>
        <v>0.11950806761251442</v>
      </c>
      <c r="K5618">
        <f>1/(COUNT(SimData5000!$C$9:$C$5008)-1)+$K$5617</f>
        <v>0.12182436487297359</v>
      </c>
    </row>
    <row r="5619" spans="8:11">
      <c r="H5619">
        <f>SMALL(SimData5000!$B$9:$B$5008,611)</f>
        <v>0.12207334617638806</v>
      </c>
      <c r="I5619">
        <f>1/(COUNT(SimData5000!$B$9:$B$5008)-1)+$I$5618</f>
        <v>0.12202440488097518</v>
      </c>
      <c r="J5619">
        <f>SMALL(SimData5000!$C$9:$C$5008,611)</f>
        <v>0.11986657980742166</v>
      </c>
      <c r="K5619">
        <f>1/(COUNT(SimData5000!$C$9:$C$5008)-1)+$K$5618</f>
        <v>0.12202440488097518</v>
      </c>
    </row>
    <row r="5620" spans="8:11">
      <c r="H5620">
        <f>SMALL(SimData5000!$B$9:$B$5008,612)</f>
        <v>0.12221029164828599</v>
      </c>
      <c r="I5620">
        <f>1/(COUNT(SimData5000!$B$9:$B$5008)-1)+$I$5619</f>
        <v>0.12222444488897678</v>
      </c>
      <c r="J5620">
        <f>SMALL(SimData5000!$C$9:$C$5008,612)</f>
        <v>0.11990558786237671</v>
      </c>
      <c r="K5620">
        <f>1/(COUNT(SimData5000!$C$9:$C$5008)-1)+$K$5619</f>
        <v>0.12222444488897678</v>
      </c>
    </row>
    <row r="5621" spans="8:11">
      <c r="H5621">
        <f>SMALL(SimData5000!$B$9:$B$5008,613)</f>
        <v>0.12255365992876552</v>
      </c>
      <c r="I5621">
        <f>1/(COUNT(SimData5000!$B$9:$B$5008)-1)+$I$5620</f>
        <v>0.12242448489697838</v>
      </c>
      <c r="J5621">
        <f>SMALL(SimData5000!$C$9:$C$5008,613)</f>
        <v>0.12006457102143031</v>
      </c>
      <c r="K5621">
        <f>1/(COUNT(SimData5000!$C$9:$C$5008)-1)+$K$5620</f>
        <v>0.12242448489697838</v>
      </c>
    </row>
    <row r="5622" spans="8:11">
      <c r="H5622">
        <f>SMALL(SimData5000!$B$9:$B$5008,614)</f>
        <v>0.12274938508401378</v>
      </c>
      <c r="I5622">
        <f>1/(COUNT(SimData5000!$B$9:$B$5008)-1)+$I$5621</f>
        <v>0.12262452490497998</v>
      </c>
      <c r="J5622">
        <f>SMALL(SimData5000!$C$9:$C$5008,614)</f>
        <v>0.12010865338197618</v>
      </c>
      <c r="K5622">
        <f>1/(COUNT(SimData5000!$C$9:$C$5008)-1)+$K$5621</f>
        <v>0.12262452490497998</v>
      </c>
    </row>
    <row r="5623" spans="8:11">
      <c r="H5623">
        <f>SMALL(SimData5000!$B$9:$B$5008,615)</f>
        <v>0.12288578435938939</v>
      </c>
      <c r="I5623">
        <f>1/(COUNT(SimData5000!$B$9:$B$5008)-1)+$I$5622</f>
        <v>0.12282456491298158</v>
      </c>
      <c r="J5623">
        <f>SMALL(SimData5000!$C$9:$C$5008,615)</f>
        <v>0.12011874241215992</v>
      </c>
      <c r="K5623">
        <f>1/(COUNT(SimData5000!$C$9:$C$5008)-1)+$K$5622</f>
        <v>0.12282456491298158</v>
      </c>
    </row>
    <row r="5624" spans="8:11">
      <c r="H5624">
        <f>SMALL(SimData5000!$B$9:$B$5008,616)</f>
        <v>0.12312410904935657</v>
      </c>
      <c r="I5624">
        <f>1/(COUNT(SimData5000!$B$9:$B$5008)-1)+$I$5623</f>
        <v>0.12302460492098317</v>
      </c>
      <c r="J5624">
        <f>SMALL(SimData5000!$C$9:$C$5008,616)</f>
        <v>0.120178755919369</v>
      </c>
      <c r="K5624">
        <f>1/(COUNT(SimData5000!$C$9:$C$5008)-1)+$K$5623</f>
        <v>0.12302460492098317</v>
      </c>
    </row>
    <row r="5625" spans="8:11">
      <c r="H5625">
        <f>SMALL(SimData5000!$B$9:$B$5008,617)</f>
        <v>0.12323872354557709</v>
      </c>
      <c r="I5625">
        <f>1/(COUNT(SimData5000!$B$9:$B$5008)-1)+$I$5624</f>
        <v>0.12322464492898477</v>
      </c>
      <c r="J5625">
        <f>SMALL(SimData5000!$C$9:$C$5008,617)</f>
        <v>0.12019148286708514</v>
      </c>
      <c r="K5625">
        <f>1/(COUNT(SimData5000!$C$9:$C$5008)-1)+$K$5624</f>
        <v>0.12322464492898477</v>
      </c>
    </row>
    <row r="5626" spans="8:11">
      <c r="H5626">
        <f>SMALL(SimData5000!$B$9:$B$5008,618)</f>
        <v>0.12346953234636912</v>
      </c>
      <c r="I5626">
        <f>1/(COUNT(SimData5000!$B$9:$B$5008)-1)+$I$5625</f>
        <v>0.12342468493698637</v>
      </c>
      <c r="J5626">
        <f>SMALL(SimData5000!$C$9:$C$5008,618)</f>
        <v>0.12106817001222225</v>
      </c>
      <c r="K5626">
        <f>1/(COUNT(SimData5000!$C$9:$C$5008)-1)+$K$5625</f>
        <v>0.12342468493698637</v>
      </c>
    </row>
    <row r="5627" spans="8:11">
      <c r="H5627">
        <f>SMALL(SimData5000!$B$9:$B$5008,619)</f>
        <v>0.12367873035429015</v>
      </c>
      <c r="I5627">
        <f>1/(COUNT(SimData5000!$B$9:$B$5008)-1)+$I$5626</f>
        <v>0.12362472494498797</v>
      </c>
      <c r="J5627">
        <f>SMALL(SimData5000!$C$9:$C$5008,619)</f>
        <v>0.12119538111801376</v>
      </c>
      <c r="K5627">
        <f>1/(COUNT(SimData5000!$C$9:$C$5008)-1)+$K$5626</f>
        <v>0.12362472494498797</v>
      </c>
    </row>
    <row r="5628" spans="8:11">
      <c r="H5628">
        <f>SMALL(SimData5000!$B$9:$B$5008,620)</f>
        <v>0.12387558763960274</v>
      </c>
      <c r="I5628">
        <f>1/(COUNT(SimData5000!$B$9:$B$5008)-1)+$I$5627</f>
        <v>0.12382476495298957</v>
      </c>
      <c r="J5628">
        <f>SMALL(SimData5000!$C$9:$C$5008,620)</f>
        <v>0.12144389099648834</v>
      </c>
      <c r="K5628">
        <f>1/(COUNT(SimData5000!$C$9:$C$5008)-1)+$K$5627</f>
        <v>0.12382476495298957</v>
      </c>
    </row>
    <row r="5629" spans="8:11">
      <c r="H5629">
        <f>SMALL(SimData5000!$B$9:$B$5008,621)</f>
        <v>0.12402664175532448</v>
      </c>
      <c r="I5629">
        <f>1/(COUNT(SimData5000!$B$9:$B$5008)-1)+$I$5628</f>
        <v>0.12402480496099116</v>
      </c>
      <c r="J5629">
        <f>SMALL(SimData5000!$C$9:$C$5008,621)</f>
        <v>0.12160115864844556</v>
      </c>
      <c r="K5629">
        <f>1/(COUNT(SimData5000!$C$9:$C$5008)-1)+$K$5628</f>
        <v>0.12402480496099116</v>
      </c>
    </row>
    <row r="5630" spans="8:11">
      <c r="H5630">
        <f>SMALL(SimData5000!$B$9:$B$5008,622)</f>
        <v>0.12422040378763816</v>
      </c>
      <c r="I5630">
        <f>1/(COUNT(SimData5000!$B$9:$B$5008)-1)+$I$5629</f>
        <v>0.12422484496899276</v>
      </c>
      <c r="J5630">
        <f>SMALL(SimData5000!$C$9:$C$5008,622)</f>
        <v>0.12175146193476394</v>
      </c>
      <c r="K5630">
        <f>1/(COUNT(SimData5000!$C$9:$C$5008)-1)+$K$5629</f>
        <v>0.12422484496899276</v>
      </c>
    </row>
    <row r="5631" spans="8:11">
      <c r="H5631">
        <f>SMALL(SimData5000!$B$9:$B$5008,623)</f>
        <v>0.12458460077978312</v>
      </c>
      <c r="I5631">
        <f>1/(COUNT(SimData5000!$B$9:$B$5008)-1)+$I$5630</f>
        <v>0.12442488497699436</v>
      </c>
      <c r="J5631">
        <f>SMALL(SimData5000!$C$9:$C$5008,623)</f>
        <v>0.12183292185363825</v>
      </c>
      <c r="K5631">
        <f>1/(COUNT(SimData5000!$C$9:$C$5008)-1)+$K$5630</f>
        <v>0.12442488497699436</v>
      </c>
    </row>
    <row r="5632" spans="8:11">
      <c r="H5632">
        <f>SMALL(SimData5000!$B$9:$B$5008,624)</f>
        <v>0.12461619288018351</v>
      </c>
      <c r="I5632">
        <f>1/(COUNT(SimData5000!$B$9:$B$5008)-1)+$I$5631</f>
        <v>0.12462492498499596</v>
      </c>
      <c r="J5632">
        <f>SMALL(SimData5000!$C$9:$C$5008,624)</f>
        <v>0.12212284678480501</v>
      </c>
      <c r="K5632">
        <f>1/(COUNT(SimData5000!$C$9:$C$5008)-1)+$K$5631</f>
        <v>0.12462492498499596</v>
      </c>
    </row>
    <row r="5633" spans="8:11">
      <c r="H5633">
        <f>SMALL(SimData5000!$B$9:$B$5008,625)</f>
        <v>0.12481886085868321</v>
      </c>
      <c r="I5633">
        <f>1/(COUNT(SimData5000!$B$9:$B$5008)-1)+$I$5632</f>
        <v>0.12482496499299756</v>
      </c>
      <c r="J5633">
        <f>SMALL(SimData5000!$C$9:$C$5008,625)</f>
        <v>0.1226151280097838</v>
      </c>
      <c r="K5633">
        <f>1/(COUNT(SimData5000!$C$9:$C$5008)-1)+$K$5632</f>
        <v>0.12482496499299756</v>
      </c>
    </row>
    <row r="5634" spans="8:11">
      <c r="H5634">
        <f>SMALL(SimData5000!$B$9:$B$5008,626)</f>
        <v>0.12505851419262087</v>
      </c>
      <c r="I5634">
        <f>1/(COUNT(SimData5000!$B$9:$B$5008)-1)+$I$5633</f>
        <v>0.12502500500099917</v>
      </c>
      <c r="J5634">
        <f>SMALL(SimData5000!$C$9:$C$5008,626)</f>
        <v>0.12282660840173776</v>
      </c>
      <c r="K5634">
        <f>1/(COUNT(SimData5000!$C$9:$C$5008)-1)+$K$5633</f>
        <v>0.12502500500099917</v>
      </c>
    </row>
    <row r="5635" spans="8:11">
      <c r="H5635">
        <f>SMALL(SimData5000!$B$9:$B$5008,627)</f>
        <v>0.12535792558220166</v>
      </c>
      <c r="I5635">
        <f>1/(COUNT(SimData5000!$B$9:$B$5008)-1)+$I$5634</f>
        <v>0.12522504500900078</v>
      </c>
      <c r="J5635">
        <f>SMALL(SimData5000!$C$9:$C$5008,627)</f>
        <v>0.12289773289830919</v>
      </c>
      <c r="K5635">
        <f>1/(COUNT(SimData5000!$C$9:$C$5008)-1)+$K$5634</f>
        <v>0.12522504500900078</v>
      </c>
    </row>
    <row r="5636" spans="8:11">
      <c r="H5636">
        <f>SMALL(SimData5000!$B$9:$B$5008,628)</f>
        <v>0.12543181291120867</v>
      </c>
      <c r="I5636">
        <f>1/(COUNT(SimData5000!$B$9:$B$5008)-1)+$I$5635</f>
        <v>0.12542508501700239</v>
      </c>
      <c r="J5636">
        <f>SMALL(SimData5000!$C$9:$C$5008,628)</f>
        <v>0.12323125814418745</v>
      </c>
      <c r="K5636">
        <f>1/(COUNT(SimData5000!$C$9:$C$5008)-1)+$K$5635</f>
        <v>0.12542508501700239</v>
      </c>
    </row>
    <row r="5637" spans="8:11">
      <c r="H5637">
        <f>SMALL(SimData5000!$B$9:$B$5008,629)</f>
        <v>0.12578723901733457</v>
      </c>
      <c r="I5637">
        <f>1/(COUNT(SimData5000!$B$9:$B$5008)-1)+$I$5636</f>
        <v>0.125625125025004</v>
      </c>
      <c r="J5637">
        <f>SMALL(SimData5000!$C$9:$C$5008,629)</f>
        <v>0.12363719273707829</v>
      </c>
      <c r="K5637">
        <f>1/(COUNT(SimData5000!$C$9:$C$5008)-1)+$K$5636</f>
        <v>0.125625125025004</v>
      </c>
    </row>
    <row r="5638" spans="8:11">
      <c r="H5638">
        <f>SMALL(SimData5000!$B$9:$B$5008,630)</f>
        <v>0.12581653277841781</v>
      </c>
      <c r="I5638">
        <f>1/(COUNT(SimData5000!$B$9:$B$5008)-1)+$I$5637</f>
        <v>0.12582516503300561</v>
      </c>
      <c r="J5638">
        <f>SMALL(SimData5000!$C$9:$C$5008,630)</f>
        <v>0.12367015215204447</v>
      </c>
      <c r="K5638">
        <f>1/(COUNT(SimData5000!$C$9:$C$5008)-1)+$K$5637</f>
        <v>0.12582516503300561</v>
      </c>
    </row>
    <row r="5639" spans="8:11">
      <c r="H5639">
        <f>SMALL(SimData5000!$B$9:$B$5008,631)</f>
        <v>0.12617983036776534</v>
      </c>
      <c r="I5639">
        <f>1/(COUNT(SimData5000!$B$9:$B$5008)-1)+$I$5638</f>
        <v>0.12602520504100723</v>
      </c>
      <c r="J5639">
        <f>SMALL(SimData5000!$C$9:$C$5008,631)</f>
        <v>0.1237799284308494</v>
      </c>
      <c r="K5639">
        <f>1/(COUNT(SimData5000!$C$9:$C$5008)-1)+$K$5638</f>
        <v>0.12602520504100723</v>
      </c>
    </row>
    <row r="5640" spans="8:11">
      <c r="H5640">
        <f>SMALL(SimData5000!$B$9:$B$5008,632)</f>
        <v>0.12632443699034035</v>
      </c>
      <c r="I5640">
        <f>1/(COUNT(SimData5000!$B$9:$B$5008)-1)+$I$5639</f>
        <v>0.12622524504900884</v>
      </c>
      <c r="J5640">
        <f>SMALL(SimData5000!$C$9:$C$5008,632)</f>
        <v>0.12378238352630433</v>
      </c>
      <c r="K5640">
        <f>1/(COUNT(SimData5000!$C$9:$C$5008)-1)+$K$5639</f>
        <v>0.12622524504900884</v>
      </c>
    </row>
    <row r="5641" spans="8:11">
      <c r="H5641">
        <f>SMALL(SimData5000!$B$9:$B$5008,633)</f>
        <v>0.12650598453304404</v>
      </c>
      <c r="I5641">
        <f>1/(COUNT(SimData5000!$B$9:$B$5008)-1)+$I$5640</f>
        <v>0.12642528505701045</v>
      </c>
      <c r="J5641">
        <f>SMALL(SimData5000!$C$9:$C$5008,633)</f>
        <v>0.12423613443570503</v>
      </c>
      <c r="K5641">
        <f>1/(COUNT(SimData5000!$C$9:$C$5008)-1)+$K$5640</f>
        <v>0.12642528505701045</v>
      </c>
    </row>
    <row r="5642" spans="8:11">
      <c r="H5642">
        <f>SMALL(SimData5000!$B$9:$B$5008,634)</f>
        <v>0.12677622512406117</v>
      </c>
      <c r="I5642">
        <f>1/(COUNT(SimData5000!$B$9:$B$5008)-1)+$I$5641</f>
        <v>0.12662532506501206</v>
      </c>
      <c r="J5642">
        <f>SMALL(SimData5000!$C$9:$C$5008,634)</f>
        <v>0.12446957633801503</v>
      </c>
      <c r="K5642">
        <f>1/(COUNT(SimData5000!$C$9:$C$5008)-1)+$K$5641</f>
        <v>0.12662532506501206</v>
      </c>
    </row>
    <row r="5643" spans="8:11">
      <c r="H5643">
        <f>SMALL(SimData5000!$B$9:$B$5008,635)</f>
        <v>0.12680570332585034</v>
      </c>
      <c r="I5643">
        <f>1/(COUNT(SimData5000!$B$9:$B$5008)-1)+$I$5642</f>
        <v>0.12682536507301367</v>
      </c>
      <c r="J5643">
        <f>SMALL(SimData5000!$C$9:$C$5008,635)</f>
        <v>0.12465454046105151</v>
      </c>
      <c r="K5643">
        <f>1/(COUNT(SimData5000!$C$9:$C$5008)-1)+$K$5642</f>
        <v>0.12682536507301367</v>
      </c>
    </row>
    <row r="5644" spans="8:11">
      <c r="H5644">
        <f>SMALL(SimData5000!$B$9:$B$5008,636)</f>
        <v>0.12702479289644975</v>
      </c>
      <c r="I5644">
        <f>1/(COUNT(SimData5000!$B$9:$B$5008)-1)+$I$5643</f>
        <v>0.12702540508101529</v>
      </c>
      <c r="J5644">
        <f>SMALL(SimData5000!$C$9:$C$5008,636)</f>
        <v>0.12468164551137306</v>
      </c>
      <c r="K5644">
        <f>1/(COUNT(SimData5000!$C$9:$C$5008)-1)+$K$5643</f>
        <v>0.12702540508101529</v>
      </c>
    </row>
    <row r="5645" spans="8:11">
      <c r="H5645">
        <f>SMALL(SimData5000!$B$9:$B$5008,637)</f>
        <v>0.12732974718751613</v>
      </c>
      <c r="I5645">
        <f>1/(COUNT(SimData5000!$B$9:$B$5008)-1)+$I$5644</f>
        <v>0.1272254450890169</v>
      </c>
      <c r="J5645">
        <f>SMALL(SimData5000!$C$9:$C$5008,637)</f>
        <v>0.1248961906239856</v>
      </c>
      <c r="K5645">
        <f>1/(COUNT(SimData5000!$C$9:$C$5008)-1)+$K$5644</f>
        <v>0.1272254450890169</v>
      </c>
    </row>
    <row r="5646" spans="8:11">
      <c r="H5646">
        <f>SMALL(SimData5000!$B$9:$B$5008,638)</f>
        <v>0.12755627849361773</v>
      </c>
      <c r="I5646">
        <f>1/(COUNT(SimData5000!$B$9:$B$5008)-1)+$I$5645</f>
        <v>0.12742548509701851</v>
      </c>
      <c r="J5646">
        <f>SMALL(SimData5000!$C$9:$C$5008,638)</f>
        <v>0.1250796528711362</v>
      </c>
      <c r="K5646">
        <f>1/(COUNT(SimData5000!$C$9:$C$5008)-1)+$K$5645</f>
        <v>0.12742548509701851</v>
      </c>
    </row>
    <row r="5647" spans="8:11">
      <c r="H5647">
        <f>SMALL(SimData5000!$B$9:$B$5008,639)</f>
        <v>0.12778240214944409</v>
      </c>
      <c r="I5647">
        <f>1/(COUNT(SimData5000!$B$9:$B$5008)-1)+$I$5646</f>
        <v>0.12762552510502012</v>
      </c>
      <c r="J5647">
        <f>SMALL(SimData5000!$C$9:$C$5008,639)</f>
        <v>0.1252213877351096</v>
      </c>
      <c r="K5647">
        <f>1/(COUNT(SimData5000!$C$9:$C$5008)-1)+$K$5646</f>
        <v>0.12762552510502012</v>
      </c>
    </row>
    <row r="5648" spans="8:11">
      <c r="H5648">
        <f>SMALL(SimData5000!$B$9:$B$5008,640)</f>
        <v>0.12793127046635636</v>
      </c>
      <c r="I5648">
        <f>1/(COUNT(SimData5000!$B$9:$B$5008)-1)+$I$5647</f>
        <v>0.12782556511302173</v>
      </c>
      <c r="J5648">
        <f>SMALL(SimData5000!$C$9:$C$5008,640)</f>
        <v>0.12534319658152526</v>
      </c>
      <c r="K5648">
        <f>1/(COUNT(SimData5000!$C$9:$C$5008)-1)+$K$5647</f>
        <v>0.12782556511302173</v>
      </c>
    </row>
    <row r="5649" spans="8:11">
      <c r="H5649">
        <f>SMALL(SimData5000!$B$9:$B$5008,641)</f>
        <v>0.12802364027263216</v>
      </c>
      <c r="I5649">
        <f>1/(COUNT(SimData5000!$B$9:$B$5008)-1)+$I$5648</f>
        <v>0.12802560512102334</v>
      </c>
      <c r="J5649">
        <f>SMALL(SimData5000!$C$9:$C$5008,641)</f>
        <v>0.12537314980727388</v>
      </c>
      <c r="K5649">
        <f>1/(COUNT(SimData5000!$C$9:$C$5008)-1)+$K$5648</f>
        <v>0.12802560512102334</v>
      </c>
    </row>
    <row r="5650" spans="8:11">
      <c r="H5650">
        <f>SMALL(SimData5000!$B$9:$B$5008,642)</f>
        <v>0.12825265571764966</v>
      </c>
      <c r="I5650">
        <f>1/(COUNT(SimData5000!$B$9:$B$5008)-1)+$I$5649</f>
        <v>0.12822564512902496</v>
      </c>
      <c r="J5650">
        <f>SMALL(SimData5000!$C$9:$C$5008,642)</f>
        <v>0.12546680788636877</v>
      </c>
      <c r="K5650">
        <f>1/(COUNT(SimData5000!$C$9:$C$5008)-1)+$K$5649</f>
        <v>0.12822564512902496</v>
      </c>
    </row>
    <row r="5651" spans="8:11">
      <c r="H5651">
        <f>SMALL(SimData5000!$B$9:$B$5008,643)</f>
        <v>0.12852076115340944</v>
      </c>
      <c r="I5651">
        <f>1/(COUNT(SimData5000!$B$9:$B$5008)-1)+$I$5650</f>
        <v>0.12842568513702657</v>
      </c>
      <c r="J5651">
        <f>SMALL(SimData5000!$C$9:$C$5008,643)</f>
        <v>0.12587795401213953</v>
      </c>
      <c r="K5651">
        <f>1/(COUNT(SimData5000!$C$9:$C$5008)-1)+$K$5650</f>
        <v>0.12842568513702657</v>
      </c>
    </row>
    <row r="5652" spans="8:11">
      <c r="H5652">
        <f>SMALL(SimData5000!$B$9:$B$5008,644)</f>
        <v>0.12868869265017302</v>
      </c>
      <c r="I5652">
        <f>1/(COUNT(SimData5000!$B$9:$B$5008)-1)+$I$5651</f>
        <v>0.12862572514502818</v>
      </c>
      <c r="J5652">
        <f>SMALL(SimData5000!$C$9:$C$5008,644)</f>
        <v>0.12608166851441638</v>
      </c>
      <c r="K5652">
        <f>1/(COUNT(SimData5000!$C$9:$C$5008)-1)+$K$5651</f>
        <v>0.12862572514502818</v>
      </c>
    </row>
    <row r="5653" spans="8:11">
      <c r="H5653">
        <f>SMALL(SimData5000!$B$9:$B$5008,645)</f>
        <v>0.12896165069289542</v>
      </c>
      <c r="I5653">
        <f>1/(COUNT(SimData5000!$B$9:$B$5008)-1)+$I$5652</f>
        <v>0.12882576515302979</v>
      </c>
      <c r="J5653">
        <f>SMALL(SimData5000!$C$9:$C$5008,645)</f>
        <v>0.12615413270214049</v>
      </c>
      <c r="K5653">
        <f>1/(COUNT(SimData5000!$C$9:$C$5008)-1)+$K$5652</f>
        <v>0.12882576515302979</v>
      </c>
    </row>
    <row r="5654" spans="8:11">
      <c r="H5654">
        <f>SMALL(SimData5000!$B$9:$B$5008,646)</f>
        <v>0.12918535500359379</v>
      </c>
      <c r="I5654">
        <f>1/(COUNT(SimData5000!$B$9:$B$5008)-1)+$I$5653</f>
        <v>0.1290258051610314</v>
      </c>
      <c r="J5654">
        <f>SMALL(SimData5000!$C$9:$C$5008,646)</f>
        <v>0.12631988142857153</v>
      </c>
      <c r="K5654">
        <f>1/(COUNT(SimData5000!$C$9:$C$5008)-1)+$K$5653</f>
        <v>0.1290258051610314</v>
      </c>
    </row>
    <row r="5655" spans="8:11">
      <c r="H5655">
        <f>SMALL(SimData5000!$B$9:$B$5008,647)</f>
        <v>0.12921901134364749</v>
      </c>
      <c r="I5655">
        <f>1/(COUNT(SimData5000!$B$9:$B$5008)-1)+$I$5654</f>
        <v>0.12922584516903302</v>
      </c>
      <c r="J5655">
        <f>SMALL(SimData5000!$C$9:$C$5008,647)</f>
        <v>0.1263409842567853</v>
      </c>
      <c r="K5655">
        <f>1/(COUNT(SimData5000!$C$9:$C$5008)-1)+$K$5654</f>
        <v>0.12922584516903302</v>
      </c>
    </row>
    <row r="5656" spans="8:11">
      <c r="H5656">
        <f>SMALL(SimData5000!$B$9:$B$5008,648)</f>
        <v>0.12943961803844189</v>
      </c>
      <c r="I5656">
        <f>1/(COUNT(SimData5000!$B$9:$B$5008)-1)+$I$5655</f>
        <v>0.12942588517703463</v>
      </c>
      <c r="J5656">
        <f>SMALL(SimData5000!$C$9:$C$5008,648)</f>
        <v>0.12683290365202993</v>
      </c>
      <c r="K5656">
        <f>1/(COUNT(SimData5000!$C$9:$C$5008)-1)+$K$5655</f>
        <v>0.12942588517703463</v>
      </c>
    </row>
    <row r="5657" spans="8:11">
      <c r="H5657">
        <f>SMALL(SimData5000!$B$9:$B$5008,649)</f>
        <v>0.12973027835808001</v>
      </c>
      <c r="I5657">
        <f>1/(COUNT(SimData5000!$B$9:$B$5008)-1)+$I$5656</f>
        <v>0.12962592518503624</v>
      </c>
      <c r="J5657">
        <f>SMALL(SimData5000!$C$9:$C$5008,649)</f>
        <v>0.12691266275851376</v>
      </c>
      <c r="K5657">
        <f>1/(COUNT(SimData5000!$C$9:$C$5008)-1)+$K$5656</f>
        <v>0.12962592518503624</v>
      </c>
    </row>
    <row r="5658" spans="8:11">
      <c r="H5658">
        <f>SMALL(SimData5000!$B$9:$B$5008,650)</f>
        <v>0.12981931236330871</v>
      </c>
      <c r="I5658">
        <f>1/(COUNT(SimData5000!$B$9:$B$5008)-1)+$I$5657</f>
        <v>0.12982596519303785</v>
      </c>
      <c r="J5658">
        <f>SMALL(SimData5000!$C$9:$C$5008,650)</f>
        <v>0.12700023487832368</v>
      </c>
      <c r="K5658">
        <f>1/(COUNT(SimData5000!$C$9:$C$5008)-1)+$K$5657</f>
        <v>0.12982596519303785</v>
      </c>
    </row>
    <row r="5659" spans="8:11">
      <c r="H5659">
        <f>SMALL(SimData5000!$B$9:$B$5008,651)</f>
        <v>0.13018436319576213</v>
      </c>
      <c r="I5659">
        <f>1/(COUNT(SimData5000!$B$9:$B$5008)-1)+$I$5658</f>
        <v>0.13002600520103946</v>
      </c>
      <c r="J5659">
        <f>SMALL(SimData5000!$C$9:$C$5008,651)</f>
        <v>0.12727077561341105</v>
      </c>
      <c r="K5659">
        <f>1/(COUNT(SimData5000!$C$9:$C$5008)-1)+$K$5658</f>
        <v>0.13002600520103946</v>
      </c>
    </row>
    <row r="5660" spans="8:11">
      <c r="H5660">
        <f>SMALL(SimData5000!$B$9:$B$5008,652)</f>
        <v>0.13023244526666414</v>
      </c>
      <c r="I5660">
        <f>1/(COUNT(SimData5000!$B$9:$B$5008)-1)+$I$5659</f>
        <v>0.13022604520904107</v>
      </c>
      <c r="J5660">
        <f>SMALL(SimData5000!$C$9:$C$5008,652)</f>
        <v>0.12729804879927542</v>
      </c>
      <c r="K5660">
        <f>1/(COUNT(SimData5000!$C$9:$C$5008)-1)+$K$5659</f>
        <v>0.13022604520904107</v>
      </c>
    </row>
    <row r="5661" spans="8:11">
      <c r="H5661">
        <f>SMALL(SimData5000!$B$9:$B$5008,653)</f>
        <v>0.13059146577119629</v>
      </c>
      <c r="I5661">
        <f>1/(COUNT(SimData5000!$B$9:$B$5008)-1)+$I$5660</f>
        <v>0.13042608521704269</v>
      </c>
      <c r="J5661">
        <f>SMALL(SimData5000!$C$9:$C$5008,653)</f>
        <v>0.12730560592899565</v>
      </c>
      <c r="K5661">
        <f>1/(COUNT(SimData5000!$C$9:$C$5008)-1)+$K$5660</f>
        <v>0.13042608521704269</v>
      </c>
    </row>
    <row r="5662" spans="8:11">
      <c r="H5662">
        <f>SMALL(SimData5000!$B$9:$B$5008,654)</f>
        <v>0.13066503818963307</v>
      </c>
      <c r="I5662">
        <f>1/(COUNT(SimData5000!$B$9:$B$5008)-1)+$I$5661</f>
        <v>0.1306261252250443</v>
      </c>
      <c r="J5662">
        <f>SMALL(SimData5000!$C$9:$C$5008,654)</f>
        <v>0.12735205355329526</v>
      </c>
      <c r="K5662">
        <f>1/(COUNT(SimData5000!$C$9:$C$5008)-1)+$K$5661</f>
        <v>0.1306261252250443</v>
      </c>
    </row>
    <row r="5663" spans="8:11">
      <c r="H5663">
        <f>SMALL(SimData5000!$B$9:$B$5008,655)</f>
        <v>0.13082894821936006</v>
      </c>
      <c r="I5663">
        <f>1/(COUNT(SimData5000!$B$9:$B$5008)-1)+$I$5662</f>
        <v>0.13082616523304591</v>
      </c>
      <c r="J5663">
        <f>SMALL(SimData5000!$C$9:$C$5008,655)</f>
        <v>0.12745402818654838</v>
      </c>
      <c r="K5663">
        <f>1/(COUNT(SimData5000!$C$9:$C$5008)-1)+$K$5662</f>
        <v>0.13082616523304591</v>
      </c>
    </row>
    <row r="5664" spans="8:11">
      <c r="H5664">
        <f>SMALL(SimData5000!$B$9:$B$5008,656)</f>
        <v>0.13106689516801082</v>
      </c>
      <c r="I5664">
        <f>1/(COUNT(SimData5000!$B$9:$B$5008)-1)+$I$5663</f>
        <v>0.13102620524104752</v>
      </c>
      <c r="J5664">
        <f>SMALL(SimData5000!$C$9:$C$5008,656)</f>
        <v>0.12752622937841807</v>
      </c>
      <c r="K5664">
        <f>1/(COUNT(SimData5000!$C$9:$C$5008)-1)+$K$5663</f>
        <v>0.13102620524104752</v>
      </c>
    </row>
    <row r="5665" spans="8:11">
      <c r="H5665">
        <f>SMALL(SimData5000!$B$9:$B$5008,657)</f>
        <v>0.13128819300972117</v>
      </c>
      <c r="I5665">
        <f>1/(COUNT(SimData5000!$B$9:$B$5008)-1)+$I$5664</f>
        <v>0.13122624524904913</v>
      </c>
      <c r="J5665">
        <f>SMALL(SimData5000!$C$9:$C$5008,657)</f>
        <v>0.1277626048276943</v>
      </c>
      <c r="K5665">
        <f>1/(COUNT(SimData5000!$C$9:$C$5008)-1)+$K$5664</f>
        <v>0.13122624524904913</v>
      </c>
    </row>
    <row r="5666" spans="8:11">
      <c r="H5666">
        <f>SMALL(SimData5000!$B$9:$B$5008,658)</f>
        <v>0.13144147036328016</v>
      </c>
      <c r="I5666">
        <f>1/(COUNT(SimData5000!$B$9:$B$5008)-1)+$I$5665</f>
        <v>0.13142628525705075</v>
      </c>
      <c r="J5666">
        <f>SMALL(SimData5000!$C$9:$C$5008,658)</f>
        <v>0.12788923027983401</v>
      </c>
      <c r="K5666">
        <f>1/(COUNT(SimData5000!$C$9:$C$5008)-1)+$K$5665</f>
        <v>0.13142628525705075</v>
      </c>
    </row>
    <row r="5667" spans="8:11">
      <c r="H5667">
        <f>SMALL(SimData5000!$B$9:$B$5008,659)</f>
        <v>0.13164338923670429</v>
      </c>
      <c r="I5667">
        <f>1/(COUNT(SimData5000!$B$9:$B$5008)-1)+$I$5666</f>
        <v>0.13162632526505236</v>
      </c>
      <c r="J5667">
        <f>SMALL(SimData5000!$C$9:$C$5008,659)</f>
        <v>0.127894070068578</v>
      </c>
      <c r="K5667">
        <f>1/(COUNT(SimData5000!$C$9:$C$5008)-1)+$K$5666</f>
        <v>0.13162632526505236</v>
      </c>
    </row>
    <row r="5668" spans="8:11">
      <c r="H5668">
        <f>SMALL(SimData5000!$B$9:$B$5008,660)</f>
        <v>0.13180702429497779</v>
      </c>
      <c r="I5668">
        <f>1/(COUNT(SimData5000!$B$9:$B$5008)-1)+$I$5667</f>
        <v>0.13182636527305397</v>
      </c>
      <c r="J5668">
        <f>SMALL(SimData5000!$C$9:$C$5008,660)</f>
        <v>0.12827140074932686</v>
      </c>
      <c r="K5668">
        <f>1/(COUNT(SimData5000!$C$9:$C$5008)-1)+$K$5667</f>
        <v>0.13182636527305397</v>
      </c>
    </row>
    <row r="5669" spans="8:11">
      <c r="H5669">
        <f>SMALL(SimData5000!$B$9:$B$5008,661)</f>
        <v>0.13200591935184922</v>
      </c>
      <c r="I5669">
        <f>1/(COUNT(SimData5000!$B$9:$B$5008)-1)+$I$5668</f>
        <v>0.13202640528105558</v>
      </c>
      <c r="J5669">
        <f>SMALL(SimData5000!$C$9:$C$5008,661)</f>
        <v>0.12831625555736537</v>
      </c>
      <c r="K5669">
        <f>1/(COUNT(SimData5000!$C$9:$C$5008)-1)+$K$5668</f>
        <v>0.13202640528105558</v>
      </c>
    </row>
    <row r="5670" spans="8:11">
      <c r="H5670">
        <f>SMALL(SimData5000!$B$9:$B$5008,662)</f>
        <v>0.13226870758153236</v>
      </c>
      <c r="I5670">
        <f>1/(COUNT(SimData5000!$B$9:$B$5008)-1)+$I$5669</f>
        <v>0.13222644528905719</v>
      </c>
      <c r="J5670">
        <f>SMALL(SimData5000!$C$9:$C$5008,662)</f>
        <v>0.12841126215516852</v>
      </c>
      <c r="K5670">
        <f>1/(COUNT(SimData5000!$C$9:$C$5008)-1)+$K$5669</f>
        <v>0.13222644528905719</v>
      </c>
    </row>
    <row r="5671" spans="8:11">
      <c r="H5671">
        <f>SMALL(SimData5000!$B$9:$B$5008,663)</f>
        <v>0.13253579508507063</v>
      </c>
      <c r="I5671">
        <f>1/(COUNT(SimData5000!$B$9:$B$5008)-1)+$I$5670</f>
        <v>0.1324264852970588</v>
      </c>
      <c r="J5671">
        <f>SMALL(SimData5000!$C$9:$C$5008,663)</f>
        <v>0.12868525092926575</v>
      </c>
      <c r="K5671">
        <f>1/(COUNT(SimData5000!$C$9:$C$5008)-1)+$K$5670</f>
        <v>0.1324264852970588</v>
      </c>
    </row>
    <row r="5672" spans="8:11">
      <c r="H5672">
        <f>SMALL(SimData5000!$B$9:$B$5008,664)</f>
        <v>0.13268965003613606</v>
      </c>
      <c r="I5672">
        <f>1/(COUNT(SimData5000!$B$9:$B$5008)-1)+$I$5671</f>
        <v>0.13262652530506042</v>
      </c>
      <c r="J5672">
        <f>SMALL(SimData5000!$C$9:$C$5008,664)</f>
        <v>0.12925635007468372</v>
      </c>
      <c r="K5672">
        <f>1/(COUNT(SimData5000!$C$9:$C$5008)-1)+$K$5671</f>
        <v>0.13262652530506042</v>
      </c>
    </row>
    <row r="5673" spans="8:11">
      <c r="H5673">
        <f>SMALL(SimData5000!$B$9:$B$5008,665)</f>
        <v>0.13290972457218678</v>
      </c>
      <c r="I5673">
        <f>1/(COUNT(SimData5000!$B$9:$B$5008)-1)+$I$5672</f>
        <v>0.13282656531306203</v>
      </c>
      <c r="J5673">
        <f>SMALL(SimData5000!$C$9:$C$5008,665)</f>
        <v>0.12931817910885002</v>
      </c>
      <c r="K5673">
        <f>1/(COUNT(SimData5000!$C$9:$C$5008)-1)+$K$5672</f>
        <v>0.13282656531306203</v>
      </c>
    </row>
    <row r="5674" spans="8:11">
      <c r="H5674">
        <f>SMALL(SimData5000!$B$9:$B$5008,666)</f>
        <v>0.13314656990057477</v>
      </c>
      <c r="I5674">
        <f>1/(COUNT(SimData5000!$B$9:$B$5008)-1)+$I$5673</f>
        <v>0.13302660532106364</v>
      </c>
      <c r="J5674">
        <f>SMALL(SimData5000!$C$9:$C$5008,666)</f>
        <v>0.1294186827062731</v>
      </c>
      <c r="K5674">
        <f>1/(COUNT(SimData5000!$C$9:$C$5008)-1)+$K$5673</f>
        <v>0.13302660532106364</v>
      </c>
    </row>
    <row r="5675" spans="8:11">
      <c r="H5675">
        <f>SMALL(SimData5000!$B$9:$B$5008,667)</f>
        <v>0.13328045060575949</v>
      </c>
      <c r="I5675">
        <f>1/(COUNT(SimData5000!$B$9:$B$5008)-1)+$I$5674</f>
        <v>0.13322664532906525</v>
      </c>
      <c r="J5675">
        <f>SMALL(SimData5000!$C$9:$C$5008,667)</f>
        <v>0.12951872106987139</v>
      </c>
      <c r="K5675">
        <f>1/(COUNT(SimData5000!$C$9:$C$5008)-1)+$K$5674</f>
        <v>0.13322664532906525</v>
      </c>
    </row>
    <row r="5676" spans="8:11">
      <c r="H5676">
        <f>SMALL(SimData5000!$B$9:$B$5008,668)</f>
        <v>0.13354500354401419</v>
      </c>
      <c r="I5676">
        <f>1/(COUNT(SimData5000!$B$9:$B$5008)-1)+$I$5675</f>
        <v>0.13342668533706686</v>
      </c>
      <c r="J5676">
        <f>SMALL(SimData5000!$C$9:$C$5008,668)</f>
        <v>0.1297527292263112</v>
      </c>
      <c r="K5676">
        <f>1/(COUNT(SimData5000!$C$9:$C$5008)-1)+$K$5675</f>
        <v>0.13342668533706686</v>
      </c>
    </row>
    <row r="5677" spans="8:11">
      <c r="H5677">
        <f>SMALL(SimData5000!$B$9:$B$5008,669)</f>
        <v>0.13373054006926963</v>
      </c>
      <c r="I5677">
        <f>1/(COUNT(SimData5000!$B$9:$B$5008)-1)+$I$5676</f>
        <v>0.13362672534506848</v>
      </c>
      <c r="J5677">
        <f>SMALL(SimData5000!$C$9:$C$5008,669)</f>
        <v>0.12975375193673244</v>
      </c>
      <c r="K5677">
        <f>1/(COUNT(SimData5000!$C$9:$C$5008)-1)+$K$5676</f>
        <v>0.13362672534506848</v>
      </c>
    </row>
    <row r="5678" spans="8:11">
      <c r="H5678">
        <f>SMALL(SimData5000!$B$9:$B$5008,670)</f>
        <v>0.13381654342986096</v>
      </c>
      <c r="I5678">
        <f>1/(COUNT(SimData5000!$B$9:$B$5008)-1)+$I$5677</f>
        <v>0.13382676535307009</v>
      </c>
      <c r="J5678">
        <f>SMALL(SimData5000!$C$9:$C$5008,670)</f>
        <v>0.12983918878853729</v>
      </c>
      <c r="K5678">
        <f>1/(COUNT(SimData5000!$C$9:$C$5008)-1)+$K$5677</f>
        <v>0.13382676535307009</v>
      </c>
    </row>
    <row r="5679" spans="8:11">
      <c r="H5679">
        <f>SMALL(SimData5000!$B$9:$B$5008,671)</f>
        <v>0.1340756919175097</v>
      </c>
      <c r="I5679">
        <f>1/(COUNT(SimData5000!$B$9:$B$5008)-1)+$I$5678</f>
        <v>0.1340268053610717</v>
      </c>
      <c r="J5679">
        <f>SMALL(SimData5000!$C$9:$C$5008,671)</f>
        <v>0.12984913111178287</v>
      </c>
      <c r="K5679">
        <f>1/(COUNT(SimData5000!$C$9:$C$5008)-1)+$K$5678</f>
        <v>0.1340268053610717</v>
      </c>
    </row>
    <row r="5680" spans="8:11">
      <c r="H5680">
        <f>SMALL(SimData5000!$B$9:$B$5008,672)</f>
        <v>0.13425559313517427</v>
      </c>
      <c r="I5680">
        <f>1/(COUNT(SimData5000!$B$9:$B$5008)-1)+$I$5679</f>
        <v>0.13422684536907331</v>
      </c>
      <c r="J5680">
        <f>SMALL(SimData5000!$C$9:$C$5008,672)</f>
        <v>0.12996465617652575</v>
      </c>
      <c r="K5680">
        <f>1/(COUNT(SimData5000!$C$9:$C$5008)-1)+$K$5679</f>
        <v>0.13422684536907331</v>
      </c>
    </row>
    <row r="5681" spans="8:11">
      <c r="H5681">
        <f>SMALL(SimData5000!$B$9:$B$5008,673)</f>
        <v>0.13445653362769086</v>
      </c>
      <c r="I5681">
        <f>1/(COUNT(SimData5000!$B$9:$B$5008)-1)+$I$5680</f>
        <v>0.13442688537707492</v>
      </c>
      <c r="J5681">
        <f>SMALL(SimData5000!$C$9:$C$5008,673)</f>
        <v>0.12996689951069129</v>
      </c>
      <c r="K5681">
        <f>1/(COUNT(SimData5000!$C$9:$C$5008)-1)+$K$5680</f>
        <v>0.13442688537707492</v>
      </c>
    </row>
    <row r="5682" spans="8:11">
      <c r="H5682">
        <f>SMALL(SimData5000!$B$9:$B$5008,674)</f>
        <v>0.13471252745364617</v>
      </c>
      <c r="I5682">
        <f>1/(COUNT(SimData5000!$B$9:$B$5008)-1)+$I$5681</f>
        <v>0.13462692538507653</v>
      </c>
      <c r="J5682">
        <f>SMALL(SimData5000!$C$9:$C$5008,674)</f>
        <v>0.1302691608434543</v>
      </c>
      <c r="K5682">
        <f>1/(COUNT(SimData5000!$C$9:$C$5008)-1)+$K$5681</f>
        <v>0.13462692538507653</v>
      </c>
    </row>
    <row r="5683" spans="8:11">
      <c r="H5683">
        <f>SMALL(SimData5000!$B$9:$B$5008,675)</f>
        <v>0.13486560960539282</v>
      </c>
      <c r="I5683">
        <f>1/(COUNT(SimData5000!$B$9:$B$5008)-1)+$I$5682</f>
        <v>0.13482696539307815</v>
      </c>
      <c r="J5683">
        <f>SMALL(SimData5000!$C$9:$C$5008,675)</f>
        <v>0.13053675600713177</v>
      </c>
      <c r="K5683">
        <f>1/(COUNT(SimData5000!$C$9:$C$5008)-1)+$K$5682</f>
        <v>0.13482696539307815</v>
      </c>
    </row>
    <row r="5684" spans="8:11">
      <c r="H5684">
        <f>SMALL(SimData5000!$B$9:$B$5008,676)</f>
        <v>0.13500521613615685</v>
      </c>
      <c r="I5684">
        <f>1/(COUNT(SimData5000!$B$9:$B$5008)-1)+$I$5683</f>
        <v>0.13502700540107976</v>
      </c>
      <c r="J5684">
        <f>SMALL(SimData5000!$C$9:$C$5008,676)</f>
        <v>0.13077652633455727</v>
      </c>
      <c r="K5684">
        <f>1/(COUNT(SimData5000!$C$9:$C$5008)-1)+$K$5683</f>
        <v>0.13502700540107976</v>
      </c>
    </row>
    <row r="5685" spans="8:11">
      <c r="H5685">
        <f>SMALL(SimData5000!$B$9:$B$5008,677)</f>
        <v>0.13520676647974336</v>
      </c>
      <c r="I5685">
        <f>1/(COUNT(SimData5000!$B$9:$B$5008)-1)+$I$5684</f>
        <v>0.13522704540908137</v>
      </c>
      <c r="J5685">
        <f>SMALL(SimData5000!$C$9:$C$5008,677)</f>
        <v>0.13104834661498899</v>
      </c>
      <c r="K5685">
        <f>1/(COUNT(SimData5000!$C$9:$C$5008)-1)+$K$5684</f>
        <v>0.13522704540908137</v>
      </c>
    </row>
    <row r="5686" spans="8:11">
      <c r="H5686">
        <f>SMALL(SimData5000!$B$9:$B$5008,678)</f>
        <v>0.13552763230943299</v>
      </c>
      <c r="I5686">
        <f>1/(COUNT(SimData5000!$B$9:$B$5008)-1)+$I$5685</f>
        <v>0.13542708541708298</v>
      </c>
      <c r="J5686">
        <f>SMALL(SimData5000!$C$9:$C$5008,678)</f>
        <v>0.1312319751295945</v>
      </c>
      <c r="K5686">
        <f>1/(COUNT(SimData5000!$C$9:$C$5008)-1)+$K$5685</f>
        <v>0.13542708541708298</v>
      </c>
    </row>
    <row r="5687" spans="8:11">
      <c r="H5687">
        <f>SMALL(SimData5000!$B$9:$B$5008,679)</f>
        <v>0.13567605094105845</v>
      </c>
      <c r="I5687">
        <f>1/(COUNT(SimData5000!$B$9:$B$5008)-1)+$I$5686</f>
        <v>0.13562712542508459</v>
      </c>
      <c r="J5687">
        <f>SMALL(SimData5000!$C$9:$C$5008,679)</f>
        <v>0.1312768538182354</v>
      </c>
      <c r="K5687">
        <f>1/(COUNT(SimData5000!$C$9:$C$5008)-1)+$K$5686</f>
        <v>0.13562712542508459</v>
      </c>
    </row>
    <row r="5688" spans="8:11">
      <c r="H5688">
        <f>SMALL(SimData5000!$B$9:$B$5008,680)</f>
        <v>0.13590197614489635</v>
      </c>
      <c r="I5688">
        <f>1/(COUNT(SimData5000!$B$9:$B$5008)-1)+$I$5687</f>
        <v>0.13582716543308621</v>
      </c>
      <c r="J5688">
        <f>SMALL(SimData5000!$C$9:$C$5008,680)</f>
        <v>0.13150729879816936</v>
      </c>
      <c r="K5688">
        <f>1/(COUNT(SimData5000!$C$9:$C$5008)-1)+$K$5687</f>
        <v>0.13582716543308621</v>
      </c>
    </row>
    <row r="5689" spans="8:11">
      <c r="H5689">
        <f>SMALL(SimData5000!$B$9:$B$5008,681)</f>
        <v>0.13618408809015156</v>
      </c>
      <c r="I5689">
        <f>1/(COUNT(SimData5000!$B$9:$B$5008)-1)+$I$5688</f>
        <v>0.13602720544108782</v>
      </c>
      <c r="J5689">
        <f>SMALL(SimData5000!$C$9:$C$5008,681)</f>
        <v>0.13169879566703457</v>
      </c>
      <c r="K5689">
        <f>1/(COUNT(SimData5000!$C$9:$C$5008)-1)+$K$5688</f>
        <v>0.13602720544108782</v>
      </c>
    </row>
    <row r="5690" spans="8:11">
      <c r="H5690">
        <f>SMALL(SimData5000!$B$9:$B$5008,682)</f>
        <v>0.13622894611200992</v>
      </c>
      <c r="I5690">
        <f>1/(COUNT(SimData5000!$B$9:$B$5008)-1)+$I$5689</f>
        <v>0.13622724544908943</v>
      </c>
      <c r="J5690">
        <f>SMALL(SimData5000!$C$9:$C$5008,682)</f>
        <v>0.13203333519959415</v>
      </c>
      <c r="K5690">
        <f>1/(COUNT(SimData5000!$C$9:$C$5008)-1)+$K$5689</f>
        <v>0.13622724544908943</v>
      </c>
    </row>
    <row r="5691" spans="8:11">
      <c r="H5691">
        <f>SMALL(SimData5000!$B$9:$B$5008,683)</f>
        <v>0.13655271551989781</v>
      </c>
      <c r="I5691">
        <f>1/(COUNT(SimData5000!$B$9:$B$5008)-1)+$I$5690</f>
        <v>0.13642728545709104</v>
      </c>
      <c r="J5691">
        <f>SMALL(SimData5000!$C$9:$C$5008,683)</f>
        <v>0.1320866627174837</v>
      </c>
      <c r="K5691">
        <f>1/(COUNT(SimData5000!$C$9:$C$5008)-1)+$K$5690</f>
        <v>0.13642728545709104</v>
      </c>
    </row>
    <row r="5692" spans="8:11">
      <c r="H5692">
        <f>SMALL(SimData5000!$B$9:$B$5008,684)</f>
        <v>0.1366603612933914</v>
      </c>
      <c r="I5692">
        <f>1/(COUNT(SimData5000!$B$9:$B$5008)-1)+$I$5691</f>
        <v>0.13662732546509265</v>
      </c>
      <c r="J5692">
        <f>SMALL(SimData5000!$C$9:$C$5008,684)</f>
        <v>0.132144672569666</v>
      </c>
      <c r="K5692">
        <f>1/(COUNT(SimData5000!$C$9:$C$5008)-1)+$K$5691</f>
        <v>0.13662732546509265</v>
      </c>
    </row>
    <row r="5693" spans="8:11">
      <c r="H5693">
        <f>SMALL(SimData5000!$B$9:$B$5008,685)</f>
        <v>0.13687338160483012</v>
      </c>
      <c r="I5693">
        <f>1/(COUNT(SimData5000!$B$9:$B$5008)-1)+$I$5692</f>
        <v>0.13682736547309426</v>
      </c>
      <c r="J5693">
        <f>SMALL(SimData5000!$C$9:$C$5008,685)</f>
        <v>0.13214705374957703</v>
      </c>
      <c r="K5693">
        <f>1/(COUNT(SimData5000!$C$9:$C$5008)-1)+$K$5692</f>
        <v>0.13682736547309426</v>
      </c>
    </row>
    <row r="5694" spans="8:11">
      <c r="H5694">
        <f>SMALL(SimData5000!$B$9:$B$5008,686)</f>
        <v>0.1370904708451802</v>
      </c>
      <c r="I5694">
        <f>1/(COUNT(SimData5000!$B$9:$B$5008)-1)+$I$5693</f>
        <v>0.13702740548109588</v>
      </c>
      <c r="J5694">
        <f>SMALL(SimData5000!$C$9:$C$5008,686)</f>
        <v>0.13276699722337071</v>
      </c>
      <c r="K5694">
        <f>1/(COUNT(SimData5000!$C$9:$C$5008)-1)+$K$5693</f>
        <v>0.13702740548109588</v>
      </c>
    </row>
    <row r="5695" spans="8:11">
      <c r="H5695">
        <f>SMALL(SimData5000!$B$9:$B$5008,687)</f>
        <v>0.13739564469451915</v>
      </c>
      <c r="I5695">
        <f>1/(COUNT(SimData5000!$B$9:$B$5008)-1)+$I$5694</f>
        <v>0.13722744548909749</v>
      </c>
      <c r="J5695">
        <f>SMALL(SimData5000!$C$9:$C$5008,687)</f>
        <v>0.13295314179413253</v>
      </c>
      <c r="K5695">
        <f>1/(COUNT(SimData5000!$C$9:$C$5008)-1)+$K$5694</f>
        <v>0.13722744548909749</v>
      </c>
    </row>
    <row r="5696" spans="8:11">
      <c r="H5696">
        <f>SMALL(SimData5000!$B$9:$B$5008,688)</f>
        <v>0.13740082039865684</v>
      </c>
      <c r="I5696">
        <f>1/(COUNT(SimData5000!$B$9:$B$5008)-1)+$I$5695</f>
        <v>0.1374274854970991</v>
      </c>
      <c r="J5696">
        <f>SMALL(SimData5000!$C$9:$C$5008,688)</f>
        <v>0.13317778573946271</v>
      </c>
      <c r="K5696">
        <f>1/(COUNT(SimData5000!$C$9:$C$5008)-1)+$K$5695</f>
        <v>0.1374274854970991</v>
      </c>
    </row>
    <row r="5697" spans="8:11">
      <c r="H5697">
        <f>SMALL(SimData5000!$B$9:$B$5008,689)</f>
        <v>0.13762068616725054</v>
      </c>
      <c r="I5697">
        <f>1/(COUNT(SimData5000!$B$9:$B$5008)-1)+$I$5696</f>
        <v>0.13762752550510071</v>
      </c>
      <c r="J5697">
        <f>SMALL(SimData5000!$C$9:$C$5008,689)</f>
        <v>0.1334181868342057</v>
      </c>
      <c r="K5697">
        <f>1/(COUNT(SimData5000!$C$9:$C$5008)-1)+$K$5696</f>
        <v>0.13762752550510071</v>
      </c>
    </row>
    <row r="5698" spans="8:11">
      <c r="H5698">
        <f>SMALL(SimData5000!$B$9:$B$5008,690)</f>
        <v>0.13790906342424197</v>
      </c>
      <c r="I5698">
        <f>1/(COUNT(SimData5000!$B$9:$B$5008)-1)+$I$5697</f>
        <v>0.13782756551310232</v>
      </c>
      <c r="J5698">
        <f>SMALL(SimData5000!$C$9:$C$5008,690)</f>
        <v>0.13359485055298137</v>
      </c>
      <c r="K5698">
        <f>1/(COUNT(SimData5000!$C$9:$C$5008)-1)+$K$5697</f>
        <v>0.13782756551310232</v>
      </c>
    </row>
    <row r="5699" spans="8:11">
      <c r="H5699">
        <f>SMALL(SimData5000!$B$9:$B$5008,691)</f>
        <v>0.1381409904610694</v>
      </c>
      <c r="I5699">
        <f>1/(COUNT(SimData5000!$B$9:$B$5008)-1)+$I$5698</f>
        <v>0.13802760552110394</v>
      </c>
      <c r="J5699">
        <f>SMALL(SimData5000!$C$9:$C$5008,691)</f>
        <v>0.13364917586659431</v>
      </c>
      <c r="K5699">
        <f>1/(COUNT(SimData5000!$C$9:$C$5008)-1)+$K$5698</f>
        <v>0.13802760552110394</v>
      </c>
    </row>
    <row r="5700" spans="8:11">
      <c r="H5700">
        <f>SMALL(SimData5000!$B$9:$B$5008,692)</f>
        <v>0.13838786439997794</v>
      </c>
      <c r="I5700">
        <f>1/(COUNT(SimData5000!$B$9:$B$5008)-1)+$I$5699</f>
        <v>0.13822764552910555</v>
      </c>
      <c r="J5700">
        <f>SMALL(SimData5000!$C$9:$C$5008,692)</f>
        <v>0.13395533263883408</v>
      </c>
      <c r="K5700">
        <f>1/(COUNT(SimData5000!$C$9:$C$5008)-1)+$K$5699</f>
        <v>0.13822764552910555</v>
      </c>
    </row>
    <row r="5701" spans="8:11">
      <c r="H5701">
        <f>SMALL(SimData5000!$B$9:$B$5008,693)</f>
        <v>0.13846020925814759</v>
      </c>
      <c r="I5701">
        <f>1/(COUNT(SimData5000!$B$9:$B$5008)-1)+$I$5700</f>
        <v>0.13842768553710716</v>
      </c>
      <c r="J5701">
        <f>SMALL(SimData5000!$C$9:$C$5008,693)</f>
        <v>0.13398247509030625</v>
      </c>
      <c r="K5701">
        <f>1/(COUNT(SimData5000!$C$9:$C$5008)-1)+$K$5700</f>
        <v>0.13842768553710716</v>
      </c>
    </row>
    <row r="5702" spans="8:11">
      <c r="H5702">
        <f>SMALL(SimData5000!$B$9:$B$5008,694)</f>
        <v>0.13879003750942415</v>
      </c>
      <c r="I5702">
        <f>1/(COUNT(SimData5000!$B$9:$B$5008)-1)+$I$5701</f>
        <v>0.13862772554510877</v>
      </c>
      <c r="J5702">
        <f>SMALL(SimData5000!$C$9:$C$5008,694)</f>
        <v>0.13428374129762233</v>
      </c>
      <c r="K5702">
        <f>1/(COUNT(SimData5000!$C$9:$C$5008)-1)+$K$5701</f>
        <v>0.13862772554510877</v>
      </c>
    </row>
    <row r="5703" spans="8:11">
      <c r="H5703">
        <f>SMALL(SimData5000!$B$9:$B$5008,695)</f>
        <v>0.13881369302696867</v>
      </c>
      <c r="I5703">
        <f>1/(COUNT(SimData5000!$B$9:$B$5008)-1)+$I$5702</f>
        <v>0.13882776555311038</v>
      </c>
      <c r="J5703">
        <f>SMALL(SimData5000!$C$9:$C$5008,695)</f>
        <v>0.13458828467173589</v>
      </c>
      <c r="K5703">
        <f>1/(COUNT(SimData5000!$C$9:$C$5008)-1)+$K$5702</f>
        <v>0.13882776555311038</v>
      </c>
    </row>
    <row r="5704" spans="8:11">
      <c r="H5704">
        <f>SMALL(SimData5000!$B$9:$B$5008,696)</f>
        <v>0.1390038800968332</v>
      </c>
      <c r="I5704">
        <f>1/(COUNT(SimData5000!$B$9:$B$5008)-1)+$I$5703</f>
        <v>0.13902780556111199</v>
      </c>
      <c r="J5704">
        <f>SMALL(SimData5000!$C$9:$C$5008,696)</f>
        <v>0.13507905348978966</v>
      </c>
      <c r="K5704">
        <f>1/(COUNT(SimData5000!$C$9:$C$5008)-1)+$K$5703</f>
        <v>0.13902780556111199</v>
      </c>
    </row>
    <row r="5705" spans="8:11">
      <c r="H5705">
        <f>SMALL(SimData5000!$B$9:$B$5008,697)</f>
        <v>0.13939681513220928</v>
      </c>
      <c r="I5705">
        <f>1/(COUNT(SimData5000!$B$9:$B$5008)-1)+$I$5704</f>
        <v>0.13922784556911361</v>
      </c>
      <c r="J5705">
        <f>SMALL(SimData5000!$C$9:$C$5008,697)</f>
        <v>0.13518024883160251</v>
      </c>
      <c r="K5705">
        <f>1/(COUNT(SimData5000!$C$9:$C$5008)-1)+$K$5704</f>
        <v>0.13922784556911361</v>
      </c>
    </row>
    <row r="5706" spans="8:11">
      <c r="H5706">
        <f>SMALL(SimData5000!$B$9:$B$5008,698)</f>
        <v>0.1395185712564547</v>
      </c>
      <c r="I5706">
        <f>1/(COUNT(SimData5000!$B$9:$B$5008)-1)+$I$5705</f>
        <v>0.13942788557711522</v>
      </c>
      <c r="J5706">
        <f>SMALL(SimData5000!$C$9:$C$5008,698)</f>
        <v>0.13522432297759224</v>
      </c>
      <c r="K5706">
        <f>1/(COUNT(SimData5000!$C$9:$C$5008)-1)+$K$5705</f>
        <v>0.13942788557711522</v>
      </c>
    </row>
    <row r="5707" spans="8:11">
      <c r="H5707">
        <f>SMALL(SimData5000!$B$9:$B$5008,699)</f>
        <v>0.13975467852115508</v>
      </c>
      <c r="I5707">
        <f>1/(COUNT(SimData5000!$B$9:$B$5008)-1)+$I$5706</f>
        <v>0.13962792558511683</v>
      </c>
      <c r="J5707">
        <f>SMALL(SimData5000!$C$9:$C$5008,699)</f>
        <v>0.13545442274607922</v>
      </c>
      <c r="K5707">
        <f>1/(COUNT(SimData5000!$C$9:$C$5008)-1)+$K$5706</f>
        <v>0.13962792558511683</v>
      </c>
    </row>
    <row r="5708" spans="8:11">
      <c r="H5708">
        <f>SMALL(SimData5000!$B$9:$B$5008,700)</f>
        <v>0.13993929368973226</v>
      </c>
      <c r="I5708">
        <f>1/(COUNT(SimData5000!$B$9:$B$5008)-1)+$I$5707</f>
        <v>0.13982796559311844</v>
      </c>
      <c r="J5708">
        <f>SMALL(SimData5000!$C$9:$C$5008,700)</f>
        <v>0.13578865060389944</v>
      </c>
      <c r="K5708">
        <f>1/(COUNT(SimData5000!$C$9:$C$5008)-1)+$K$5707</f>
        <v>0.13982796559311844</v>
      </c>
    </row>
    <row r="5709" spans="8:11">
      <c r="H5709">
        <f>SMALL(SimData5000!$B$9:$B$5008,701)</f>
        <v>0.14013465164404704</v>
      </c>
      <c r="I5709">
        <f>1/(COUNT(SimData5000!$B$9:$B$5008)-1)+$I$5708</f>
        <v>0.14002800560112005</v>
      </c>
      <c r="J5709">
        <f>SMALL(SimData5000!$C$9:$C$5008,701)</f>
        <v>0.13617148128378176</v>
      </c>
      <c r="K5709">
        <f>1/(COUNT(SimData5000!$C$9:$C$5008)-1)+$K$5708</f>
        <v>0.14002800560112005</v>
      </c>
    </row>
    <row r="5710" spans="8:11">
      <c r="H5710">
        <f>SMALL(SimData5000!$B$9:$B$5008,702)</f>
        <v>0.14032173230534462</v>
      </c>
      <c r="I5710">
        <f>1/(COUNT(SimData5000!$B$9:$B$5008)-1)+$I$5709</f>
        <v>0.14022804560912167</v>
      </c>
      <c r="J5710">
        <f>SMALL(SimData5000!$C$9:$C$5008,702)</f>
        <v>0.1368464583720197</v>
      </c>
      <c r="K5710">
        <f>1/(COUNT(SimData5000!$C$9:$C$5008)-1)+$K$5709</f>
        <v>0.14022804560912167</v>
      </c>
    </row>
    <row r="5711" spans="8:11">
      <c r="H5711">
        <f>SMALL(SimData5000!$B$9:$B$5008,703)</f>
        <v>0.1405322280201903</v>
      </c>
      <c r="I5711">
        <f>1/(COUNT(SimData5000!$B$9:$B$5008)-1)+$I$5710</f>
        <v>0.14042808561712328</v>
      </c>
      <c r="J5711">
        <f>SMALL(SimData5000!$C$9:$C$5008,703)</f>
        <v>0.13686211532876769</v>
      </c>
      <c r="K5711">
        <f>1/(COUNT(SimData5000!$C$9:$C$5008)-1)+$K$5710</f>
        <v>0.14042808561712328</v>
      </c>
    </row>
    <row r="5712" spans="8:11">
      <c r="H5712">
        <f>SMALL(SimData5000!$B$9:$B$5008,704)</f>
        <v>0.14067408044377205</v>
      </c>
      <c r="I5712">
        <f>1/(COUNT(SimData5000!$B$9:$B$5008)-1)+$I$5711</f>
        <v>0.14062812562512489</v>
      </c>
      <c r="J5712">
        <f>SMALL(SimData5000!$C$9:$C$5008,704)</f>
        <v>0.13698138092422596</v>
      </c>
      <c r="K5712">
        <f>1/(COUNT(SimData5000!$C$9:$C$5008)-1)+$K$5711</f>
        <v>0.14062812562512489</v>
      </c>
    </row>
    <row r="5713" spans="8:11">
      <c r="H5713">
        <f>SMALL(SimData5000!$B$9:$B$5008,705)</f>
        <v>0.1408139358163378</v>
      </c>
      <c r="I5713">
        <f>1/(COUNT(SimData5000!$B$9:$B$5008)-1)+$I$5712</f>
        <v>0.1408281656331265</v>
      </c>
      <c r="J5713">
        <f>SMALL(SimData5000!$C$9:$C$5008,705)</f>
        <v>0.13712018187379726</v>
      </c>
      <c r="K5713">
        <f>1/(COUNT(SimData5000!$C$9:$C$5008)-1)+$K$5712</f>
        <v>0.1408281656331265</v>
      </c>
    </row>
    <row r="5714" spans="8:11">
      <c r="H5714">
        <f>SMALL(SimData5000!$B$9:$B$5008,706)</f>
        <v>0.14117647358280991</v>
      </c>
      <c r="I5714">
        <f>1/(COUNT(SimData5000!$B$9:$B$5008)-1)+$I$5713</f>
        <v>0.14102820564112811</v>
      </c>
      <c r="J5714">
        <f>SMALL(SimData5000!$C$9:$C$5008,706)</f>
        <v>0.13799605526219239</v>
      </c>
      <c r="K5714">
        <f>1/(COUNT(SimData5000!$C$9:$C$5008)-1)+$K$5713</f>
        <v>0.14102820564112811</v>
      </c>
    </row>
    <row r="5715" spans="8:11">
      <c r="H5715">
        <f>SMALL(SimData5000!$B$9:$B$5008,707)</f>
        <v>0.14134012205422394</v>
      </c>
      <c r="I5715">
        <f>1/(COUNT(SimData5000!$B$9:$B$5008)-1)+$I$5714</f>
        <v>0.14122824564912972</v>
      </c>
      <c r="J5715">
        <f>SMALL(SimData5000!$C$9:$C$5008,707)</f>
        <v>0.13837472482418889</v>
      </c>
      <c r="K5715">
        <f>1/(COUNT(SimData5000!$C$9:$C$5008)-1)+$K$5714</f>
        <v>0.14122824564912972</v>
      </c>
    </row>
    <row r="5716" spans="8:11">
      <c r="H5716">
        <f>SMALL(SimData5000!$B$9:$B$5008,708)</f>
        <v>0.14143106984869369</v>
      </c>
      <c r="I5716">
        <f>1/(COUNT(SimData5000!$B$9:$B$5008)-1)+$I$5715</f>
        <v>0.14142828565713134</v>
      </c>
      <c r="J5716">
        <f>SMALL(SimData5000!$C$9:$C$5008,708)</f>
        <v>0.1388427346937533</v>
      </c>
      <c r="K5716">
        <f>1/(COUNT(SimData5000!$C$9:$C$5008)-1)+$K$5715</f>
        <v>0.14142828565713134</v>
      </c>
    </row>
    <row r="5717" spans="8:11">
      <c r="H5717">
        <f>SMALL(SimData5000!$B$9:$B$5008,709)</f>
        <v>0.14160986048360585</v>
      </c>
      <c r="I5717">
        <f>1/(COUNT(SimData5000!$B$9:$B$5008)-1)+$I$5716</f>
        <v>0.14162832566513295</v>
      </c>
      <c r="J5717">
        <f>SMALL(SimData5000!$C$9:$C$5008,709)</f>
        <v>0.13907071235735202</v>
      </c>
      <c r="K5717">
        <f>1/(COUNT(SimData5000!$C$9:$C$5008)-1)+$K$5716</f>
        <v>0.14162832566513295</v>
      </c>
    </row>
    <row r="5718" spans="8:11">
      <c r="H5718">
        <f>SMALL(SimData5000!$B$9:$B$5008,710)</f>
        <v>0.14188290066585943</v>
      </c>
      <c r="I5718">
        <f>1/(COUNT(SimData5000!$B$9:$B$5008)-1)+$I$5717</f>
        <v>0.14182836567313456</v>
      </c>
      <c r="J5718">
        <f>SMALL(SimData5000!$C$9:$C$5008,710)</f>
        <v>0.13926799412092805</v>
      </c>
      <c r="K5718">
        <f>1/(COUNT(SimData5000!$C$9:$C$5008)-1)+$K$5717</f>
        <v>0.14182836567313456</v>
      </c>
    </row>
    <row r="5719" spans="8:11">
      <c r="H5719">
        <f>SMALL(SimData5000!$B$9:$B$5008,711)</f>
        <v>0.1421370570984988</v>
      </c>
      <c r="I5719">
        <f>1/(COUNT(SimData5000!$B$9:$B$5008)-1)+$I$5718</f>
        <v>0.14202840568113617</v>
      </c>
      <c r="J5719">
        <f>SMALL(SimData5000!$C$9:$C$5008,711)</f>
        <v>0.13955073006673047</v>
      </c>
      <c r="K5719">
        <f>1/(COUNT(SimData5000!$C$9:$C$5008)-1)+$K$5718</f>
        <v>0.14202840568113617</v>
      </c>
    </row>
    <row r="5720" spans="8:11">
      <c r="H5720">
        <f>SMALL(SimData5000!$B$9:$B$5008,712)</f>
        <v>0.14229613071994299</v>
      </c>
      <c r="I5720">
        <f>1/(COUNT(SimData5000!$B$9:$B$5008)-1)+$I$5719</f>
        <v>0.14222844568913778</v>
      </c>
      <c r="J5720">
        <f>SMALL(SimData5000!$C$9:$C$5008,712)</f>
        <v>0.14000014992052456</v>
      </c>
      <c r="K5720">
        <f>1/(COUNT(SimData5000!$C$9:$C$5008)-1)+$K$5719</f>
        <v>0.14222844568913778</v>
      </c>
    </row>
    <row r="5721" spans="8:11">
      <c r="H5721">
        <f>SMALL(SimData5000!$B$9:$B$5008,713)</f>
        <v>0.1425366763900818</v>
      </c>
      <c r="I5721">
        <f>1/(COUNT(SimData5000!$B$9:$B$5008)-1)+$I$5720</f>
        <v>0.1424284856971394</v>
      </c>
      <c r="J5721">
        <f>SMALL(SimData5000!$C$9:$C$5008,713)</f>
        <v>0.14023900884239993</v>
      </c>
      <c r="K5721">
        <f>1/(COUNT(SimData5000!$C$9:$C$5008)-1)+$K$5720</f>
        <v>0.1424284856971394</v>
      </c>
    </row>
    <row r="5722" spans="8:11">
      <c r="H5722">
        <f>SMALL(SimData5000!$B$9:$B$5008,714)</f>
        <v>0.14265613065502983</v>
      </c>
      <c r="I5722">
        <f>1/(COUNT(SimData5000!$B$9:$B$5008)-1)+$I$5721</f>
        <v>0.14262852570514101</v>
      </c>
      <c r="J5722">
        <f>SMALL(SimData5000!$C$9:$C$5008,714)</f>
        <v>0.14120201952573552</v>
      </c>
      <c r="K5722">
        <f>1/(COUNT(SimData5000!$C$9:$C$5008)-1)+$K$5721</f>
        <v>0.14262852570514101</v>
      </c>
    </row>
    <row r="5723" spans="8:11">
      <c r="H5723">
        <f>SMALL(SimData5000!$B$9:$B$5008,715)</f>
        <v>0.14286486337610169</v>
      </c>
      <c r="I5723">
        <f>1/(COUNT(SimData5000!$B$9:$B$5008)-1)+$I$5722</f>
        <v>0.14282856571314262</v>
      </c>
      <c r="J5723">
        <f>SMALL(SimData5000!$C$9:$C$5008,715)</f>
        <v>0.14178311004070565</v>
      </c>
      <c r="K5723">
        <f>1/(COUNT(SimData5000!$C$9:$C$5008)-1)+$K$5722</f>
        <v>0.14282856571314262</v>
      </c>
    </row>
    <row r="5724" spans="8:11">
      <c r="H5724">
        <f>SMALL(SimData5000!$B$9:$B$5008,716)</f>
        <v>0.14312111805056246</v>
      </c>
      <c r="I5724">
        <f>1/(COUNT(SimData5000!$B$9:$B$5008)-1)+$I$5723</f>
        <v>0.14302860572114423</v>
      </c>
      <c r="J5724">
        <f>SMALL(SimData5000!$C$9:$C$5008,716)</f>
        <v>0.14203342144537601</v>
      </c>
      <c r="K5724">
        <f>1/(COUNT(SimData5000!$C$9:$C$5008)-1)+$K$5723</f>
        <v>0.14302860572114423</v>
      </c>
    </row>
    <row r="5725" spans="8:11">
      <c r="H5725">
        <f>SMALL(SimData5000!$B$9:$B$5008,717)</f>
        <v>0.14324331971505735</v>
      </c>
      <c r="I5725">
        <f>1/(COUNT(SimData5000!$B$9:$B$5008)-1)+$I$5724</f>
        <v>0.14322864572914584</v>
      </c>
      <c r="J5725">
        <f>SMALL(SimData5000!$C$9:$C$5008,717)</f>
        <v>0.14212412655342632</v>
      </c>
      <c r="K5725">
        <f>1/(COUNT(SimData5000!$C$9:$C$5008)-1)+$K$5724</f>
        <v>0.14322864572914584</v>
      </c>
    </row>
    <row r="5726" spans="8:11">
      <c r="H5726">
        <f>SMALL(SimData5000!$B$9:$B$5008,718)</f>
        <v>0.14340508661377363</v>
      </c>
      <c r="I5726">
        <f>1/(COUNT(SimData5000!$B$9:$B$5008)-1)+$I$5725</f>
        <v>0.14342868573714745</v>
      </c>
      <c r="J5726">
        <f>SMALL(SimData5000!$C$9:$C$5008,718)</f>
        <v>0.14216232939998008</v>
      </c>
      <c r="K5726">
        <f>1/(COUNT(SimData5000!$C$9:$C$5008)-1)+$K$5725</f>
        <v>0.14342868573714745</v>
      </c>
    </row>
    <row r="5727" spans="8:11">
      <c r="H5727">
        <f>SMALL(SimData5000!$B$9:$B$5008,719)</f>
        <v>0.14373563347592383</v>
      </c>
      <c r="I5727">
        <f>1/(COUNT(SimData5000!$B$9:$B$5008)-1)+$I$5726</f>
        <v>0.14362872574514907</v>
      </c>
      <c r="J5727">
        <f>SMALL(SimData5000!$C$9:$C$5008,719)</f>
        <v>0.14219354980014032</v>
      </c>
      <c r="K5727">
        <f>1/(COUNT(SimData5000!$C$9:$C$5008)-1)+$K$5726</f>
        <v>0.14362872574514907</v>
      </c>
    </row>
    <row r="5728" spans="8:11">
      <c r="H5728">
        <f>SMALL(SimData5000!$B$9:$B$5008,720)</f>
        <v>0.1439414063726881</v>
      </c>
      <c r="I5728">
        <f>1/(COUNT(SimData5000!$B$9:$B$5008)-1)+$I$5727</f>
        <v>0.14382876575315068</v>
      </c>
      <c r="J5728">
        <f>SMALL(SimData5000!$C$9:$C$5008,720)</f>
        <v>0.14238890886190347</v>
      </c>
      <c r="K5728">
        <f>1/(COUNT(SimData5000!$C$9:$C$5008)-1)+$K$5727</f>
        <v>0.14382876575315068</v>
      </c>
    </row>
    <row r="5729" spans="8:11">
      <c r="H5729">
        <f>SMALL(SimData5000!$B$9:$B$5008,721)</f>
        <v>0.1440133343683587</v>
      </c>
      <c r="I5729">
        <f>1/(COUNT(SimData5000!$B$9:$B$5008)-1)+$I$5728</f>
        <v>0.14402880576115229</v>
      </c>
      <c r="J5729">
        <f>SMALL(SimData5000!$C$9:$C$5008,721)</f>
        <v>0.1424153160842252</v>
      </c>
      <c r="K5729">
        <f>1/(COUNT(SimData5000!$C$9:$C$5008)-1)+$K$5728</f>
        <v>0.14402880576115229</v>
      </c>
    </row>
    <row r="5730" spans="8:11">
      <c r="H5730">
        <f>SMALL(SimData5000!$B$9:$B$5008,722)</f>
        <v>0.14426059591725018</v>
      </c>
      <c r="I5730">
        <f>1/(COUNT(SimData5000!$B$9:$B$5008)-1)+$I$5729</f>
        <v>0.1442288457691539</v>
      </c>
      <c r="J5730">
        <f>SMALL(SimData5000!$C$9:$C$5008,722)</f>
        <v>0.1424315920448862</v>
      </c>
      <c r="K5730">
        <f>1/(COUNT(SimData5000!$C$9:$C$5008)-1)+$K$5729</f>
        <v>0.1442288457691539</v>
      </c>
    </row>
    <row r="5731" spans="8:11">
      <c r="H5731">
        <f>SMALL(SimData5000!$B$9:$B$5008,723)</f>
        <v>0.14445880822419627</v>
      </c>
      <c r="I5731">
        <f>1/(COUNT(SimData5000!$B$9:$B$5008)-1)+$I$5730</f>
        <v>0.14442888577715551</v>
      </c>
      <c r="J5731">
        <f>SMALL(SimData5000!$C$9:$C$5008,723)</f>
        <v>0.14268097574313288</v>
      </c>
      <c r="K5731">
        <f>1/(COUNT(SimData5000!$C$9:$C$5008)-1)+$K$5730</f>
        <v>0.14442888577715551</v>
      </c>
    </row>
    <row r="5732" spans="8:11">
      <c r="H5732">
        <f>SMALL(SimData5000!$B$9:$B$5008,724)</f>
        <v>0.14467668820961302</v>
      </c>
      <c r="I5732">
        <f>1/(COUNT(SimData5000!$B$9:$B$5008)-1)+$I$5731</f>
        <v>0.14462892578515713</v>
      </c>
      <c r="J5732">
        <f>SMALL(SimData5000!$C$9:$C$5008,724)</f>
        <v>0.14271847825057193</v>
      </c>
      <c r="K5732">
        <f>1/(COUNT(SimData5000!$C$9:$C$5008)-1)+$K$5731</f>
        <v>0.14462892578515713</v>
      </c>
    </row>
    <row r="5733" spans="8:11">
      <c r="H5733">
        <f>SMALL(SimData5000!$B$9:$B$5008,725)</f>
        <v>0.14497165680573593</v>
      </c>
      <c r="I5733">
        <f>1/(COUNT(SimData5000!$B$9:$B$5008)-1)+$I$5732</f>
        <v>0.14482896579315874</v>
      </c>
      <c r="J5733">
        <f>SMALL(SimData5000!$C$9:$C$5008,725)</f>
        <v>0.1427625510677899</v>
      </c>
      <c r="K5733">
        <f>1/(COUNT(SimData5000!$C$9:$C$5008)-1)+$K$5732</f>
        <v>0.14482896579315874</v>
      </c>
    </row>
    <row r="5734" spans="8:11">
      <c r="H5734">
        <f>SMALL(SimData5000!$B$9:$B$5008,726)</f>
        <v>0.14514396952272951</v>
      </c>
      <c r="I5734">
        <f>1/(COUNT(SimData5000!$B$9:$B$5008)-1)+$I$5733</f>
        <v>0.14502900580116035</v>
      </c>
      <c r="J5734">
        <f>SMALL(SimData5000!$C$9:$C$5008,726)</f>
        <v>0.14332839907729067</v>
      </c>
      <c r="K5734">
        <f>1/(COUNT(SimData5000!$C$9:$C$5008)-1)+$K$5733</f>
        <v>0.14502900580116035</v>
      </c>
    </row>
    <row r="5735" spans="8:11">
      <c r="H5735">
        <f>SMALL(SimData5000!$B$9:$B$5008,727)</f>
        <v>0.14520289641679332</v>
      </c>
      <c r="I5735">
        <f>1/(COUNT(SimData5000!$B$9:$B$5008)-1)+$I$5734</f>
        <v>0.14522904580916196</v>
      </c>
      <c r="J5735">
        <f>SMALL(SimData5000!$C$9:$C$5008,727)</f>
        <v>0.14375610204842815</v>
      </c>
      <c r="K5735">
        <f>1/(COUNT(SimData5000!$C$9:$C$5008)-1)+$K$5734</f>
        <v>0.14522904580916196</v>
      </c>
    </row>
    <row r="5736" spans="8:11">
      <c r="H5736">
        <f>SMALL(SimData5000!$B$9:$B$5008,728)</f>
        <v>0.14557592886378429</v>
      </c>
      <c r="I5736">
        <f>1/(COUNT(SimData5000!$B$9:$B$5008)-1)+$I$5735</f>
        <v>0.14542908581716357</v>
      </c>
      <c r="J5736">
        <f>SMALL(SimData5000!$C$9:$C$5008,728)</f>
        <v>0.1438128062427495</v>
      </c>
      <c r="K5736">
        <f>1/(COUNT(SimData5000!$C$9:$C$5008)-1)+$K$5735</f>
        <v>0.14542908581716357</v>
      </c>
    </row>
    <row r="5737" spans="8:11">
      <c r="H5737">
        <f>SMALL(SimData5000!$B$9:$B$5008,729)</f>
        <v>0.14568553010380955</v>
      </c>
      <c r="I5737">
        <f>1/(COUNT(SimData5000!$B$9:$B$5008)-1)+$I$5736</f>
        <v>0.14562912582516518</v>
      </c>
      <c r="J5737">
        <f>SMALL(SimData5000!$C$9:$C$5008,729)</f>
        <v>0.14430248514690902</v>
      </c>
      <c r="K5737">
        <f>1/(COUNT(SimData5000!$C$9:$C$5008)-1)+$K$5736</f>
        <v>0.14562912582516518</v>
      </c>
    </row>
    <row r="5738" spans="8:11">
      <c r="H5738">
        <f>SMALL(SimData5000!$B$9:$B$5008,730)</f>
        <v>0.14594404640922884</v>
      </c>
      <c r="I5738">
        <f>1/(COUNT(SimData5000!$B$9:$B$5008)-1)+$I$5737</f>
        <v>0.1458291658331668</v>
      </c>
      <c r="J5738">
        <f>SMALL(SimData5000!$C$9:$C$5008,730)</f>
        <v>0.14435964095264353</v>
      </c>
      <c r="K5738">
        <f>1/(COUNT(SimData5000!$C$9:$C$5008)-1)+$K$5737</f>
        <v>0.1458291658331668</v>
      </c>
    </row>
    <row r="5739" spans="8:11">
      <c r="H5739">
        <f>SMALL(SimData5000!$B$9:$B$5008,731)</f>
        <v>0.14608603113849788</v>
      </c>
      <c r="I5739">
        <f>1/(COUNT(SimData5000!$B$9:$B$5008)-1)+$I$5738</f>
        <v>0.14602920584116841</v>
      </c>
      <c r="J5739">
        <f>SMALL(SimData5000!$C$9:$C$5008,731)</f>
        <v>0.14456307357158948</v>
      </c>
      <c r="K5739">
        <f>1/(COUNT(SimData5000!$C$9:$C$5008)-1)+$K$5738</f>
        <v>0.14602920584116841</v>
      </c>
    </row>
    <row r="5740" spans="8:11">
      <c r="H5740">
        <f>SMALL(SimData5000!$B$9:$B$5008,732)</f>
        <v>0.14635625243614339</v>
      </c>
      <c r="I5740">
        <f>1/(COUNT(SimData5000!$B$9:$B$5008)-1)+$I$5739</f>
        <v>0.14622924584917002</v>
      </c>
      <c r="J5740">
        <f>SMALL(SimData5000!$C$9:$C$5008,732)</f>
        <v>0.14469262562488439</v>
      </c>
      <c r="K5740">
        <f>1/(COUNT(SimData5000!$C$9:$C$5008)-1)+$K$5739</f>
        <v>0.14622924584917002</v>
      </c>
    </row>
    <row r="5741" spans="8:11">
      <c r="H5741">
        <f>SMALL(SimData5000!$B$9:$B$5008,733)</f>
        <v>0.14642473978498594</v>
      </c>
      <c r="I5741">
        <f>1/(COUNT(SimData5000!$B$9:$B$5008)-1)+$I$5740</f>
        <v>0.14642928585717163</v>
      </c>
      <c r="J5741">
        <f>SMALL(SimData5000!$C$9:$C$5008,733)</f>
        <v>0.14473277446631982</v>
      </c>
      <c r="K5741">
        <f>1/(COUNT(SimData5000!$C$9:$C$5008)-1)+$K$5740</f>
        <v>0.14642928585717163</v>
      </c>
    </row>
    <row r="5742" spans="8:11">
      <c r="H5742">
        <f>SMALL(SimData5000!$B$9:$B$5008,734)</f>
        <v>0.14673263107140841</v>
      </c>
      <c r="I5742">
        <f>1/(COUNT(SimData5000!$B$9:$B$5008)-1)+$I$5741</f>
        <v>0.14662932586517324</v>
      </c>
      <c r="J5742">
        <f>SMALL(SimData5000!$C$9:$C$5008,734)</f>
        <v>0.14473415026259318</v>
      </c>
      <c r="K5742">
        <f>1/(COUNT(SimData5000!$C$9:$C$5008)-1)+$K$5741</f>
        <v>0.14662932586517324</v>
      </c>
    </row>
    <row r="5743" spans="8:11">
      <c r="H5743">
        <f>SMALL(SimData5000!$B$9:$B$5008,735)</f>
        <v>0.14699213720019721</v>
      </c>
      <c r="I5743">
        <f>1/(COUNT(SimData5000!$B$9:$B$5008)-1)+$I$5742</f>
        <v>0.14682936587317486</v>
      </c>
      <c r="J5743">
        <f>SMALL(SimData5000!$C$9:$C$5008,735)</f>
        <v>0.14497197540367779</v>
      </c>
      <c r="K5743">
        <f>1/(COUNT(SimData5000!$C$9:$C$5008)-1)+$K$5742</f>
        <v>0.14682936587317486</v>
      </c>
    </row>
    <row r="5744" spans="8:11">
      <c r="H5744">
        <f>SMALL(SimData5000!$B$9:$B$5008,736)</f>
        <v>0.14713452531568114</v>
      </c>
      <c r="I5744">
        <f>1/(COUNT(SimData5000!$B$9:$B$5008)-1)+$I$5743</f>
        <v>0.14702940588117647</v>
      </c>
      <c r="J5744">
        <f>SMALL(SimData5000!$C$9:$C$5008,736)</f>
        <v>0.14509438483673875</v>
      </c>
      <c r="K5744">
        <f>1/(COUNT(SimData5000!$C$9:$C$5008)-1)+$K$5743</f>
        <v>0.14702940588117647</v>
      </c>
    </row>
    <row r="5745" spans="8:11">
      <c r="H5745">
        <f>SMALL(SimData5000!$B$9:$B$5008,737)</f>
        <v>0.1473282727332153</v>
      </c>
      <c r="I5745">
        <f>1/(COUNT(SimData5000!$B$9:$B$5008)-1)+$I$5744</f>
        <v>0.14722944588917808</v>
      </c>
      <c r="J5745">
        <f>SMALL(SimData5000!$C$9:$C$5008,737)</f>
        <v>0.14592372283550503</v>
      </c>
      <c r="K5745">
        <f>1/(COUNT(SimData5000!$C$9:$C$5008)-1)+$K$5744</f>
        <v>0.14722944588917808</v>
      </c>
    </row>
    <row r="5746" spans="8:11">
      <c r="H5746">
        <f>SMALL(SimData5000!$B$9:$B$5008,738)</f>
        <v>0.14752645500067771</v>
      </c>
      <c r="I5746">
        <f>1/(COUNT(SimData5000!$B$9:$B$5008)-1)+$I$5745</f>
        <v>0.14742948589717969</v>
      </c>
      <c r="J5746">
        <f>SMALL(SimData5000!$C$9:$C$5008,738)</f>
        <v>0.146081953202156</v>
      </c>
      <c r="K5746">
        <f>1/(COUNT(SimData5000!$C$9:$C$5008)-1)+$K$5745</f>
        <v>0.14742948589717969</v>
      </c>
    </row>
    <row r="5747" spans="8:11">
      <c r="H5747">
        <f>SMALL(SimData5000!$B$9:$B$5008,739)</f>
        <v>0.14765971478332293</v>
      </c>
      <c r="I5747">
        <f>1/(COUNT(SimData5000!$B$9:$B$5008)-1)+$I$5746</f>
        <v>0.1476295259051813</v>
      </c>
      <c r="J5747">
        <f>SMALL(SimData5000!$C$9:$C$5008,739)</f>
        <v>0.14620213475882338</v>
      </c>
      <c r="K5747">
        <f>1/(COUNT(SimData5000!$C$9:$C$5008)-1)+$K$5746</f>
        <v>0.1476295259051813</v>
      </c>
    </row>
    <row r="5748" spans="8:11">
      <c r="H5748">
        <f>SMALL(SimData5000!$B$9:$B$5008,740)</f>
        <v>0.14787162129256678</v>
      </c>
      <c r="I5748">
        <f>1/(COUNT(SimData5000!$B$9:$B$5008)-1)+$I$5747</f>
        <v>0.14782956591318291</v>
      </c>
      <c r="J5748">
        <f>SMALL(SimData5000!$C$9:$C$5008,740)</f>
        <v>0.14704865237673914</v>
      </c>
      <c r="K5748">
        <f>1/(COUNT(SimData5000!$C$9:$C$5008)-1)+$K$5747</f>
        <v>0.14782956591318291</v>
      </c>
    </row>
    <row r="5749" spans="8:11">
      <c r="H5749">
        <f>SMALL(SimData5000!$B$9:$B$5008,741)</f>
        <v>0.14801409549271083</v>
      </c>
      <c r="I5749">
        <f>1/(COUNT(SimData5000!$B$9:$B$5008)-1)+$I$5748</f>
        <v>0.14802960592118453</v>
      </c>
      <c r="J5749">
        <f>SMALL(SimData5000!$C$9:$C$5008,741)</f>
        <v>0.14705636881080864</v>
      </c>
      <c r="K5749">
        <f>1/(COUNT(SimData5000!$C$9:$C$5008)-1)+$K$5748</f>
        <v>0.14802960592118453</v>
      </c>
    </row>
    <row r="5750" spans="8:11">
      <c r="H5750">
        <f>SMALL(SimData5000!$B$9:$B$5008,742)</f>
        <v>0.14836527278725178</v>
      </c>
      <c r="I5750">
        <f>1/(COUNT(SimData5000!$B$9:$B$5008)-1)+$I$5749</f>
        <v>0.14822964592918614</v>
      </c>
      <c r="J5750">
        <f>SMALL(SimData5000!$C$9:$C$5008,742)</f>
        <v>0.14707632550289418</v>
      </c>
      <c r="K5750">
        <f>1/(COUNT(SimData5000!$C$9:$C$5008)-1)+$K$5749</f>
        <v>0.14822964592918614</v>
      </c>
    </row>
    <row r="5751" spans="8:11">
      <c r="H5751">
        <f>SMALL(SimData5000!$B$9:$B$5008,743)</f>
        <v>0.14854754203719728</v>
      </c>
      <c r="I5751">
        <f>1/(COUNT(SimData5000!$B$9:$B$5008)-1)+$I$5750</f>
        <v>0.14842968593718775</v>
      </c>
      <c r="J5751">
        <f>SMALL(SimData5000!$C$9:$C$5008,743)</f>
        <v>0.14745809518990427</v>
      </c>
      <c r="K5751">
        <f>1/(COUNT(SimData5000!$C$9:$C$5008)-1)+$K$5750</f>
        <v>0.14842968593718775</v>
      </c>
    </row>
    <row r="5752" spans="8:11">
      <c r="H5752">
        <f>SMALL(SimData5000!$B$9:$B$5008,744)</f>
        <v>0.14861490079751585</v>
      </c>
      <c r="I5752">
        <f>1/(COUNT(SimData5000!$B$9:$B$5008)-1)+$I$5751</f>
        <v>0.14862972594518936</v>
      </c>
      <c r="J5752">
        <f>SMALL(SimData5000!$C$9:$C$5008,744)</f>
        <v>0.14746935246057546</v>
      </c>
      <c r="K5752">
        <f>1/(COUNT(SimData5000!$C$9:$C$5008)-1)+$K$5751</f>
        <v>0.14862972594518936</v>
      </c>
    </row>
    <row r="5753" spans="8:11">
      <c r="H5753">
        <f>SMALL(SimData5000!$B$9:$B$5008,745)</f>
        <v>0.14882980427994155</v>
      </c>
      <c r="I5753">
        <f>1/(COUNT(SimData5000!$B$9:$B$5008)-1)+$I$5752</f>
        <v>0.14882976595319097</v>
      </c>
      <c r="J5753">
        <f>SMALL(SimData5000!$C$9:$C$5008,745)</f>
        <v>0.14755689922094462</v>
      </c>
      <c r="K5753">
        <f>1/(COUNT(SimData5000!$C$9:$C$5008)-1)+$K$5752</f>
        <v>0.14882976595319097</v>
      </c>
    </row>
    <row r="5754" spans="8:11">
      <c r="H5754">
        <f>SMALL(SimData5000!$B$9:$B$5008,746)</f>
        <v>0.14912584768518011</v>
      </c>
      <c r="I5754">
        <f>1/(COUNT(SimData5000!$B$9:$B$5008)-1)+$I$5753</f>
        <v>0.14902980596119259</v>
      </c>
      <c r="J5754">
        <f>SMALL(SimData5000!$C$9:$C$5008,746)</f>
        <v>0.1475629162905534</v>
      </c>
      <c r="K5754">
        <f>1/(COUNT(SimData5000!$C$9:$C$5008)-1)+$K$5753</f>
        <v>0.14902980596119259</v>
      </c>
    </row>
    <row r="5755" spans="8:11">
      <c r="H5755">
        <f>SMALL(SimData5000!$B$9:$B$5008,747)</f>
        <v>0.14929001930525759</v>
      </c>
      <c r="I5755">
        <f>1/(COUNT(SimData5000!$B$9:$B$5008)-1)+$I$5754</f>
        <v>0.1492298459691942</v>
      </c>
      <c r="J5755">
        <f>SMALL(SimData5000!$C$9:$C$5008,747)</f>
        <v>0.14763493099508196</v>
      </c>
      <c r="K5755">
        <f>1/(COUNT(SimData5000!$C$9:$C$5008)-1)+$K$5754</f>
        <v>0.1492298459691942</v>
      </c>
    </row>
    <row r="5756" spans="8:11">
      <c r="H5756">
        <f>SMALL(SimData5000!$B$9:$B$5008,748)</f>
        <v>0.14941946309959037</v>
      </c>
      <c r="I5756">
        <f>1/(COUNT(SimData5000!$B$9:$B$5008)-1)+$I$5755</f>
        <v>0.14942988597719581</v>
      </c>
      <c r="J5756">
        <f>SMALL(SimData5000!$C$9:$C$5008,748)</f>
        <v>0.14809227111891232</v>
      </c>
      <c r="K5756">
        <f>1/(COUNT(SimData5000!$C$9:$C$5008)-1)+$K$5755</f>
        <v>0.14942988597719581</v>
      </c>
    </row>
    <row r="5757" spans="8:11">
      <c r="H5757">
        <f>SMALL(SimData5000!$B$9:$B$5008,749)</f>
        <v>0.14970749098023109</v>
      </c>
      <c r="I5757">
        <f>1/(COUNT(SimData5000!$B$9:$B$5008)-1)+$I$5756</f>
        <v>0.14962992598519742</v>
      </c>
      <c r="J5757">
        <f>SMALL(SimData5000!$C$9:$C$5008,749)</f>
        <v>0.14815627910502371</v>
      </c>
      <c r="K5757">
        <f>1/(COUNT(SimData5000!$C$9:$C$5008)-1)+$K$5756</f>
        <v>0.14962992598519742</v>
      </c>
    </row>
    <row r="5758" spans="8:11">
      <c r="H5758">
        <f>SMALL(SimData5000!$B$9:$B$5008,750)</f>
        <v>0.1498800443920959</v>
      </c>
      <c r="I5758">
        <f>1/(COUNT(SimData5000!$B$9:$B$5008)-1)+$I$5757</f>
        <v>0.14982996599319903</v>
      </c>
      <c r="J5758">
        <f>SMALL(SimData5000!$C$9:$C$5008,750)</f>
        <v>0.14819115633144975</v>
      </c>
      <c r="K5758">
        <f>1/(COUNT(SimData5000!$C$9:$C$5008)-1)+$K$5757</f>
        <v>0.14982996599319903</v>
      </c>
    </row>
    <row r="5759" spans="8:11">
      <c r="H5759">
        <f>SMALL(SimData5000!$B$9:$B$5008,751)</f>
        <v>0.15019438223484771</v>
      </c>
      <c r="I5759">
        <f>1/(COUNT(SimData5000!$B$9:$B$5008)-1)+$I$5758</f>
        <v>0.15003000600120064</v>
      </c>
      <c r="J5759">
        <f>SMALL(SimData5000!$C$9:$C$5008,751)</f>
        <v>0.14823759690989391</v>
      </c>
      <c r="K5759">
        <f>1/(COUNT(SimData5000!$C$9:$C$5008)-1)+$K$5758</f>
        <v>0.15003000600120064</v>
      </c>
    </row>
    <row r="5760" spans="8:11">
      <c r="H5760">
        <f>SMALL(SimData5000!$B$9:$B$5008,752)</f>
        <v>0.1503441761482377</v>
      </c>
      <c r="I5760">
        <f>1/(COUNT(SimData5000!$B$9:$B$5008)-1)+$I$5759</f>
        <v>0.15023004600920226</v>
      </c>
      <c r="J5760">
        <f>SMALL(SimData5000!$C$9:$C$5008,752)</f>
        <v>0.14858207528322964</v>
      </c>
      <c r="K5760">
        <f>1/(COUNT(SimData5000!$C$9:$C$5008)-1)+$K$5759</f>
        <v>0.15023004600920226</v>
      </c>
    </row>
    <row r="5761" spans="8:11">
      <c r="H5761">
        <f>SMALL(SimData5000!$B$9:$B$5008,753)</f>
        <v>0.15054810200406893</v>
      </c>
      <c r="I5761">
        <f>1/(COUNT(SimData5000!$B$9:$B$5008)-1)+$I$5760</f>
        <v>0.15043008601720387</v>
      </c>
      <c r="J5761">
        <f>SMALL(SimData5000!$C$9:$C$5008,753)</f>
        <v>0.14869614704002743</v>
      </c>
      <c r="K5761">
        <f>1/(COUNT(SimData5000!$C$9:$C$5008)-1)+$K$5760</f>
        <v>0.15043008601720387</v>
      </c>
    </row>
    <row r="5762" spans="8:11">
      <c r="H5762">
        <f>SMALL(SimData5000!$B$9:$B$5008,754)</f>
        <v>0.15064777342147376</v>
      </c>
      <c r="I5762">
        <f>1/(COUNT(SimData5000!$B$9:$B$5008)-1)+$I$5761</f>
        <v>0.15063012602520548</v>
      </c>
      <c r="J5762">
        <f>SMALL(SimData5000!$C$9:$C$5008,754)</f>
        <v>0.14869931164048467</v>
      </c>
      <c r="K5762">
        <f>1/(COUNT(SimData5000!$C$9:$C$5008)-1)+$K$5761</f>
        <v>0.15063012602520548</v>
      </c>
    </row>
    <row r="5763" spans="8:11">
      <c r="H5763">
        <f>SMALL(SimData5000!$B$9:$B$5008,755)</f>
        <v>0.15096660235672413</v>
      </c>
      <c r="I5763">
        <f>1/(COUNT(SimData5000!$B$9:$B$5008)-1)+$I$5762</f>
        <v>0.15083016603320709</v>
      </c>
      <c r="J5763">
        <f>SMALL(SimData5000!$C$9:$C$5008,755)</f>
        <v>0.1488469106161574</v>
      </c>
      <c r="K5763">
        <f>1/(COUNT(SimData5000!$C$9:$C$5008)-1)+$K$5762</f>
        <v>0.15083016603320709</v>
      </c>
    </row>
    <row r="5764" spans="8:11">
      <c r="H5764">
        <f>SMALL(SimData5000!$B$9:$B$5008,756)</f>
        <v>0.15106931126352152</v>
      </c>
      <c r="I5764">
        <f>1/(COUNT(SimData5000!$B$9:$B$5008)-1)+$I$5763</f>
        <v>0.1510302060412087</v>
      </c>
      <c r="J5764">
        <f>SMALL(SimData5000!$C$9:$C$5008,756)</f>
        <v>0.14899429803972453</v>
      </c>
      <c r="K5764">
        <f>1/(COUNT(SimData5000!$C$9:$C$5008)-1)+$K$5763</f>
        <v>0.1510302060412087</v>
      </c>
    </row>
    <row r="5765" spans="8:11">
      <c r="H5765">
        <f>SMALL(SimData5000!$B$9:$B$5008,757)</f>
        <v>0.15120982699571406</v>
      </c>
      <c r="I5765">
        <f>1/(COUNT(SimData5000!$B$9:$B$5008)-1)+$I$5764</f>
        <v>0.15123024604921032</v>
      </c>
      <c r="J5765">
        <f>SMALL(SimData5000!$C$9:$C$5008,757)</f>
        <v>0.14920891495876276</v>
      </c>
      <c r="K5765">
        <f>1/(COUNT(SimData5000!$C$9:$C$5008)-1)+$K$5764</f>
        <v>0.15123024604921032</v>
      </c>
    </row>
    <row r="5766" spans="8:11">
      <c r="H5766">
        <f>SMALL(SimData5000!$B$9:$B$5008,758)</f>
        <v>0.15158343090014145</v>
      </c>
      <c r="I5766">
        <f>1/(COUNT(SimData5000!$B$9:$B$5008)-1)+$I$5765</f>
        <v>0.15143028605721193</v>
      </c>
      <c r="J5766">
        <f>SMALL(SimData5000!$C$9:$C$5008,758)</f>
        <v>0.14920981166596903</v>
      </c>
      <c r="K5766">
        <f>1/(COUNT(SimData5000!$C$9:$C$5008)-1)+$K$5765</f>
        <v>0.15143028605721193</v>
      </c>
    </row>
    <row r="5767" spans="8:11">
      <c r="H5767">
        <f>SMALL(SimData5000!$B$9:$B$5008,759)</f>
        <v>0.15168063219433667</v>
      </c>
      <c r="I5767">
        <f>1/(COUNT(SimData5000!$B$9:$B$5008)-1)+$I$5766</f>
        <v>0.15163032606521354</v>
      </c>
      <c r="J5767">
        <f>SMALL(SimData5000!$C$9:$C$5008,759)</f>
        <v>0.14921458579919999</v>
      </c>
      <c r="K5767">
        <f>1/(COUNT(SimData5000!$C$9:$C$5008)-1)+$K$5766</f>
        <v>0.15163032606521354</v>
      </c>
    </row>
    <row r="5768" spans="8:11">
      <c r="H5768">
        <f>SMALL(SimData5000!$B$9:$B$5008,760)</f>
        <v>0.15182071073987072</v>
      </c>
      <c r="I5768">
        <f>1/(COUNT(SimData5000!$B$9:$B$5008)-1)+$I$5767</f>
        <v>0.15183036607321515</v>
      </c>
      <c r="J5768">
        <f>SMALL(SimData5000!$C$9:$C$5008,760)</f>
        <v>0.14929554394529987</v>
      </c>
      <c r="K5768">
        <f>1/(COUNT(SimData5000!$C$9:$C$5008)-1)+$K$5767</f>
        <v>0.15183036607321515</v>
      </c>
    </row>
    <row r="5769" spans="8:11">
      <c r="H5769">
        <f>SMALL(SimData5000!$B$9:$B$5008,761)</f>
        <v>0.15218185334647583</v>
      </c>
      <c r="I5769">
        <f>1/(COUNT(SimData5000!$B$9:$B$5008)-1)+$I$5768</f>
        <v>0.15203040608121676</v>
      </c>
      <c r="J5769">
        <f>SMALL(SimData5000!$C$9:$C$5008,761)</f>
        <v>0.14933202145221003</v>
      </c>
      <c r="K5769">
        <f>1/(COUNT(SimData5000!$C$9:$C$5008)-1)+$K$5768</f>
        <v>0.15203040608121676</v>
      </c>
    </row>
    <row r="5770" spans="8:11">
      <c r="H5770">
        <f>SMALL(SimData5000!$B$9:$B$5008,762)</f>
        <v>0.15235477588557517</v>
      </c>
      <c r="I5770">
        <f>1/(COUNT(SimData5000!$B$9:$B$5008)-1)+$I$5769</f>
        <v>0.15223044608921837</v>
      </c>
      <c r="J5770">
        <f>SMALL(SimData5000!$C$9:$C$5008,762)</f>
        <v>0.14962749428468669</v>
      </c>
      <c r="K5770">
        <f>1/(COUNT(SimData5000!$C$9:$C$5008)-1)+$K$5769</f>
        <v>0.15223044608921837</v>
      </c>
    </row>
    <row r="5771" spans="8:11">
      <c r="H5771">
        <f>SMALL(SimData5000!$B$9:$B$5008,763)</f>
        <v>0.15246535526324653</v>
      </c>
      <c r="I5771">
        <f>1/(COUNT(SimData5000!$B$9:$B$5008)-1)+$I$5770</f>
        <v>0.15243048609721999</v>
      </c>
      <c r="J5771">
        <f>SMALL(SimData5000!$C$9:$C$5008,763)</f>
        <v>0.14965665084127977</v>
      </c>
      <c r="K5771">
        <f>1/(COUNT(SimData5000!$C$9:$C$5008)-1)+$K$5770</f>
        <v>0.15243048609721999</v>
      </c>
    </row>
    <row r="5772" spans="8:11">
      <c r="H5772">
        <f>SMALL(SimData5000!$B$9:$B$5008,764)</f>
        <v>0.15274481563892794</v>
      </c>
      <c r="I5772">
        <f>1/(COUNT(SimData5000!$B$9:$B$5008)-1)+$I$5771</f>
        <v>0.1526305261052216</v>
      </c>
      <c r="J5772">
        <f>SMALL(SimData5000!$C$9:$C$5008,764)</f>
        <v>0.14971353786677355</v>
      </c>
      <c r="K5772">
        <f>1/(COUNT(SimData5000!$C$9:$C$5008)-1)+$K$5771</f>
        <v>0.1526305261052216</v>
      </c>
    </row>
    <row r="5773" spans="8:11">
      <c r="H5773">
        <f>SMALL(SimData5000!$B$9:$B$5008,765)</f>
        <v>0.15298068160432873</v>
      </c>
      <c r="I5773">
        <f>1/(COUNT(SimData5000!$B$9:$B$5008)-1)+$I$5772</f>
        <v>0.15283056611322321</v>
      </c>
      <c r="J5773">
        <f>SMALL(SimData5000!$C$9:$C$5008,765)</f>
        <v>0.14982650463025493</v>
      </c>
      <c r="K5773">
        <f>1/(COUNT(SimData5000!$C$9:$C$5008)-1)+$K$5772</f>
        <v>0.15283056611322321</v>
      </c>
    </row>
    <row r="5774" spans="8:11">
      <c r="H5774">
        <f>SMALL(SimData5000!$B$9:$B$5008,766)</f>
        <v>0.15305696794401316</v>
      </c>
      <c r="I5774">
        <f>1/(COUNT(SimData5000!$B$9:$B$5008)-1)+$I$5773</f>
        <v>0.15303060612122482</v>
      </c>
      <c r="J5774">
        <f>SMALL(SimData5000!$C$9:$C$5008,766)</f>
        <v>0.15000319924729411</v>
      </c>
      <c r="K5774">
        <f>1/(COUNT(SimData5000!$C$9:$C$5008)-1)+$K$5773</f>
        <v>0.15303060612122482</v>
      </c>
    </row>
    <row r="5775" spans="8:11">
      <c r="H5775">
        <f>SMALL(SimData5000!$B$9:$B$5008,767)</f>
        <v>0.15335178186142626</v>
      </c>
      <c r="I5775">
        <f>1/(COUNT(SimData5000!$B$9:$B$5008)-1)+$I$5774</f>
        <v>0.15323064612922643</v>
      </c>
      <c r="J5775">
        <f>SMALL(SimData5000!$C$9:$C$5008,767)</f>
        <v>0.15013595593063656</v>
      </c>
      <c r="K5775">
        <f>1/(COUNT(SimData5000!$C$9:$C$5008)-1)+$K$5774</f>
        <v>0.15323064612922643</v>
      </c>
    </row>
    <row r="5776" spans="8:11">
      <c r="H5776">
        <f>SMALL(SimData5000!$B$9:$B$5008,768)</f>
        <v>0.15355317582133068</v>
      </c>
      <c r="I5776">
        <f>1/(COUNT(SimData5000!$B$9:$B$5008)-1)+$I$5775</f>
        <v>0.15343068613722805</v>
      </c>
      <c r="J5776">
        <f>SMALL(SimData5000!$C$9:$C$5008,768)</f>
        <v>0.15023359908082057</v>
      </c>
      <c r="K5776">
        <f>1/(COUNT(SimData5000!$C$9:$C$5008)-1)+$K$5775</f>
        <v>0.15343068613722805</v>
      </c>
    </row>
    <row r="5777" spans="8:11">
      <c r="H5777">
        <f>SMALL(SimData5000!$B$9:$B$5008,769)</f>
        <v>0.15362788028019198</v>
      </c>
      <c r="I5777">
        <f>1/(COUNT(SimData5000!$B$9:$B$5008)-1)+$I$5776</f>
        <v>0.15363072614522966</v>
      </c>
      <c r="J5777">
        <f>SMALL(SimData5000!$C$9:$C$5008,769)</f>
        <v>0.15035944781629951</v>
      </c>
      <c r="K5777">
        <f>1/(COUNT(SimData5000!$C$9:$C$5008)-1)+$K$5776</f>
        <v>0.15363072614522966</v>
      </c>
    </row>
    <row r="5778" spans="8:11">
      <c r="H5778">
        <f>SMALL(SimData5000!$B$9:$B$5008,770)</f>
        <v>0.15399561466392958</v>
      </c>
      <c r="I5778">
        <f>1/(COUNT(SimData5000!$B$9:$B$5008)-1)+$I$5777</f>
        <v>0.15383076615323127</v>
      </c>
      <c r="J5778">
        <f>SMALL(SimData5000!$C$9:$C$5008,770)</f>
        <v>0.1505982907174257</v>
      </c>
      <c r="K5778">
        <f>1/(COUNT(SimData5000!$C$9:$C$5008)-1)+$K$5777</f>
        <v>0.15383076615323127</v>
      </c>
    </row>
    <row r="5779" spans="8:11">
      <c r="H5779">
        <f>SMALL(SimData5000!$B$9:$B$5008,771)</f>
        <v>0.15415291292726829</v>
      </c>
      <c r="I5779">
        <f>1/(COUNT(SimData5000!$B$9:$B$5008)-1)+$I$5778</f>
        <v>0.15403080616123288</v>
      </c>
      <c r="J5779">
        <f>SMALL(SimData5000!$C$9:$C$5008,771)</f>
        <v>0.15099657412974921</v>
      </c>
      <c r="K5779">
        <f>1/(COUNT(SimData5000!$C$9:$C$5008)-1)+$K$5778</f>
        <v>0.15403080616123288</v>
      </c>
    </row>
    <row r="5780" spans="8:11">
      <c r="H5780">
        <f>SMALL(SimData5000!$B$9:$B$5008,772)</f>
        <v>0.15422035815828022</v>
      </c>
      <c r="I5780">
        <f>1/(COUNT(SimData5000!$B$9:$B$5008)-1)+$I$5779</f>
        <v>0.15423084616923449</v>
      </c>
      <c r="J5780">
        <f>SMALL(SimData5000!$C$9:$C$5008,772)</f>
        <v>0.15124463090705831</v>
      </c>
      <c r="K5780">
        <f>1/(COUNT(SimData5000!$C$9:$C$5008)-1)+$K$5779</f>
        <v>0.15423084616923449</v>
      </c>
    </row>
    <row r="5781" spans="8:11">
      <c r="H5781">
        <f>SMALL(SimData5000!$B$9:$B$5008,773)</f>
        <v>0.15459619639185168</v>
      </c>
      <c r="I5781">
        <f>1/(COUNT(SimData5000!$B$9:$B$5008)-1)+$I$5780</f>
        <v>0.1544308861772361</v>
      </c>
      <c r="J5781">
        <f>SMALL(SimData5000!$C$9:$C$5008,773)</f>
        <v>0.15165910981613706</v>
      </c>
      <c r="K5781">
        <f>1/(COUNT(SimData5000!$C$9:$C$5008)-1)+$K$5780</f>
        <v>0.1544308861772361</v>
      </c>
    </row>
    <row r="5782" spans="8:11">
      <c r="H5782">
        <f>SMALL(SimData5000!$B$9:$B$5008,774)</f>
        <v>0.15476313590010701</v>
      </c>
      <c r="I5782">
        <f>1/(COUNT(SimData5000!$B$9:$B$5008)-1)+$I$5781</f>
        <v>0.15463092618523772</v>
      </c>
      <c r="J5782">
        <f>SMALL(SimData5000!$C$9:$C$5008,774)</f>
        <v>0.15169681345741992</v>
      </c>
      <c r="K5782">
        <f>1/(COUNT(SimData5000!$C$9:$C$5008)-1)+$K$5781</f>
        <v>0.15463092618523772</v>
      </c>
    </row>
    <row r="5783" spans="8:11">
      <c r="H5783">
        <f>SMALL(SimData5000!$B$9:$B$5008,775)</f>
        <v>0.15483695251109006</v>
      </c>
      <c r="I5783">
        <f>1/(COUNT(SimData5000!$B$9:$B$5008)-1)+$I$5782</f>
        <v>0.15483096619323933</v>
      </c>
      <c r="J5783">
        <f>SMALL(SimData5000!$C$9:$C$5008,775)</f>
        <v>0.15196657259366475</v>
      </c>
      <c r="K5783">
        <f>1/(COUNT(SimData5000!$C$9:$C$5008)-1)+$K$5782</f>
        <v>0.15483096619323933</v>
      </c>
    </row>
    <row r="5784" spans="8:11">
      <c r="H5784">
        <f>SMALL(SimData5000!$B$9:$B$5008,776)</f>
        <v>0.15507895027494031</v>
      </c>
      <c r="I5784">
        <f>1/(COUNT(SimData5000!$B$9:$B$5008)-1)+$I$5783</f>
        <v>0.15503100620124094</v>
      </c>
      <c r="J5784">
        <f>SMALL(SimData5000!$C$9:$C$5008,776)</f>
        <v>0.15219692138998653</v>
      </c>
      <c r="K5784">
        <f>1/(COUNT(SimData5000!$C$9:$C$5008)-1)+$K$5783</f>
        <v>0.15503100620124094</v>
      </c>
    </row>
    <row r="5785" spans="8:11">
      <c r="H5785">
        <f>SMALL(SimData5000!$B$9:$B$5008,777)</f>
        <v>0.15538071560561209</v>
      </c>
      <c r="I5785">
        <f>1/(COUNT(SimData5000!$B$9:$B$5008)-1)+$I$5784</f>
        <v>0.15523104620924255</v>
      </c>
      <c r="J5785">
        <f>SMALL(SimData5000!$C$9:$C$5008,777)</f>
        <v>0.152308518031532</v>
      </c>
      <c r="K5785">
        <f>1/(COUNT(SimData5000!$C$9:$C$5008)-1)+$K$5784</f>
        <v>0.15523104620924255</v>
      </c>
    </row>
    <row r="5786" spans="8:11">
      <c r="H5786">
        <f>SMALL(SimData5000!$B$9:$B$5008,778)</f>
        <v>0.15545808972293931</v>
      </c>
      <c r="I5786">
        <f>1/(COUNT(SimData5000!$B$9:$B$5008)-1)+$I$5785</f>
        <v>0.15543108621724416</v>
      </c>
      <c r="J5786">
        <f>SMALL(SimData5000!$C$9:$C$5008,778)</f>
        <v>0.15295072587014147</v>
      </c>
      <c r="K5786">
        <f>1/(COUNT(SimData5000!$C$9:$C$5008)-1)+$K$5785</f>
        <v>0.15543108621724416</v>
      </c>
    </row>
    <row r="5787" spans="8:11">
      <c r="H5787">
        <f>SMALL(SimData5000!$B$9:$B$5008,779)</f>
        <v>0.15567134223800883</v>
      </c>
      <c r="I5787">
        <f>1/(COUNT(SimData5000!$B$9:$B$5008)-1)+$I$5786</f>
        <v>0.15563112622524577</v>
      </c>
      <c r="J5787">
        <f>SMALL(SimData5000!$C$9:$C$5008,779)</f>
        <v>0.15300425146415364</v>
      </c>
      <c r="K5787">
        <f>1/(COUNT(SimData5000!$C$9:$C$5008)-1)+$K$5786</f>
        <v>0.15563112622524577</v>
      </c>
    </row>
    <row r="5788" spans="8:11">
      <c r="H5788">
        <f>SMALL(SimData5000!$B$9:$B$5008,780)</f>
        <v>0.15580067523675986</v>
      </c>
      <c r="I5788">
        <f>1/(COUNT(SimData5000!$B$9:$B$5008)-1)+$I$5787</f>
        <v>0.15583116623324739</v>
      </c>
      <c r="J5788">
        <f>SMALL(SimData5000!$C$9:$C$5008,780)</f>
        <v>0.15314151737857173</v>
      </c>
      <c r="K5788">
        <f>1/(COUNT(SimData5000!$C$9:$C$5008)-1)+$K$5787</f>
        <v>0.15583116623324739</v>
      </c>
    </row>
    <row r="5789" spans="8:11">
      <c r="H5789">
        <f>SMALL(SimData5000!$B$9:$B$5008,781)</f>
        <v>0.15615052322832645</v>
      </c>
      <c r="I5789">
        <f>1/(COUNT(SimData5000!$B$9:$B$5008)-1)+$I$5788</f>
        <v>0.156031206241249</v>
      </c>
      <c r="J5789">
        <f>SMALL(SimData5000!$C$9:$C$5008,781)</f>
        <v>0.15323217031709646</v>
      </c>
      <c r="K5789">
        <f>1/(COUNT(SimData5000!$C$9:$C$5008)-1)+$K$5788</f>
        <v>0.156031206241249</v>
      </c>
    </row>
    <row r="5790" spans="8:11">
      <c r="H5790">
        <f>SMALL(SimData5000!$B$9:$B$5008,782)</f>
        <v>0.15626093749815154</v>
      </c>
      <c r="I5790">
        <f>1/(COUNT(SimData5000!$B$9:$B$5008)-1)+$I$5789</f>
        <v>0.15623124624925061</v>
      </c>
      <c r="J5790">
        <f>SMALL(SimData5000!$C$9:$C$5008,782)</f>
        <v>0.15347216411009867</v>
      </c>
      <c r="K5790">
        <f>1/(COUNT(SimData5000!$C$9:$C$5008)-1)+$K$5789</f>
        <v>0.15623124624925061</v>
      </c>
    </row>
    <row r="5791" spans="8:11">
      <c r="H5791">
        <f>SMALL(SimData5000!$B$9:$B$5008,783)</f>
        <v>0.15657941213692059</v>
      </c>
      <c r="I5791">
        <f>1/(COUNT(SimData5000!$B$9:$B$5008)-1)+$I$5790</f>
        <v>0.15643128625725222</v>
      </c>
      <c r="J5791">
        <f>SMALL(SimData5000!$C$9:$C$5008,783)</f>
        <v>0.15352586567314574</v>
      </c>
      <c r="K5791">
        <f>1/(COUNT(SimData5000!$C$9:$C$5008)-1)+$K$5790</f>
        <v>0.15643128625725222</v>
      </c>
    </row>
    <row r="5792" spans="8:11">
      <c r="H5792">
        <f>SMALL(SimData5000!$B$9:$B$5008,784)</f>
        <v>0.15669765999673346</v>
      </c>
      <c r="I5792">
        <f>1/(COUNT(SimData5000!$B$9:$B$5008)-1)+$I$5791</f>
        <v>0.15663132626525383</v>
      </c>
      <c r="J5792">
        <f>SMALL(SimData5000!$C$9:$C$5008,784)</f>
        <v>0.15457516442438646</v>
      </c>
      <c r="K5792">
        <f>1/(COUNT(SimData5000!$C$9:$C$5008)-1)+$K$5791</f>
        <v>0.15663132626525383</v>
      </c>
    </row>
    <row r="5793" spans="8:11">
      <c r="H5793">
        <f>SMALL(SimData5000!$B$9:$B$5008,785)</f>
        <v>0.15686599421362998</v>
      </c>
      <c r="I5793">
        <f>1/(COUNT(SimData5000!$B$9:$B$5008)-1)+$I$5792</f>
        <v>0.15683136627325545</v>
      </c>
      <c r="J5793">
        <f>SMALL(SimData5000!$C$9:$C$5008,785)</f>
        <v>0.15461446217796038</v>
      </c>
      <c r="K5793">
        <f>1/(COUNT(SimData5000!$C$9:$C$5008)-1)+$K$5792</f>
        <v>0.15683136627325545</v>
      </c>
    </row>
    <row r="5794" spans="8:11">
      <c r="H5794">
        <f>SMALL(SimData5000!$B$9:$B$5008,786)</f>
        <v>0.15716994154238373</v>
      </c>
      <c r="I5794">
        <f>1/(COUNT(SimData5000!$B$9:$B$5008)-1)+$I$5793</f>
        <v>0.15703140628125706</v>
      </c>
      <c r="J5794">
        <f>SMALL(SimData5000!$C$9:$C$5008,786)</f>
        <v>0.15461969749594573</v>
      </c>
      <c r="K5794">
        <f>1/(COUNT(SimData5000!$C$9:$C$5008)-1)+$K$5793</f>
        <v>0.15703140628125706</v>
      </c>
    </row>
    <row r="5795" spans="8:11">
      <c r="H5795">
        <f>SMALL(SimData5000!$B$9:$B$5008,787)</f>
        <v>0.15736284483740173</v>
      </c>
      <c r="I5795">
        <f>1/(COUNT(SimData5000!$B$9:$B$5008)-1)+$I$5794</f>
        <v>0.15723144628925867</v>
      </c>
      <c r="J5795">
        <f>SMALL(SimData5000!$C$9:$C$5008,787)</f>
        <v>0.15498798602857278</v>
      </c>
      <c r="K5795">
        <f>1/(COUNT(SimData5000!$C$9:$C$5008)-1)+$K$5794</f>
        <v>0.15723144628925867</v>
      </c>
    </row>
    <row r="5796" spans="8:11">
      <c r="H5796">
        <f>SMALL(SimData5000!$B$9:$B$5008,788)</f>
        <v>0.15759531234269852</v>
      </c>
      <c r="I5796">
        <f>1/(COUNT(SimData5000!$B$9:$B$5008)-1)+$I$5795</f>
        <v>0.15743148629726028</v>
      </c>
      <c r="J5796">
        <f>SMALL(SimData5000!$C$9:$C$5008,788)</f>
        <v>0.15519576151291403</v>
      </c>
      <c r="K5796">
        <f>1/(COUNT(SimData5000!$C$9:$C$5008)-1)+$K$5795</f>
        <v>0.15743148629726028</v>
      </c>
    </row>
    <row r="5797" spans="8:11">
      <c r="H5797">
        <f>SMALL(SimData5000!$B$9:$B$5008,789)</f>
        <v>0.15774115537715636</v>
      </c>
      <c r="I5797">
        <f>1/(COUNT(SimData5000!$B$9:$B$5008)-1)+$I$5796</f>
        <v>0.15763152630526189</v>
      </c>
      <c r="J5797">
        <f>SMALL(SimData5000!$C$9:$C$5008,789)</f>
        <v>0.15539536125834275</v>
      </c>
      <c r="K5797">
        <f>1/(COUNT(SimData5000!$C$9:$C$5008)-1)+$K$5796</f>
        <v>0.15763152630526189</v>
      </c>
    </row>
    <row r="5798" spans="8:11">
      <c r="H5798">
        <f>SMALL(SimData5000!$B$9:$B$5008,790)</f>
        <v>0.15788868004532733</v>
      </c>
      <c r="I5798">
        <f>1/(COUNT(SimData5000!$B$9:$B$5008)-1)+$I$5797</f>
        <v>0.1578315663132635</v>
      </c>
      <c r="J5798">
        <f>SMALL(SimData5000!$C$9:$C$5008,790)</f>
        <v>0.15541080069669988</v>
      </c>
      <c r="K5798">
        <f>1/(COUNT(SimData5000!$C$9:$C$5008)-1)+$K$5797</f>
        <v>0.1578315663132635</v>
      </c>
    </row>
    <row r="5799" spans="8:11">
      <c r="H5799">
        <f>SMALL(SimData5000!$B$9:$B$5008,791)</f>
        <v>0.15812452530537838</v>
      </c>
      <c r="I5799">
        <f>1/(COUNT(SimData5000!$B$9:$B$5008)-1)+$I$5798</f>
        <v>0.15803160632126512</v>
      </c>
      <c r="J5799">
        <f>SMALL(SimData5000!$C$9:$C$5008,791)</f>
        <v>0.15550943501875736</v>
      </c>
      <c r="K5799">
        <f>1/(COUNT(SimData5000!$C$9:$C$5008)-1)+$K$5798</f>
        <v>0.15803160632126512</v>
      </c>
    </row>
    <row r="5800" spans="8:11">
      <c r="H5800">
        <f>SMALL(SimData5000!$B$9:$B$5008,792)</f>
        <v>0.15835780829856122</v>
      </c>
      <c r="I5800">
        <f>1/(COUNT(SimData5000!$B$9:$B$5008)-1)+$I$5799</f>
        <v>0.15823164632926673</v>
      </c>
      <c r="J5800">
        <f>SMALL(SimData5000!$C$9:$C$5008,792)</f>
        <v>0.15552332764491439</v>
      </c>
      <c r="K5800">
        <f>1/(COUNT(SimData5000!$C$9:$C$5008)-1)+$K$5799</f>
        <v>0.15823164632926673</v>
      </c>
    </row>
    <row r="5801" spans="8:11">
      <c r="H5801">
        <f>SMALL(SimData5000!$B$9:$B$5008,793)</f>
        <v>0.15858604510938423</v>
      </c>
      <c r="I5801">
        <f>1/(COUNT(SimData5000!$B$9:$B$5008)-1)+$I$5800</f>
        <v>0.15843168633726834</v>
      </c>
      <c r="J5801">
        <f>SMALL(SimData5000!$C$9:$C$5008,793)</f>
        <v>0.15554906843101435</v>
      </c>
      <c r="K5801">
        <f>1/(COUNT(SimData5000!$C$9:$C$5008)-1)+$K$5800</f>
        <v>0.15843168633726834</v>
      </c>
    </row>
    <row r="5802" spans="8:11">
      <c r="H5802">
        <f>SMALL(SimData5000!$B$9:$B$5008,794)</f>
        <v>0.15868113542866921</v>
      </c>
      <c r="I5802">
        <f>1/(COUNT(SimData5000!$B$9:$B$5008)-1)+$I$5801</f>
        <v>0.15863172634526995</v>
      </c>
      <c r="J5802">
        <f>SMALL(SimData5000!$C$9:$C$5008,794)</f>
        <v>0.15589928062672698</v>
      </c>
      <c r="K5802">
        <f>1/(COUNT(SimData5000!$C$9:$C$5008)-1)+$K$5801</f>
        <v>0.15863172634526995</v>
      </c>
    </row>
    <row r="5803" spans="8:11">
      <c r="H5803">
        <f>SMALL(SimData5000!$B$9:$B$5008,795)</f>
        <v>0.15884394870741383</v>
      </c>
      <c r="I5803">
        <f>1/(COUNT(SimData5000!$B$9:$B$5008)-1)+$I$5802</f>
        <v>0.15883176635327156</v>
      </c>
      <c r="J5803">
        <f>SMALL(SimData5000!$C$9:$C$5008,795)</f>
        <v>0.1560563597113287</v>
      </c>
      <c r="K5803">
        <f>1/(COUNT(SimData5000!$C$9:$C$5008)-1)+$K$5802</f>
        <v>0.15883176635327156</v>
      </c>
    </row>
    <row r="5804" spans="8:11">
      <c r="H5804">
        <f>SMALL(SimData5000!$B$9:$B$5008,796)</f>
        <v>0.15918136710244729</v>
      </c>
      <c r="I5804">
        <f>1/(COUNT(SimData5000!$B$9:$B$5008)-1)+$I$5803</f>
        <v>0.15903180636127318</v>
      </c>
      <c r="J5804">
        <f>SMALL(SimData5000!$C$9:$C$5008,796)</f>
        <v>0.15657656423445587</v>
      </c>
      <c r="K5804">
        <f>1/(COUNT(SimData5000!$C$9:$C$5008)-1)+$K$5803</f>
        <v>0.15903180636127318</v>
      </c>
    </row>
    <row r="5805" spans="8:11">
      <c r="H5805">
        <f>SMALL(SimData5000!$B$9:$B$5008,797)</f>
        <v>0.15924233592856732</v>
      </c>
      <c r="I5805">
        <f>1/(COUNT(SimData5000!$B$9:$B$5008)-1)+$I$5804</f>
        <v>0.15923184636927479</v>
      </c>
      <c r="J5805">
        <f>SMALL(SimData5000!$C$9:$C$5008,797)</f>
        <v>0.15699215351833118</v>
      </c>
      <c r="K5805">
        <f>1/(COUNT(SimData5000!$C$9:$C$5008)-1)+$K$5804</f>
        <v>0.15923184636927479</v>
      </c>
    </row>
    <row r="5806" spans="8:11">
      <c r="H5806">
        <f>SMALL(SimData5000!$B$9:$B$5008,798)</f>
        <v>0.15951696504175594</v>
      </c>
      <c r="I5806">
        <f>1/(COUNT(SimData5000!$B$9:$B$5008)-1)+$I$5805</f>
        <v>0.1594318863772764</v>
      </c>
      <c r="J5806">
        <f>SMALL(SimData5000!$C$9:$C$5008,798)</f>
        <v>0.15701085697583039</v>
      </c>
      <c r="K5806">
        <f>1/(COUNT(SimData5000!$C$9:$C$5008)-1)+$K$5805</f>
        <v>0.1594318863772764</v>
      </c>
    </row>
    <row r="5807" spans="8:11">
      <c r="H5807">
        <f>SMALL(SimData5000!$B$9:$B$5008,799)</f>
        <v>0.15972411404371359</v>
      </c>
      <c r="I5807">
        <f>1/(COUNT(SimData5000!$B$9:$B$5008)-1)+$I$5806</f>
        <v>0.15963192638527801</v>
      </c>
      <c r="J5807">
        <f>SMALL(SimData5000!$C$9:$C$5008,799)</f>
        <v>0.15711010571430961</v>
      </c>
      <c r="K5807">
        <f>1/(COUNT(SimData5000!$C$9:$C$5008)-1)+$K$5806</f>
        <v>0.15963192638527801</v>
      </c>
    </row>
    <row r="5808" spans="8:11">
      <c r="H5808">
        <f>SMALL(SimData5000!$B$9:$B$5008,800)</f>
        <v>0.15992969742667157</v>
      </c>
      <c r="I5808">
        <f>1/(COUNT(SimData5000!$B$9:$B$5008)-1)+$I$5807</f>
        <v>0.15983196639327962</v>
      </c>
      <c r="J5808">
        <f>SMALL(SimData5000!$C$9:$C$5008,800)</f>
        <v>0.15739414948984631</v>
      </c>
      <c r="K5808">
        <f>1/(COUNT(SimData5000!$C$9:$C$5008)-1)+$K$5807</f>
        <v>0.15983196639327962</v>
      </c>
    </row>
    <row r="5809" spans="8:11">
      <c r="H5809">
        <f>SMALL(SimData5000!$B$9:$B$5008,801)</f>
        <v>0.16017797426082611</v>
      </c>
      <c r="I5809">
        <f>1/(COUNT(SimData5000!$B$9:$B$5008)-1)+$I$5808</f>
        <v>0.16003200640128123</v>
      </c>
      <c r="J5809">
        <f>SMALL(SimData5000!$C$9:$C$5008,801)</f>
        <v>0.15762779609212885</v>
      </c>
      <c r="K5809">
        <f>1/(COUNT(SimData5000!$C$9:$C$5008)-1)+$K$5808</f>
        <v>0.16003200640128123</v>
      </c>
    </row>
    <row r="5810" spans="8:11">
      <c r="H5810">
        <f>SMALL(SimData5000!$B$9:$B$5008,802)</f>
        <v>0.16025151580391722</v>
      </c>
      <c r="I5810">
        <f>1/(COUNT(SimData5000!$B$9:$B$5008)-1)+$I$5809</f>
        <v>0.16023204640928285</v>
      </c>
      <c r="J5810">
        <f>SMALL(SimData5000!$C$9:$C$5008,802)</f>
        <v>0.15807261162444775</v>
      </c>
      <c r="K5810">
        <f>1/(COUNT(SimData5000!$C$9:$C$5008)-1)+$K$5809</f>
        <v>0.16023204640928285</v>
      </c>
    </row>
    <row r="5811" spans="8:11">
      <c r="H5811">
        <f>SMALL(SimData5000!$B$9:$B$5008,803)</f>
        <v>0.16044861330600657</v>
      </c>
      <c r="I5811">
        <f>1/(COUNT(SimData5000!$B$9:$B$5008)-1)+$I$5810</f>
        <v>0.16043208641728446</v>
      </c>
      <c r="J5811">
        <f>SMALL(SimData5000!$C$9:$C$5008,803)</f>
        <v>0.15815276976991299</v>
      </c>
      <c r="K5811">
        <f>1/(COUNT(SimData5000!$C$9:$C$5008)-1)+$K$5810</f>
        <v>0.16043208641728446</v>
      </c>
    </row>
    <row r="5812" spans="8:11">
      <c r="H5812">
        <f>SMALL(SimData5000!$B$9:$B$5008,804)</f>
        <v>0.1606031080654364</v>
      </c>
      <c r="I5812">
        <f>1/(COUNT(SimData5000!$B$9:$B$5008)-1)+$I$5811</f>
        <v>0.16063212642528607</v>
      </c>
      <c r="J5812">
        <f>SMALL(SimData5000!$C$9:$C$5008,804)</f>
        <v>0.15845550103313144</v>
      </c>
      <c r="K5812">
        <f>1/(COUNT(SimData5000!$C$9:$C$5008)-1)+$K$5811</f>
        <v>0.16063212642528607</v>
      </c>
    </row>
    <row r="5813" spans="8:11">
      <c r="H5813">
        <f>SMALL(SimData5000!$B$9:$B$5008,805)</f>
        <v>0.16092536387735171</v>
      </c>
      <c r="I5813">
        <f>1/(COUNT(SimData5000!$B$9:$B$5008)-1)+$I$5812</f>
        <v>0.16083216643328768</v>
      </c>
      <c r="J5813">
        <f>SMALL(SimData5000!$C$9:$C$5008,805)</f>
        <v>0.1584970465492006</v>
      </c>
      <c r="K5813">
        <f>1/(COUNT(SimData5000!$C$9:$C$5008)-1)+$K$5812</f>
        <v>0.16083216643328768</v>
      </c>
    </row>
    <row r="5814" spans="8:11">
      <c r="H5814">
        <f>SMALL(SimData5000!$B$9:$B$5008,806)</f>
        <v>0.16118803006019164</v>
      </c>
      <c r="I5814">
        <f>1/(COUNT(SimData5000!$B$9:$B$5008)-1)+$I$5813</f>
        <v>0.16103220644128929</v>
      </c>
      <c r="J5814">
        <f>SMALL(SimData5000!$C$9:$C$5008,806)</f>
        <v>0.15866081468448101</v>
      </c>
      <c r="K5814">
        <f>1/(COUNT(SimData5000!$C$9:$C$5008)-1)+$K$5813</f>
        <v>0.16103220644128929</v>
      </c>
    </row>
    <row r="5815" spans="8:11">
      <c r="H5815">
        <f>SMALL(SimData5000!$B$9:$B$5008,807)</f>
        <v>0.16133918017422294</v>
      </c>
      <c r="I5815">
        <f>1/(COUNT(SimData5000!$B$9:$B$5008)-1)+$I$5814</f>
        <v>0.16123224644929091</v>
      </c>
      <c r="J5815">
        <f>SMALL(SimData5000!$C$9:$C$5008,807)</f>
        <v>0.15911192362545989</v>
      </c>
      <c r="K5815">
        <f>1/(COUNT(SimData5000!$C$9:$C$5008)-1)+$K$5814</f>
        <v>0.16123224644929091</v>
      </c>
    </row>
    <row r="5816" spans="8:11">
      <c r="H5816">
        <f>SMALL(SimData5000!$B$9:$B$5008,808)</f>
        <v>0.16152592063060167</v>
      </c>
      <c r="I5816">
        <f>1/(COUNT(SimData5000!$B$9:$B$5008)-1)+$I$5815</f>
        <v>0.16143228645729252</v>
      </c>
      <c r="J5816">
        <f>SMALL(SimData5000!$C$9:$C$5008,808)</f>
        <v>0.15915330403731787</v>
      </c>
      <c r="K5816">
        <f>1/(COUNT(SimData5000!$C$9:$C$5008)-1)+$K$5815</f>
        <v>0.16143228645729252</v>
      </c>
    </row>
    <row r="5817" spans="8:11">
      <c r="H5817">
        <f>SMALL(SimData5000!$B$9:$B$5008,809)</f>
        <v>0.16166306945277917</v>
      </c>
      <c r="I5817">
        <f>1/(COUNT(SimData5000!$B$9:$B$5008)-1)+$I$5816</f>
        <v>0.16163232646529413</v>
      </c>
      <c r="J5817">
        <f>SMALL(SimData5000!$C$9:$C$5008,809)</f>
        <v>0.15918310208326147</v>
      </c>
      <c r="K5817">
        <f>1/(COUNT(SimData5000!$C$9:$C$5008)-1)+$K$5816</f>
        <v>0.16163232646529413</v>
      </c>
    </row>
    <row r="5818" spans="8:11">
      <c r="H5818">
        <f>SMALL(SimData5000!$B$9:$B$5008,810)</f>
        <v>0.16192548499459528</v>
      </c>
      <c r="I5818">
        <f>1/(COUNT(SimData5000!$B$9:$B$5008)-1)+$I$5817</f>
        <v>0.16183236647329574</v>
      </c>
      <c r="J5818">
        <f>SMALL(SimData5000!$C$9:$C$5008,810)</f>
        <v>0.15922894221330353</v>
      </c>
      <c r="K5818">
        <f>1/(COUNT(SimData5000!$C$9:$C$5008)-1)+$K$5817</f>
        <v>0.16183236647329574</v>
      </c>
    </row>
    <row r="5819" spans="8:11">
      <c r="H5819">
        <f>SMALL(SimData5000!$B$9:$B$5008,811)</f>
        <v>0.16215707938027499</v>
      </c>
      <c r="I5819">
        <f>1/(COUNT(SimData5000!$B$9:$B$5008)-1)+$I$5818</f>
        <v>0.16203240648129735</v>
      </c>
      <c r="J5819">
        <f>SMALL(SimData5000!$C$9:$C$5008,811)</f>
        <v>0.15938245974029996</v>
      </c>
      <c r="K5819">
        <f>1/(COUNT(SimData5000!$C$9:$C$5008)-1)+$K$5818</f>
        <v>0.16203240648129735</v>
      </c>
    </row>
    <row r="5820" spans="8:11">
      <c r="H5820">
        <f>SMALL(SimData5000!$B$9:$B$5008,812)</f>
        <v>0.16233365366219862</v>
      </c>
      <c r="I5820">
        <f>1/(COUNT(SimData5000!$B$9:$B$5008)-1)+$I$5819</f>
        <v>0.16223244648929896</v>
      </c>
      <c r="J5820">
        <f>SMALL(SimData5000!$C$9:$C$5008,812)</f>
        <v>0.15953099456601194</v>
      </c>
      <c r="K5820">
        <f>1/(COUNT(SimData5000!$C$9:$C$5008)-1)+$K$5819</f>
        <v>0.16223244648929896</v>
      </c>
    </row>
    <row r="5821" spans="8:11">
      <c r="H5821">
        <f>SMALL(SimData5000!$B$9:$B$5008,813)</f>
        <v>0.16244380928432658</v>
      </c>
      <c r="I5821">
        <f>1/(COUNT(SimData5000!$B$9:$B$5008)-1)+$I$5820</f>
        <v>0.16243248649730058</v>
      </c>
      <c r="J5821">
        <f>SMALL(SimData5000!$C$9:$C$5008,813)</f>
        <v>0.15963331909279077</v>
      </c>
      <c r="K5821">
        <f>1/(COUNT(SimData5000!$C$9:$C$5008)-1)+$K$5820</f>
        <v>0.16243248649730058</v>
      </c>
    </row>
    <row r="5822" spans="8:11">
      <c r="H5822">
        <f>SMALL(SimData5000!$B$9:$B$5008,814)</f>
        <v>0.1626157526996489</v>
      </c>
      <c r="I5822">
        <f>1/(COUNT(SimData5000!$B$9:$B$5008)-1)+$I$5821</f>
        <v>0.16263252650530219</v>
      </c>
      <c r="J5822">
        <f>SMALL(SimData5000!$C$9:$C$5008,814)</f>
        <v>0.15988705951349402</v>
      </c>
      <c r="K5822">
        <f>1/(COUNT(SimData5000!$C$9:$C$5008)-1)+$K$5821</f>
        <v>0.16263252650530219</v>
      </c>
    </row>
    <row r="5823" spans="8:11">
      <c r="H5823">
        <f>SMALL(SimData5000!$B$9:$B$5008,815)</f>
        <v>0.16286814183841183</v>
      </c>
      <c r="I5823">
        <f>1/(COUNT(SimData5000!$B$9:$B$5008)-1)+$I$5822</f>
        <v>0.1628325665133038</v>
      </c>
      <c r="J5823">
        <f>SMALL(SimData5000!$C$9:$C$5008,815)</f>
        <v>0.15997618425353721</v>
      </c>
      <c r="K5823">
        <f>1/(COUNT(SimData5000!$C$9:$C$5008)-1)+$K$5822</f>
        <v>0.1628325665133038</v>
      </c>
    </row>
    <row r="5824" spans="8:11">
      <c r="H5824">
        <f>SMALL(SimData5000!$B$9:$B$5008,816)</f>
        <v>0.16306958834102137</v>
      </c>
      <c r="I5824">
        <f>1/(COUNT(SimData5000!$B$9:$B$5008)-1)+$I$5823</f>
        <v>0.16303260652130541</v>
      </c>
      <c r="J5824">
        <f>SMALL(SimData5000!$C$9:$C$5008,816)</f>
        <v>0.16018632176655956</v>
      </c>
      <c r="K5824">
        <f>1/(COUNT(SimData5000!$C$9:$C$5008)-1)+$K$5823</f>
        <v>0.16303260652130541</v>
      </c>
    </row>
    <row r="5825" spans="8:11">
      <c r="H5825">
        <f>SMALL(SimData5000!$B$9:$B$5008,817)</f>
        <v>0.1632295176422292</v>
      </c>
      <c r="I5825">
        <f>1/(COUNT(SimData5000!$B$9:$B$5008)-1)+$I$5824</f>
        <v>0.16323264652930702</v>
      </c>
      <c r="J5825">
        <f>SMALL(SimData5000!$C$9:$C$5008,817)</f>
        <v>0.16051093991609378</v>
      </c>
      <c r="K5825">
        <f>1/(COUNT(SimData5000!$C$9:$C$5008)-1)+$K$5824</f>
        <v>0.16323264652930702</v>
      </c>
    </row>
    <row r="5826" spans="8:11">
      <c r="H5826">
        <f>SMALL(SimData5000!$B$9:$B$5008,818)</f>
        <v>0.16346260452327846</v>
      </c>
      <c r="I5826">
        <f>1/(COUNT(SimData5000!$B$9:$B$5008)-1)+$I$5825</f>
        <v>0.16343268653730864</v>
      </c>
      <c r="J5826">
        <f>SMALL(SimData5000!$C$9:$C$5008,818)</f>
        <v>0.16078788735285343</v>
      </c>
      <c r="K5826">
        <f>1/(COUNT(SimData5000!$C$9:$C$5008)-1)+$K$5825</f>
        <v>0.16343268653730864</v>
      </c>
    </row>
    <row r="5827" spans="8:11">
      <c r="H5827">
        <f>SMALL(SimData5000!$B$9:$B$5008,819)</f>
        <v>0.16369278498550244</v>
      </c>
      <c r="I5827">
        <f>1/(COUNT(SimData5000!$B$9:$B$5008)-1)+$I$5826</f>
        <v>0.16363272654531025</v>
      </c>
      <c r="J5827">
        <f>SMALL(SimData5000!$C$9:$C$5008,819)</f>
        <v>0.16095253504136053</v>
      </c>
      <c r="K5827">
        <f>1/(COUNT(SimData5000!$C$9:$C$5008)-1)+$K$5826</f>
        <v>0.16363272654531025</v>
      </c>
    </row>
    <row r="5828" spans="8:11">
      <c r="H5828">
        <f>SMALL(SimData5000!$B$9:$B$5008,820)</f>
        <v>0.16395349214020033</v>
      </c>
      <c r="I5828">
        <f>1/(COUNT(SimData5000!$B$9:$B$5008)-1)+$I$5827</f>
        <v>0.16383276655331186</v>
      </c>
      <c r="J5828">
        <f>SMALL(SimData5000!$C$9:$C$5008,820)</f>
        <v>0.1609636884450083</v>
      </c>
      <c r="K5828">
        <f>1/(COUNT(SimData5000!$C$9:$C$5008)-1)+$K$5827</f>
        <v>0.16383276655331186</v>
      </c>
    </row>
    <row r="5829" spans="8:11">
      <c r="H5829">
        <f>SMALL(SimData5000!$B$9:$B$5008,821)</f>
        <v>0.16417743546240438</v>
      </c>
      <c r="I5829">
        <f>1/(COUNT(SimData5000!$B$9:$B$5008)-1)+$I$5828</f>
        <v>0.16403280656131347</v>
      </c>
      <c r="J5829">
        <f>SMALL(SimData5000!$C$9:$C$5008,821)</f>
        <v>0.16096586031017068</v>
      </c>
      <c r="K5829">
        <f>1/(COUNT(SimData5000!$C$9:$C$5008)-1)+$K$5828</f>
        <v>0.16403280656131347</v>
      </c>
    </row>
    <row r="5830" spans="8:11">
      <c r="H5830">
        <f>SMALL(SimData5000!$B$9:$B$5008,822)</f>
        <v>0.16425458000531759</v>
      </c>
      <c r="I5830">
        <f>1/(COUNT(SimData5000!$B$9:$B$5008)-1)+$I$5829</f>
        <v>0.16423284656931508</v>
      </c>
      <c r="J5830">
        <f>SMALL(SimData5000!$C$9:$C$5008,822)</f>
        <v>0.16131719921759213</v>
      </c>
      <c r="K5830">
        <f>1/(COUNT(SimData5000!$C$9:$C$5008)-1)+$K$5829</f>
        <v>0.16423284656931508</v>
      </c>
    </row>
    <row r="5831" spans="8:11">
      <c r="H5831">
        <f>SMALL(SimData5000!$B$9:$B$5008,823)</f>
        <v>0.16455146531852693</v>
      </c>
      <c r="I5831">
        <f>1/(COUNT(SimData5000!$B$9:$B$5008)-1)+$I$5830</f>
        <v>0.16443288657731669</v>
      </c>
      <c r="J5831">
        <f>SMALL(SimData5000!$C$9:$C$5008,823)</f>
        <v>0.1613821718010513</v>
      </c>
      <c r="K5831">
        <f>1/(COUNT(SimData5000!$C$9:$C$5008)-1)+$K$5830</f>
        <v>0.16443288657731669</v>
      </c>
    </row>
    <row r="5832" spans="8:11">
      <c r="H5832">
        <f>SMALL(SimData5000!$B$9:$B$5008,824)</f>
        <v>0.16467017425006958</v>
      </c>
      <c r="I5832">
        <f>1/(COUNT(SimData5000!$B$9:$B$5008)-1)+$I$5831</f>
        <v>0.16463292658531831</v>
      </c>
      <c r="J5832">
        <f>SMALL(SimData5000!$C$9:$C$5008,824)</f>
        <v>0.16140968698346114</v>
      </c>
      <c r="K5832">
        <f>1/(COUNT(SimData5000!$C$9:$C$5008)-1)+$K$5831</f>
        <v>0.16463292658531831</v>
      </c>
    </row>
    <row r="5833" spans="8:11">
      <c r="H5833">
        <f>SMALL(SimData5000!$B$9:$B$5008,825)</f>
        <v>0.16499122635004837</v>
      </c>
      <c r="I5833">
        <f>1/(COUNT(SimData5000!$B$9:$B$5008)-1)+$I$5832</f>
        <v>0.16483296659331992</v>
      </c>
      <c r="J5833">
        <f>SMALL(SimData5000!$C$9:$C$5008,825)</f>
        <v>0.16145033686098031</v>
      </c>
      <c r="K5833">
        <f>1/(COUNT(SimData5000!$C$9:$C$5008)-1)+$K$5832</f>
        <v>0.16483296659331992</v>
      </c>
    </row>
    <row r="5834" spans="8:11">
      <c r="H5834">
        <f>SMALL(SimData5000!$B$9:$B$5008,826)</f>
        <v>0.16510634296622742</v>
      </c>
      <c r="I5834">
        <f>1/(COUNT(SimData5000!$B$9:$B$5008)-1)+$I$5833</f>
        <v>0.16503300660132153</v>
      </c>
      <c r="J5834">
        <f>SMALL(SimData5000!$C$9:$C$5008,826)</f>
        <v>0.16146040370767878</v>
      </c>
      <c r="K5834">
        <f>1/(COUNT(SimData5000!$C$9:$C$5008)-1)+$K$5833</f>
        <v>0.16503300660132153</v>
      </c>
    </row>
    <row r="5835" spans="8:11">
      <c r="H5835">
        <f>SMALL(SimData5000!$B$9:$B$5008,827)</f>
        <v>0.16520604945863737</v>
      </c>
      <c r="I5835">
        <f>1/(COUNT(SimData5000!$B$9:$B$5008)-1)+$I$5834</f>
        <v>0.16523304660932314</v>
      </c>
      <c r="J5835">
        <f>SMALL(SimData5000!$C$9:$C$5008,827)</f>
        <v>0.16154360892323893</v>
      </c>
      <c r="K5835">
        <f>1/(COUNT(SimData5000!$C$9:$C$5008)-1)+$K$5834</f>
        <v>0.16523304660932314</v>
      </c>
    </row>
    <row r="5836" spans="8:11">
      <c r="H5836">
        <f>SMALL(SimData5000!$B$9:$B$5008,828)</f>
        <v>0.16559309404878716</v>
      </c>
      <c r="I5836">
        <f>1/(COUNT(SimData5000!$B$9:$B$5008)-1)+$I$5835</f>
        <v>0.16543308661732475</v>
      </c>
      <c r="J5836">
        <f>SMALL(SimData5000!$C$9:$C$5008,828)</f>
        <v>0.161593033401914</v>
      </c>
      <c r="K5836">
        <f>1/(COUNT(SimData5000!$C$9:$C$5008)-1)+$K$5835</f>
        <v>0.16543308661732475</v>
      </c>
    </row>
    <row r="5837" spans="8:11">
      <c r="H5837">
        <f>SMALL(SimData5000!$B$9:$B$5008,829)</f>
        <v>0.1657808903735552</v>
      </c>
      <c r="I5837">
        <f>1/(COUNT(SimData5000!$B$9:$B$5008)-1)+$I$5836</f>
        <v>0.16563312662532637</v>
      </c>
      <c r="J5837">
        <f>SMALL(SimData5000!$C$9:$C$5008,829)</f>
        <v>0.1616207146562374</v>
      </c>
      <c r="K5837">
        <f>1/(COUNT(SimData5000!$C$9:$C$5008)-1)+$K$5836</f>
        <v>0.16563312662532637</v>
      </c>
    </row>
    <row r="5838" spans="8:11">
      <c r="H5838">
        <f>SMALL(SimData5000!$B$9:$B$5008,830)</f>
        <v>0.1658443633993725</v>
      </c>
      <c r="I5838">
        <f>1/(COUNT(SimData5000!$B$9:$B$5008)-1)+$I$5837</f>
        <v>0.16583316663332798</v>
      </c>
      <c r="J5838">
        <f>SMALL(SimData5000!$C$9:$C$5008,830)</f>
        <v>0.16179209875190281</v>
      </c>
      <c r="K5838">
        <f>1/(COUNT(SimData5000!$C$9:$C$5008)-1)+$K$5837</f>
        <v>0.16583316663332798</v>
      </c>
    </row>
    <row r="5839" spans="8:11">
      <c r="H5839">
        <f>SMALL(SimData5000!$B$9:$B$5008,831)</f>
        <v>0.16608383207202046</v>
      </c>
      <c r="I5839">
        <f>1/(COUNT(SimData5000!$B$9:$B$5008)-1)+$I$5838</f>
        <v>0.16603320664132959</v>
      </c>
      <c r="J5839">
        <f>SMALL(SimData5000!$C$9:$C$5008,831)</f>
        <v>0.1618003438343294</v>
      </c>
      <c r="K5839">
        <f>1/(COUNT(SimData5000!$C$9:$C$5008)-1)+$K$5838</f>
        <v>0.16603320664132959</v>
      </c>
    </row>
    <row r="5840" spans="8:11">
      <c r="H5840">
        <f>SMALL(SimData5000!$B$9:$B$5008,832)</f>
        <v>0.166353602357943</v>
      </c>
      <c r="I5840">
        <f>1/(COUNT(SimData5000!$B$9:$B$5008)-1)+$I$5839</f>
        <v>0.1662332466493312</v>
      </c>
      <c r="J5840">
        <f>SMALL(SimData5000!$C$9:$C$5008,832)</f>
        <v>0.16190815899699373</v>
      </c>
      <c r="K5840">
        <f>1/(COUNT(SimData5000!$C$9:$C$5008)-1)+$K$5839</f>
        <v>0.1662332466493312</v>
      </c>
    </row>
    <row r="5841" spans="8:11">
      <c r="H5841">
        <f>SMALL(SimData5000!$B$9:$B$5008,833)</f>
        <v>0.16653962403175879</v>
      </c>
      <c r="I5841">
        <f>1/(COUNT(SimData5000!$B$9:$B$5008)-1)+$I$5840</f>
        <v>0.16643328665733281</v>
      </c>
      <c r="J5841">
        <f>SMALL(SimData5000!$C$9:$C$5008,833)</f>
        <v>0.16211244336227537</v>
      </c>
      <c r="K5841">
        <f>1/(COUNT(SimData5000!$C$9:$C$5008)-1)+$K$5840</f>
        <v>0.16643328665733281</v>
      </c>
    </row>
    <row r="5842" spans="8:11">
      <c r="H5842">
        <f>SMALL(SimData5000!$B$9:$B$5008,834)</f>
        <v>0.16662681938568755</v>
      </c>
      <c r="I5842">
        <f>1/(COUNT(SimData5000!$B$9:$B$5008)-1)+$I$5841</f>
        <v>0.16663332666533442</v>
      </c>
      <c r="J5842">
        <f>SMALL(SimData5000!$C$9:$C$5008,834)</f>
        <v>0.16249094627710292</v>
      </c>
      <c r="K5842">
        <f>1/(COUNT(SimData5000!$C$9:$C$5008)-1)+$K$5841</f>
        <v>0.16663332666533442</v>
      </c>
    </row>
    <row r="5843" spans="8:11">
      <c r="H5843">
        <f>SMALL(SimData5000!$B$9:$B$5008,835)</f>
        <v>0.1669503579760786</v>
      </c>
      <c r="I5843">
        <f>1/(COUNT(SimData5000!$B$9:$B$5008)-1)+$I$5842</f>
        <v>0.16683336667333604</v>
      </c>
      <c r="J5843">
        <f>SMALL(SimData5000!$C$9:$C$5008,835)</f>
        <v>0.16265949363059917</v>
      </c>
      <c r="K5843">
        <f>1/(COUNT(SimData5000!$C$9:$C$5008)-1)+$K$5842</f>
        <v>0.16683336667333604</v>
      </c>
    </row>
    <row r="5844" spans="8:11">
      <c r="H5844">
        <f>SMALL(SimData5000!$B$9:$B$5008,836)</f>
        <v>0.1671964030073016</v>
      </c>
      <c r="I5844">
        <f>1/(COUNT(SimData5000!$B$9:$B$5008)-1)+$I$5843</f>
        <v>0.16703340668133765</v>
      </c>
      <c r="J5844">
        <f>SMALL(SimData5000!$C$9:$C$5008,836)</f>
        <v>0.16267210680689459</v>
      </c>
      <c r="K5844">
        <f>1/(COUNT(SimData5000!$C$9:$C$5008)-1)+$K$5843</f>
        <v>0.16703340668133765</v>
      </c>
    </row>
    <row r="5845" spans="8:11">
      <c r="H5845">
        <f>SMALL(SimData5000!$B$9:$B$5008,837)</f>
        <v>0.1672215193172501</v>
      </c>
      <c r="I5845">
        <f>1/(COUNT(SimData5000!$B$9:$B$5008)-1)+$I$5844</f>
        <v>0.16723344668933926</v>
      </c>
      <c r="J5845">
        <f>SMALL(SimData5000!$C$9:$C$5008,837)</f>
        <v>0.16285232779591752</v>
      </c>
      <c r="K5845">
        <f>1/(COUNT(SimData5000!$C$9:$C$5008)-1)+$K$5844</f>
        <v>0.16723344668933926</v>
      </c>
    </row>
    <row r="5846" spans="8:11">
      <c r="H5846">
        <f>SMALL(SimData5000!$B$9:$B$5008,838)</f>
        <v>0.16744407301457692</v>
      </c>
      <c r="I5846">
        <f>1/(COUNT(SimData5000!$B$9:$B$5008)-1)+$I$5845</f>
        <v>0.16743348669734087</v>
      </c>
      <c r="J5846">
        <f>SMALL(SimData5000!$C$9:$C$5008,838)</f>
        <v>0.16343500558195956</v>
      </c>
      <c r="K5846">
        <f>1/(COUNT(SimData5000!$C$9:$C$5008)-1)+$K$5845</f>
        <v>0.16743348669734087</v>
      </c>
    </row>
    <row r="5847" spans="8:11">
      <c r="H5847">
        <f>SMALL(SimData5000!$B$9:$B$5008,839)</f>
        <v>0.16767630478252571</v>
      </c>
      <c r="I5847">
        <f>1/(COUNT(SimData5000!$B$9:$B$5008)-1)+$I$5846</f>
        <v>0.16763352670534248</v>
      </c>
      <c r="J5847">
        <f>SMALL(SimData5000!$C$9:$C$5008,839)</f>
        <v>0.16388068598462269</v>
      </c>
      <c r="K5847">
        <f>1/(COUNT(SimData5000!$C$9:$C$5008)-1)+$K$5846</f>
        <v>0.16763352670534248</v>
      </c>
    </row>
    <row r="5848" spans="8:11">
      <c r="H5848">
        <f>SMALL(SimData5000!$B$9:$B$5008,840)</f>
        <v>0.16782003574944568</v>
      </c>
      <c r="I5848">
        <f>1/(COUNT(SimData5000!$B$9:$B$5008)-1)+$I$5847</f>
        <v>0.1678335667133441</v>
      </c>
      <c r="J5848">
        <f>SMALL(SimData5000!$C$9:$C$5008,840)</f>
        <v>0.16398783462136635</v>
      </c>
      <c r="K5848">
        <f>1/(COUNT(SimData5000!$C$9:$C$5008)-1)+$K$5847</f>
        <v>0.1678335667133441</v>
      </c>
    </row>
    <row r="5849" spans="8:11">
      <c r="H5849">
        <f>SMALL(SimData5000!$B$9:$B$5008,841)</f>
        <v>0.16812261974856318</v>
      </c>
      <c r="I5849">
        <f>1/(COUNT(SimData5000!$B$9:$B$5008)-1)+$I$5848</f>
        <v>0.16803360672134571</v>
      </c>
      <c r="J5849">
        <f>SMALL(SimData5000!$C$9:$C$5008,841)</f>
        <v>0.16402681421004672</v>
      </c>
      <c r="K5849">
        <f>1/(COUNT(SimData5000!$C$9:$C$5008)-1)+$K$5848</f>
        <v>0.16803360672134571</v>
      </c>
    </row>
    <row r="5850" spans="8:11">
      <c r="H5850">
        <f>SMALL(SimData5000!$B$9:$B$5008,842)</f>
        <v>0.16824567471520177</v>
      </c>
      <c r="I5850">
        <f>1/(COUNT(SimData5000!$B$9:$B$5008)-1)+$I$5849</f>
        <v>0.16823364672934732</v>
      </c>
      <c r="J5850">
        <f>SMALL(SimData5000!$C$9:$C$5008,842)</f>
        <v>0.16410555727088649</v>
      </c>
      <c r="K5850">
        <f>1/(COUNT(SimData5000!$C$9:$C$5008)-1)+$K$5849</f>
        <v>0.16823364672934732</v>
      </c>
    </row>
    <row r="5851" spans="8:11">
      <c r="H5851">
        <f>SMALL(SimData5000!$B$9:$B$5008,843)</f>
        <v>0.16855570716107163</v>
      </c>
      <c r="I5851">
        <f>1/(COUNT(SimData5000!$B$9:$B$5008)-1)+$I$5850</f>
        <v>0.16843368673734893</v>
      </c>
      <c r="J5851">
        <f>SMALL(SimData5000!$C$9:$C$5008,843)</f>
        <v>0.16428983975220035</v>
      </c>
      <c r="K5851">
        <f>1/(COUNT(SimData5000!$C$9:$C$5008)-1)+$K$5850</f>
        <v>0.16843368673734893</v>
      </c>
    </row>
    <row r="5852" spans="8:11">
      <c r="H5852">
        <f>SMALL(SimData5000!$B$9:$B$5008,844)</f>
        <v>0.16874667651065314</v>
      </c>
      <c r="I5852">
        <f>1/(COUNT(SimData5000!$B$9:$B$5008)-1)+$I$5851</f>
        <v>0.16863372674535054</v>
      </c>
      <c r="J5852">
        <f>SMALL(SimData5000!$C$9:$C$5008,844)</f>
        <v>0.16444394854261191</v>
      </c>
      <c r="K5852">
        <f>1/(COUNT(SimData5000!$C$9:$C$5008)-1)+$K$5851</f>
        <v>0.16863372674535054</v>
      </c>
    </row>
    <row r="5853" spans="8:11">
      <c r="H5853">
        <f>SMALL(SimData5000!$B$9:$B$5008,845)</f>
        <v>0.16880678506978014</v>
      </c>
      <c r="I5853">
        <f>1/(COUNT(SimData5000!$B$9:$B$5008)-1)+$I$5852</f>
        <v>0.16883376675335215</v>
      </c>
      <c r="J5853">
        <f>SMALL(SimData5000!$C$9:$C$5008,845)</f>
        <v>0.164576954021868</v>
      </c>
      <c r="K5853">
        <f>1/(COUNT(SimData5000!$C$9:$C$5008)-1)+$K$5852</f>
        <v>0.16883376675335215</v>
      </c>
    </row>
    <row r="5854" spans="8:11">
      <c r="H5854">
        <f>SMALL(SimData5000!$B$9:$B$5008,846)</f>
        <v>0.16902290049698737</v>
      </c>
      <c r="I5854">
        <f>1/(COUNT(SimData5000!$B$9:$B$5008)-1)+$I$5853</f>
        <v>0.16903380676135377</v>
      </c>
      <c r="J5854">
        <f>SMALL(SimData5000!$C$9:$C$5008,846)</f>
        <v>0.16481276784816146</v>
      </c>
      <c r="K5854">
        <f>1/(COUNT(SimData5000!$C$9:$C$5008)-1)+$K$5853</f>
        <v>0.16903380676135377</v>
      </c>
    </row>
    <row r="5855" spans="8:11">
      <c r="H5855">
        <f>SMALL(SimData5000!$B$9:$B$5008,847)</f>
        <v>0.16939637796846135</v>
      </c>
      <c r="I5855">
        <f>1/(COUNT(SimData5000!$B$9:$B$5008)-1)+$I$5854</f>
        <v>0.16923384676935538</v>
      </c>
      <c r="J5855">
        <f>SMALL(SimData5000!$C$9:$C$5008,847)</f>
        <v>0.16511363567678927</v>
      </c>
      <c r="K5855">
        <f>1/(COUNT(SimData5000!$C$9:$C$5008)-1)+$K$5854</f>
        <v>0.16923384676935538</v>
      </c>
    </row>
    <row r="5856" spans="8:11">
      <c r="H5856">
        <f>SMALL(SimData5000!$B$9:$B$5008,848)</f>
        <v>0.16947222932718514</v>
      </c>
      <c r="I5856">
        <f>1/(COUNT(SimData5000!$B$9:$B$5008)-1)+$I$5855</f>
        <v>0.16943388677735699</v>
      </c>
      <c r="J5856">
        <f>SMALL(SimData5000!$C$9:$C$5008,848)</f>
        <v>0.16512023313680402</v>
      </c>
      <c r="K5856">
        <f>1/(COUNT(SimData5000!$C$9:$C$5008)-1)+$K$5855</f>
        <v>0.16943388677735699</v>
      </c>
    </row>
    <row r="5857" spans="8:11">
      <c r="H5857">
        <f>SMALL(SimData5000!$B$9:$B$5008,849)</f>
        <v>0.16964620473935413</v>
      </c>
      <c r="I5857">
        <f>1/(COUNT(SimData5000!$B$9:$B$5008)-1)+$I$5856</f>
        <v>0.1696339267853586</v>
      </c>
      <c r="J5857">
        <f>SMALL(SimData5000!$C$9:$C$5008,849)</f>
        <v>0.16529261793948535</v>
      </c>
      <c r="K5857">
        <f>1/(COUNT(SimData5000!$C$9:$C$5008)-1)+$K$5856</f>
        <v>0.1696339267853586</v>
      </c>
    </row>
    <row r="5858" spans="8:11">
      <c r="H5858">
        <f>SMALL(SimData5000!$B$9:$B$5008,850)</f>
        <v>0.16984309035973694</v>
      </c>
      <c r="I5858">
        <f>1/(COUNT(SimData5000!$B$9:$B$5008)-1)+$I$5857</f>
        <v>0.16983396679336021</v>
      </c>
      <c r="J5858">
        <f>SMALL(SimData5000!$C$9:$C$5008,850)</f>
        <v>0.16549358136308001</v>
      </c>
      <c r="K5858">
        <f>1/(COUNT(SimData5000!$C$9:$C$5008)-1)+$K$5857</f>
        <v>0.16983396679336021</v>
      </c>
    </row>
    <row r="5859" spans="8:11">
      <c r="H5859">
        <f>SMALL(SimData5000!$B$9:$B$5008,851)</f>
        <v>0.17013027107904904</v>
      </c>
      <c r="I5859">
        <f>1/(COUNT(SimData5000!$B$9:$B$5008)-1)+$I$5858</f>
        <v>0.17003400680136183</v>
      </c>
      <c r="J5859">
        <f>SMALL(SimData5000!$C$9:$C$5008,851)</f>
        <v>0.16553366725656815</v>
      </c>
      <c r="K5859">
        <f>1/(COUNT(SimData5000!$C$9:$C$5008)-1)+$K$5858</f>
        <v>0.17003400680136183</v>
      </c>
    </row>
    <row r="5860" spans="8:11">
      <c r="H5860">
        <f>SMALL(SimData5000!$B$9:$B$5008,852)</f>
        <v>0.17022917439807886</v>
      </c>
      <c r="I5860">
        <f>1/(COUNT(SimData5000!$B$9:$B$5008)-1)+$I$5859</f>
        <v>0.17023404680936344</v>
      </c>
      <c r="J5860">
        <f>SMALL(SimData5000!$C$9:$C$5008,852)</f>
        <v>0.16555068891193514</v>
      </c>
      <c r="K5860">
        <f>1/(COUNT(SimData5000!$C$9:$C$5008)-1)+$K$5859</f>
        <v>0.17023404680936344</v>
      </c>
    </row>
    <row r="5861" spans="8:11">
      <c r="H5861">
        <f>SMALL(SimData5000!$B$9:$B$5008,853)</f>
        <v>0.17050111047576672</v>
      </c>
      <c r="I5861">
        <f>1/(COUNT(SimData5000!$B$9:$B$5008)-1)+$I$5860</f>
        <v>0.17043408681736505</v>
      </c>
      <c r="J5861">
        <f>SMALL(SimData5000!$C$9:$C$5008,853)</f>
        <v>0.16578131065307389</v>
      </c>
      <c r="K5861">
        <f>1/(COUNT(SimData5000!$C$9:$C$5008)-1)+$K$5860</f>
        <v>0.17043408681736505</v>
      </c>
    </row>
    <row r="5862" spans="8:11">
      <c r="H5862">
        <f>SMALL(SimData5000!$B$9:$B$5008,854)</f>
        <v>0.17073698396252865</v>
      </c>
      <c r="I5862">
        <f>1/(COUNT(SimData5000!$B$9:$B$5008)-1)+$I$5861</f>
        <v>0.17063412682536666</v>
      </c>
      <c r="J5862">
        <f>SMALL(SimData5000!$C$9:$C$5008,854)</f>
        <v>0.16590781010836508</v>
      </c>
      <c r="K5862">
        <f>1/(COUNT(SimData5000!$C$9:$C$5008)-1)+$K$5861</f>
        <v>0.17063412682536666</v>
      </c>
    </row>
    <row r="5863" spans="8:11">
      <c r="H5863">
        <f>SMALL(SimData5000!$B$9:$B$5008,855)</f>
        <v>0.17083672438884079</v>
      </c>
      <c r="I5863">
        <f>1/(COUNT(SimData5000!$B$9:$B$5008)-1)+$I$5862</f>
        <v>0.17083416683336827</v>
      </c>
      <c r="J5863">
        <f>SMALL(SimData5000!$C$9:$C$5008,855)</f>
        <v>0.16591897087255347</v>
      </c>
      <c r="K5863">
        <f>1/(COUNT(SimData5000!$C$9:$C$5008)-1)+$K$5862</f>
        <v>0.17083416683336827</v>
      </c>
    </row>
    <row r="5864" spans="8:11">
      <c r="H5864">
        <f>SMALL(SimData5000!$B$9:$B$5008,856)</f>
        <v>0.17107432931416536</v>
      </c>
      <c r="I5864">
        <f>1/(COUNT(SimData5000!$B$9:$B$5008)-1)+$I$5863</f>
        <v>0.17103420684136988</v>
      </c>
      <c r="J5864">
        <f>SMALL(SimData5000!$C$9:$C$5008,856)</f>
        <v>0.16610549837241706</v>
      </c>
      <c r="K5864">
        <f>1/(COUNT(SimData5000!$C$9:$C$5008)-1)+$K$5863</f>
        <v>0.17103420684136988</v>
      </c>
    </row>
    <row r="5865" spans="8:11">
      <c r="H5865">
        <f>SMALL(SimData5000!$B$9:$B$5008,857)</f>
        <v>0.17128822158651616</v>
      </c>
      <c r="I5865">
        <f>1/(COUNT(SimData5000!$B$9:$B$5008)-1)+$I$5864</f>
        <v>0.1712342468493715</v>
      </c>
      <c r="J5865">
        <f>SMALL(SimData5000!$C$9:$C$5008,857)</f>
        <v>0.1662654954016034</v>
      </c>
      <c r="K5865">
        <f>1/(COUNT(SimData5000!$C$9:$C$5008)-1)+$K$5864</f>
        <v>0.1712342468493715</v>
      </c>
    </row>
    <row r="5866" spans="8:11">
      <c r="H5866">
        <f>SMALL(SimData5000!$B$9:$B$5008,858)</f>
        <v>0.17150584447353748</v>
      </c>
      <c r="I5866">
        <f>1/(COUNT(SimData5000!$B$9:$B$5008)-1)+$I$5865</f>
        <v>0.17143428685737311</v>
      </c>
      <c r="J5866">
        <f>SMALL(SimData5000!$C$9:$C$5008,858)</f>
        <v>0.16653090461113607</v>
      </c>
      <c r="K5866">
        <f>1/(COUNT(SimData5000!$C$9:$C$5008)-1)+$K$5865</f>
        <v>0.17143428685737311</v>
      </c>
    </row>
    <row r="5867" spans="8:11">
      <c r="H5867">
        <f>SMALL(SimData5000!$B$9:$B$5008,859)</f>
        <v>0.17160383311654528</v>
      </c>
      <c r="I5867">
        <f>1/(COUNT(SimData5000!$B$9:$B$5008)-1)+$I$5866</f>
        <v>0.17163432686537472</v>
      </c>
      <c r="J5867">
        <f>SMALL(SimData5000!$C$9:$C$5008,859)</f>
        <v>0.16660947568743723</v>
      </c>
      <c r="K5867">
        <f>1/(COUNT(SimData5000!$C$9:$C$5008)-1)+$K$5866</f>
        <v>0.17163432686537472</v>
      </c>
    </row>
    <row r="5868" spans="8:11">
      <c r="H5868">
        <f>SMALL(SimData5000!$B$9:$B$5008,860)</f>
        <v>0.17186815578222001</v>
      </c>
      <c r="I5868">
        <f>1/(COUNT(SimData5000!$B$9:$B$5008)-1)+$I$5867</f>
        <v>0.17183436687337633</v>
      </c>
      <c r="J5868">
        <f>SMALL(SimData5000!$C$9:$C$5008,860)</f>
        <v>0.16679563581237744</v>
      </c>
      <c r="K5868">
        <f>1/(COUNT(SimData5000!$C$9:$C$5008)-1)+$K$5867</f>
        <v>0.17183436687337633</v>
      </c>
    </row>
    <row r="5869" spans="8:11">
      <c r="H5869">
        <f>SMALL(SimData5000!$B$9:$B$5008,861)</f>
        <v>0.17217097061974251</v>
      </c>
      <c r="I5869">
        <f>1/(COUNT(SimData5000!$B$9:$B$5008)-1)+$I$5868</f>
        <v>0.17203440688137794</v>
      </c>
      <c r="J5869">
        <f>SMALL(SimData5000!$C$9:$C$5008,861)</f>
        <v>0.16782546292597544</v>
      </c>
      <c r="K5869">
        <f>1/(COUNT(SimData5000!$C$9:$C$5008)-1)+$K$5868</f>
        <v>0.17203440688137794</v>
      </c>
    </row>
    <row r="5870" spans="8:11">
      <c r="H5870">
        <f>SMALL(SimData5000!$B$9:$B$5008,862)</f>
        <v>0.17237457474390386</v>
      </c>
      <c r="I5870">
        <f>1/(COUNT(SimData5000!$B$9:$B$5008)-1)+$I$5869</f>
        <v>0.17223444688937956</v>
      </c>
      <c r="J5870">
        <f>SMALL(SimData5000!$C$9:$C$5008,862)</f>
        <v>0.1678298477527278</v>
      </c>
      <c r="K5870">
        <f>1/(COUNT(SimData5000!$C$9:$C$5008)-1)+$K$5869</f>
        <v>0.17223444688937956</v>
      </c>
    </row>
    <row r="5871" spans="8:11">
      <c r="H5871">
        <f>SMALL(SimData5000!$B$9:$B$5008,863)</f>
        <v>0.17245595483413337</v>
      </c>
      <c r="I5871">
        <f>1/(COUNT(SimData5000!$B$9:$B$5008)-1)+$I$5870</f>
        <v>0.17243448689738117</v>
      </c>
      <c r="J5871">
        <f>SMALL(SimData5000!$C$9:$C$5008,863)</f>
        <v>0.16789551672354719</v>
      </c>
      <c r="K5871">
        <f>1/(COUNT(SimData5000!$C$9:$C$5008)-1)+$K$5870</f>
        <v>0.17243448689738117</v>
      </c>
    </row>
    <row r="5872" spans="8:11">
      <c r="H5872">
        <f>SMALL(SimData5000!$B$9:$B$5008,864)</f>
        <v>0.172745317781797</v>
      </c>
      <c r="I5872">
        <f>1/(COUNT(SimData5000!$B$9:$B$5008)-1)+$I$5871</f>
        <v>0.17263452690538278</v>
      </c>
      <c r="J5872">
        <f>SMALL(SimData5000!$C$9:$C$5008,864)</f>
        <v>0.16795692401228735</v>
      </c>
      <c r="K5872">
        <f>1/(COUNT(SimData5000!$C$9:$C$5008)-1)+$K$5871</f>
        <v>0.17263452690538278</v>
      </c>
    </row>
    <row r="5873" spans="8:11">
      <c r="H5873">
        <f>SMALL(SimData5000!$B$9:$B$5008,865)</f>
        <v>0.17284929202535407</v>
      </c>
      <c r="I5873">
        <f>1/(COUNT(SimData5000!$B$9:$B$5008)-1)+$I$5872</f>
        <v>0.17283456691338439</v>
      </c>
      <c r="J5873">
        <f>SMALL(SimData5000!$C$9:$C$5008,865)</f>
        <v>0.16810548188550456</v>
      </c>
      <c r="K5873">
        <f>1/(COUNT(SimData5000!$C$9:$C$5008)-1)+$K$5872</f>
        <v>0.17283456691338439</v>
      </c>
    </row>
    <row r="5874" spans="8:11">
      <c r="H5874">
        <f>SMALL(SimData5000!$B$9:$B$5008,866)</f>
        <v>0.17311749493272915</v>
      </c>
      <c r="I5874">
        <f>1/(COUNT(SimData5000!$B$9:$B$5008)-1)+$I$5873</f>
        <v>0.173034606921386</v>
      </c>
      <c r="J5874">
        <f>SMALL(SimData5000!$C$9:$C$5008,866)</f>
        <v>0.16814572626117297</v>
      </c>
      <c r="K5874">
        <f>1/(COUNT(SimData5000!$C$9:$C$5008)-1)+$K$5873</f>
        <v>0.173034606921386</v>
      </c>
    </row>
    <row r="5875" spans="8:11">
      <c r="H5875">
        <f>SMALL(SimData5000!$B$9:$B$5008,867)</f>
        <v>0.17320974769443501</v>
      </c>
      <c r="I5875">
        <f>1/(COUNT(SimData5000!$B$9:$B$5008)-1)+$I$5874</f>
        <v>0.17323464692938761</v>
      </c>
      <c r="J5875">
        <f>SMALL(SimData5000!$C$9:$C$5008,867)</f>
        <v>0.16824258571341488</v>
      </c>
      <c r="K5875">
        <f>1/(COUNT(SimData5000!$C$9:$C$5008)-1)+$K$5874</f>
        <v>0.17323464692938761</v>
      </c>
    </row>
    <row r="5876" spans="8:11">
      <c r="H5876">
        <f>SMALL(SimData5000!$B$9:$B$5008,868)</f>
        <v>0.17346374568489004</v>
      </c>
      <c r="I5876">
        <f>1/(COUNT(SimData5000!$B$9:$B$5008)-1)+$I$5875</f>
        <v>0.17343468693738923</v>
      </c>
      <c r="J5876">
        <f>SMALL(SimData5000!$C$9:$C$5008,868)</f>
        <v>0.16836327985220123</v>
      </c>
      <c r="K5876">
        <f>1/(COUNT(SimData5000!$C$9:$C$5008)-1)+$K$5875</f>
        <v>0.17343468693738923</v>
      </c>
    </row>
    <row r="5877" spans="8:11">
      <c r="H5877">
        <f>SMALL(SimData5000!$B$9:$B$5008,869)</f>
        <v>0.17371645591266371</v>
      </c>
      <c r="I5877">
        <f>1/(COUNT(SimData5000!$B$9:$B$5008)-1)+$I$5876</f>
        <v>0.17363472694539084</v>
      </c>
      <c r="J5877">
        <f>SMALL(SimData5000!$C$9:$C$5008,869)</f>
        <v>0.1684598515248581</v>
      </c>
      <c r="K5877">
        <f>1/(COUNT(SimData5000!$C$9:$C$5008)-1)+$K$5876</f>
        <v>0.17363472694539084</v>
      </c>
    </row>
    <row r="5878" spans="8:11">
      <c r="H5878">
        <f>SMALL(SimData5000!$B$9:$B$5008,870)</f>
        <v>0.17387473577192861</v>
      </c>
      <c r="I5878">
        <f>1/(COUNT(SimData5000!$B$9:$B$5008)-1)+$I$5877</f>
        <v>0.17383476695339245</v>
      </c>
      <c r="J5878">
        <f>SMALL(SimData5000!$C$9:$C$5008,870)</f>
        <v>0.16858316290836228</v>
      </c>
      <c r="K5878">
        <f>1/(COUNT(SimData5000!$C$9:$C$5008)-1)+$K$5877</f>
        <v>0.17383476695339245</v>
      </c>
    </row>
    <row r="5879" spans="8:11">
      <c r="H5879">
        <f>SMALL(SimData5000!$B$9:$B$5008,871)</f>
        <v>0.17404305333035139</v>
      </c>
      <c r="I5879">
        <f>1/(COUNT(SimData5000!$B$9:$B$5008)-1)+$I$5878</f>
        <v>0.17403480696139406</v>
      </c>
      <c r="J5879">
        <f>SMALL(SimData5000!$C$9:$C$5008,871)</f>
        <v>0.16872139896258886</v>
      </c>
      <c r="K5879">
        <f>1/(COUNT(SimData5000!$C$9:$C$5008)-1)+$K$5878</f>
        <v>0.17403480696139406</v>
      </c>
    </row>
    <row r="5880" spans="8:11">
      <c r="H5880">
        <f>SMALL(SimData5000!$B$9:$B$5008,872)</f>
        <v>0.174233748700757</v>
      </c>
      <c r="I5880">
        <f>1/(COUNT(SimData5000!$B$9:$B$5008)-1)+$I$5879</f>
        <v>0.17423484696939567</v>
      </c>
      <c r="J5880">
        <f>SMALL(SimData5000!$C$9:$C$5008,872)</f>
        <v>0.16901402517669339</v>
      </c>
      <c r="K5880">
        <f>1/(COUNT(SimData5000!$C$9:$C$5008)-1)+$K$5879</f>
        <v>0.17423484696939567</v>
      </c>
    </row>
    <row r="5881" spans="8:11">
      <c r="H5881">
        <f>SMALL(SimData5000!$B$9:$B$5008,873)</f>
        <v>0.17447843423794918</v>
      </c>
      <c r="I5881">
        <f>1/(COUNT(SimData5000!$B$9:$B$5008)-1)+$I$5880</f>
        <v>0.17443488697739729</v>
      </c>
      <c r="J5881">
        <f>SMALL(SimData5000!$C$9:$C$5008,873)</f>
        <v>0.16902763329653681</v>
      </c>
      <c r="K5881">
        <f>1/(COUNT(SimData5000!$C$9:$C$5008)-1)+$K$5880</f>
        <v>0.17443488697739729</v>
      </c>
    </row>
    <row r="5882" spans="8:11">
      <c r="H5882">
        <f>SMALL(SimData5000!$B$9:$B$5008,874)</f>
        <v>0.17472833579949296</v>
      </c>
      <c r="I5882">
        <f>1/(COUNT(SimData5000!$B$9:$B$5008)-1)+$I$5881</f>
        <v>0.1746349269853989</v>
      </c>
      <c r="J5882">
        <f>SMALL(SimData5000!$C$9:$C$5008,874)</f>
        <v>0.16903480320479503</v>
      </c>
      <c r="K5882">
        <f>1/(COUNT(SimData5000!$C$9:$C$5008)-1)+$K$5881</f>
        <v>0.1746349269853989</v>
      </c>
    </row>
    <row r="5883" spans="8:11">
      <c r="H5883">
        <f>SMALL(SimData5000!$B$9:$B$5008,875)</f>
        <v>0.17497553936386845</v>
      </c>
      <c r="I5883">
        <f>1/(COUNT(SimData5000!$B$9:$B$5008)-1)+$I$5882</f>
        <v>0.17483496699340051</v>
      </c>
      <c r="J5883">
        <f>SMALL(SimData5000!$C$9:$C$5008,875)</f>
        <v>0.1691124351682447</v>
      </c>
      <c r="K5883">
        <f>1/(COUNT(SimData5000!$C$9:$C$5008)-1)+$K$5882</f>
        <v>0.17483496699340051</v>
      </c>
    </row>
    <row r="5884" spans="8:11">
      <c r="H5884">
        <f>SMALL(SimData5000!$B$9:$B$5008,876)</f>
        <v>0.17507162578312485</v>
      </c>
      <c r="I5884">
        <f>1/(COUNT(SimData5000!$B$9:$B$5008)-1)+$I$5883</f>
        <v>0.17503500700140212</v>
      </c>
      <c r="J5884">
        <f>SMALL(SimData5000!$C$9:$C$5008,876)</f>
        <v>0.16926002218315261</v>
      </c>
      <c r="K5884">
        <f>1/(COUNT(SimData5000!$C$9:$C$5008)-1)+$K$5883</f>
        <v>0.17503500700140212</v>
      </c>
    </row>
    <row r="5885" spans="8:11">
      <c r="H5885">
        <f>SMALL(SimData5000!$B$9:$B$5008,877)</f>
        <v>0.17527124402692337</v>
      </c>
      <c r="I5885">
        <f>1/(COUNT(SimData5000!$B$9:$B$5008)-1)+$I$5884</f>
        <v>0.17523504700940373</v>
      </c>
      <c r="J5885">
        <f>SMALL(SimData5000!$C$9:$C$5008,877)</f>
        <v>0.16993655457463319</v>
      </c>
      <c r="K5885">
        <f>1/(COUNT(SimData5000!$C$9:$C$5008)-1)+$K$5884</f>
        <v>0.17523504700940373</v>
      </c>
    </row>
    <row r="5886" spans="8:11">
      <c r="H5886">
        <f>SMALL(SimData5000!$B$9:$B$5008,878)</f>
        <v>0.17549146599194304</v>
      </c>
      <c r="I5886">
        <f>1/(COUNT(SimData5000!$B$9:$B$5008)-1)+$I$5885</f>
        <v>0.17543508701740534</v>
      </c>
      <c r="J5886">
        <f>SMALL(SimData5000!$C$9:$C$5008,878)</f>
        <v>0.17007496923088183</v>
      </c>
      <c r="K5886">
        <f>1/(COUNT(SimData5000!$C$9:$C$5008)-1)+$K$5885</f>
        <v>0.17543508701740534</v>
      </c>
    </row>
    <row r="5887" spans="8:11">
      <c r="H5887">
        <f>SMALL(SimData5000!$B$9:$B$5008,879)</f>
        <v>0.17576198171241256</v>
      </c>
      <c r="I5887">
        <f>1/(COUNT(SimData5000!$B$9:$B$5008)-1)+$I$5886</f>
        <v>0.17563512702540696</v>
      </c>
      <c r="J5887">
        <f>SMALL(SimData5000!$C$9:$C$5008,879)</f>
        <v>0.17027384118409827</v>
      </c>
      <c r="K5887">
        <f>1/(COUNT(SimData5000!$C$9:$C$5008)-1)+$K$5886</f>
        <v>0.17563512702540696</v>
      </c>
    </row>
    <row r="5888" spans="8:11">
      <c r="H5888">
        <f>SMALL(SimData5000!$B$9:$B$5008,880)</f>
        <v>0.17595184689586793</v>
      </c>
      <c r="I5888">
        <f>1/(COUNT(SimData5000!$B$9:$B$5008)-1)+$I$5887</f>
        <v>0.17583516703340857</v>
      </c>
      <c r="J5888">
        <f>SMALL(SimData5000!$C$9:$C$5008,880)</f>
        <v>0.17038016967035219</v>
      </c>
      <c r="K5888">
        <f>1/(COUNT(SimData5000!$C$9:$C$5008)-1)+$K$5887</f>
        <v>0.17583516703340857</v>
      </c>
    </row>
    <row r="5889" spans="8:11">
      <c r="H5889">
        <f>SMALL(SimData5000!$B$9:$B$5008,881)</f>
        <v>0.17600701719429507</v>
      </c>
      <c r="I5889">
        <f>1/(COUNT(SimData5000!$B$9:$B$5008)-1)+$I$5888</f>
        <v>0.17603520704141018</v>
      </c>
      <c r="J5889">
        <f>SMALL(SimData5000!$C$9:$C$5008,881)</f>
        <v>0.17070042012255726</v>
      </c>
      <c r="K5889">
        <f>1/(COUNT(SimData5000!$C$9:$C$5008)-1)+$K$5888</f>
        <v>0.17603520704141018</v>
      </c>
    </row>
    <row r="5890" spans="8:11">
      <c r="H5890">
        <f>SMALL(SimData5000!$B$9:$B$5008,882)</f>
        <v>0.17634691157162816</v>
      </c>
      <c r="I5890">
        <f>1/(COUNT(SimData5000!$B$9:$B$5008)-1)+$I$5889</f>
        <v>0.17623524704941179</v>
      </c>
      <c r="J5890">
        <f>SMALL(SimData5000!$C$9:$C$5008,882)</f>
        <v>0.17075911322990578</v>
      </c>
      <c r="K5890">
        <f>1/(COUNT(SimData5000!$C$9:$C$5008)-1)+$K$5889</f>
        <v>0.17623524704941179</v>
      </c>
    </row>
    <row r="5891" spans="8:11">
      <c r="H5891">
        <f>SMALL(SimData5000!$B$9:$B$5008,883)</f>
        <v>0.17658287226566646</v>
      </c>
      <c r="I5891">
        <f>1/(COUNT(SimData5000!$B$9:$B$5008)-1)+$I$5890</f>
        <v>0.1764352870574134</v>
      </c>
      <c r="J5891">
        <f>SMALL(SimData5000!$C$9:$C$5008,883)</f>
        <v>0.17076077104047727</v>
      </c>
      <c r="K5891">
        <f>1/(COUNT(SimData5000!$C$9:$C$5008)-1)+$K$5890</f>
        <v>0.1764352870574134</v>
      </c>
    </row>
    <row r="5892" spans="8:11">
      <c r="H5892">
        <f>SMALL(SimData5000!$B$9:$B$5008,884)</f>
        <v>0.17670012420641726</v>
      </c>
      <c r="I5892">
        <f>1/(COUNT(SimData5000!$B$9:$B$5008)-1)+$I$5891</f>
        <v>0.17663532706541502</v>
      </c>
      <c r="J5892">
        <f>SMALL(SimData5000!$C$9:$C$5008,884)</f>
        <v>0.17089530971952627</v>
      </c>
      <c r="K5892">
        <f>1/(COUNT(SimData5000!$C$9:$C$5008)-1)+$K$5891</f>
        <v>0.17663532706541502</v>
      </c>
    </row>
    <row r="5893" spans="8:11">
      <c r="H5893">
        <f>SMALL(SimData5000!$B$9:$B$5008,885)</f>
        <v>0.17681688474421783</v>
      </c>
      <c r="I5893">
        <f>1/(COUNT(SimData5000!$B$9:$B$5008)-1)+$I$5892</f>
        <v>0.17683536707341663</v>
      </c>
      <c r="J5893">
        <f>SMALL(SimData5000!$C$9:$C$5008,885)</f>
        <v>0.17111812829080009</v>
      </c>
      <c r="K5893">
        <f>1/(COUNT(SimData5000!$C$9:$C$5008)-1)+$K$5892</f>
        <v>0.17683536707341663</v>
      </c>
    </row>
    <row r="5894" spans="8:11">
      <c r="H5894">
        <f>SMALL(SimData5000!$B$9:$B$5008,886)</f>
        <v>0.17702286069770876</v>
      </c>
      <c r="I5894">
        <f>1/(COUNT(SimData5000!$B$9:$B$5008)-1)+$I$5893</f>
        <v>0.17703540708141824</v>
      </c>
      <c r="J5894">
        <f>SMALL(SimData5000!$C$9:$C$5008,886)</f>
        <v>0.17131262101702305</v>
      </c>
      <c r="K5894">
        <f>1/(COUNT(SimData5000!$C$9:$C$5008)-1)+$K$5893</f>
        <v>0.17703540708141824</v>
      </c>
    </row>
    <row r="5895" spans="8:11">
      <c r="H5895">
        <f>SMALL(SimData5000!$B$9:$B$5008,887)</f>
        <v>0.17722095243619312</v>
      </c>
      <c r="I5895">
        <f>1/(COUNT(SimData5000!$B$9:$B$5008)-1)+$I$5894</f>
        <v>0.17723544708941985</v>
      </c>
      <c r="J5895">
        <f>SMALL(SimData5000!$C$9:$C$5008,887)</f>
        <v>0.17174085743499745</v>
      </c>
      <c r="K5895">
        <f>1/(COUNT(SimData5000!$C$9:$C$5008)-1)+$K$5894</f>
        <v>0.17723544708941985</v>
      </c>
    </row>
    <row r="5896" spans="8:11">
      <c r="H5896">
        <f>SMALL(SimData5000!$B$9:$B$5008,888)</f>
        <v>0.17751079563524361</v>
      </c>
      <c r="I5896">
        <f>1/(COUNT(SimData5000!$B$9:$B$5008)-1)+$I$5895</f>
        <v>0.17743548709742146</v>
      </c>
      <c r="J5896">
        <f>SMALL(SimData5000!$C$9:$C$5008,888)</f>
        <v>0.1719382226392554</v>
      </c>
      <c r="K5896">
        <f>1/(COUNT(SimData5000!$C$9:$C$5008)-1)+$K$5895</f>
        <v>0.17743548709742146</v>
      </c>
    </row>
    <row r="5897" spans="8:11">
      <c r="H5897">
        <f>SMALL(SimData5000!$B$9:$B$5008,889)</f>
        <v>0.177654529912084</v>
      </c>
      <c r="I5897">
        <f>1/(COUNT(SimData5000!$B$9:$B$5008)-1)+$I$5896</f>
        <v>0.17763552710542307</v>
      </c>
      <c r="J5897">
        <f>SMALL(SimData5000!$C$9:$C$5008,889)</f>
        <v>0.17220580665434682</v>
      </c>
      <c r="K5897">
        <f>1/(COUNT(SimData5000!$C$9:$C$5008)-1)+$K$5896</f>
        <v>0.17763552710542307</v>
      </c>
    </row>
    <row r="5898" spans="8:11">
      <c r="H5898">
        <f>SMALL(SimData5000!$B$9:$B$5008,890)</f>
        <v>0.17787001443879447</v>
      </c>
      <c r="I5898">
        <f>1/(COUNT(SimData5000!$B$9:$B$5008)-1)+$I$5897</f>
        <v>0.17783556711342469</v>
      </c>
      <c r="J5898">
        <f>SMALL(SimData5000!$C$9:$C$5008,890)</f>
        <v>0.17235164483281551</v>
      </c>
      <c r="K5898">
        <f>1/(COUNT(SimData5000!$C$9:$C$5008)-1)+$K$5897</f>
        <v>0.17783556711342469</v>
      </c>
    </row>
    <row r="5899" spans="8:11">
      <c r="H5899">
        <f>SMALL(SimData5000!$B$9:$B$5008,891)</f>
        <v>0.17815160793795987</v>
      </c>
      <c r="I5899">
        <f>1/(COUNT(SimData5000!$B$9:$B$5008)-1)+$I$5898</f>
        <v>0.1780356071214263</v>
      </c>
      <c r="J5899">
        <f>SMALL(SimData5000!$C$9:$C$5008,891)</f>
        <v>0.17250143665023643</v>
      </c>
      <c r="K5899">
        <f>1/(COUNT(SimData5000!$C$9:$C$5008)-1)+$K$5898</f>
        <v>0.1780356071214263</v>
      </c>
    </row>
    <row r="5900" spans="8:11">
      <c r="H5900">
        <f>SMALL(SimData5000!$B$9:$B$5008,892)</f>
        <v>0.1783590159448234</v>
      </c>
      <c r="I5900">
        <f>1/(COUNT(SimData5000!$B$9:$B$5008)-1)+$I$5899</f>
        <v>0.17823564712942791</v>
      </c>
      <c r="J5900">
        <f>SMALL(SimData5000!$C$9:$C$5008,892)</f>
        <v>0.17255547005424887</v>
      </c>
      <c r="K5900">
        <f>1/(COUNT(SimData5000!$C$9:$C$5008)-1)+$K$5899</f>
        <v>0.17823564712942791</v>
      </c>
    </row>
    <row r="5901" spans="8:11">
      <c r="H5901">
        <f>SMALL(SimData5000!$B$9:$B$5008,893)</f>
        <v>0.17846812281731242</v>
      </c>
      <c r="I5901">
        <f>1/(COUNT(SimData5000!$B$9:$B$5008)-1)+$I$5900</f>
        <v>0.17843568713742952</v>
      </c>
      <c r="J5901">
        <f>SMALL(SimData5000!$C$9:$C$5008,893)</f>
        <v>0.17257318838164792</v>
      </c>
      <c r="K5901">
        <f>1/(COUNT(SimData5000!$C$9:$C$5008)-1)+$K$5900</f>
        <v>0.17843568713742952</v>
      </c>
    </row>
    <row r="5902" spans="8:11">
      <c r="H5902">
        <f>SMALL(SimData5000!$B$9:$B$5008,894)</f>
        <v>0.17876596253019894</v>
      </c>
      <c r="I5902">
        <f>1/(COUNT(SimData5000!$B$9:$B$5008)-1)+$I$5901</f>
        <v>0.17863572714543113</v>
      </c>
      <c r="J5902">
        <f>SMALL(SimData5000!$C$9:$C$5008,894)</f>
        <v>0.17281741936858452</v>
      </c>
      <c r="K5902">
        <f>1/(COUNT(SimData5000!$C$9:$C$5008)-1)+$K$5901</f>
        <v>0.17863572714543113</v>
      </c>
    </row>
    <row r="5903" spans="8:11">
      <c r="H5903">
        <f>SMALL(SimData5000!$B$9:$B$5008,895)</f>
        <v>0.17890004711521323</v>
      </c>
      <c r="I5903">
        <f>1/(COUNT(SimData5000!$B$9:$B$5008)-1)+$I$5902</f>
        <v>0.17883576715343275</v>
      </c>
      <c r="J5903">
        <f>SMALL(SimData5000!$C$9:$C$5008,895)</f>
        <v>0.1730714171389991</v>
      </c>
      <c r="K5903">
        <f>1/(COUNT(SimData5000!$C$9:$C$5008)-1)+$K$5902</f>
        <v>0.17883576715343275</v>
      </c>
    </row>
    <row r="5904" spans="8:11">
      <c r="H5904">
        <f>SMALL(SimData5000!$B$9:$B$5008,896)</f>
        <v>0.17904671564829691</v>
      </c>
      <c r="I5904">
        <f>1/(COUNT(SimData5000!$B$9:$B$5008)-1)+$I$5903</f>
        <v>0.17903580716143436</v>
      </c>
      <c r="J5904">
        <f>SMALL(SimData5000!$C$9:$C$5008,896)</f>
        <v>0.17307622458156402</v>
      </c>
      <c r="K5904">
        <f>1/(COUNT(SimData5000!$C$9:$C$5008)-1)+$K$5903</f>
        <v>0.17903580716143436</v>
      </c>
    </row>
    <row r="5905" spans="8:11">
      <c r="H5905">
        <f>SMALL(SimData5000!$B$9:$B$5008,897)</f>
        <v>0.17924355920163065</v>
      </c>
      <c r="I5905">
        <f>1/(COUNT(SimData5000!$B$9:$B$5008)-1)+$I$5904</f>
        <v>0.17923584716943597</v>
      </c>
      <c r="J5905">
        <f>SMALL(SimData5000!$C$9:$C$5008,897)</f>
        <v>0.17331530695707897</v>
      </c>
      <c r="K5905">
        <f>1/(COUNT(SimData5000!$C$9:$C$5008)-1)+$K$5904</f>
        <v>0.17923584716943597</v>
      </c>
    </row>
    <row r="5906" spans="8:11">
      <c r="H5906">
        <f>SMALL(SimData5000!$B$9:$B$5008,898)</f>
        <v>0.17951183676987695</v>
      </c>
      <c r="I5906">
        <f>1/(COUNT(SimData5000!$B$9:$B$5008)-1)+$I$5905</f>
        <v>0.17943588717743758</v>
      </c>
      <c r="J5906">
        <f>SMALL(SimData5000!$C$9:$C$5008,898)</f>
        <v>0.17341207030312944</v>
      </c>
      <c r="K5906">
        <f>1/(COUNT(SimData5000!$C$9:$C$5008)-1)+$K$5905</f>
        <v>0.17943588717743758</v>
      </c>
    </row>
    <row r="5907" spans="8:11">
      <c r="H5907">
        <f>SMALL(SimData5000!$B$9:$B$5008,899)</f>
        <v>0.1796984866635172</v>
      </c>
      <c r="I5907">
        <f>1/(COUNT(SimData5000!$B$9:$B$5008)-1)+$I$5906</f>
        <v>0.17963592718543919</v>
      </c>
      <c r="J5907">
        <f>SMALL(SimData5000!$C$9:$C$5008,899)</f>
        <v>0.17358118414813362</v>
      </c>
      <c r="K5907">
        <f>1/(COUNT(SimData5000!$C$9:$C$5008)-1)+$K$5906</f>
        <v>0.17963592718543919</v>
      </c>
    </row>
    <row r="5908" spans="8:11">
      <c r="H5908">
        <f>SMALL(SimData5000!$B$9:$B$5008,900)</f>
        <v>0.17990327037468162</v>
      </c>
      <c r="I5908">
        <f>1/(COUNT(SimData5000!$B$9:$B$5008)-1)+$I$5907</f>
        <v>0.1798359671934408</v>
      </c>
      <c r="J5908">
        <f>SMALL(SimData5000!$C$9:$C$5008,900)</f>
        <v>0.17364863905731909</v>
      </c>
      <c r="K5908">
        <f>1/(COUNT(SimData5000!$C$9:$C$5008)-1)+$K$5907</f>
        <v>0.1798359671934408</v>
      </c>
    </row>
    <row r="5909" spans="8:11">
      <c r="H5909">
        <f>SMALL(SimData5000!$B$9:$B$5008,901)</f>
        <v>0.18010260889928384</v>
      </c>
      <c r="I5909">
        <f>1/(COUNT(SimData5000!$B$9:$B$5008)-1)+$I$5908</f>
        <v>0.18003600720144242</v>
      </c>
      <c r="J5909">
        <f>SMALL(SimData5000!$C$9:$C$5008,901)</f>
        <v>0.17375672123580443</v>
      </c>
      <c r="K5909">
        <f>1/(COUNT(SimData5000!$C$9:$C$5008)-1)+$K$5908</f>
        <v>0.18003600720144242</v>
      </c>
    </row>
    <row r="5910" spans="8:11">
      <c r="H5910">
        <f>SMALL(SimData5000!$B$9:$B$5008,902)</f>
        <v>0.18028059546902789</v>
      </c>
      <c r="I5910">
        <f>1/(COUNT(SimData5000!$B$9:$B$5008)-1)+$I$5909</f>
        <v>0.18023604720944403</v>
      </c>
      <c r="J5910">
        <f>SMALL(SimData5000!$C$9:$C$5008,902)</f>
        <v>0.17387532120937976</v>
      </c>
      <c r="K5910">
        <f>1/(COUNT(SimData5000!$C$9:$C$5008)-1)+$K$5909</f>
        <v>0.18023604720944403</v>
      </c>
    </row>
    <row r="5911" spans="8:11">
      <c r="H5911">
        <f>SMALL(SimData5000!$B$9:$B$5008,903)</f>
        <v>0.18050878961610348</v>
      </c>
      <c r="I5911">
        <f>1/(COUNT(SimData5000!$B$9:$B$5008)-1)+$I$5910</f>
        <v>0.18043608721744564</v>
      </c>
      <c r="J5911">
        <f>SMALL(SimData5000!$C$9:$C$5008,903)</f>
        <v>0.17398255623811565</v>
      </c>
      <c r="K5911">
        <f>1/(COUNT(SimData5000!$C$9:$C$5008)-1)+$K$5910</f>
        <v>0.18043608721744564</v>
      </c>
    </row>
    <row r="5912" spans="8:11">
      <c r="H5912">
        <f>SMALL(SimData5000!$B$9:$B$5008,904)</f>
        <v>0.18074219315958726</v>
      </c>
      <c r="I5912">
        <f>1/(COUNT(SimData5000!$B$9:$B$5008)-1)+$I$5911</f>
        <v>0.18063612722544725</v>
      </c>
      <c r="J5912">
        <f>SMALL(SimData5000!$C$9:$C$5008,904)</f>
        <v>0.17459279233025882</v>
      </c>
      <c r="K5912">
        <f>1/(COUNT(SimData5000!$C$9:$C$5008)-1)+$K$5911</f>
        <v>0.18063612722544725</v>
      </c>
    </row>
    <row r="5913" spans="8:11">
      <c r="H5913">
        <f>SMALL(SimData5000!$B$9:$B$5008,905)</f>
        <v>0.18093818997497163</v>
      </c>
      <c r="I5913">
        <f>1/(COUNT(SimData5000!$B$9:$B$5008)-1)+$I$5912</f>
        <v>0.18083616723344886</v>
      </c>
      <c r="J5913">
        <f>SMALL(SimData5000!$C$9:$C$5008,905)</f>
        <v>0.17482714736979688</v>
      </c>
      <c r="K5913">
        <f>1/(COUNT(SimData5000!$C$9:$C$5008)-1)+$K$5912</f>
        <v>0.18083616723344886</v>
      </c>
    </row>
    <row r="5914" spans="8:11">
      <c r="H5914">
        <f>SMALL(SimData5000!$B$9:$B$5008,906)</f>
        <v>0.181007814148955</v>
      </c>
      <c r="I5914">
        <f>1/(COUNT(SimData5000!$B$9:$B$5008)-1)+$I$5913</f>
        <v>0.18103620724145048</v>
      </c>
      <c r="J5914">
        <f>SMALL(SimData5000!$C$9:$C$5008,906)</f>
        <v>0.17505057910329924</v>
      </c>
      <c r="K5914">
        <f>1/(COUNT(SimData5000!$C$9:$C$5008)-1)+$K$5913</f>
        <v>0.18103620724145048</v>
      </c>
    </row>
    <row r="5915" spans="8:11">
      <c r="H5915">
        <f>SMALL(SimData5000!$B$9:$B$5008,907)</f>
        <v>0.18129011759871852</v>
      </c>
      <c r="I5915">
        <f>1/(COUNT(SimData5000!$B$9:$B$5008)-1)+$I$5914</f>
        <v>0.18123624724945209</v>
      </c>
      <c r="J5915">
        <f>SMALL(SimData5000!$C$9:$C$5008,907)</f>
        <v>0.17540658871257619</v>
      </c>
      <c r="K5915">
        <f>1/(COUNT(SimData5000!$C$9:$C$5008)-1)+$K$5914</f>
        <v>0.18123624724945209</v>
      </c>
    </row>
    <row r="5916" spans="8:11">
      <c r="H5916">
        <f>SMALL(SimData5000!$B$9:$B$5008,908)</f>
        <v>0.18152727029633878</v>
      </c>
      <c r="I5916">
        <f>1/(COUNT(SimData5000!$B$9:$B$5008)-1)+$I$5915</f>
        <v>0.1814362872574537</v>
      </c>
      <c r="J5916">
        <f>SMALL(SimData5000!$C$9:$C$5008,908)</f>
        <v>0.17555592580356461</v>
      </c>
      <c r="K5916">
        <f>1/(COUNT(SimData5000!$C$9:$C$5008)-1)+$K$5915</f>
        <v>0.1814362872574537</v>
      </c>
    </row>
    <row r="5917" spans="8:11">
      <c r="H5917">
        <f>SMALL(SimData5000!$B$9:$B$5008,909)</f>
        <v>0.1817288972657474</v>
      </c>
      <c r="I5917">
        <f>1/(COUNT(SimData5000!$B$9:$B$5008)-1)+$I$5916</f>
        <v>0.18163632726545531</v>
      </c>
      <c r="J5917">
        <f>SMALL(SimData5000!$C$9:$C$5008,909)</f>
        <v>0.17563754241200513</v>
      </c>
      <c r="K5917">
        <f>1/(COUNT(SimData5000!$C$9:$C$5008)-1)+$K$5916</f>
        <v>0.18163632726545531</v>
      </c>
    </row>
    <row r="5918" spans="8:11">
      <c r="H5918">
        <f>SMALL(SimData5000!$B$9:$B$5008,910)</f>
        <v>0.18180186159354678</v>
      </c>
      <c r="I5918">
        <f>1/(COUNT(SimData5000!$B$9:$B$5008)-1)+$I$5917</f>
        <v>0.18183636727345692</v>
      </c>
      <c r="J5918">
        <f>SMALL(SimData5000!$C$9:$C$5008,910)</f>
        <v>0.17586338677938329</v>
      </c>
      <c r="K5918">
        <f>1/(COUNT(SimData5000!$C$9:$C$5008)-1)+$K$5917</f>
        <v>0.18183636727345692</v>
      </c>
    </row>
    <row r="5919" spans="8:11">
      <c r="H5919">
        <f>SMALL(SimData5000!$B$9:$B$5008,911)</f>
        <v>0.18204439499677263</v>
      </c>
      <c r="I5919">
        <f>1/(COUNT(SimData5000!$B$9:$B$5008)-1)+$I$5918</f>
        <v>0.18203640728145853</v>
      </c>
      <c r="J5919">
        <f>SMALL(SimData5000!$C$9:$C$5008,911)</f>
        <v>0.1758940600338974</v>
      </c>
      <c r="K5919">
        <f>1/(COUNT(SimData5000!$C$9:$C$5008)-1)+$K$5918</f>
        <v>0.18203640728145853</v>
      </c>
    </row>
    <row r="5920" spans="8:11">
      <c r="H5920">
        <f>SMALL(SimData5000!$B$9:$B$5008,912)</f>
        <v>0.18231748024996311</v>
      </c>
      <c r="I5920">
        <f>1/(COUNT(SimData5000!$B$9:$B$5008)-1)+$I$5919</f>
        <v>0.18223644728946015</v>
      </c>
      <c r="J5920">
        <f>SMALL(SimData5000!$C$9:$C$5008,912)</f>
        <v>0.1761413235026339</v>
      </c>
      <c r="K5920">
        <f>1/(COUNT(SimData5000!$C$9:$C$5008)-1)+$K$5919</f>
        <v>0.18223644728946015</v>
      </c>
    </row>
    <row r="5921" spans="8:11">
      <c r="H5921">
        <f>SMALL(SimData5000!$B$9:$B$5008,913)</f>
        <v>0.18243663995359946</v>
      </c>
      <c r="I5921">
        <f>1/(COUNT(SimData5000!$B$9:$B$5008)-1)+$I$5920</f>
        <v>0.18243648729746176</v>
      </c>
      <c r="J5921">
        <f>SMALL(SimData5000!$C$9:$C$5008,913)</f>
        <v>0.17630798900063382</v>
      </c>
      <c r="K5921">
        <f>1/(COUNT(SimData5000!$C$9:$C$5008)-1)+$K$5920</f>
        <v>0.18243648729746176</v>
      </c>
    </row>
    <row r="5922" spans="8:11">
      <c r="H5922">
        <f>SMALL(SimData5000!$B$9:$B$5008,914)</f>
        <v>0.18268545692970173</v>
      </c>
      <c r="I5922">
        <f>1/(COUNT(SimData5000!$B$9:$B$5008)-1)+$I$5921</f>
        <v>0.18263652730546337</v>
      </c>
      <c r="J5922">
        <f>SMALL(SimData5000!$C$9:$C$5008,914)</f>
        <v>0.17634978460137063</v>
      </c>
      <c r="K5922">
        <f>1/(COUNT(SimData5000!$C$9:$C$5008)-1)+$K$5921</f>
        <v>0.18263652730546337</v>
      </c>
    </row>
    <row r="5923" spans="8:11">
      <c r="H5923">
        <f>SMALL(SimData5000!$B$9:$B$5008,915)</f>
        <v>0.18291822720894549</v>
      </c>
      <c r="I5923">
        <f>1/(COUNT(SimData5000!$B$9:$B$5008)-1)+$I$5922</f>
        <v>0.18283656731346498</v>
      </c>
      <c r="J5923">
        <f>SMALL(SimData5000!$C$9:$C$5008,915)</f>
        <v>0.17635237842841889</v>
      </c>
      <c r="K5923">
        <f>1/(COUNT(SimData5000!$C$9:$C$5008)-1)+$K$5922</f>
        <v>0.18283656731346498</v>
      </c>
    </row>
    <row r="5924" spans="8:11">
      <c r="H5924">
        <f>SMALL(SimData5000!$B$9:$B$5008,916)</f>
        <v>0.18315151821625222</v>
      </c>
      <c r="I5924">
        <f>1/(COUNT(SimData5000!$B$9:$B$5008)-1)+$I$5923</f>
        <v>0.18303660732146659</v>
      </c>
      <c r="J5924">
        <f>SMALL(SimData5000!$C$9:$C$5008,916)</f>
        <v>0.17652338723019056</v>
      </c>
      <c r="K5924">
        <f>1/(COUNT(SimData5000!$C$9:$C$5008)-1)+$K$5923</f>
        <v>0.18303660732146659</v>
      </c>
    </row>
    <row r="5925" spans="8:11">
      <c r="H5925">
        <f>SMALL(SimData5000!$B$9:$B$5008,917)</f>
        <v>0.18338869033483524</v>
      </c>
      <c r="I5925">
        <f>1/(COUNT(SimData5000!$B$9:$B$5008)-1)+$I$5924</f>
        <v>0.18323664732946821</v>
      </c>
      <c r="J5925">
        <f>SMALL(SimData5000!$C$9:$C$5008,917)</f>
        <v>0.17669555198426679</v>
      </c>
      <c r="K5925">
        <f>1/(COUNT(SimData5000!$C$9:$C$5008)-1)+$K$5924</f>
        <v>0.18323664732946821</v>
      </c>
    </row>
    <row r="5926" spans="8:11">
      <c r="H5926">
        <f>SMALL(SimData5000!$B$9:$B$5008,918)</f>
        <v>0.18342631556629815</v>
      </c>
      <c r="I5926">
        <f>1/(COUNT(SimData5000!$B$9:$B$5008)-1)+$I$5925</f>
        <v>0.18343668733746982</v>
      </c>
      <c r="J5926">
        <f>SMALL(SimData5000!$C$9:$C$5008,918)</f>
        <v>0.17671662229804497</v>
      </c>
      <c r="K5926">
        <f>1/(COUNT(SimData5000!$C$9:$C$5008)-1)+$K$5925</f>
        <v>0.18343668733746982</v>
      </c>
    </row>
    <row r="5927" spans="8:11">
      <c r="H5927">
        <f>SMALL(SimData5000!$B$9:$B$5008,919)</f>
        <v>0.18374512257407072</v>
      </c>
      <c r="I5927">
        <f>1/(COUNT(SimData5000!$B$9:$B$5008)-1)+$I$5926</f>
        <v>0.18363672734547143</v>
      </c>
      <c r="J5927">
        <f>SMALL(SimData5000!$C$9:$C$5008,919)</f>
        <v>0.17682834736388031</v>
      </c>
      <c r="K5927">
        <f>1/(COUNT(SimData5000!$C$9:$C$5008)-1)+$K$5926</f>
        <v>0.18363672734547143</v>
      </c>
    </row>
    <row r="5928" spans="8:11">
      <c r="H5928">
        <f>SMALL(SimData5000!$B$9:$B$5008,920)</f>
        <v>0.18396988991125718</v>
      </c>
      <c r="I5928">
        <f>1/(COUNT(SimData5000!$B$9:$B$5008)-1)+$I$5927</f>
        <v>0.18383676735347304</v>
      </c>
      <c r="J5928">
        <f>SMALL(SimData5000!$C$9:$C$5008,920)</f>
        <v>0.17688733262184542</v>
      </c>
      <c r="K5928">
        <f>1/(COUNT(SimData5000!$C$9:$C$5008)-1)+$K$5927</f>
        <v>0.18383676735347304</v>
      </c>
    </row>
    <row r="5929" spans="8:11">
      <c r="H5929">
        <f>SMALL(SimData5000!$B$9:$B$5008,921)</f>
        <v>0.18418154383510854</v>
      </c>
      <c r="I5929">
        <f>1/(COUNT(SimData5000!$B$9:$B$5008)-1)+$I$5928</f>
        <v>0.18403680736147465</v>
      </c>
      <c r="J5929">
        <f>SMALL(SimData5000!$C$9:$C$5008,921)</f>
        <v>0.1769303719220261</v>
      </c>
      <c r="K5929">
        <f>1/(COUNT(SimData5000!$C$9:$C$5008)-1)+$K$5928</f>
        <v>0.18403680736147465</v>
      </c>
    </row>
    <row r="5930" spans="8:11">
      <c r="H5930">
        <f>SMALL(SimData5000!$B$9:$B$5008,922)</f>
        <v>0.18423548014299837</v>
      </c>
      <c r="I5930">
        <f>1/(COUNT(SimData5000!$B$9:$B$5008)-1)+$I$5929</f>
        <v>0.18423684736947626</v>
      </c>
      <c r="J5930">
        <f>SMALL(SimData5000!$C$9:$C$5008,922)</f>
        <v>0.17756061111140298</v>
      </c>
      <c r="K5930">
        <f>1/(COUNT(SimData5000!$C$9:$C$5008)-1)+$K$5929</f>
        <v>0.18423684736947626</v>
      </c>
    </row>
    <row r="5931" spans="8:11">
      <c r="H5931">
        <f>SMALL(SimData5000!$B$9:$B$5008,923)</f>
        <v>0.18443308589505802</v>
      </c>
      <c r="I5931">
        <f>1/(COUNT(SimData5000!$B$9:$B$5008)-1)+$I$5930</f>
        <v>0.18443688737747788</v>
      </c>
      <c r="J5931">
        <f>SMALL(SimData5000!$C$9:$C$5008,923)</f>
        <v>0.1777980652595943</v>
      </c>
      <c r="K5931">
        <f>1/(COUNT(SimData5000!$C$9:$C$5008)-1)+$K$5930</f>
        <v>0.18443688737747788</v>
      </c>
    </row>
    <row r="5932" spans="8:11">
      <c r="H5932">
        <f>SMALL(SimData5000!$B$9:$B$5008,924)</f>
        <v>0.18477970545952666</v>
      </c>
      <c r="I5932">
        <f>1/(COUNT(SimData5000!$B$9:$B$5008)-1)+$I$5931</f>
        <v>0.18463692738547949</v>
      </c>
      <c r="J5932">
        <f>SMALL(SimData5000!$C$9:$C$5008,924)</f>
        <v>0.17798808605675731</v>
      </c>
      <c r="K5932">
        <f>1/(COUNT(SimData5000!$C$9:$C$5008)-1)+$K$5931</f>
        <v>0.18463692738547949</v>
      </c>
    </row>
    <row r="5933" spans="8:11">
      <c r="H5933">
        <f>SMALL(SimData5000!$B$9:$B$5008,925)</f>
        <v>0.18495874019976677</v>
      </c>
      <c r="I5933">
        <f>1/(COUNT(SimData5000!$B$9:$B$5008)-1)+$I$5932</f>
        <v>0.1848369673934811</v>
      </c>
      <c r="J5933">
        <f>SMALL(SimData5000!$C$9:$C$5008,925)</f>
        <v>0.17912767280176922</v>
      </c>
      <c r="K5933">
        <f>1/(COUNT(SimData5000!$C$9:$C$5008)-1)+$K$5932</f>
        <v>0.1848369673934811</v>
      </c>
    </row>
    <row r="5934" spans="8:11">
      <c r="H5934">
        <f>SMALL(SimData5000!$B$9:$B$5008,926)</f>
        <v>0.18514950282516646</v>
      </c>
      <c r="I5934">
        <f>1/(COUNT(SimData5000!$B$9:$B$5008)-1)+$I$5933</f>
        <v>0.18503700740148271</v>
      </c>
      <c r="J5934">
        <f>SMALL(SimData5000!$C$9:$C$5008,926)</f>
        <v>0.17944928030919982</v>
      </c>
      <c r="K5934">
        <f>1/(COUNT(SimData5000!$C$9:$C$5008)-1)+$K$5933</f>
        <v>0.18503700740148271</v>
      </c>
    </row>
    <row r="5935" spans="8:11">
      <c r="H5935">
        <f>SMALL(SimData5000!$B$9:$B$5008,927)</f>
        <v>0.18520457633352014</v>
      </c>
      <c r="I5935">
        <f>1/(COUNT(SimData5000!$B$9:$B$5008)-1)+$I$5934</f>
        <v>0.18523704740948432</v>
      </c>
      <c r="J5935">
        <f>SMALL(SimData5000!$C$9:$C$5008,927)</f>
        <v>0.17952039270767273</v>
      </c>
      <c r="K5935">
        <f>1/(COUNT(SimData5000!$C$9:$C$5008)-1)+$K$5934</f>
        <v>0.18523704740948432</v>
      </c>
    </row>
    <row r="5936" spans="8:11">
      <c r="H5936">
        <f>SMALL(SimData5000!$B$9:$B$5008,928)</f>
        <v>0.18559280593967828</v>
      </c>
      <c r="I5936">
        <f>1/(COUNT(SimData5000!$B$9:$B$5008)-1)+$I$5935</f>
        <v>0.18543708741748594</v>
      </c>
      <c r="J5936">
        <f>SMALL(SimData5000!$C$9:$C$5008,928)</f>
        <v>0.17962339573659847</v>
      </c>
      <c r="K5936">
        <f>1/(COUNT(SimData5000!$C$9:$C$5008)-1)+$K$5935</f>
        <v>0.18543708741748594</v>
      </c>
    </row>
    <row r="5937" spans="8:11">
      <c r="H5937">
        <f>SMALL(SimData5000!$B$9:$B$5008,929)</f>
        <v>0.18574380444510463</v>
      </c>
      <c r="I5937">
        <f>1/(COUNT(SimData5000!$B$9:$B$5008)-1)+$I$5936</f>
        <v>0.18563712742548755</v>
      </c>
      <c r="J5937">
        <f>SMALL(SimData5000!$C$9:$C$5008,929)</f>
        <v>0.17968529527752253</v>
      </c>
      <c r="K5937">
        <f>1/(COUNT(SimData5000!$C$9:$C$5008)-1)+$K$5936</f>
        <v>0.18563712742548755</v>
      </c>
    </row>
    <row r="5938" spans="8:11">
      <c r="H5938">
        <f>SMALL(SimData5000!$B$9:$B$5008,930)</f>
        <v>0.18594305759415566</v>
      </c>
      <c r="I5938">
        <f>1/(COUNT(SimData5000!$B$9:$B$5008)-1)+$I$5937</f>
        <v>0.18583716743348916</v>
      </c>
      <c r="J5938">
        <f>SMALL(SimData5000!$C$9:$C$5008,930)</f>
        <v>0.17970133410290146</v>
      </c>
      <c r="K5938">
        <f>1/(COUNT(SimData5000!$C$9:$C$5008)-1)+$K$5937</f>
        <v>0.18583716743348916</v>
      </c>
    </row>
    <row r="5939" spans="8:11">
      <c r="H5939">
        <f>SMALL(SimData5000!$B$9:$B$5008,931)</f>
        <v>0.18614812075066103</v>
      </c>
      <c r="I5939">
        <f>1/(COUNT(SimData5000!$B$9:$B$5008)-1)+$I$5938</f>
        <v>0.18603720744149077</v>
      </c>
      <c r="J5939">
        <f>SMALL(SimData5000!$C$9:$C$5008,931)</f>
        <v>0.1799064283604821</v>
      </c>
      <c r="K5939">
        <f>1/(COUNT(SimData5000!$C$9:$C$5008)-1)+$K$5938</f>
        <v>0.18603720744149077</v>
      </c>
    </row>
    <row r="5940" spans="8:11">
      <c r="H5940">
        <f>SMALL(SimData5000!$B$9:$B$5008,932)</f>
        <v>0.18627211295302773</v>
      </c>
      <c r="I5940">
        <f>1/(COUNT(SimData5000!$B$9:$B$5008)-1)+$I$5939</f>
        <v>0.18623724744949238</v>
      </c>
      <c r="J5940">
        <f>SMALL(SimData5000!$C$9:$C$5008,932)</f>
        <v>0.18004193624801701</v>
      </c>
      <c r="K5940">
        <f>1/(COUNT(SimData5000!$C$9:$C$5008)-1)+$K$5939</f>
        <v>0.18623724744949238</v>
      </c>
    </row>
    <row r="5941" spans="8:11">
      <c r="H5941">
        <f>SMALL(SimData5000!$B$9:$B$5008,933)</f>
        <v>0.1865593926014284</v>
      </c>
      <c r="I5941">
        <f>1/(COUNT(SimData5000!$B$9:$B$5008)-1)+$I$5940</f>
        <v>0.18643728745749399</v>
      </c>
      <c r="J5941">
        <f>SMALL(SimData5000!$C$9:$C$5008,933)</f>
        <v>0.1800589116064657</v>
      </c>
      <c r="K5941">
        <f>1/(COUNT(SimData5000!$C$9:$C$5008)-1)+$K$5940</f>
        <v>0.18643728745749399</v>
      </c>
    </row>
    <row r="5942" spans="8:11">
      <c r="H5942">
        <f>SMALL(SimData5000!$B$9:$B$5008,934)</f>
        <v>0.1867854833934888</v>
      </c>
      <c r="I5942">
        <f>1/(COUNT(SimData5000!$B$9:$B$5008)-1)+$I$5941</f>
        <v>0.18663732746549561</v>
      </c>
      <c r="J5942">
        <f>SMALL(SimData5000!$C$9:$C$5008,934)</f>
        <v>0.1800797729902115</v>
      </c>
      <c r="K5942">
        <f>1/(COUNT(SimData5000!$C$9:$C$5008)-1)+$K$5941</f>
        <v>0.18663732746549561</v>
      </c>
    </row>
    <row r="5943" spans="8:11">
      <c r="H5943">
        <f>SMALL(SimData5000!$B$9:$B$5008,935)</f>
        <v>0.18684306018963528</v>
      </c>
      <c r="I5943">
        <f>1/(COUNT(SimData5000!$B$9:$B$5008)-1)+$I$5942</f>
        <v>0.18683736747349722</v>
      </c>
      <c r="J5943">
        <f>SMALL(SimData5000!$C$9:$C$5008,935)</f>
        <v>0.18037519789504586</v>
      </c>
      <c r="K5943">
        <f>1/(COUNT(SimData5000!$C$9:$C$5008)-1)+$K$5942</f>
        <v>0.18683736747349722</v>
      </c>
    </row>
    <row r="5944" spans="8:11">
      <c r="H5944">
        <f>SMALL(SimData5000!$B$9:$B$5008,936)</f>
        <v>0.18716951871681248</v>
      </c>
      <c r="I5944">
        <f>1/(COUNT(SimData5000!$B$9:$B$5008)-1)+$I$5943</f>
        <v>0.18703740748149883</v>
      </c>
      <c r="J5944">
        <f>SMALL(SimData5000!$C$9:$C$5008,936)</f>
        <v>0.18066983080734644</v>
      </c>
      <c r="K5944">
        <f>1/(COUNT(SimData5000!$C$9:$C$5008)-1)+$K$5943</f>
        <v>0.18703740748149883</v>
      </c>
    </row>
    <row r="5945" spans="8:11">
      <c r="H5945">
        <f>SMALL(SimData5000!$B$9:$B$5008,937)</f>
        <v>0.18730295194729765</v>
      </c>
      <c r="I5945">
        <f>1/(COUNT(SimData5000!$B$9:$B$5008)-1)+$I$5944</f>
        <v>0.18723744748950044</v>
      </c>
      <c r="J5945">
        <f>SMALL(SimData5000!$C$9:$C$5008,937)</f>
        <v>0.18084986982830742</v>
      </c>
      <c r="K5945">
        <f>1/(COUNT(SimData5000!$C$9:$C$5008)-1)+$K$5944</f>
        <v>0.18723744748950044</v>
      </c>
    </row>
    <row r="5946" spans="8:11">
      <c r="H5946">
        <f>SMALL(SimData5000!$B$9:$B$5008,938)</f>
        <v>0.18759767325017546</v>
      </c>
      <c r="I5946">
        <f>1/(COUNT(SimData5000!$B$9:$B$5008)-1)+$I$5945</f>
        <v>0.18743748749750205</v>
      </c>
      <c r="J5946">
        <f>SMALL(SimData5000!$C$9:$C$5008,938)</f>
        <v>0.18093637796118855</v>
      </c>
      <c r="K5946">
        <f>1/(COUNT(SimData5000!$C$9:$C$5008)-1)+$K$5945</f>
        <v>0.18743748749750205</v>
      </c>
    </row>
    <row r="5947" spans="8:11">
      <c r="H5947">
        <f>SMALL(SimData5000!$B$9:$B$5008,939)</f>
        <v>0.18770733082539107</v>
      </c>
      <c r="I5947">
        <f>1/(COUNT(SimData5000!$B$9:$B$5008)-1)+$I$5946</f>
        <v>0.18763752750550367</v>
      </c>
      <c r="J5947">
        <f>SMALL(SimData5000!$C$9:$C$5008,939)</f>
        <v>0.18152681569972628</v>
      </c>
      <c r="K5947">
        <f>1/(COUNT(SimData5000!$C$9:$C$5008)-1)+$K$5946</f>
        <v>0.18763752750550367</v>
      </c>
    </row>
    <row r="5948" spans="8:11">
      <c r="H5948">
        <f>SMALL(SimData5000!$B$9:$B$5008,940)</f>
        <v>0.18783749031457991</v>
      </c>
      <c r="I5948">
        <f>1/(COUNT(SimData5000!$B$9:$B$5008)-1)+$I$5947</f>
        <v>0.18783756751350528</v>
      </c>
      <c r="J5948">
        <f>SMALL(SimData5000!$C$9:$C$5008,940)</f>
        <v>0.18175263291141164</v>
      </c>
      <c r="K5948">
        <f>1/(COUNT(SimData5000!$C$9:$C$5008)-1)+$K$5947</f>
        <v>0.18783756751350528</v>
      </c>
    </row>
    <row r="5949" spans="8:11">
      <c r="H5949">
        <f>SMALL(SimData5000!$B$9:$B$5008,941)</f>
        <v>0.18815783122315952</v>
      </c>
      <c r="I5949">
        <f>1/(COUNT(SimData5000!$B$9:$B$5008)-1)+$I$5948</f>
        <v>0.18803760752150689</v>
      </c>
      <c r="J5949">
        <f>SMALL(SimData5000!$C$9:$C$5008,941)</f>
        <v>0.18203129328867362</v>
      </c>
      <c r="K5949">
        <f>1/(COUNT(SimData5000!$C$9:$C$5008)-1)+$K$5948</f>
        <v>0.18803760752150689</v>
      </c>
    </row>
    <row r="5950" spans="8:11">
      <c r="H5950">
        <f>SMALL(SimData5000!$B$9:$B$5008,942)</f>
        <v>0.18836419599008844</v>
      </c>
      <c r="I5950">
        <f>1/(COUNT(SimData5000!$B$9:$B$5008)-1)+$I$5949</f>
        <v>0.1882376475295085</v>
      </c>
      <c r="J5950">
        <f>SMALL(SimData5000!$C$9:$C$5008,942)</f>
        <v>0.18210736398850713</v>
      </c>
      <c r="K5950">
        <f>1/(COUNT(SimData5000!$C$9:$C$5008)-1)+$K$5949</f>
        <v>0.1882376475295085</v>
      </c>
    </row>
    <row r="5951" spans="8:11">
      <c r="H5951">
        <f>SMALL(SimData5000!$B$9:$B$5008,943)</f>
        <v>0.18849533638146132</v>
      </c>
      <c r="I5951">
        <f>1/(COUNT(SimData5000!$B$9:$B$5008)-1)+$I$5950</f>
        <v>0.18843768753751011</v>
      </c>
      <c r="J5951">
        <f>SMALL(SimData5000!$C$9:$C$5008,943)</f>
        <v>0.18243458605229534</v>
      </c>
      <c r="K5951">
        <f>1/(COUNT(SimData5000!$C$9:$C$5008)-1)+$K$5950</f>
        <v>0.18843768753751011</v>
      </c>
    </row>
    <row r="5952" spans="8:11">
      <c r="H5952">
        <f>SMALL(SimData5000!$B$9:$B$5008,944)</f>
        <v>0.18864289515508406</v>
      </c>
      <c r="I5952">
        <f>1/(COUNT(SimData5000!$B$9:$B$5008)-1)+$I$5951</f>
        <v>0.18863772754551172</v>
      </c>
      <c r="J5952">
        <f>SMALL(SimData5000!$C$9:$C$5008,944)</f>
        <v>0.18244093937303774</v>
      </c>
      <c r="K5952">
        <f>1/(COUNT(SimData5000!$C$9:$C$5008)-1)+$K$5951</f>
        <v>0.18863772754551172</v>
      </c>
    </row>
    <row r="5953" spans="8:11">
      <c r="H5953">
        <f>SMALL(SimData5000!$B$9:$B$5008,945)</f>
        <v>0.18888390300434174</v>
      </c>
      <c r="I5953">
        <f>1/(COUNT(SimData5000!$B$9:$B$5008)-1)+$I$5952</f>
        <v>0.18883776755351334</v>
      </c>
      <c r="J5953">
        <f>SMALL(SimData5000!$C$9:$C$5008,945)</f>
        <v>0.18267578044560651</v>
      </c>
      <c r="K5953">
        <f>1/(COUNT(SimData5000!$C$9:$C$5008)-1)+$K$5952</f>
        <v>0.18883776755351334</v>
      </c>
    </row>
    <row r="5954" spans="8:11">
      <c r="H5954">
        <f>SMALL(SimData5000!$B$9:$B$5008,946)</f>
        <v>0.18911545899000845</v>
      </c>
      <c r="I5954">
        <f>1/(COUNT(SimData5000!$B$9:$B$5008)-1)+$I$5953</f>
        <v>0.18903780756151495</v>
      </c>
      <c r="J5954">
        <f>SMALL(SimData5000!$C$9:$C$5008,946)</f>
        <v>0.18292884251150099</v>
      </c>
      <c r="K5954">
        <f>1/(COUNT(SimData5000!$C$9:$C$5008)-1)+$K$5953</f>
        <v>0.18903780756151495</v>
      </c>
    </row>
    <row r="5955" spans="8:11">
      <c r="H5955">
        <f>SMALL(SimData5000!$B$9:$B$5008,947)</f>
        <v>0.18936204599881593</v>
      </c>
      <c r="I5955">
        <f>1/(COUNT(SimData5000!$B$9:$B$5008)-1)+$I$5954</f>
        <v>0.18923784756951656</v>
      </c>
      <c r="J5955">
        <f>SMALL(SimData5000!$C$9:$C$5008,947)</f>
        <v>0.18321797621774749</v>
      </c>
      <c r="K5955">
        <f>1/(COUNT(SimData5000!$C$9:$C$5008)-1)+$K$5954</f>
        <v>0.18923784756951656</v>
      </c>
    </row>
    <row r="5956" spans="8:11">
      <c r="H5956">
        <f>SMALL(SimData5000!$B$9:$B$5008,948)</f>
        <v>0.18951086458119351</v>
      </c>
      <c r="I5956">
        <f>1/(COUNT(SimData5000!$B$9:$B$5008)-1)+$I$5955</f>
        <v>0.18943788757751817</v>
      </c>
      <c r="J5956">
        <f>SMALL(SimData5000!$C$9:$C$5008,948)</f>
        <v>0.1832330073675621</v>
      </c>
      <c r="K5956">
        <f>1/(COUNT(SimData5000!$C$9:$C$5008)-1)+$K$5955</f>
        <v>0.18943788757751817</v>
      </c>
    </row>
    <row r="5957" spans="8:11">
      <c r="H5957">
        <f>SMALL(SimData5000!$B$9:$B$5008,949)</f>
        <v>0.18963201605412924</v>
      </c>
      <c r="I5957">
        <f>1/(COUNT(SimData5000!$B$9:$B$5008)-1)+$I$5956</f>
        <v>0.18963792758551978</v>
      </c>
      <c r="J5957">
        <f>SMALL(SimData5000!$C$9:$C$5008,949)</f>
        <v>0.18353147458856256</v>
      </c>
      <c r="K5957">
        <f>1/(COUNT(SimData5000!$C$9:$C$5008)-1)+$K$5956</f>
        <v>0.18963792758551978</v>
      </c>
    </row>
    <row r="5958" spans="8:11">
      <c r="H5958">
        <f>SMALL(SimData5000!$B$9:$B$5008,950)</f>
        <v>0.18989527855834348</v>
      </c>
      <c r="I5958">
        <f>1/(COUNT(SimData5000!$B$9:$B$5008)-1)+$I$5957</f>
        <v>0.1898379675935214</v>
      </c>
      <c r="J5958">
        <f>SMALL(SimData5000!$C$9:$C$5008,950)</f>
        <v>0.18357064639258169</v>
      </c>
      <c r="K5958">
        <f>1/(COUNT(SimData5000!$C$9:$C$5008)-1)+$K$5957</f>
        <v>0.1898379675935214</v>
      </c>
    </row>
    <row r="5959" spans="8:11">
      <c r="H5959">
        <f>SMALL(SimData5000!$B$9:$B$5008,951)</f>
        <v>0.19017281036618464</v>
      </c>
      <c r="I5959">
        <f>1/(COUNT(SimData5000!$B$9:$B$5008)-1)+$I$5958</f>
        <v>0.19003800760152301</v>
      </c>
      <c r="J5959">
        <f>SMALL(SimData5000!$C$9:$C$5008,951)</f>
        <v>0.18365611712579266</v>
      </c>
      <c r="K5959">
        <f>1/(COUNT(SimData5000!$C$9:$C$5008)-1)+$K$5958</f>
        <v>0.19003800760152301</v>
      </c>
    </row>
    <row r="5960" spans="8:11">
      <c r="H5960">
        <f>SMALL(SimData5000!$B$9:$B$5008,952)</f>
        <v>0.19038483915035259</v>
      </c>
      <c r="I5960">
        <f>1/(COUNT(SimData5000!$B$9:$B$5008)-1)+$I$5959</f>
        <v>0.19023804760952462</v>
      </c>
      <c r="J5960">
        <f>SMALL(SimData5000!$C$9:$C$5008,952)</f>
        <v>0.18390345604530012</v>
      </c>
      <c r="K5960">
        <f>1/(COUNT(SimData5000!$C$9:$C$5008)-1)+$K$5959</f>
        <v>0.19023804760952462</v>
      </c>
    </row>
    <row r="5961" spans="8:11">
      <c r="H5961">
        <f>SMALL(SimData5000!$B$9:$B$5008,953)</f>
        <v>0.19051484632485427</v>
      </c>
      <c r="I5961">
        <f>1/(COUNT(SimData5000!$B$9:$B$5008)-1)+$I$5960</f>
        <v>0.19043808761752623</v>
      </c>
      <c r="J5961">
        <f>SMALL(SimData5000!$C$9:$C$5008,953)</f>
        <v>0.18406597019293258</v>
      </c>
      <c r="K5961">
        <f>1/(COUNT(SimData5000!$C$9:$C$5008)-1)+$K$5960</f>
        <v>0.19043808761752623</v>
      </c>
    </row>
    <row r="5962" spans="8:11">
      <c r="H5962">
        <f>SMALL(SimData5000!$B$9:$B$5008,954)</f>
        <v>0.19069787762130094</v>
      </c>
      <c r="I5962">
        <f>1/(COUNT(SimData5000!$B$9:$B$5008)-1)+$I$5961</f>
        <v>0.19063812762552784</v>
      </c>
      <c r="J5962">
        <f>SMALL(SimData5000!$C$9:$C$5008,954)</f>
        <v>0.18408411850668926</v>
      </c>
      <c r="K5962">
        <f>1/(COUNT(SimData5000!$C$9:$C$5008)-1)+$K$5961</f>
        <v>0.19063812762552784</v>
      </c>
    </row>
    <row r="5963" spans="8:11">
      <c r="H5963">
        <f>SMALL(SimData5000!$B$9:$B$5008,955)</f>
        <v>0.19092186579348563</v>
      </c>
      <c r="I5963">
        <f>1/(COUNT(SimData5000!$B$9:$B$5008)-1)+$I$5962</f>
        <v>0.19083816763352945</v>
      </c>
      <c r="J5963">
        <f>SMALL(SimData5000!$C$9:$C$5008,955)</f>
        <v>0.18437077517774014</v>
      </c>
      <c r="K5963">
        <f>1/(COUNT(SimData5000!$C$9:$C$5008)-1)+$K$5962</f>
        <v>0.19083816763352945</v>
      </c>
    </row>
    <row r="5964" spans="8:11">
      <c r="H5964">
        <f>SMALL(SimData5000!$B$9:$B$5008,956)</f>
        <v>0.19112285798008621</v>
      </c>
      <c r="I5964">
        <f>1/(COUNT(SimData5000!$B$9:$B$5008)-1)+$I$5963</f>
        <v>0.19103820764153107</v>
      </c>
      <c r="J5964">
        <f>SMALL(SimData5000!$C$9:$C$5008,956)</f>
        <v>0.18489949154172791</v>
      </c>
      <c r="K5964">
        <f>1/(COUNT(SimData5000!$C$9:$C$5008)-1)+$K$5963</f>
        <v>0.19103820764153107</v>
      </c>
    </row>
    <row r="5965" spans="8:11">
      <c r="H5965">
        <f>SMALL(SimData5000!$B$9:$B$5008,957)</f>
        <v>0.19127024429456102</v>
      </c>
      <c r="I5965">
        <f>1/(COUNT(SimData5000!$B$9:$B$5008)-1)+$I$5964</f>
        <v>0.19123824764953268</v>
      </c>
      <c r="J5965">
        <f>SMALL(SimData5000!$C$9:$C$5008,957)</f>
        <v>0.18492618233995017</v>
      </c>
      <c r="K5965">
        <f>1/(COUNT(SimData5000!$C$9:$C$5008)-1)+$K$5964</f>
        <v>0.19123824764953268</v>
      </c>
    </row>
    <row r="5966" spans="8:11">
      <c r="H5966">
        <f>SMALL(SimData5000!$B$9:$B$5008,958)</f>
        <v>0.19158920119949363</v>
      </c>
      <c r="I5966">
        <f>1/(COUNT(SimData5000!$B$9:$B$5008)-1)+$I$5965</f>
        <v>0.19143828765753429</v>
      </c>
      <c r="J5966">
        <f>SMALL(SimData5000!$C$9:$C$5008,958)</f>
        <v>0.18496360105385179</v>
      </c>
      <c r="K5966">
        <f>1/(COUNT(SimData5000!$C$9:$C$5008)-1)+$K$5965</f>
        <v>0.19143828765753429</v>
      </c>
    </row>
    <row r="5967" spans="8:11">
      <c r="H5967">
        <f>SMALL(SimData5000!$B$9:$B$5008,959)</f>
        <v>0.19161440022769718</v>
      </c>
      <c r="I5967">
        <f>1/(COUNT(SimData5000!$B$9:$B$5008)-1)+$I$5966</f>
        <v>0.1916383276655359</v>
      </c>
      <c r="J5967">
        <f>SMALL(SimData5000!$C$9:$C$5008,959)</f>
        <v>0.1853769719864431</v>
      </c>
      <c r="K5967">
        <f>1/(COUNT(SimData5000!$C$9:$C$5008)-1)+$K$5966</f>
        <v>0.1916383276655359</v>
      </c>
    </row>
    <row r="5968" spans="8:11">
      <c r="H5968">
        <f>SMALL(SimData5000!$B$9:$B$5008,960)</f>
        <v>0.19189745580113898</v>
      </c>
      <c r="I5968">
        <f>1/(COUNT(SimData5000!$B$9:$B$5008)-1)+$I$5967</f>
        <v>0.19183836767353751</v>
      </c>
      <c r="J5968">
        <f>SMALL(SimData5000!$C$9:$C$5008,960)</f>
        <v>0.18554066150954895</v>
      </c>
      <c r="K5968">
        <f>1/(COUNT(SimData5000!$C$9:$C$5008)-1)+$K$5967</f>
        <v>0.19183836767353751</v>
      </c>
    </row>
    <row r="5969" spans="8:11">
      <c r="H5969">
        <f>SMALL(SimData5000!$B$9:$B$5008,961)</f>
        <v>0.19214549462738109</v>
      </c>
      <c r="I5969">
        <f>1/(COUNT(SimData5000!$B$9:$B$5008)-1)+$I$5968</f>
        <v>0.19203840768153912</v>
      </c>
      <c r="J5969">
        <f>SMALL(SimData5000!$C$9:$C$5008,961)</f>
        <v>0.18558764225690538</v>
      </c>
      <c r="K5969">
        <f>1/(COUNT(SimData5000!$C$9:$C$5008)-1)+$K$5968</f>
        <v>0.19203840768153912</v>
      </c>
    </row>
    <row r="5970" spans="8:11">
      <c r="H5970">
        <f>SMALL(SimData5000!$B$9:$B$5008,962)</f>
        <v>0.1923278070358857</v>
      </c>
      <c r="I5970">
        <f>1/(COUNT(SimData5000!$B$9:$B$5008)-1)+$I$5969</f>
        <v>0.19223844768954074</v>
      </c>
      <c r="J5970">
        <f>SMALL(SimData5000!$C$9:$C$5008,962)</f>
        <v>0.18558958758967492</v>
      </c>
      <c r="K5970">
        <f>1/(COUNT(SimData5000!$C$9:$C$5008)-1)+$K$5969</f>
        <v>0.19223844768954074</v>
      </c>
    </row>
    <row r="5971" spans="8:11">
      <c r="H5971">
        <f>SMALL(SimData5000!$B$9:$B$5008,963)</f>
        <v>0.19259747880641312</v>
      </c>
      <c r="I5971">
        <f>1/(COUNT(SimData5000!$B$9:$B$5008)-1)+$I$5970</f>
        <v>0.19243848769754235</v>
      </c>
      <c r="J5971">
        <f>SMALL(SimData5000!$C$9:$C$5008,963)</f>
        <v>0.18591214926436805</v>
      </c>
      <c r="K5971">
        <f>1/(COUNT(SimData5000!$C$9:$C$5008)-1)+$K$5970</f>
        <v>0.19243848769754235</v>
      </c>
    </row>
    <row r="5972" spans="8:11">
      <c r="H5972">
        <f>SMALL(SimData5000!$B$9:$B$5008,964)</f>
        <v>0.1926429952550314</v>
      </c>
      <c r="I5972">
        <f>1/(COUNT(SimData5000!$B$9:$B$5008)-1)+$I$5971</f>
        <v>0.19263852770554396</v>
      </c>
      <c r="J5972">
        <f>SMALL(SimData5000!$C$9:$C$5008,964)</f>
        <v>0.18601246496837121</v>
      </c>
      <c r="K5972">
        <f>1/(COUNT(SimData5000!$C$9:$C$5008)-1)+$K$5971</f>
        <v>0.19263852770554396</v>
      </c>
    </row>
    <row r="5973" spans="8:11">
      <c r="H5973">
        <f>SMALL(SimData5000!$B$9:$B$5008,965)</f>
        <v>0.19280243937270772</v>
      </c>
      <c r="I5973">
        <f>1/(COUNT(SimData5000!$B$9:$B$5008)-1)+$I$5972</f>
        <v>0.19283856771354557</v>
      </c>
      <c r="J5973">
        <f>SMALL(SimData5000!$C$9:$C$5008,965)</f>
        <v>0.18611435102502583</v>
      </c>
      <c r="K5973">
        <f>1/(COUNT(SimData5000!$C$9:$C$5008)-1)+$K$5972</f>
        <v>0.19283856771354557</v>
      </c>
    </row>
    <row r="5974" spans="8:11">
      <c r="H5974">
        <f>SMALL(SimData5000!$B$9:$B$5008,966)</f>
        <v>0.19313722576218126</v>
      </c>
      <c r="I5974">
        <f>1/(COUNT(SimData5000!$B$9:$B$5008)-1)+$I$5973</f>
        <v>0.19303860772154718</v>
      </c>
      <c r="J5974">
        <f>SMALL(SimData5000!$C$9:$C$5008,966)</f>
        <v>0.18634785700669454</v>
      </c>
      <c r="K5974">
        <f>1/(COUNT(SimData5000!$C$9:$C$5008)-1)+$K$5973</f>
        <v>0.19303860772154718</v>
      </c>
    </row>
    <row r="5975" spans="8:11">
      <c r="H5975">
        <f>SMALL(SimData5000!$B$9:$B$5008,967)</f>
        <v>0.19329730866651454</v>
      </c>
      <c r="I5975">
        <f>1/(COUNT(SimData5000!$B$9:$B$5008)-1)+$I$5974</f>
        <v>0.1932386477295488</v>
      </c>
      <c r="J5975">
        <f>SMALL(SimData5000!$C$9:$C$5008,967)</f>
        <v>0.18637522501376225</v>
      </c>
      <c r="K5975">
        <f>1/(COUNT(SimData5000!$C$9:$C$5008)-1)+$K$5974</f>
        <v>0.1932386477295488</v>
      </c>
    </row>
    <row r="5976" spans="8:11">
      <c r="H5976">
        <f>SMALL(SimData5000!$B$9:$B$5008,968)</f>
        <v>0.19342013130668087</v>
      </c>
      <c r="I5976">
        <f>1/(COUNT(SimData5000!$B$9:$B$5008)-1)+$I$5975</f>
        <v>0.19343868773755041</v>
      </c>
      <c r="J5976">
        <f>SMALL(SimData5000!$C$9:$C$5008,968)</f>
        <v>0.18664108165103244</v>
      </c>
      <c r="K5976">
        <f>1/(COUNT(SimData5000!$C$9:$C$5008)-1)+$K$5975</f>
        <v>0.19343868773755041</v>
      </c>
    </row>
    <row r="5977" spans="8:11">
      <c r="H5977">
        <f>SMALL(SimData5000!$B$9:$B$5008,969)</f>
        <v>0.19363870134335912</v>
      </c>
      <c r="I5977">
        <f>1/(COUNT(SimData5000!$B$9:$B$5008)-1)+$I$5976</f>
        <v>0.19363872774555202</v>
      </c>
      <c r="J5977">
        <f>SMALL(SimData5000!$C$9:$C$5008,969)</f>
        <v>0.18688212474264176</v>
      </c>
      <c r="K5977">
        <f>1/(COUNT(SimData5000!$C$9:$C$5008)-1)+$K$5976</f>
        <v>0.19363872774555202</v>
      </c>
    </row>
    <row r="5978" spans="8:11">
      <c r="H5978">
        <f>SMALL(SimData5000!$B$9:$B$5008,970)</f>
        <v>0.19389206655348934</v>
      </c>
      <c r="I5978">
        <f>1/(COUNT(SimData5000!$B$9:$B$5008)-1)+$I$5977</f>
        <v>0.19383876775355363</v>
      </c>
      <c r="J5978">
        <f>SMALL(SimData5000!$C$9:$C$5008,970)</f>
        <v>0.18708748968492728</v>
      </c>
      <c r="K5978">
        <f>1/(COUNT(SimData5000!$C$9:$C$5008)-1)+$K$5977</f>
        <v>0.19383876775355363</v>
      </c>
    </row>
    <row r="5979" spans="8:11">
      <c r="H5979">
        <f>SMALL(SimData5000!$B$9:$B$5008,971)</f>
        <v>0.19418273083841958</v>
      </c>
      <c r="I5979">
        <f>1/(COUNT(SimData5000!$B$9:$B$5008)-1)+$I$5978</f>
        <v>0.19403880776155524</v>
      </c>
      <c r="J5979">
        <f>SMALL(SimData5000!$C$9:$C$5008,971)</f>
        <v>0.18770711639717774</v>
      </c>
      <c r="K5979">
        <f>1/(COUNT(SimData5000!$C$9:$C$5008)-1)+$K$5978</f>
        <v>0.19403880776155524</v>
      </c>
    </row>
    <row r="5980" spans="8:11">
      <c r="H5980">
        <f>SMALL(SimData5000!$B$9:$B$5008,972)</f>
        <v>0.19421856446536689</v>
      </c>
      <c r="I5980">
        <f>1/(COUNT(SimData5000!$B$9:$B$5008)-1)+$I$5979</f>
        <v>0.19423884776955685</v>
      </c>
      <c r="J5980">
        <f>SMALL(SimData5000!$C$9:$C$5008,972)</f>
        <v>0.18806875955124269</v>
      </c>
      <c r="K5980">
        <f>1/(COUNT(SimData5000!$C$9:$C$5008)-1)+$K$5979</f>
        <v>0.19423884776955685</v>
      </c>
    </row>
    <row r="5981" spans="8:11">
      <c r="H5981">
        <f>SMALL(SimData5000!$B$9:$B$5008,973)</f>
        <v>0.19452454896092519</v>
      </c>
      <c r="I5981">
        <f>1/(COUNT(SimData5000!$B$9:$B$5008)-1)+$I$5980</f>
        <v>0.19443888777755847</v>
      </c>
      <c r="J5981">
        <f>SMALL(SimData5000!$C$9:$C$5008,973)</f>
        <v>0.18832593520710361</v>
      </c>
      <c r="K5981">
        <f>1/(COUNT(SimData5000!$C$9:$C$5008)-1)+$K$5980</f>
        <v>0.19443888777755847</v>
      </c>
    </row>
    <row r="5982" spans="8:11">
      <c r="H5982">
        <f>SMALL(SimData5000!$B$9:$B$5008,974)</f>
        <v>0.19462972514965332</v>
      </c>
      <c r="I5982">
        <f>1/(COUNT(SimData5000!$B$9:$B$5008)-1)+$I$5981</f>
        <v>0.19463892778556008</v>
      </c>
      <c r="J5982">
        <f>SMALL(SimData5000!$C$9:$C$5008,974)</f>
        <v>0.18834797293038719</v>
      </c>
      <c r="K5982">
        <f>1/(COUNT(SimData5000!$C$9:$C$5008)-1)+$K$5981</f>
        <v>0.19463892778556008</v>
      </c>
    </row>
    <row r="5983" spans="8:11">
      <c r="H5983">
        <f>SMALL(SimData5000!$B$9:$B$5008,975)</f>
        <v>0.19499805359239644</v>
      </c>
      <c r="I5983">
        <f>1/(COUNT(SimData5000!$B$9:$B$5008)-1)+$I$5982</f>
        <v>0.19483896779356169</v>
      </c>
      <c r="J5983">
        <f>SMALL(SimData5000!$C$9:$C$5008,975)</f>
        <v>0.18859006331695127</v>
      </c>
      <c r="K5983">
        <f>1/(COUNT(SimData5000!$C$9:$C$5008)-1)+$K$5982</f>
        <v>0.19483896779356169</v>
      </c>
    </row>
    <row r="5984" spans="8:11">
      <c r="H5984">
        <f>SMALL(SimData5000!$B$9:$B$5008,976)</f>
        <v>0.19501194930943005</v>
      </c>
      <c r="I5984">
        <f>1/(COUNT(SimData5000!$B$9:$B$5008)-1)+$I$5983</f>
        <v>0.1950390078015633</v>
      </c>
      <c r="J5984">
        <f>SMALL(SimData5000!$C$9:$C$5008,976)</f>
        <v>0.18868258838756446</v>
      </c>
      <c r="K5984">
        <f>1/(COUNT(SimData5000!$C$9:$C$5008)-1)+$K$5983</f>
        <v>0.1950390078015633</v>
      </c>
    </row>
    <row r="5985" spans="8:11">
      <c r="H5985">
        <f>SMALL(SimData5000!$B$9:$B$5008,977)</f>
        <v>0.19522321788161603</v>
      </c>
      <c r="I5985">
        <f>1/(COUNT(SimData5000!$B$9:$B$5008)-1)+$I$5984</f>
        <v>0.19523904780956491</v>
      </c>
      <c r="J5985">
        <f>SMALL(SimData5000!$C$9:$C$5008,977)</f>
        <v>0.18881376417539286</v>
      </c>
      <c r="K5985">
        <f>1/(COUNT(SimData5000!$C$9:$C$5008)-1)+$K$5984</f>
        <v>0.19523904780956491</v>
      </c>
    </row>
    <row r="5986" spans="8:11">
      <c r="H5986">
        <f>SMALL(SimData5000!$B$9:$B$5008,978)</f>
        <v>0.19540257572932229</v>
      </c>
      <c r="I5986">
        <f>1/(COUNT(SimData5000!$B$9:$B$5008)-1)+$I$5985</f>
        <v>0.19543908781756653</v>
      </c>
      <c r="J5986">
        <f>SMALL(SimData5000!$C$9:$C$5008,978)</f>
        <v>0.18883766255112278</v>
      </c>
      <c r="K5986">
        <f>1/(COUNT(SimData5000!$C$9:$C$5008)-1)+$K$5985</f>
        <v>0.19543908781756653</v>
      </c>
    </row>
    <row r="5987" spans="8:11">
      <c r="H5987">
        <f>SMALL(SimData5000!$B$9:$B$5008,979)</f>
        <v>0.19579551094695821</v>
      </c>
      <c r="I5987">
        <f>1/(COUNT(SimData5000!$B$9:$B$5008)-1)+$I$5986</f>
        <v>0.19563912782556814</v>
      </c>
      <c r="J5987">
        <f>SMALL(SimData5000!$C$9:$C$5008,979)</f>
        <v>0.18952303907735768</v>
      </c>
      <c r="K5987">
        <f>1/(COUNT(SimData5000!$C$9:$C$5008)-1)+$K$5986</f>
        <v>0.19563912782556814</v>
      </c>
    </row>
    <row r="5988" spans="8:11">
      <c r="H5988">
        <f>SMALL(SimData5000!$B$9:$B$5008,980)</f>
        <v>0.19585161530167136</v>
      </c>
      <c r="I5988">
        <f>1/(COUNT(SimData5000!$B$9:$B$5008)-1)+$I$5987</f>
        <v>0.19583916783356975</v>
      </c>
      <c r="J5988">
        <f>SMALL(SimData5000!$C$9:$C$5008,980)</f>
        <v>0.18980854835990613</v>
      </c>
      <c r="K5988">
        <f>1/(COUNT(SimData5000!$C$9:$C$5008)-1)+$K$5987</f>
        <v>0.19583916783356975</v>
      </c>
    </row>
    <row r="5989" spans="8:11">
      <c r="H5989">
        <f>SMALL(SimData5000!$B$9:$B$5008,981)</f>
        <v>0.19616556663144508</v>
      </c>
      <c r="I5989">
        <f>1/(COUNT(SimData5000!$B$9:$B$5008)-1)+$I$5988</f>
        <v>0.19603920784157136</v>
      </c>
      <c r="J5989">
        <f>SMALL(SimData5000!$C$9:$C$5008,981)</f>
        <v>0.18997661714638525</v>
      </c>
      <c r="K5989">
        <f>1/(COUNT(SimData5000!$C$9:$C$5008)-1)+$K$5988</f>
        <v>0.19603920784157136</v>
      </c>
    </row>
    <row r="5990" spans="8:11">
      <c r="H5990">
        <f>SMALL(SimData5000!$B$9:$B$5008,982)</f>
        <v>0.19620316758211775</v>
      </c>
      <c r="I5990">
        <f>1/(COUNT(SimData5000!$B$9:$B$5008)-1)+$I$5989</f>
        <v>0.19623924784957297</v>
      </c>
      <c r="J5990">
        <f>SMALL(SimData5000!$C$9:$C$5008,982)</f>
        <v>0.19008757545179833</v>
      </c>
      <c r="K5990">
        <f>1/(COUNT(SimData5000!$C$9:$C$5008)-1)+$K$5989</f>
        <v>0.19623924784957297</v>
      </c>
    </row>
    <row r="5991" spans="8:11">
      <c r="H5991">
        <f>SMALL(SimData5000!$B$9:$B$5008,983)</f>
        <v>0.1964871156953478</v>
      </c>
      <c r="I5991">
        <f>1/(COUNT(SimData5000!$B$9:$B$5008)-1)+$I$5990</f>
        <v>0.19643928785757458</v>
      </c>
      <c r="J5991">
        <f>SMALL(SimData5000!$C$9:$C$5008,983)</f>
        <v>0.19073337327426998</v>
      </c>
      <c r="K5991">
        <f>1/(COUNT(SimData5000!$C$9:$C$5008)-1)+$K$5990</f>
        <v>0.19643928785757458</v>
      </c>
    </row>
    <row r="5992" spans="8:11">
      <c r="H5992">
        <f>SMALL(SimData5000!$B$9:$B$5008,984)</f>
        <v>0.19665593595529346</v>
      </c>
      <c r="I5992">
        <f>1/(COUNT(SimData5000!$B$9:$B$5008)-1)+$I$5991</f>
        <v>0.1966393278655762</v>
      </c>
      <c r="J5992">
        <f>SMALL(SimData5000!$C$9:$C$5008,984)</f>
        <v>0.19101676878017315</v>
      </c>
      <c r="K5992">
        <f>1/(COUNT(SimData5000!$C$9:$C$5008)-1)+$K$5991</f>
        <v>0.1966393278655762</v>
      </c>
    </row>
    <row r="5993" spans="8:11">
      <c r="H5993">
        <f>SMALL(SimData5000!$B$9:$B$5008,985)</f>
        <v>0.19699459534324582</v>
      </c>
      <c r="I5993">
        <f>1/(COUNT(SimData5000!$B$9:$B$5008)-1)+$I$5992</f>
        <v>0.19683936787357781</v>
      </c>
      <c r="J5993">
        <f>SMALL(SimData5000!$C$9:$C$5008,985)</f>
        <v>0.1915253242405015</v>
      </c>
      <c r="K5993">
        <f>1/(COUNT(SimData5000!$C$9:$C$5008)-1)+$K$5992</f>
        <v>0.19683936787357781</v>
      </c>
    </row>
    <row r="5994" spans="8:11">
      <c r="H5994">
        <f>SMALL(SimData5000!$B$9:$B$5008,986)</f>
        <v>0.19708676990985097</v>
      </c>
      <c r="I5994">
        <f>1/(COUNT(SimData5000!$B$9:$B$5008)-1)+$I$5993</f>
        <v>0.19703940788157942</v>
      </c>
      <c r="J5994">
        <f>SMALL(SimData5000!$C$9:$C$5008,986)</f>
        <v>0.19152551959632547</v>
      </c>
      <c r="K5994">
        <f>1/(COUNT(SimData5000!$C$9:$C$5008)-1)+$K$5993</f>
        <v>0.19703940788157942</v>
      </c>
    </row>
    <row r="5995" spans="8:11">
      <c r="H5995">
        <f>SMALL(SimData5000!$B$9:$B$5008,987)</f>
        <v>0.19732492625604497</v>
      </c>
      <c r="I5995">
        <f>1/(COUNT(SimData5000!$B$9:$B$5008)-1)+$I$5994</f>
        <v>0.19723944788958103</v>
      </c>
      <c r="J5995">
        <f>SMALL(SimData5000!$C$9:$C$5008,987)</f>
        <v>0.192130409526726</v>
      </c>
      <c r="K5995">
        <f>1/(COUNT(SimData5000!$C$9:$C$5008)-1)+$K$5994</f>
        <v>0.19723944788958103</v>
      </c>
    </row>
    <row r="5996" spans="8:11">
      <c r="H5996">
        <f>SMALL(SimData5000!$B$9:$B$5008,988)</f>
        <v>0.19744195502224424</v>
      </c>
      <c r="I5996">
        <f>1/(COUNT(SimData5000!$B$9:$B$5008)-1)+$I$5995</f>
        <v>0.19743948789758264</v>
      </c>
      <c r="J5996">
        <f>SMALL(SimData5000!$C$9:$C$5008,988)</f>
        <v>0.19226635904760769</v>
      </c>
      <c r="K5996">
        <f>1/(COUNT(SimData5000!$C$9:$C$5008)-1)+$K$5995</f>
        <v>0.19743948789758264</v>
      </c>
    </row>
    <row r="5997" spans="8:11">
      <c r="H5997">
        <f>SMALL(SimData5000!$B$9:$B$5008,989)</f>
        <v>0.1976605827151473</v>
      </c>
      <c r="I5997">
        <f>1/(COUNT(SimData5000!$B$9:$B$5008)-1)+$I$5996</f>
        <v>0.19763952790558426</v>
      </c>
      <c r="J5997">
        <f>SMALL(SimData5000!$C$9:$C$5008,989)</f>
        <v>0.19232388276122947</v>
      </c>
      <c r="K5997">
        <f>1/(COUNT(SimData5000!$C$9:$C$5008)-1)+$K$5996</f>
        <v>0.19763952790558426</v>
      </c>
    </row>
    <row r="5998" spans="8:11">
      <c r="H5998">
        <f>SMALL(SimData5000!$B$9:$B$5008,990)</f>
        <v>0.19781782144457516</v>
      </c>
      <c r="I5998">
        <f>1/(COUNT(SimData5000!$B$9:$B$5008)-1)+$I$5997</f>
        <v>0.19783956791358587</v>
      </c>
      <c r="J5998">
        <f>SMALL(SimData5000!$C$9:$C$5008,990)</f>
        <v>0.19283326843833493</v>
      </c>
      <c r="K5998">
        <f>1/(COUNT(SimData5000!$C$9:$C$5008)-1)+$K$5997</f>
        <v>0.19783956791358587</v>
      </c>
    </row>
    <row r="5999" spans="8:11">
      <c r="H5999">
        <f>SMALL(SimData5000!$B$9:$B$5008,991)</f>
        <v>0.19818501103003161</v>
      </c>
      <c r="I5999">
        <f>1/(COUNT(SimData5000!$B$9:$B$5008)-1)+$I$5998</f>
        <v>0.19803960792158748</v>
      </c>
      <c r="J5999">
        <f>SMALL(SimData5000!$C$9:$C$5008,991)</f>
        <v>0.19346837349712587</v>
      </c>
      <c r="K5999">
        <f>1/(COUNT(SimData5000!$C$9:$C$5008)-1)+$K$5998</f>
        <v>0.19803960792158748</v>
      </c>
    </row>
    <row r="6000" spans="8:11">
      <c r="H6000">
        <f>SMALL(SimData5000!$B$9:$B$5008,992)</f>
        <v>0.19823372558318864</v>
      </c>
      <c r="I6000">
        <f>1/(COUNT(SimData5000!$B$9:$B$5008)-1)+$I$5999</f>
        <v>0.19823964792958909</v>
      </c>
      <c r="J6000">
        <f>SMALL(SimData5000!$C$9:$C$5008,992)</f>
        <v>0.1939145596270464</v>
      </c>
      <c r="K6000">
        <f>1/(COUNT(SimData5000!$C$9:$C$5008)-1)+$K$5999</f>
        <v>0.19823964792958909</v>
      </c>
    </row>
    <row r="6001" spans="8:11">
      <c r="H6001">
        <f>SMALL(SimData5000!$B$9:$B$5008,993)</f>
        <v>0.19858183997398751</v>
      </c>
      <c r="I6001">
        <f>1/(COUNT(SimData5000!$B$9:$B$5008)-1)+$I$6000</f>
        <v>0.1984396879375907</v>
      </c>
      <c r="J6001">
        <f>SMALL(SimData5000!$C$9:$C$5008,993)</f>
        <v>0.19405539013223461</v>
      </c>
      <c r="K6001">
        <f>1/(COUNT(SimData5000!$C$9:$C$5008)-1)+$K$6000</f>
        <v>0.1984396879375907</v>
      </c>
    </row>
    <row r="6002" spans="8:11">
      <c r="H6002">
        <f>SMALL(SimData5000!$B$9:$B$5008,994)</f>
        <v>0.19863657286559153</v>
      </c>
      <c r="I6002">
        <f>1/(COUNT(SimData5000!$B$9:$B$5008)-1)+$I$6001</f>
        <v>0.19863972794559231</v>
      </c>
      <c r="J6002">
        <f>SMALL(SimData5000!$C$9:$C$5008,994)</f>
        <v>0.19430845977240097</v>
      </c>
      <c r="K6002">
        <f>1/(COUNT(SimData5000!$C$9:$C$5008)-1)+$K$6001</f>
        <v>0.19863972794559231</v>
      </c>
    </row>
    <row r="6003" spans="8:11">
      <c r="H6003">
        <f>SMALL(SimData5000!$B$9:$B$5008,995)</f>
        <v>0.19891061561301132</v>
      </c>
      <c r="I6003">
        <f>1/(COUNT(SimData5000!$B$9:$B$5008)-1)+$I$6002</f>
        <v>0.19883976795359393</v>
      </c>
      <c r="J6003">
        <f>SMALL(SimData5000!$C$9:$C$5008,995)</f>
        <v>0.19441896637727041</v>
      </c>
      <c r="K6003">
        <f>1/(COUNT(SimData5000!$C$9:$C$5008)-1)+$K$6002</f>
        <v>0.19883976795359393</v>
      </c>
    </row>
    <row r="6004" spans="8:11">
      <c r="H6004">
        <f>SMALL(SimData5000!$B$9:$B$5008,996)</f>
        <v>0.19914295392947806</v>
      </c>
      <c r="I6004">
        <f>1/(COUNT(SimData5000!$B$9:$B$5008)-1)+$I$6003</f>
        <v>0.19903980796159554</v>
      </c>
      <c r="J6004">
        <f>SMALL(SimData5000!$C$9:$C$5008,996)</f>
        <v>0.19528024470037053</v>
      </c>
      <c r="K6004">
        <f>1/(COUNT(SimData5000!$C$9:$C$5008)-1)+$K$6003</f>
        <v>0.19903980796159554</v>
      </c>
    </row>
    <row r="6005" spans="8:11">
      <c r="H6005">
        <f>SMALL(SimData5000!$B$9:$B$5008,997)</f>
        <v>0.19936026496602227</v>
      </c>
      <c r="I6005">
        <f>1/(COUNT(SimData5000!$B$9:$B$5008)-1)+$I$6004</f>
        <v>0.19923984796959715</v>
      </c>
      <c r="J6005">
        <f>SMALL(SimData5000!$C$9:$C$5008,997)</f>
        <v>0.19528989791797358</v>
      </c>
      <c r="K6005">
        <f>1/(COUNT(SimData5000!$C$9:$C$5008)-1)+$K$6004</f>
        <v>0.19923984796959715</v>
      </c>
    </row>
    <row r="6006" spans="8:11">
      <c r="H6006">
        <f>SMALL(SimData5000!$B$9:$B$5008,998)</f>
        <v>0.1994014637873977</v>
      </c>
      <c r="I6006">
        <f>1/(COUNT(SimData5000!$B$9:$B$5008)-1)+$I$6005</f>
        <v>0.19943988797759876</v>
      </c>
      <c r="J6006">
        <f>SMALL(SimData5000!$C$9:$C$5008,998)</f>
        <v>0.19547336957384687</v>
      </c>
      <c r="K6006">
        <f>1/(COUNT(SimData5000!$C$9:$C$5008)-1)+$K$6005</f>
        <v>0.19943988797759876</v>
      </c>
    </row>
    <row r="6007" spans="8:11">
      <c r="H6007">
        <f>SMALL(SimData5000!$B$9:$B$5008,999)</f>
        <v>0.19966729151640722</v>
      </c>
      <c r="I6007">
        <f>1/(COUNT(SimData5000!$B$9:$B$5008)-1)+$I$6006</f>
        <v>0.19963992798560037</v>
      </c>
      <c r="J6007">
        <f>SMALL(SimData5000!$C$9:$C$5008,999)</f>
        <v>0.19560243395699217</v>
      </c>
      <c r="K6007">
        <f>1/(COUNT(SimData5000!$C$9:$C$5008)-1)+$K$6006</f>
        <v>0.19963992798560037</v>
      </c>
    </row>
    <row r="6008" spans="8:11">
      <c r="H6008">
        <f>SMALL(SimData5000!$B$9:$B$5008,1000)</f>
        <v>0.19993408386025904</v>
      </c>
      <c r="I6008">
        <f>1/(COUNT(SimData5000!$B$9:$B$5008)-1)+$I$6007</f>
        <v>0.19983996799360199</v>
      </c>
      <c r="J6008">
        <f>SMALL(SimData5000!$C$9:$C$5008,1000)</f>
        <v>0.19571425160302169</v>
      </c>
      <c r="K6008">
        <f>1/(COUNT(SimData5000!$C$9:$C$5008)-1)+$K$6007</f>
        <v>0.19983996799360199</v>
      </c>
    </row>
    <row r="6009" spans="8:11">
      <c r="H6009">
        <f>SMALL(SimData5000!$B$9:$B$5008,1001)</f>
        <v>0.2000507862308181</v>
      </c>
      <c r="I6009">
        <f>1/(COUNT(SimData5000!$B$9:$B$5008)-1)+$I$6008</f>
        <v>0.2000400080016036</v>
      </c>
      <c r="J6009">
        <f>SMALL(SimData5000!$C$9:$C$5008,1001)</f>
        <v>0.19573599188333901</v>
      </c>
      <c r="K6009">
        <f>1/(COUNT(SimData5000!$C$9:$C$5008)-1)+$K$6008</f>
        <v>0.2000400080016036</v>
      </c>
    </row>
    <row r="6010" spans="8:11">
      <c r="H6010">
        <f>SMALL(SimData5000!$B$9:$B$5008,1002)</f>
        <v>0.2003314008416914</v>
      </c>
      <c r="I6010">
        <f>1/(COUNT(SimData5000!$B$9:$B$5008)-1)+$I$6009</f>
        <v>0.20024004800960521</v>
      </c>
      <c r="J6010">
        <f>SMALL(SimData5000!$C$9:$C$5008,1002)</f>
        <v>0.19583143501404265</v>
      </c>
      <c r="K6010">
        <f>1/(COUNT(SimData5000!$C$9:$C$5008)-1)+$K$6009</f>
        <v>0.20024004800960521</v>
      </c>
    </row>
    <row r="6011" spans="8:11">
      <c r="H6011">
        <f>SMALL(SimData5000!$B$9:$B$5008,1003)</f>
        <v>0.20054956783008521</v>
      </c>
      <c r="I6011">
        <f>1/(COUNT(SimData5000!$B$9:$B$5008)-1)+$I$6010</f>
        <v>0.20044008801760682</v>
      </c>
      <c r="J6011">
        <f>SMALL(SimData5000!$C$9:$C$5008,1003)</f>
        <v>0.19599721840768325</v>
      </c>
      <c r="K6011">
        <f>1/(COUNT(SimData5000!$C$9:$C$5008)-1)+$K$6010</f>
        <v>0.20044008801760682</v>
      </c>
    </row>
    <row r="6012" spans="8:11">
      <c r="H6012">
        <f>SMALL(SimData5000!$B$9:$B$5008,1004)</f>
        <v>0.20074851997111656</v>
      </c>
      <c r="I6012">
        <f>1/(COUNT(SimData5000!$B$9:$B$5008)-1)+$I$6011</f>
        <v>0.20064012802560843</v>
      </c>
      <c r="J6012">
        <f>SMALL(SimData5000!$C$9:$C$5008,1004)</f>
        <v>0.19615022995185427</v>
      </c>
      <c r="K6012">
        <f>1/(COUNT(SimData5000!$C$9:$C$5008)-1)+$K$6011</f>
        <v>0.20064012802560843</v>
      </c>
    </row>
    <row r="6013" spans="8:11">
      <c r="H6013">
        <f>SMALL(SimData5000!$B$9:$B$5008,1005)</f>
        <v>0.20095703080942784</v>
      </c>
      <c r="I6013">
        <f>1/(COUNT(SimData5000!$B$9:$B$5008)-1)+$I$6012</f>
        <v>0.20084016803361004</v>
      </c>
      <c r="J6013">
        <f>SMALL(SimData5000!$C$9:$C$5008,1005)</f>
        <v>0.19630078974751086</v>
      </c>
      <c r="K6013">
        <f>1/(COUNT(SimData5000!$C$9:$C$5008)-1)+$K$6012</f>
        <v>0.20084016803361004</v>
      </c>
    </row>
    <row r="6014" spans="8:11">
      <c r="H6014">
        <f>SMALL(SimData5000!$B$9:$B$5008,1006)</f>
        <v>0.20117816279804757</v>
      </c>
      <c r="I6014">
        <f>1/(COUNT(SimData5000!$B$9:$B$5008)-1)+$I$6013</f>
        <v>0.20104020804161166</v>
      </c>
      <c r="J6014">
        <f>SMALL(SimData5000!$C$9:$C$5008,1006)</f>
        <v>0.1963176576045953</v>
      </c>
      <c r="K6014">
        <f>1/(COUNT(SimData5000!$C$9:$C$5008)-1)+$K$6013</f>
        <v>0.20104020804161166</v>
      </c>
    </row>
    <row r="6015" spans="8:11">
      <c r="H6015">
        <f>SMALL(SimData5000!$B$9:$B$5008,1007)</f>
        <v>0.20138054120237486</v>
      </c>
      <c r="I6015">
        <f>1/(COUNT(SimData5000!$B$9:$B$5008)-1)+$I$6014</f>
        <v>0.20124024804961327</v>
      </c>
      <c r="J6015">
        <f>SMALL(SimData5000!$C$9:$C$5008,1007)</f>
        <v>0.19644865156260494</v>
      </c>
      <c r="K6015">
        <f>1/(COUNT(SimData5000!$C$9:$C$5008)-1)+$K$6014</f>
        <v>0.20124024804961327</v>
      </c>
    </row>
    <row r="6016" spans="8:11">
      <c r="H6016">
        <f>SMALL(SimData5000!$B$9:$B$5008,1008)</f>
        <v>0.20151635364371265</v>
      </c>
      <c r="I6016">
        <f>1/(COUNT(SimData5000!$B$9:$B$5008)-1)+$I$6015</f>
        <v>0.20144028805761488</v>
      </c>
      <c r="J6016">
        <f>SMALL(SimData5000!$C$9:$C$5008,1008)</f>
        <v>0.19654650469510671</v>
      </c>
      <c r="K6016">
        <f>1/(COUNT(SimData5000!$C$9:$C$5008)-1)+$K$6015</f>
        <v>0.20144028805761488</v>
      </c>
    </row>
    <row r="6017" spans="8:11">
      <c r="H6017">
        <f>SMALL(SimData5000!$B$9:$B$5008,1009)</f>
        <v>0.20179505053399946</v>
      </c>
      <c r="I6017">
        <f>1/(COUNT(SimData5000!$B$9:$B$5008)-1)+$I$6016</f>
        <v>0.20164032806561649</v>
      </c>
      <c r="J6017">
        <f>SMALL(SimData5000!$C$9:$C$5008,1009)</f>
        <v>0.19672609654662665</v>
      </c>
      <c r="K6017">
        <f>1/(COUNT(SimData5000!$C$9:$C$5008)-1)+$K$6016</f>
        <v>0.20164032806561649</v>
      </c>
    </row>
    <row r="6018" spans="8:11">
      <c r="H6018">
        <f>SMALL(SimData5000!$B$9:$B$5008,1010)</f>
        <v>0.20195755424568371</v>
      </c>
      <c r="I6018">
        <f>1/(COUNT(SimData5000!$B$9:$B$5008)-1)+$I$6017</f>
        <v>0.2018403680736181</v>
      </c>
      <c r="J6018">
        <f>SMALL(SimData5000!$C$9:$C$5008,1010)</f>
        <v>0.19692985594610946</v>
      </c>
      <c r="K6018">
        <f>1/(COUNT(SimData5000!$C$9:$C$5008)-1)+$K$6017</f>
        <v>0.2018403680736181</v>
      </c>
    </row>
    <row r="6019" spans="8:11">
      <c r="H6019">
        <f>SMALL(SimData5000!$B$9:$B$5008,1011)</f>
        <v>0.20206850166750803</v>
      </c>
      <c r="I6019">
        <f>1/(COUNT(SimData5000!$B$9:$B$5008)-1)+$I$6018</f>
        <v>0.20204040808161972</v>
      </c>
      <c r="J6019">
        <f>SMALL(SimData5000!$C$9:$C$5008,1011)</f>
        <v>0.19711758332778118</v>
      </c>
      <c r="K6019">
        <f>1/(COUNT(SimData5000!$C$9:$C$5008)-1)+$K$6018</f>
        <v>0.20204040808161972</v>
      </c>
    </row>
    <row r="6020" spans="8:11">
      <c r="H6020">
        <f>SMALL(SimData5000!$B$9:$B$5008,1012)</f>
        <v>0.20237239060140502</v>
      </c>
      <c r="I6020">
        <f>1/(COUNT(SimData5000!$B$9:$B$5008)-1)+$I$6019</f>
        <v>0.20224044808962133</v>
      </c>
      <c r="J6020">
        <f>SMALL(SimData5000!$C$9:$C$5008,1012)</f>
        <v>0.19718213635763959</v>
      </c>
      <c r="K6020">
        <f>1/(COUNT(SimData5000!$C$9:$C$5008)-1)+$K$6019</f>
        <v>0.20224044808962133</v>
      </c>
    </row>
    <row r="6021" spans="8:11">
      <c r="H6021">
        <f>SMALL(SimData5000!$B$9:$B$5008,1013)</f>
        <v>0.20247862086204779</v>
      </c>
      <c r="I6021">
        <f>1/(COUNT(SimData5000!$B$9:$B$5008)-1)+$I$6020</f>
        <v>0.20244048809762294</v>
      </c>
      <c r="J6021">
        <f>SMALL(SimData5000!$C$9:$C$5008,1013)</f>
        <v>0.19762084024659998</v>
      </c>
      <c r="K6021">
        <f>1/(COUNT(SimData5000!$C$9:$C$5008)-1)+$K$6020</f>
        <v>0.20244048809762294</v>
      </c>
    </row>
    <row r="6022" spans="8:11">
      <c r="H6022">
        <f>SMALL(SimData5000!$B$9:$B$5008,1014)</f>
        <v>0.20263178698221029</v>
      </c>
      <c r="I6022">
        <f>1/(COUNT(SimData5000!$B$9:$B$5008)-1)+$I$6021</f>
        <v>0.20264052810562455</v>
      </c>
      <c r="J6022">
        <f>SMALL(SimData5000!$C$9:$C$5008,1014)</f>
        <v>0.19817717405931035</v>
      </c>
      <c r="K6022">
        <f>1/(COUNT(SimData5000!$C$9:$C$5008)-1)+$K$6021</f>
        <v>0.20264052810562455</v>
      </c>
    </row>
    <row r="6023" spans="8:11">
      <c r="H6023">
        <f>SMALL(SimData5000!$B$9:$B$5008,1015)</f>
        <v>0.2029391754560031</v>
      </c>
      <c r="I6023">
        <f>1/(COUNT(SimData5000!$B$9:$B$5008)-1)+$I$6022</f>
        <v>0.20284056811362616</v>
      </c>
      <c r="J6023">
        <f>SMALL(SimData5000!$C$9:$C$5008,1015)</f>
        <v>0.19824285554750531</v>
      </c>
      <c r="K6023">
        <f>1/(COUNT(SimData5000!$C$9:$C$5008)-1)+$K$6022</f>
        <v>0.20284056811362616</v>
      </c>
    </row>
    <row r="6024" spans="8:11">
      <c r="H6024">
        <f>SMALL(SimData5000!$B$9:$B$5008,1016)</f>
        <v>0.20318339151502202</v>
      </c>
      <c r="I6024">
        <f>1/(COUNT(SimData5000!$B$9:$B$5008)-1)+$I$6023</f>
        <v>0.20304060812162777</v>
      </c>
      <c r="J6024">
        <f>SMALL(SimData5000!$C$9:$C$5008,1016)</f>
        <v>0.19867142420480377</v>
      </c>
      <c r="K6024">
        <f>1/(COUNT(SimData5000!$C$9:$C$5008)-1)+$K$6023</f>
        <v>0.20304060812162777</v>
      </c>
    </row>
    <row r="6025" spans="8:11">
      <c r="H6025">
        <f>SMALL(SimData5000!$B$9:$B$5008,1017)</f>
        <v>0.20337841424075384</v>
      </c>
      <c r="I6025">
        <f>1/(COUNT(SimData5000!$B$9:$B$5008)-1)+$I$6024</f>
        <v>0.20324064812962939</v>
      </c>
      <c r="J6025">
        <f>SMALL(SimData5000!$C$9:$C$5008,1017)</f>
        <v>0.19915886213675549</v>
      </c>
      <c r="K6025">
        <f>1/(COUNT(SimData5000!$C$9:$C$5008)-1)+$K$6024</f>
        <v>0.20324064812962939</v>
      </c>
    </row>
    <row r="6026" spans="8:11">
      <c r="H6026">
        <f>SMALL(SimData5000!$B$9:$B$5008,1018)</f>
        <v>0.20350643747120781</v>
      </c>
      <c r="I6026">
        <f>1/(COUNT(SimData5000!$B$9:$B$5008)-1)+$I$6025</f>
        <v>0.203440688137631</v>
      </c>
      <c r="J6026">
        <f>SMALL(SimData5000!$C$9:$C$5008,1018)</f>
        <v>0.19949151840683044</v>
      </c>
      <c r="K6026">
        <f>1/(COUNT(SimData5000!$C$9:$C$5008)-1)+$K$6025</f>
        <v>0.203440688137631</v>
      </c>
    </row>
    <row r="6027" spans="8:11">
      <c r="H6027">
        <f>SMALL(SimData5000!$B$9:$B$5008,1019)</f>
        <v>0.20366363615604668</v>
      </c>
      <c r="I6027">
        <f>1/(COUNT(SimData5000!$B$9:$B$5008)-1)+$I$6026</f>
        <v>0.20364072814563261</v>
      </c>
      <c r="J6027">
        <f>SMALL(SimData5000!$C$9:$C$5008,1019)</f>
        <v>0.19952029549949657</v>
      </c>
      <c r="K6027">
        <f>1/(COUNT(SimData5000!$C$9:$C$5008)-1)+$K$6026</f>
        <v>0.20364072814563261</v>
      </c>
    </row>
    <row r="6028" spans="8:11">
      <c r="H6028">
        <f>SMALL(SimData5000!$B$9:$B$5008,1020)</f>
        <v>0.20385163594345834</v>
      </c>
      <c r="I6028">
        <f>1/(COUNT(SimData5000!$B$9:$B$5008)-1)+$I$6027</f>
        <v>0.20384076815363422</v>
      </c>
      <c r="J6028">
        <f>SMALL(SimData5000!$C$9:$C$5008,1020)</f>
        <v>0.19957362829427439</v>
      </c>
      <c r="K6028">
        <f>1/(COUNT(SimData5000!$C$9:$C$5008)-1)+$K$6027</f>
        <v>0.20384076815363422</v>
      </c>
    </row>
    <row r="6029" spans="8:11">
      <c r="H6029">
        <f>SMALL(SimData5000!$B$9:$B$5008,1021)</f>
        <v>0.2040521362299221</v>
      </c>
      <c r="I6029">
        <f>1/(COUNT(SimData5000!$B$9:$B$5008)-1)+$I$6028</f>
        <v>0.20404080816163583</v>
      </c>
      <c r="J6029">
        <f>SMALL(SimData5000!$C$9:$C$5008,1021)</f>
        <v>0.19992908066524251</v>
      </c>
      <c r="K6029">
        <f>1/(COUNT(SimData5000!$C$9:$C$5008)-1)+$K$6028</f>
        <v>0.20404080816163583</v>
      </c>
    </row>
    <row r="6030" spans="8:11">
      <c r="H6030">
        <f>SMALL(SimData5000!$B$9:$B$5008,1022)</f>
        <v>0.20429422730060626</v>
      </c>
      <c r="I6030">
        <f>1/(COUNT(SimData5000!$B$9:$B$5008)-1)+$I$6029</f>
        <v>0.20424084816963745</v>
      </c>
      <c r="J6030">
        <f>SMALL(SimData5000!$C$9:$C$5008,1022)</f>
        <v>0.19998521862544294</v>
      </c>
      <c r="K6030">
        <f>1/(COUNT(SimData5000!$C$9:$C$5008)-1)+$K$6029</f>
        <v>0.20424084816963745</v>
      </c>
    </row>
    <row r="6031" spans="8:11">
      <c r="H6031">
        <f>SMALL(SimData5000!$B$9:$B$5008,1023)</f>
        <v>0.20459746293201983</v>
      </c>
      <c r="I6031">
        <f>1/(COUNT(SimData5000!$B$9:$B$5008)-1)+$I$6030</f>
        <v>0.20444088817763906</v>
      </c>
      <c r="J6031">
        <f>SMALL(SimData5000!$C$9:$C$5008,1023)</f>
        <v>0.20008850685644575</v>
      </c>
      <c r="K6031">
        <f>1/(COUNT(SimData5000!$C$9:$C$5008)-1)+$K$6030</f>
        <v>0.20444088817763906</v>
      </c>
    </row>
    <row r="6032" spans="8:11">
      <c r="H6032">
        <f>SMALL(SimData5000!$B$9:$B$5008,1024)</f>
        <v>0.20476657355645825</v>
      </c>
      <c r="I6032">
        <f>1/(COUNT(SimData5000!$B$9:$B$5008)-1)+$I$6031</f>
        <v>0.20464092818564067</v>
      </c>
      <c r="J6032">
        <f>SMALL(SimData5000!$C$9:$C$5008,1024)</f>
        <v>0.20067640180786839</v>
      </c>
      <c r="K6032">
        <f>1/(COUNT(SimData5000!$C$9:$C$5008)-1)+$K$6031</f>
        <v>0.20464092818564067</v>
      </c>
    </row>
    <row r="6033" spans="8:11">
      <c r="H6033">
        <f>SMALL(SimData5000!$B$9:$B$5008,1025)</f>
        <v>0.20487707122938642</v>
      </c>
      <c r="I6033">
        <f>1/(COUNT(SimData5000!$B$9:$B$5008)-1)+$I$6032</f>
        <v>0.20484096819364228</v>
      </c>
      <c r="J6033">
        <f>SMALL(SimData5000!$C$9:$C$5008,1025)</f>
        <v>0.20085010364891787</v>
      </c>
      <c r="K6033">
        <f>1/(COUNT(SimData5000!$C$9:$C$5008)-1)+$K$6032</f>
        <v>0.20484096819364228</v>
      </c>
    </row>
    <row r="6034" spans="8:11">
      <c r="H6034">
        <f>SMALL(SimData5000!$B$9:$B$5008,1026)</f>
        <v>0.20515378782096172</v>
      </c>
      <c r="I6034">
        <f>1/(COUNT(SimData5000!$B$9:$B$5008)-1)+$I$6033</f>
        <v>0.20504100820164389</v>
      </c>
      <c r="J6034">
        <f>SMALL(SimData5000!$C$9:$C$5008,1026)</f>
        <v>0.20093600761811103</v>
      </c>
      <c r="K6034">
        <f>1/(COUNT(SimData5000!$C$9:$C$5008)-1)+$K$6033</f>
        <v>0.20504100820164389</v>
      </c>
    </row>
    <row r="6035" spans="8:11">
      <c r="H6035">
        <f>SMALL(SimData5000!$B$9:$B$5008,1027)</f>
        <v>0.20531551358465</v>
      </c>
      <c r="I6035">
        <f>1/(COUNT(SimData5000!$B$9:$B$5008)-1)+$I$6034</f>
        <v>0.2052410482096455</v>
      </c>
      <c r="J6035">
        <f>SMALL(SimData5000!$C$9:$C$5008,1027)</f>
        <v>0.20095578550626669</v>
      </c>
      <c r="K6035">
        <f>1/(COUNT(SimData5000!$C$9:$C$5008)-1)+$K$6034</f>
        <v>0.2052410482096455</v>
      </c>
    </row>
    <row r="6036" spans="8:11">
      <c r="H6036">
        <f>SMALL(SimData5000!$B$9:$B$5008,1028)</f>
        <v>0.20545527173198183</v>
      </c>
      <c r="I6036">
        <f>1/(COUNT(SimData5000!$B$9:$B$5008)-1)+$I$6035</f>
        <v>0.20544108821764712</v>
      </c>
      <c r="J6036">
        <f>SMALL(SimData5000!$C$9:$C$5008,1028)</f>
        <v>0.2010744437793619</v>
      </c>
      <c r="K6036">
        <f>1/(COUNT(SimData5000!$C$9:$C$5008)-1)+$K$6035</f>
        <v>0.20544108821764712</v>
      </c>
    </row>
    <row r="6037" spans="8:11">
      <c r="H6037">
        <f>SMALL(SimData5000!$B$9:$B$5008,1029)</f>
        <v>0.20574270885692508</v>
      </c>
      <c r="I6037">
        <f>1/(COUNT(SimData5000!$B$9:$B$5008)-1)+$I$6036</f>
        <v>0.20564112822564873</v>
      </c>
      <c r="J6037">
        <f>SMALL(SimData5000!$C$9:$C$5008,1029)</f>
        <v>0.20109176687947183</v>
      </c>
      <c r="K6037">
        <f>1/(COUNT(SimData5000!$C$9:$C$5008)-1)+$K$6036</f>
        <v>0.20564112822564873</v>
      </c>
    </row>
    <row r="6038" spans="8:11">
      <c r="H6038">
        <f>SMALL(SimData5000!$B$9:$B$5008,1030)</f>
        <v>0.20597436977726744</v>
      </c>
      <c r="I6038">
        <f>1/(COUNT(SimData5000!$B$9:$B$5008)-1)+$I$6037</f>
        <v>0.20584116823365034</v>
      </c>
      <c r="J6038">
        <f>SMALL(SimData5000!$C$9:$C$5008,1030)</f>
        <v>0.20113499786475586</v>
      </c>
      <c r="K6038">
        <f>1/(COUNT(SimData5000!$C$9:$C$5008)-1)+$K$6037</f>
        <v>0.20584116823365034</v>
      </c>
    </row>
    <row r="6039" spans="8:11">
      <c r="H6039">
        <f>SMALL(SimData5000!$B$9:$B$5008,1031)</f>
        <v>0.20600477639814016</v>
      </c>
      <c r="I6039">
        <f>1/(COUNT(SimData5000!$B$9:$B$5008)-1)+$I$6038</f>
        <v>0.20604120824165195</v>
      </c>
      <c r="J6039">
        <f>SMALL(SimData5000!$C$9:$C$5008,1031)</f>
        <v>0.20136207785253646</v>
      </c>
      <c r="K6039">
        <f>1/(COUNT(SimData5000!$C$9:$C$5008)-1)+$K$6038</f>
        <v>0.20604120824165195</v>
      </c>
    </row>
    <row r="6040" spans="8:11">
      <c r="H6040">
        <f>SMALL(SimData5000!$B$9:$B$5008,1032)</f>
        <v>0.20620161142693869</v>
      </c>
      <c r="I6040">
        <f>1/(COUNT(SimData5000!$B$9:$B$5008)-1)+$I$6039</f>
        <v>0.20624124824965356</v>
      </c>
      <c r="J6040">
        <f>SMALL(SimData5000!$C$9:$C$5008,1032)</f>
        <v>0.20136223409917875</v>
      </c>
      <c r="K6040">
        <f>1/(COUNT(SimData5000!$C$9:$C$5008)-1)+$K$6039</f>
        <v>0.20624124824965356</v>
      </c>
    </row>
    <row r="6041" spans="8:11">
      <c r="H6041">
        <f>SMALL(SimData5000!$B$9:$B$5008,1033)</f>
        <v>0.20649415751423084</v>
      </c>
      <c r="I6041">
        <f>1/(COUNT(SimData5000!$B$9:$B$5008)-1)+$I$6040</f>
        <v>0.20644128825765518</v>
      </c>
      <c r="J6041">
        <f>SMALL(SimData5000!$C$9:$C$5008,1033)</f>
        <v>0.20167560185018374</v>
      </c>
      <c r="K6041">
        <f>1/(COUNT(SimData5000!$C$9:$C$5008)-1)+$K$6040</f>
        <v>0.20644128825765518</v>
      </c>
    </row>
    <row r="6042" spans="8:11">
      <c r="H6042">
        <f>SMALL(SimData5000!$B$9:$B$5008,1034)</f>
        <v>0.20661124162064198</v>
      </c>
      <c r="I6042">
        <f>1/(COUNT(SimData5000!$B$9:$B$5008)-1)+$I$6041</f>
        <v>0.20664132826565679</v>
      </c>
      <c r="J6042">
        <f>SMALL(SimData5000!$C$9:$C$5008,1034)</f>
        <v>0.2017476925129813</v>
      </c>
      <c r="K6042">
        <f>1/(COUNT(SimData5000!$C$9:$C$5008)-1)+$K$6041</f>
        <v>0.20664132826565679</v>
      </c>
    </row>
    <row r="6043" spans="8:11">
      <c r="H6043">
        <f>SMALL(SimData5000!$B$9:$B$5008,1035)</f>
        <v>0.20681247195555189</v>
      </c>
      <c r="I6043">
        <f>1/(COUNT(SimData5000!$B$9:$B$5008)-1)+$I$6042</f>
        <v>0.2068413682736584</v>
      </c>
      <c r="J6043">
        <f>SMALL(SimData5000!$C$9:$C$5008,1035)</f>
        <v>0.20180846161110821</v>
      </c>
      <c r="K6043">
        <f>1/(COUNT(SimData5000!$C$9:$C$5008)-1)+$K$6042</f>
        <v>0.2068413682736584</v>
      </c>
    </row>
    <row r="6044" spans="8:11">
      <c r="H6044">
        <f>SMALL(SimData5000!$B$9:$B$5008,1036)</f>
        <v>0.20712126097854258</v>
      </c>
      <c r="I6044">
        <f>1/(COUNT(SimData5000!$B$9:$B$5008)-1)+$I$6043</f>
        <v>0.20704140828166001</v>
      </c>
      <c r="J6044">
        <f>SMALL(SimData5000!$C$9:$C$5008,1036)</f>
        <v>0.20199598072940717</v>
      </c>
      <c r="K6044">
        <f>1/(COUNT(SimData5000!$C$9:$C$5008)-1)+$K$6043</f>
        <v>0.20704140828166001</v>
      </c>
    </row>
    <row r="6045" spans="8:11">
      <c r="H6045">
        <f>SMALL(SimData5000!$B$9:$B$5008,1037)</f>
        <v>0.20730474083081463</v>
      </c>
      <c r="I6045">
        <f>1/(COUNT(SimData5000!$B$9:$B$5008)-1)+$I$6044</f>
        <v>0.20724144828966162</v>
      </c>
      <c r="J6045">
        <f>SMALL(SimData5000!$C$9:$C$5008,1037)</f>
        <v>0.20276794626806804</v>
      </c>
      <c r="K6045">
        <f>1/(COUNT(SimData5000!$C$9:$C$5008)-1)+$K$6044</f>
        <v>0.20724144828966162</v>
      </c>
    </row>
    <row r="6046" spans="8:11">
      <c r="H6046">
        <f>SMALL(SimData5000!$B$9:$B$5008,1038)</f>
        <v>0.20746816358926432</v>
      </c>
      <c r="I6046">
        <f>1/(COUNT(SimData5000!$B$9:$B$5008)-1)+$I$6045</f>
        <v>0.20744148829766323</v>
      </c>
      <c r="J6046">
        <f>SMALL(SimData5000!$C$9:$C$5008,1038)</f>
        <v>0.20278211454842676</v>
      </c>
      <c r="K6046">
        <f>1/(COUNT(SimData5000!$C$9:$C$5008)-1)+$K$6045</f>
        <v>0.20744148829766323</v>
      </c>
    </row>
    <row r="6047" spans="8:11">
      <c r="H6047">
        <f>SMALL(SimData5000!$B$9:$B$5008,1039)</f>
        <v>0.2077248384035483</v>
      </c>
      <c r="I6047">
        <f>1/(COUNT(SimData5000!$B$9:$B$5008)-1)+$I$6046</f>
        <v>0.20764152830566485</v>
      </c>
      <c r="J6047">
        <f>SMALL(SimData5000!$C$9:$C$5008,1039)</f>
        <v>0.20365924912766786</v>
      </c>
      <c r="K6047">
        <f>1/(COUNT(SimData5000!$C$9:$C$5008)-1)+$K$6046</f>
        <v>0.20764152830566485</v>
      </c>
    </row>
    <row r="6048" spans="8:11">
      <c r="H6048">
        <f>SMALL(SimData5000!$B$9:$B$5008,1040)</f>
        <v>0.20787197227204959</v>
      </c>
      <c r="I6048">
        <f>1/(COUNT(SimData5000!$B$9:$B$5008)-1)+$I$6047</f>
        <v>0.20784156831366646</v>
      </c>
      <c r="J6048">
        <f>SMALL(SimData5000!$C$9:$C$5008,1040)</f>
        <v>0.20369637136991514</v>
      </c>
      <c r="K6048">
        <f>1/(COUNT(SimData5000!$C$9:$C$5008)-1)+$K$6047</f>
        <v>0.20784156831366646</v>
      </c>
    </row>
    <row r="6049" spans="8:11">
      <c r="H6049">
        <f>SMALL(SimData5000!$B$9:$B$5008,1041)</f>
        <v>0.20800258266218066</v>
      </c>
      <c r="I6049">
        <f>1/(COUNT(SimData5000!$B$9:$B$5008)-1)+$I$6048</f>
        <v>0.20804160832166807</v>
      </c>
      <c r="J6049">
        <f>SMALL(SimData5000!$C$9:$C$5008,1041)</f>
        <v>0.20412983477217495</v>
      </c>
      <c r="K6049">
        <f>1/(COUNT(SimData5000!$C$9:$C$5008)-1)+$K$6048</f>
        <v>0.20804160832166807</v>
      </c>
    </row>
    <row r="6050" spans="8:11">
      <c r="H6050">
        <f>SMALL(SimData5000!$B$9:$B$5008,1042)</f>
        <v>0.20835537239461099</v>
      </c>
      <c r="I6050">
        <f>1/(COUNT(SimData5000!$B$9:$B$5008)-1)+$I$6049</f>
        <v>0.20824164832966968</v>
      </c>
      <c r="J6050">
        <f>SMALL(SimData5000!$C$9:$C$5008,1042)</f>
        <v>0.20434957789893815</v>
      </c>
      <c r="K6050">
        <f>1/(COUNT(SimData5000!$C$9:$C$5008)-1)+$K$6049</f>
        <v>0.20824164832966968</v>
      </c>
    </row>
    <row r="6051" spans="8:11">
      <c r="H6051">
        <f>SMALL(SimData5000!$B$9:$B$5008,1043)</f>
        <v>0.20858490342893288</v>
      </c>
      <c r="I6051">
        <f>1/(COUNT(SimData5000!$B$9:$B$5008)-1)+$I$6050</f>
        <v>0.20844168833767129</v>
      </c>
      <c r="J6051">
        <f>SMALL(SimData5000!$C$9:$C$5008,1043)</f>
        <v>0.20464220272515377</v>
      </c>
      <c r="K6051">
        <f>1/(COUNT(SimData5000!$C$9:$C$5008)-1)+$K$6050</f>
        <v>0.20844168833767129</v>
      </c>
    </row>
    <row r="6052" spans="8:11">
      <c r="H6052">
        <f>SMALL(SimData5000!$B$9:$B$5008,1044)</f>
        <v>0.20862261251383987</v>
      </c>
      <c r="I6052">
        <f>1/(COUNT(SimData5000!$B$9:$B$5008)-1)+$I$6051</f>
        <v>0.20864172834567291</v>
      </c>
      <c r="J6052">
        <f>SMALL(SimData5000!$C$9:$C$5008,1044)</f>
        <v>0.20469542807222751</v>
      </c>
      <c r="K6052">
        <f>1/(COUNT(SimData5000!$C$9:$C$5008)-1)+$K$6051</f>
        <v>0.20864172834567291</v>
      </c>
    </row>
    <row r="6053" spans="8:11">
      <c r="H6053">
        <f>SMALL(SimData5000!$B$9:$B$5008,1045)</f>
        <v>0.20898089621127136</v>
      </c>
      <c r="I6053">
        <f>1/(COUNT(SimData5000!$B$9:$B$5008)-1)+$I$6052</f>
        <v>0.20884176835367452</v>
      </c>
      <c r="J6053">
        <f>SMALL(SimData5000!$C$9:$C$5008,1045)</f>
        <v>0.20522075440567278</v>
      </c>
      <c r="K6053">
        <f>1/(COUNT(SimData5000!$C$9:$C$5008)-1)+$K$6052</f>
        <v>0.20884176835367452</v>
      </c>
    </row>
    <row r="6054" spans="8:11">
      <c r="H6054">
        <f>SMALL(SimData5000!$B$9:$B$5008,1046)</f>
        <v>0.20913279474348129</v>
      </c>
      <c r="I6054">
        <f>1/(COUNT(SimData5000!$B$9:$B$5008)-1)+$I$6053</f>
        <v>0.20904180836167613</v>
      </c>
      <c r="J6054">
        <f>SMALL(SimData5000!$C$9:$C$5008,1046)</f>
        <v>0.20540630819868966</v>
      </c>
      <c r="K6054">
        <f>1/(COUNT(SimData5000!$C$9:$C$5008)-1)+$K$6053</f>
        <v>0.20904180836167613</v>
      </c>
    </row>
    <row r="6055" spans="8:11">
      <c r="H6055">
        <f>SMALL(SimData5000!$B$9:$B$5008,1047)</f>
        <v>0.20928897098211782</v>
      </c>
      <c r="I6055">
        <f>1/(COUNT(SimData5000!$B$9:$B$5008)-1)+$I$6054</f>
        <v>0.20924184836967774</v>
      </c>
      <c r="J6055">
        <f>SMALL(SimData5000!$C$9:$C$5008,1047)</f>
        <v>0.205584854485096</v>
      </c>
      <c r="K6055">
        <f>1/(COUNT(SimData5000!$C$9:$C$5008)-1)+$K$6054</f>
        <v>0.20924184836967774</v>
      </c>
    </row>
    <row r="6056" spans="8:11">
      <c r="H6056">
        <f>SMALL(SimData5000!$B$9:$B$5008,1048)</f>
        <v>0.20958849157290266</v>
      </c>
      <c r="I6056">
        <f>1/(COUNT(SimData5000!$B$9:$B$5008)-1)+$I$6055</f>
        <v>0.20944188837767935</v>
      </c>
      <c r="J6056">
        <f>SMALL(SimData5000!$C$9:$C$5008,1048)</f>
        <v>0.20565753692790167</v>
      </c>
      <c r="K6056">
        <f>1/(COUNT(SimData5000!$C$9:$C$5008)-1)+$K$6055</f>
        <v>0.20944188837767935</v>
      </c>
    </row>
    <row r="6057" spans="8:11">
      <c r="H6057">
        <f>SMALL(SimData5000!$B$9:$B$5008,1049)</f>
        <v>0.20968233045173865</v>
      </c>
      <c r="I6057">
        <f>1/(COUNT(SimData5000!$B$9:$B$5008)-1)+$I$6056</f>
        <v>0.20964192838568096</v>
      </c>
      <c r="J6057">
        <f>SMALL(SimData5000!$C$9:$C$5008,1049)</f>
        <v>0.20568479459871014</v>
      </c>
      <c r="K6057">
        <f>1/(COUNT(SimData5000!$C$9:$C$5008)-1)+$K$6056</f>
        <v>0.20964192838568096</v>
      </c>
    </row>
    <row r="6058" spans="8:11">
      <c r="H6058">
        <f>SMALL(SimData5000!$B$9:$B$5008,1050)</f>
        <v>0.20982189550004476</v>
      </c>
      <c r="I6058">
        <f>1/(COUNT(SimData5000!$B$9:$B$5008)-1)+$I$6057</f>
        <v>0.20984196839368258</v>
      </c>
      <c r="J6058">
        <f>SMALL(SimData5000!$C$9:$C$5008,1050)</f>
        <v>0.20650418880086363</v>
      </c>
      <c r="K6058">
        <f>1/(COUNT(SimData5000!$C$9:$C$5008)-1)+$K$6057</f>
        <v>0.20984196839368258</v>
      </c>
    </row>
    <row r="6059" spans="8:11">
      <c r="H6059">
        <f>SMALL(SimData5000!$B$9:$B$5008,1051)</f>
        <v>0.21003674304956493</v>
      </c>
      <c r="I6059">
        <f>1/(COUNT(SimData5000!$B$9:$B$5008)-1)+$I$6058</f>
        <v>0.21004200840168419</v>
      </c>
      <c r="J6059">
        <f>SMALL(SimData5000!$C$9:$C$5008,1051)</f>
        <v>0.20679397900858021</v>
      </c>
      <c r="K6059">
        <f>1/(COUNT(SimData5000!$C$9:$C$5008)-1)+$K$6058</f>
        <v>0.21004200840168419</v>
      </c>
    </row>
    <row r="6060" spans="8:11">
      <c r="H6060">
        <f>SMALL(SimData5000!$B$9:$B$5008,1052)</f>
        <v>0.21033919075833152</v>
      </c>
      <c r="I6060">
        <f>1/(COUNT(SimData5000!$B$9:$B$5008)-1)+$I$6059</f>
        <v>0.2102420484096858</v>
      </c>
      <c r="J6060">
        <f>SMALL(SimData5000!$C$9:$C$5008,1052)</f>
        <v>0.20692431980205583</v>
      </c>
      <c r="K6060">
        <f>1/(COUNT(SimData5000!$C$9:$C$5008)-1)+$K$6059</f>
        <v>0.2102420484096858</v>
      </c>
    </row>
    <row r="6061" spans="8:11">
      <c r="H6061">
        <f>SMALL(SimData5000!$B$9:$B$5008,1053)</f>
        <v>0.21045283145295751</v>
      </c>
      <c r="I6061">
        <f>1/(COUNT(SimData5000!$B$9:$B$5008)-1)+$I$6060</f>
        <v>0.21044208841768741</v>
      </c>
      <c r="J6061">
        <f>SMALL(SimData5000!$C$9:$C$5008,1053)</f>
        <v>0.20695950091612758</v>
      </c>
      <c r="K6061">
        <f>1/(COUNT(SimData5000!$C$9:$C$5008)-1)+$K$6060</f>
        <v>0.21044208841768741</v>
      </c>
    </row>
    <row r="6062" spans="8:11">
      <c r="H6062">
        <f>SMALL(SimData5000!$B$9:$B$5008,1054)</f>
        <v>0.21075607111499553</v>
      </c>
      <c r="I6062">
        <f>1/(COUNT(SimData5000!$B$9:$B$5008)-1)+$I$6061</f>
        <v>0.21064212842568902</v>
      </c>
      <c r="J6062">
        <f>SMALL(SimData5000!$C$9:$C$5008,1054)</f>
        <v>0.20699231317121303</v>
      </c>
      <c r="K6062">
        <f>1/(COUNT(SimData5000!$C$9:$C$5008)-1)+$K$6061</f>
        <v>0.21064212842568902</v>
      </c>
    </row>
    <row r="6063" spans="8:11">
      <c r="H6063">
        <f>SMALL(SimData5000!$B$9:$B$5008,1055)</f>
        <v>0.21098728812974582</v>
      </c>
      <c r="I6063">
        <f>1/(COUNT(SimData5000!$B$9:$B$5008)-1)+$I$6062</f>
        <v>0.21084216843369064</v>
      </c>
      <c r="J6063">
        <f>SMALL(SimData5000!$C$9:$C$5008,1055)</f>
        <v>0.20720988326229417</v>
      </c>
      <c r="K6063">
        <f>1/(COUNT(SimData5000!$C$9:$C$5008)-1)+$K$6062</f>
        <v>0.21084216843369064</v>
      </c>
    </row>
    <row r="6064" spans="8:11">
      <c r="H6064">
        <f>SMALL(SimData5000!$B$9:$B$5008,1056)</f>
        <v>0.2110772810691682</v>
      </c>
      <c r="I6064">
        <f>1/(COUNT(SimData5000!$B$9:$B$5008)-1)+$I$6063</f>
        <v>0.21104220844169225</v>
      </c>
      <c r="J6064">
        <f>SMALL(SimData5000!$C$9:$C$5008,1056)</f>
        <v>0.2073921833471104</v>
      </c>
      <c r="K6064">
        <f>1/(COUNT(SimData5000!$C$9:$C$5008)-1)+$K$6063</f>
        <v>0.21104220844169225</v>
      </c>
    </row>
    <row r="6065" spans="8:11">
      <c r="H6065">
        <f>SMALL(SimData5000!$B$9:$B$5008,1057)</f>
        <v>0.21128755730336707</v>
      </c>
      <c r="I6065">
        <f>1/(COUNT(SimData5000!$B$9:$B$5008)-1)+$I$6064</f>
        <v>0.21124224844969386</v>
      </c>
      <c r="J6065">
        <f>SMALL(SimData5000!$C$9:$C$5008,1057)</f>
        <v>0.20739652554038912</v>
      </c>
      <c r="K6065">
        <f>1/(COUNT(SimData5000!$C$9:$C$5008)-1)+$K$6064</f>
        <v>0.21124224844969386</v>
      </c>
    </row>
    <row r="6066" spans="8:11">
      <c r="H6066">
        <f>SMALL(SimData5000!$B$9:$B$5008,1058)</f>
        <v>0.21159702055253951</v>
      </c>
      <c r="I6066">
        <f>1/(COUNT(SimData5000!$B$9:$B$5008)-1)+$I$6065</f>
        <v>0.21144228845769547</v>
      </c>
      <c r="J6066">
        <f>SMALL(SimData5000!$C$9:$C$5008,1058)</f>
        <v>0.20744172295144381</v>
      </c>
      <c r="K6066">
        <f>1/(COUNT(SimData5000!$C$9:$C$5008)-1)+$K$6065</f>
        <v>0.21144228845769547</v>
      </c>
    </row>
    <row r="6067" spans="8:11">
      <c r="H6067">
        <f>SMALL(SimData5000!$B$9:$B$5008,1059)</f>
        <v>0.2117999006872065</v>
      </c>
      <c r="I6067">
        <f>1/(COUNT(SimData5000!$B$9:$B$5008)-1)+$I$6066</f>
        <v>0.21164232846569708</v>
      </c>
      <c r="J6067">
        <f>SMALL(SimData5000!$C$9:$C$5008,1059)</f>
        <v>0.20759225713300111</v>
      </c>
      <c r="K6067">
        <f>1/(COUNT(SimData5000!$C$9:$C$5008)-1)+$K$6066</f>
        <v>0.21164232846569708</v>
      </c>
    </row>
    <row r="6068" spans="8:11">
      <c r="H6068">
        <f>SMALL(SimData5000!$B$9:$B$5008,1060)</f>
        <v>0.21195987021060658</v>
      </c>
      <c r="I6068">
        <f>1/(COUNT(SimData5000!$B$9:$B$5008)-1)+$I$6067</f>
        <v>0.21184236847369869</v>
      </c>
      <c r="J6068">
        <f>SMALL(SimData5000!$C$9:$C$5008,1060)</f>
        <v>0.20800164360207418</v>
      </c>
      <c r="K6068">
        <f>1/(COUNT(SimData5000!$C$9:$C$5008)-1)+$K$6067</f>
        <v>0.21184236847369869</v>
      </c>
    </row>
    <row r="6069" spans="8:11">
      <c r="H6069">
        <f>SMALL(SimData5000!$B$9:$B$5008,1061)</f>
        <v>0.21200721207875928</v>
      </c>
      <c r="I6069">
        <f>1/(COUNT(SimData5000!$B$9:$B$5008)-1)+$I$6068</f>
        <v>0.21204240848170031</v>
      </c>
      <c r="J6069">
        <f>SMALL(SimData5000!$C$9:$C$5008,1061)</f>
        <v>0.20808953352025128</v>
      </c>
      <c r="K6069">
        <f>1/(COUNT(SimData5000!$C$9:$C$5008)-1)+$K$6068</f>
        <v>0.21204240848170031</v>
      </c>
    </row>
    <row r="6070" spans="8:11">
      <c r="H6070">
        <f>SMALL(SimData5000!$B$9:$B$5008,1062)</f>
        <v>0.21225639430709567</v>
      </c>
      <c r="I6070">
        <f>1/(COUNT(SimData5000!$B$9:$B$5008)-1)+$I$6069</f>
        <v>0.21224244848970192</v>
      </c>
      <c r="J6070">
        <f>SMALL(SimData5000!$C$9:$C$5008,1062)</f>
        <v>0.20822669493281865</v>
      </c>
      <c r="K6070">
        <f>1/(COUNT(SimData5000!$C$9:$C$5008)-1)+$K$6069</f>
        <v>0.21224244848970192</v>
      </c>
    </row>
    <row r="6071" spans="8:11">
      <c r="H6071">
        <f>SMALL(SimData5000!$B$9:$B$5008,1063)</f>
        <v>0.21259418626068954</v>
      </c>
      <c r="I6071">
        <f>1/(COUNT(SimData5000!$B$9:$B$5008)-1)+$I$6070</f>
        <v>0.21244248849770353</v>
      </c>
      <c r="J6071">
        <f>SMALL(SimData5000!$C$9:$C$5008,1063)</f>
        <v>0.20881020375691151</v>
      </c>
      <c r="K6071">
        <f>1/(COUNT(SimData5000!$C$9:$C$5008)-1)+$K$6070</f>
        <v>0.21244248849770353</v>
      </c>
    </row>
    <row r="6072" spans="8:11">
      <c r="H6072">
        <f>SMALL(SimData5000!$B$9:$B$5008,1064)</f>
        <v>0.21269845959849154</v>
      </c>
      <c r="I6072">
        <f>1/(COUNT(SimData5000!$B$9:$B$5008)-1)+$I$6071</f>
        <v>0.21264252850570514</v>
      </c>
      <c r="J6072">
        <f>SMALL(SimData5000!$C$9:$C$5008,1064)</f>
        <v>0.20936457385050744</v>
      </c>
      <c r="K6072">
        <f>1/(COUNT(SimData5000!$C$9:$C$5008)-1)+$K$6071</f>
        <v>0.21264252850570514</v>
      </c>
    </row>
    <row r="6073" spans="8:11">
      <c r="H6073">
        <f>SMALL(SimData5000!$B$9:$B$5008,1065)</f>
        <v>0.21299432161999735</v>
      </c>
      <c r="I6073">
        <f>1/(COUNT(SimData5000!$B$9:$B$5008)-1)+$I$6072</f>
        <v>0.21284256851370675</v>
      </c>
      <c r="J6073">
        <f>SMALL(SimData5000!$C$9:$C$5008,1065)</f>
        <v>0.2095097268183963</v>
      </c>
      <c r="K6073">
        <f>1/(COUNT(SimData5000!$C$9:$C$5008)-1)+$K$6072</f>
        <v>0.21284256851370675</v>
      </c>
    </row>
    <row r="6074" spans="8:11">
      <c r="H6074">
        <f>SMALL(SimData5000!$B$9:$B$5008,1066)</f>
        <v>0.2131035507873873</v>
      </c>
      <c r="I6074">
        <f>1/(COUNT(SimData5000!$B$9:$B$5008)-1)+$I$6073</f>
        <v>0.21304260852170837</v>
      </c>
      <c r="J6074">
        <f>SMALL(SimData5000!$C$9:$C$5008,1066)</f>
        <v>0.20973867787597555</v>
      </c>
      <c r="K6074">
        <f>1/(COUNT(SimData5000!$C$9:$C$5008)-1)+$K$6073</f>
        <v>0.21304260852170837</v>
      </c>
    </row>
    <row r="6075" spans="8:11">
      <c r="H6075">
        <f>SMALL(SimData5000!$B$9:$B$5008,1067)</f>
        <v>0.21324327927791592</v>
      </c>
      <c r="I6075">
        <f>1/(COUNT(SimData5000!$B$9:$B$5008)-1)+$I$6074</f>
        <v>0.21324264852970998</v>
      </c>
      <c r="J6075">
        <f>SMALL(SimData5000!$C$9:$C$5008,1067)</f>
        <v>0.21055933372919355</v>
      </c>
      <c r="K6075">
        <f>1/(COUNT(SimData5000!$C$9:$C$5008)-1)+$K$6074</f>
        <v>0.21324264852970998</v>
      </c>
    </row>
    <row r="6076" spans="8:11">
      <c r="H6076">
        <f>SMALL(SimData5000!$B$9:$B$5008,1068)</f>
        <v>0.21341103370394812</v>
      </c>
      <c r="I6076">
        <f>1/(COUNT(SimData5000!$B$9:$B$5008)-1)+$I$6075</f>
        <v>0.21344268853771159</v>
      </c>
      <c r="J6076">
        <f>SMALL(SimData5000!$C$9:$C$5008,1068)</f>
        <v>0.21068074011418503</v>
      </c>
      <c r="K6076">
        <f>1/(COUNT(SimData5000!$C$9:$C$5008)-1)+$K$6075</f>
        <v>0.21344268853771159</v>
      </c>
    </row>
    <row r="6077" spans="8:11">
      <c r="H6077">
        <f>SMALL(SimData5000!$B$9:$B$5008,1069)</f>
        <v>0.21367708993937753</v>
      </c>
      <c r="I6077">
        <f>1/(COUNT(SimData5000!$B$9:$B$5008)-1)+$I$6076</f>
        <v>0.2136427285457132</v>
      </c>
      <c r="J6077">
        <f>SMALL(SimData5000!$C$9:$C$5008,1069)</f>
        <v>0.21077420878555131</v>
      </c>
      <c r="K6077">
        <f>1/(COUNT(SimData5000!$C$9:$C$5008)-1)+$K$6076</f>
        <v>0.2136427285457132</v>
      </c>
    </row>
    <row r="6078" spans="8:11">
      <c r="H6078">
        <f>SMALL(SimData5000!$B$9:$B$5008,1070)</f>
        <v>0.21384973022566406</v>
      </c>
      <c r="I6078">
        <f>1/(COUNT(SimData5000!$B$9:$B$5008)-1)+$I$6077</f>
        <v>0.21384276855371481</v>
      </c>
      <c r="J6078">
        <f>SMALL(SimData5000!$C$9:$C$5008,1070)</f>
        <v>0.2114902626263131</v>
      </c>
      <c r="K6078">
        <f>1/(COUNT(SimData5000!$C$9:$C$5008)-1)+$K$6077</f>
        <v>0.21384276855371481</v>
      </c>
    </row>
    <row r="6079" spans="8:11">
      <c r="H6079">
        <f>SMALL(SimData5000!$B$9:$B$5008,1071)</f>
        <v>0.21406637008308116</v>
      </c>
      <c r="I6079">
        <f>1/(COUNT(SimData5000!$B$9:$B$5008)-1)+$I$6078</f>
        <v>0.21404280856171642</v>
      </c>
      <c r="J6079">
        <f>SMALL(SimData5000!$C$9:$C$5008,1071)</f>
        <v>0.21163108824839583</v>
      </c>
      <c r="K6079">
        <f>1/(COUNT(SimData5000!$C$9:$C$5008)-1)+$K$6078</f>
        <v>0.21404280856171642</v>
      </c>
    </row>
    <row r="6080" spans="8:11">
      <c r="H6080">
        <f>SMALL(SimData5000!$B$9:$B$5008,1072)</f>
        <v>0.21427047405915114</v>
      </c>
      <c r="I6080">
        <f>1/(COUNT(SimData5000!$B$9:$B$5008)-1)+$I$6079</f>
        <v>0.21424284856971804</v>
      </c>
      <c r="J6080">
        <f>SMALL(SimData5000!$C$9:$C$5008,1072)</f>
        <v>0.21179446322275908</v>
      </c>
      <c r="K6080">
        <f>1/(COUNT(SimData5000!$C$9:$C$5008)-1)+$K$6079</f>
        <v>0.21424284856971804</v>
      </c>
    </row>
    <row r="6081" spans="8:11">
      <c r="H6081">
        <f>SMALL(SimData5000!$B$9:$B$5008,1073)</f>
        <v>0.21451844824122226</v>
      </c>
      <c r="I6081">
        <f>1/(COUNT(SimData5000!$B$9:$B$5008)-1)+$I$6080</f>
        <v>0.21444288857771965</v>
      </c>
      <c r="J6081">
        <f>SMALL(SimData5000!$C$9:$C$5008,1073)</f>
        <v>0.21201387155088014</v>
      </c>
      <c r="K6081">
        <f>1/(COUNT(SimData5000!$C$9:$C$5008)-1)+$K$6080</f>
        <v>0.21444288857771965</v>
      </c>
    </row>
    <row r="6082" spans="8:11">
      <c r="H6082">
        <f>SMALL(SimData5000!$B$9:$B$5008,1074)</f>
        <v>0.2147335670907827</v>
      </c>
      <c r="I6082">
        <f>1/(COUNT(SimData5000!$B$9:$B$5008)-1)+$I$6081</f>
        <v>0.21464292858572126</v>
      </c>
      <c r="J6082">
        <f>SMALL(SimData5000!$C$9:$C$5008,1074)</f>
        <v>0.21250757401232434</v>
      </c>
      <c r="K6082">
        <f>1/(COUNT(SimData5000!$C$9:$C$5008)-1)+$K$6081</f>
        <v>0.21464292858572126</v>
      </c>
    </row>
    <row r="6083" spans="8:11">
      <c r="H6083">
        <f>SMALL(SimData5000!$B$9:$B$5008,1075)</f>
        <v>0.21499728645035002</v>
      </c>
      <c r="I6083">
        <f>1/(COUNT(SimData5000!$B$9:$B$5008)-1)+$I$6082</f>
        <v>0.21484296859372287</v>
      </c>
      <c r="J6083">
        <f>SMALL(SimData5000!$C$9:$C$5008,1075)</f>
        <v>0.21251622536874493</v>
      </c>
      <c r="K6083">
        <f>1/(COUNT(SimData5000!$C$9:$C$5008)-1)+$K$6082</f>
        <v>0.21484296859372287</v>
      </c>
    </row>
    <row r="6084" spans="8:11">
      <c r="H6084">
        <f>SMALL(SimData5000!$B$9:$B$5008,1076)</f>
        <v>0.21518477300265448</v>
      </c>
      <c r="I6084">
        <f>1/(COUNT(SimData5000!$B$9:$B$5008)-1)+$I$6083</f>
        <v>0.21504300860172448</v>
      </c>
      <c r="J6084">
        <f>SMALL(SimData5000!$C$9:$C$5008,1076)</f>
        <v>0.21255358995585993</v>
      </c>
      <c r="K6084">
        <f>1/(COUNT(SimData5000!$C$9:$C$5008)-1)+$K$6083</f>
        <v>0.21504300860172448</v>
      </c>
    </row>
    <row r="6085" spans="8:11">
      <c r="H6085">
        <f>SMALL(SimData5000!$B$9:$B$5008,1077)</f>
        <v>0.21531426445816509</v>
      </c>
      <c r="I6085">
        <f>1/(COUNT(SimData5000!$B$9:$B$5008)-1)+$I$6084</f>
        <v>0.2152430486097261</v>
      </c>
      <c r="J6085">
        <f>SMALL(SimData5000!$C$9:$C$5008,1077)</f>
        <v>0.21256745567552571</v>
      </c>
      <c r="K6085">
        <f>1/(COUNT(SimData5000!$C$9:$C$5008)-1)+$K$6084</f>
        <v>0.2152430486097261</v>
      </c>
    </row>
    <row r="6086" spans="8:11">
      <c r="H6086">
        <f>SMALL(SimData5000!$B$9:$B$5008,1078)</f>
        <v>0.21549996450582984</v>
      </c>
      <c r="I6086">
        <f>1/(COUNT(SimData5000!$B$9:$B$5008)-1)+$I$6085</f>
        <v>0.21544308861772771</v>
      </c>
      <c r="J6086">
        <f>SMALL(SimData5000!$C$9:$C$5008,1078)</f>
        <v>0.21277521084175532</v>
      </c>
      <c r="K6086">
        <f>1/(COUNT(SimData5000!$C$9:$C$5008)-1)+$K$6085</f>
        <v>0.21544308861772771</v>
      </c>
    </row>
    <row r="6087" spans="8:11">
      <c r="H6087">
        <f>SMALL(SimData5000!$B$9:$B$5008,1079)</f>
        <v>0.21562145240293384</v>
      </c>
      <c r="I6087">
        <f>1/(COUNT(SimData5000!$B$9:$B$5008)-1)+$I$6086</f>
        <v>0.21564312862572932</v>
      </c>
      <c r="J6087">
        <f>SMALL(SimData5000!$C$9:$C$5008,1079)</f>
        <v>0.21278045733561157</v>
      </c>
      <c r="K6087">
        <f>1/(COUNT(SimData5000!$C$9:$C$5008)-1)+$K$6086</f>
        <v>0.21564312862572932</v>
      </c>
    </row>
    <row r="6088" spans="8:11">
      <c r="H6088">
        <f>SMALL(SimData5000!$B$9:$B$5008,1080)</f>
        <v>0.21588228435113146</v>
      </c>
      <c r="I6088">
        <f>1/(COUNT(SimData5000!$B$9:$B$5008)-1)+$I$6087</f>
        <v>0.21584316863373093</v>
      </c>
      <c r="J6088">
        <f>SMALL(SimData5000!$C$9:$C$5008,1080)</f>
        <v>0.21279860210870538</v>
      </c>
      <c r="K6088">
        <f>1/(COUNT(SimData5000!$C$9:$C$5008)-1)+$K$6087</f>
        <v>0.21584316863373093</v>
      </c>
    </row>
    <row r="6089" spans="8:11">
      <c r="H6089">
        <f>SMALL(SimData5000!$B$9:$B$5008,1081)</f>
        <v>0.21618582516805868</v>
      </c>
      <c r="I6089">
        <f>1/(COUNT(SimData5000!$B$9:$B$5008)-1)+$I$6088</f>
        <v>0.21604320864173254</v>
      </c>
      <c r="J6089">
        <f>SMALL(SimData5000!$C$9:$C$5008,1081)</f>
        <v>0.21288802051003586</v>
      </c>
      <c r="K6089">
        <f>1/(COUNT(SimData5000!$C$9:$C$5008)-1)+$K$6088</f>
        <v>0.21604320864173254</v>
      </c>
    </row>
    <row r="6090" spans="8:11">
      <c r="H6090">
        <f>SMALL(SimData5000!$B$9:$B$5008,1082)</f>
        <v>0.21626045021020354</v>
      </c>
      <c r="I6090">
        <f>1/(COUNT(SimData5000!$B$9:$B$5008)-1)+$I$6089</f>
        <v>0.21624324864973415</v>
      </c>
      <c r="J6090">
        <f>SMALL(SimData5000!$C$9:$C$5008,1082)</f>
        <v>0.21291219423437724</v>
      </c>
      <c r="K6090">
        <f>1/(COUNT(SimData5000!$C$9:$C$5008)-1)+$K$6089</f>
        <v>0.21624324864973415</v>
      </c>
    </row>
    <row r="6091" spans="8:11">
      <c r="H6091">
        <f>SMALL(SimData5000!$B$9:$B$5008,1083)</f>
        <v>0.21652133636998974</v>
      </c>
      <c r="I6091">
        <f>1/(COUNT(SimData5000!$B$9:$B$5008)-1)+$I$6090</f>
        <v>0.21644328865773577</v>
      </c>
      <c r="J6091">
        <f>SMALL(SimData5000!$C$9:$C$5008,1083)</f>
        <v>0.21315202311416215</v>
      </c>
      <c r="K6091">
        <f>1/(COUNT(SimData5000!$C$9:$C$5008)-1)+$K$6090</f>
        <v>0.21644328865773577</v>
      </c>
    </row>
    <row r="6092" spans="8:11">
      <c r="H6092">
        <f>SMALL(SimData5000!$B$9:$B$5008,1084)</f>
        <v>0.21668582945631018</v>
      </c>
      <c r="I6092">
        <f>1/(COUNT(SimData5000!$B$9:$B$5008)-1)+$I$6091</f>
        <v>0.21664332866573738</v>
      </c>
      <c r="J6092">
        <f>SMALL(SimData5000!$C$9:$C$5008,1084)</f>
        <v>0.21370337936969008</v>
      </c>
      <c r="K6092">
        <f>1/(COUNT(SimData5000!$C$9:$C$5008)-1)+$K$6091</f>
        <v>0.21664332866573738</v>
      </c>
    </row>
    <row r="6093" spans="8:11">
      <c r="H6093">
        <f>SMALL(SimData5000!$B$9:$B$5008,1085)</f>
        <v>0.21684043326369495</v>
      </c>
      <c r="I6093">
        <f>1/(COUNT(SimData5000!$B$9:$B$5008)-1)+$I$6092</f>
        <v>0.21684336867373899</v>
      </c>
      <c r="J6093">
        <f>SMALL(SimData5000!$C$9:$C$5008,1085)</f>
        <v>0.21405981404222985</v>
      </c>
      <c r="K6093">
        <f>1/(COUNT(SimData5000!$C$9:$C$5008)-1)+$K$6092</f>
        <v>0.21684336867373899</v>
      </c>
    </row>
    <row r="6094" spans="8:11">
      <c r="H6094">
        <f>SMALL(SimData5000!$B$9:$B$5008,1086)</f>
        <v>0.21701920184758938</v>
      </c>
      <c r="I6094">
        <f>1/(COUNT(SimData5000!$B$9:$B$5008)-1)+$I$6093</f>
        <v>0.2170434086817406</v>
      </c>
      <c r="J6094">
        <f>SMALL(SimData5000!$C$9:$C$5008,1086)</f>
        <v>0.21421295451273181</v>
      </c>
      <c r="K6094">
        <f>1/(COUNT(SimData5000!$C$9:$C$5008)-1)+$K$6093</f>
        <v>0.2170434086817406</v>
      </c>
    </row>
    <row r="6095" spans="8:11">
      <c r="H6095">
        <f>SMALL(SimData5000!$B$9:$B$5008,1087)</f>
        <v>0.2173992347443009</v>
      </c>
      <c r="I6095">
        <f>1/(COUNT(SimData5000!$B$9:$B$5008)-1)+$I$6094</f>
        <v>0.21724344868974221</v>
      </c>
      <c r="J6095">
        <f>SMALL(SimData5000!$C$9:$C$5008,1087)</f>
        <v>0.21438227399494281</v>
      </c>
      <c r="K6095">
        <f>1/(COUNT(SimData5000!$C$9:$C$5008)-1)+$K$6094</f>
        <v>0.21724344868974221</v>
      </c>
    </row>
    <row r="6096" spans="8:11">
      <c r="H6096">
        <f>SMALL(SimData5000!$B$9:$B$5008,1088)</f>
        <v>0.21741519778841531</v>
      </c>
      <c r="I6096">
        <f>1/(COUNT(SimData5000!$B$9:$B$5008)-1)+$I$6095</f>
        <v>0.21744348869774383</v>
      </c>
      <c r="J6096">
        <f>SMALL(SimData5000!$C$9:$C$5008,1088)</f>
        <v>0.21478456771092169</v>
      </c>
      <c r="K6096">
        <f>1/(COUNT(SimData5000!$C$9:$C$5008)-1)+$K$6095</f>
        <v>0.21744348869774383</v>
      </c>
    </row>
    <row r="6097" spans="8:11">
      <c r="H6097">
        <f>SMALL(SimData5000!$B$9:$B$5008,1089)</f>
        <v>0.21779972267211412</v>
      </c>
      <c r="I6097">
        <f>1/(COUNT(SimData5000!$B$9:$B$5008)-1)+$I$6096</f>
        <v>0.21764352870574544</v>
      </c>
      <c r="J6097">
        <f>SMALL(SimData5000!$C$9:$C$5008,1089)</f>
        <v>0.21496518936328357</v>
      </c>
      <c r="K6097">
        <f>1/(COUNT(SimData5000!$C$9:$C$5008)-1)+$K$6096</f>
        <v>0.21764352870574544</v>
      </c>
    </row>
    <row r="6098" spans="8:11">
      <c r="H6098">
        <f>SMALL(SimData5000!$B$9:$B$5008,1090)</f>
        <v>0.21798510235263621</v>
      </c>
      <c r="I6098">
        <f>1/(COUNT(SimData5000!$B$9:$B$5008)-1)+$I$6097</f>
        <v>0.21784356871374705</v>
      </c>
      <c r="J6098">
        <f>SMALL(SimData5000!$C$9:$C$5008,1090)</f>
        <v>0.21498936349962605</v>
      </c>
      <c r="K6098">
        <f>1/(COUNT(SimData5000!$C$9:$C$5008)-1)+$K$6097</f>
        <v>0.21784356871374705</v>
      </c>
    </row>
    <row r="6099" spans="8:11">
      <c r="H6099">
        <f>SMALL(SimData5000!$B$9:$B$5008,1091)</f>
        <v>0.21812987380584933</v>
      </c>
      <c r="I6099">
        <f>1/(COUNT(SimData5000!$B$9:$B$5008)-1)+$I$6098</f>
        <v>0.21804360872174866</v>
      </c>
      <c r="J6099">
        <f>SMALL(SimData5000!$C$9:$C$5008,1091)</f>
        <v>0.21536392141570104</v>
      </c>
      <c r="K6099">
        <f>1/(COUNT(SimData5000!$C$9:$C$5008)-1)+$K$6098</f>
        <v>0.21804360872174866</v>
      </c>
    </row>
    <row r="6100" spans="8:11">
      <c r="H6100">
        <f>SMALL(SimData5000!$B$9:$B$5008,1092)</f>
        <v>0.21831953976850946</v>
      </c>
      <c r="I6100">
        <f>1/(COUNT(SimData5000!$B$9:$B$5008)-1)+$I$6099</f>
        <v>0.21824364872975027</v>
      </c>
      <c r="J6100">
        <f>SMALL(SimData5000!$C$9:$C$5008,1092)</f>
        <v>0.21551627833650855</v>
      </c>
      <c r="K6100">
        <f>1/(COUNT(SimData5000!$C$9:$C$5008)-1)+$K$6099</f>
        <v>0.21824364872975027</v>
      </c>
    </row>
    <row r="6101" spans="8:11">
      <c r="H6101">
        <f>SMALL(SimData5000!$B$9:$B$5008,1093)</f>
        <v>0.2184336103411004</v>
      </c>
      <c r="I6101">
        <f>1/(COUNT(SimData5000!$B$9:$B$5008)-1)+$I$6100</f>
        <v>0.21844368873775188</v>
      </c>
      <c r="J6101">
        <f>SMALL(SimData5000!$C$9:$C$5008,1093)</f>
        <v>0.21594256407115608</v>
      </c>
      <c r="K6101">
        <f>1/(COUNT(SimData5000!$C$9:$C$5008)-1)+$K$6100</f>
        <v>0.21844368873775188</v>
      </c>
    </row>
    <row r="6102" spans="8:11">
      <c r="H6102">
        <f>SMALL(SimData5000!$B$9:$B$5008,1094)</f>
        <v>0.21872629064524696</v>
      </c>
      <c r="I6102">
        <f>1/(COUNT(SimData5000!$B$9:$B$5008)-1)+$I$6101</f>
        <v>0.2186437287457535</v>
      </c>
      <c r="J6102">
        <f>SMALL(SimData5000!$C$9:$C$5008,1094)</f>
        <v>0.21605866051140765</v>
      </c>
      <c r="K6102">
        <f>1/(COUNT(SimData5000!$C$9:$C$5008)-1)+$K$6101</f>
        <v>0.2186437287457535</v>
      </c>
    </row>
    <row r="6103" spans="8:11">
      <c r="H6103">
        <f>SMALL(SimData5000!$B$9:$B$5008,1095)</f>
        <v>0.21892919988025197</v>
      </c>
      <c r="I6103">
        <f>1/(COUNT(SimData5000!$B$9:$B$5008)-1)+$I$6102</f>
        <v>0.21884376875375511</v>
      </c>
      <c r="J6103">
        <f>SMALL(SimData5000!$C$9:$C$5008,1095)</f>
        <v>0.21647512249819556</v>
      </c>
      <c r="K6103">
        <f>1/(COUNT(SimData5000!$C$9:$C$5008)-1)+$K$6102</f>
        <v>0.21884376875375511</v>
      </c>
    </row>
    <row r="6104" spans="8:11">
      <c r="H6104">
        <f>SMALL(SimData5000!$B$9:$B$5008,1096)</f>
        <v>0.21919105370733677</v>
      </c>
      <c r="I6104">
        <f>1/(COUNT(SimData5000!$B$9:$B$5008)-1)+$I$6103</f>
        <v>0.21904380876175672</v>
      </c>
      <c r="J6104">
        <f>SMALL(SimData5000!$C$9:$C$5008,1096)</f>
        <v>0.21667537976281892</v>
      </c>
      <c r="K6104">
        <f>1/(COUNT(SimData5000!$C$9:$C$5008)-1)+$K$6103</f>
        <v>0.21904380876175672</v>
      </c>
    </row>
    <row r="6105" spans="8:11">
      <c r="H6105">
        <f>SMALL(SimData5000!$B$9:$B$5008,1097)</f>
        <v>0.21929143487822531</v>
      </c>
      <c r="I6105">
        <f>1/(COUNT(SimData5000!$B$9:$B$5008)-1)+$I$6104</f>
        <v>0.21924384876975833</v>
      </c>
      <c r="J6105">
        <f>SMALL(SimData5000!$C$9:$C$5008,1097)</f>
        <v>0.2169030366694642</v>
      </c>
      <c r="K6105">
        <f>1/(COUNT(SimData5000!$C$9:$C$5008)-1)+$K$6104</f>
        <v>0.21924384876975833</v>
      </c>
    </row>
    <row r="6106" spans="8:11">
      <c r="H6106">
        <f>SMALL(SimData5000!$B$9:$B$5008,1098)</f>
        <v>0.21944188549826896</v>
      </c>
      <c r="I6106">
        <f>1/(COUNT(SimData5000!$B$9:$B$5008)-1)+$I$6105</f>
        <v>0.21944388877775994</v>
      </c>
      <c r="J6106">
        <f>SMALL(SimData5000!$C$9:$C$5008,1098)</f>
        <v>0.21692094111404003</v>
      </c>
      <c r="K6106">
        <f>1/(COUNT(SimData5000!$C$9:$C$5008)-1)+$K$6105</f>
        <v>0.21944388877775994</v>
      </c>
    </row>
    <row r="6107" spans="8:11">
      <c r="H6107">
        <f>SMALL(SimData5000!$B$9:$B$5008,1099)</f>
        <v>0.21967415644742413</v>
      </c>
      <c r="I6107">
        <f>1/(COUNT(SimData5000!$B$9:$B$5008)-1)+$I$6106</f>
        <v>0.21964392878576156</v>
      </c>
      <c r="J6107">
        <f>SMALL(SimData5000!$C$9:$C$5008,1099)</f>
        <v>0.21697613080141309</v>
      </c>
      <c r="K6107">
        <f>1/(COUNT(SimData5000!$C$9:$C$5008)-1)+$K$6106</f>
        <v>0.21964392878576156</v>
      </c>
    </row>
    <row r="6108" spans="8:11">
      <c r="H6108">
        <f>SMALL(SimData5000!$B$9:$B$5008,1100)</f>
        <v>0.21998873483119269</v>
      </c>
      <c r="I6108">
        <f>1/(COUNT(SimData5000!$B$9:$B$5008)-1)+$I$6107</f>
        <v>0.21984396879376317</v>
      </c>
      <c r="J6108">
        <f>SMALL(SimData5000!$C$9:$C$5008,1100)</f>
        <v>0.21698607881990029</v>
      </c>
      <c r="K6108">
        <f>1/(COUNT(SimData5000!$C$9:$C$5008)-1)+$K$6107</f>
        <v>0.21984396879376317</v>
      </c>
    </row>
    <row r="6109" spans="8:11">
      <c r="H6109">
        <f>SMALL(SimData5000!$B$9:$B$5008,1101)</f>
        <v>0.2200259901182321</v>
      </c>
      <c r="I6109">
        <f>1/(COUNT(SimData5000!$B$9:$B$5008)-1)+$I$6108</f>
        <v>0.22004400880176478</v>
      </c>
      <c r="J6109">
        <f>SMALL(SimData5000!$C$9:$C$5008,1101)</f>
        <v>0.21726162710638164</v>
      </c>
      <c r="K6109">
        <f>1/(COUNT(SimData5000!$C$9:$C$5008)-1)+$K$6108</f>
        <v>0.22004400880176478</v>
      </c>
    </row>
    <row r="6110" spans="8:11">
      <c r="H6110">
        <f>SMALL(SimData5000!$B$9:$B$5008,1102)</f>
        <v>0.22038417396177171</v>
      </c>
      <c r="I6110">
        <f>1/(COUNT(SimData5000!$B$9:$B$5008)-1)+$I$6109</f>
        <v>0.22024404880976639</v>
      </c>
      <c r="J6110">
        <f>SMALL(SimData5000!$C$9:$C$5008,1102)</f>
        <v>0.21737571608719009</v>
      </c>
      <c r="K6110">
        <f>1/(COUNT(SimData5000!$C$9:$C$5008)-1)+$K$6109</f>
        <v>0.22024404880976639</v>
      </c>
    </row>
    <row r="6111" spans="8:11">
      <c r="H6111">
        <f>SMALL(SimData5000!$B$9:$B$5008,1103)</f>
        <v>0.22044929320473439</v>
      </c>
      <c r="I6111">
        <f>1/(COUNT(SimData5000!$B$9:$B$5008)-1)+$I$6110</f>
        <v>0.220444088817768</v>
      </c>
      <c r="J6111">
        <f>SMALL(SimData5000!$C$9:$C$5008,1103)</f>
        <v>0.2174389711162803</v>
      </c>
      <c r="K6111">
        <f>1/(COUNT(SimData5000!$C$9:$C$5008)-1)+$K$6110</f>
        <v>0.220444088817768</v>
      </c>
    </row>
    <row r="6112" spans="8:11">
      <c r="H6112">
        <f>SMALL(SimData5000!$B$9:$B$5008,1104)</f>
        <v>0.22078869026596395</v>
      </c>
      <c r="I6112">
        <f>1/(COUNT(SimData5000!$B$9:$B$5008)-1)+$I$6111</f>
        <v>0.22064412882576961</v>
      </c>
      <c r="J6112">
        <f>SMALL(SimData5000!$C$9:$C$5008,1104)</f>
        <v>0.21749795781215653</v>
      </c>
      <c r="K6112">
        <f>1/(COUNT(SimData5000!$C$9:$C$5008)-1)+$K$6111</f>
        <v>0.22064412882576961</v>
      </c>
    </row>
    <row r="6113" spans="8:11">
      <c r="H6113">
        <f>SMALL(SimData5000!$B$9:$B$5008,1105)</f>
        <v>0.2209390270496111</v>
      </c>
      <c r="I6113">
        <f>1/(COUNT(SimData5000!$B$9:$B$5008)-1)+$I$6112</f>
        <v>0.22084416883377123</v>
      </c>
      <c r="J6113">
        <f>SMALL(SimData5000!$C$9:$C$5008,1105)</f>
        <v>0.2176554297703035</v>
      </c>
      <c r="K6113">
        <f>1/(COUNT(SimData5000!$C$9:$C$5008)-1)+$K$6112</f>
        <v>0.22084416883377123</v>
      </c>
    </row>
    <row r="6114" spans="8:11">
      <c r="H6114">
        <f>SMALL(SimData5000!$B$9:$B$5008,1106)</f>
        <v>0.22110551749717106</v>
      </c>
      <c r="I6114">
        <f>1/(COUNT(SimData5000!$B$9:$B$5008)-1)+$I$6113</f>
        <v>0.22104420884177284</v>
      </c>
      <c r="J6114">
        <f>SMALL(SimData5000!$C$9:$C$5008,1106)</f>
        <v>0.21782672530389391</v>
      </c>
      <c r="K6114">
        <f>1/(COUNT(SimData5000!$C$9:$C$5008)-1)+$K$6113</f>
        <v>0.22104420884177284</v>
      </c>
    </row>
    <row r="6115" spans="8:11">
      <c r="H6115">
        <f>SMALL(SimData5000!$B$9:$B$5008,1107)</f>
        <v>0.22122881434346292</v>
      </c>
      <c r="I6115">
        <f>1/(COUNT(SimData5000!$B$9:$B$5008)-1)+$I$6114</f>
        <v>0.22124424884977445</v>
      </c>
      <c r="J6115">
        <f>SMALL(SimData5000!$C$9:$C$5008,1107)</f>
        <v>0.21790845905525202</v>
      </c>
      <c r="K6115">
        <f>1/(COUNT(SimData5000!$C$9:$C$5008)-1)+$K$6114</f>
        <v>0.22124424884977445</v>
      </c>
    </row>
    <row r="6116" spans="8:11">
      <c r="H6116">
        <f>SMALL(SimData5000!$B$9:$B$5008,1108)</f>
        <v>0.22149657769973774</v>
      </c>
      <c r="I6116">
        <f>1/(COUNT(SimData5000!$B$9:$B$5008)-1)+$I$6115</f>
        <v>0.22144428885777606</v>
      </c>
      <c r="J6116">
        <f>SMALL(SimData5000!$C$9:$C$5008,1108)</f>
        <v>0.21797178022370645</v>
      </c>
      <c r="K6116">
        <f>1/(COUNT(SimData5000!$C$9:$C$5008)-1)+$K$6115</f>
        <v>0.22144428885777606</v>
      </c>
    </row>
    <row r="6117" spans="8:11">
      <c r="H6117">
        <f>SMALL(SimData5000!$B$9:$B$5008,1109)</f>
        <v>0.22169828908282757</v>
      </c>
      <c r="I6117">
        <f>1/(COUNT(SimData5000!$B$9:$B$5008)-1)+$I$6116</f>
        <v>0.22164432886577767</v>
      </c>
      <c r="J6117">
        <f>SMALL(SimData5000!$C$9:$C$5008,1109)</f>
        <v>0.21824323123200884</v>
      </c>
      <c r="K6117">
        <f>1/(COUNT(SimData5000!$C$9:$C$5008)-1)+$K$6116</f>
        <v>0.22164432886577767</v>
      </c>
    </row>
    <row r="6118" spans="8:11">
      <c r="H6118">
        <f>SMALL(SimData5000!$B$9:$B$5008,1110)</f>
        <v>0.22199971078825179</v>
      </c>
      <c r="I6118">
        <f>1/(COUNT(SimData5000!$B$9:$B$5008)-1)+$I$6117</f>
        <v>0.22184436887377929</v>
      </c>
      <c r="J6118">
        <f>SMALL(SimData5000!$C$9:$C$5008,1110)</f>
        <v>0.2183967396567823</v>
      </c>
      <c r="K6118">
        <f>1/(COUNT(SimData5000!$C$9:$C$5008)-1)+$K$6117</f>
        <v>0.22184436887377929</v>
      </c>
    </row>
    <row r="6119" spans="8:11">
      <c r="H6119">
        <f>SMALL(SimData5000!$B$9:$B$5008,1111)</f>
        <v>0.22209137518403385</v>
      </c>
      <c r="I6119">
        <f>1/(COUNT(SimData5000!$B$9:$B$5008)-1)+$I$6118</f>
        <v>0.2220444088817809</v>
      </c>
      <c r="J6119">
        <f>SMALL(SimData5000!$C$9:$C$5008,1111)</f>
        <v>0.21855744481854344</v>
      </c>
      <c r="K6119">
        <f>1/(COUNT(SimData5000!$C$9:$C$5008)-1)+$K$6118</f>
        <v>0.2220444088817809</v>
      </c>
    </row>
    <row r="6120" spans="8:11">
      <c r="H6120">
        <f>SMALL(SimData5000!$B$9:$B$5008,1112)</f>
        <v>0.2222118661512183</v>
      </c>
      <c r="I6120">
        <f>1/(COUNT(SimData5000!$B$9:$B$5008)-1)+$I$6119</f>
        <v>0.22224444888978251</v>
      </c>
      <c r="J6120">
        <f>SMALL(SimData5000!$C$9:$C$5008,1112)</f>
        <v>0.21896306375583663</v>
      </c>
      <c r="K6120">
        <f>1/(COUNT(SimData5000!$C$9:$C$5008)-1)+$K$6119</f>
        <v>0.22224444888978251</v>
      </c>
    </row>
    <row r="6121" spans="8:11">
      <c r="H6121">
        <f>SMALL(SimData5000!$B$9:$B$5008,1113)</f>
        <v>0.22245765014250241</v>
      </c>
      <c r="I6121">
        <f>1/(COUNT(SimData5000!$B$9:$B$5008)-1)+$I$6120</f>
        <v>0.22244448889778412</v>
      </c>
      <c r="J6121">
        <f>SMALL(SimData5000!$C$9:$C$5008,1113)</f>
        <v>0.21901666450685298</v>
      </c>
      <c r="K6121">
        <f>1/(COUNT(SimData5000!$C$9:$C$5008)-1)+$K$6120</f>
        <v>0.22244448889778412</v>
      </c>
    </row>
    <row r="6122" spans="8:11">
      <c r="H6122">
        <f>SMALL(SimData5000!$B$9:$B$5008,1114)</f>
        <v>0.22261146781216642</v>
      </c>
      <c r="I6122">
        <f>1/(COUNT(SimData5000!$B$9:$B$5008)-1)+$I$6121</f>
        <v>0.22264452890578573</v>
      </c>
      <c r="J6122">
        <f>SMALL(SimData5000!$C$9:$C$5008,1114)</f>
        <v>0.21929554779853788</v>
      </c>
      <c r="K6122">
        <f>1/(COUNT(SimData5000!$C$9:$C$5008)-1)+$K$6121</f>
        <v>0.22264452890578573</v>
      </c>
    </row>
    <row r="6123" spans="8:11">
      <c r="H6123">
        <f>SMALL(SimData5000!$B$9:$B$5008,1115)</f>
        <v>0.22290441888722229</v>
      </c>
      <c r="I6123">
        <f>1/(COUNT(SimData5000!$B$9:$B$5008)-1)+$I$6122</f>
        <v>0.22284456891378734</v>
      </c>
      <c r="J6123">
        <f>SMALL(SimData5000!$C$9:$C$5008,1115)</f>
        <v>0.21940299709149258</v>
      </c>
      <c r="K6123">
        <f>1/(COUNT(SimData5000!$C$9:$C$5008)-1)+$K$6122</f>
        <v>0.22284456891378734</v>
      </c>
    </row>
    <row r="6124" spans="8:11">
      <c r="H6124">
        <f>SMALL(SimData5000!$B$9:$B$5008,1116)</f>
        <v>0.2230092116881649</v>
      </c>
      <c r="I6124">
        <f>1/(COUNT(SimData5000!$B$9:$B$5008)-1)+$I$6123</f>
        <v>0.22304460892178896</v>
      </c>
      <c r="J6124">
        <f>SMALL(SimData5000!$C$9:$C$5008,1116)</f>
        <v>0.21957090211890318</v>
      </c>
      <c r="K6124">
        <f>1/(COUNT(SimData5000!$C$9:$C$5008)-1)+$K$6123</f>
        <v>0.22304460892178896</v>
      </c>
    </row>
    <row r="6125" spans="8:11">
      <c r="H6125">
        <f>SMALL(SimData5000!$B$9:$B$5008,1117)</f>
        <v>0.22339388661174894</v>
      </c>
      <c r="I6125">
        <f>1/(COUNT(SimData5000!$B$9:$B$5008)-1)+$I$6124</f>
        <v>0.22324464892979057</v>
      </c>
      <c r="J6125">
        <f>SMALL(SimData5000!$C$9:$C$5008,1117)</f>
        <v>0.21996947281149914</v>
      </c>
      <c r="K6125">
        <f>1/(COUNT(SimData5000!$C$9:$C$5008)-1)+$K$6124</f>
        <v>0.22324464892979057</v>
      </c>
    </row>
    <row r="6126" spans="8:11">
      <c r="H6126">
        <f>SMALL(SimData5000!$B$9:$B$5008,1118)</f>
        <v>0.22354990107741901</v>
      </c>
      <c r="I6126">
        <f>1/(COUNT(SimData5000!$B$9:$B$5008)-1)+$I$6125</f>
        <v>0.22344468893779218</v>
      </c>
      <c r="J6126">
        <f>SMALL(SimData5000!$C$9:$C$5008,1118)</f>
        <v>0.22006313110068731</v>
      </c>
      <c r="K6126">
        <f>1/(COUNT(SimData5000!$C$9:$C$5008)-1)+$K$6125</f>
        <v>0.22344468893779218</v>
      </c>
    </row>
    <row r="6127" spans="8:11">
      <c r="H6127">
        <f>SMALL(SimData5000!$B$9:$B$5008,1119)</f>
        <v>0.22372842435169232</v>
      </c>
      <c r="I6127">
        <f>1/(COUNT(SimData5000!$B$9:$B$5008)-1)+$I$6126</f>
        <v>0.22364472894579379</v>
      </c>
      <c r="J6127">
        <f>SMALL(SimData5000!$C$9:$C$5008,1119)</f>
        <v>0.22007221159765322</v>
      </c>
      <c r="K6127">
        <f>1/(COUNT(SimData5000!$C$9:$C$5008)-1)+$K$6126</f>
        <v>0.22364472894579379</v>
      </c>
    </row>
    <row r="6128" spans="8:11">
      <c r="H6128">
        <f>SMALL(SimData5000!$B$9:$B$5008,1120)</f>
        <v>0.22388075919968092</v>
      </c>
      <c r="I6128">
        <f>1/(COUNT(SimData5000!$B$9:$B$5008)-1)+$I$6127</f>
        <v>0.2238447689537954</v>
      </c>
      <c r="J6128">
        <f>SMALL(SimData5000!$C$9:$C$5008,1120)</f>
        <v>0.22047591135924449</v>
      </c>
      <c r="K6128">
        <f>1/(COUNT(SimData5000!$C$9:$C$5008)-1)+$K$6127</f>
        <v>0.2238447689537954</v>
      </c>
    </row>
    <row r="6129" spans="8:11">
      <c r="H6129">
        <f>SMALL(SimData5000!$B$9:$B$5008,1121)</f>
        <v>0.22413815320984881</v>
      </c>
      <c r="I6129">
        <f>1/(COUNT(SimData5000!$B$9:$B$5008)-1)+$I$6128</f>
        <v>0.22404480896179702</v>
      </c>
      <c r="J6129">
        <f>SMALL(SimData5000!$C$9:$C$5008,1121)</f>
        <v>0.22055840344819444</v>
      </c>
      <c r="K6129">
        <f>1/(COUNT(SimData5000!$C$9:$C$5008)-1)+$K$6128</f>
        <v>0.22404480896179702</v>
      </c>
    </row>
    <row r="6130" spans="8:11">
      <c r="H6130">
        <f>SMALL(SimData5000!$B$9:$B$5008,1122)</f>
        <v>0.22432502387718414</v>
      </c>
      <c r="I6130">
        <f>1/(COUNT(SimData5000!$B$9:$B$5008)-1)+$I$6129</f>
        <v>0.22424484896979863</v>
      </c>
      <c r="J6130">
        <f>SMALL(SimData5000!$C$9:$C$5008,1122)</f>
        <v>0.22058058309539774</v>
      </c>
      <c r="K6130">
        <f>1/(COUNT(SimData5000!$C$9:$C$5008)-1)+$K$6129</f>
        <v>0.22424484896979863</v>
      </c>
    </row>
    <row r="6131" spans="8:11">
      <c r="H6131">
        <f>SMALL(SimData5000!$B$9:$B$5008,1123)</f>
        <v>0.2244292897757211</v>
      </c>
      <c r="I6131">
        <f>1/(COUNT(SimData5000!$B$9:$B$5008)-1)+$I$6130</f>
        <v>0.22444488897780024</v>
      </c>
      <c r="J6131">
        <f>SMALL(SimData5000!$C$9:$C$5008,1123)</f>
        <v>0.22059815348802658</v>
      </c>
      <c r="K6131">
        <f>1/(COUNT(SimData5000!$C$9:$C$5008)-1)+$K$6130</f>
        <v>0.22444488897780024</v>
      </c>
    </row>
    <row r="6132" spans="8:11">
      <c r="H6132">
        <f>SMALL(SimData5000!$B$9:$B$5008,1124)</f>
        <v>0.22474001475878527</v>
      </c>
      <c r="I6132">
        <f>1/(COUNT(SimData5000!$B$9:$B$5008)-1)+$I$6131</f>
        <v>0.22464492898580185</v>
      </c>
      <c r="J6132">
        <f>SMALL(SimData5000!$C$9:$C$5008,1124)</f>
        <v>0.22070959460417328</v>
      </c>
      <c r="K6132">
        <f>1/(COUNT(SimData5000!$C$9:$C$5008)-1)+$K$6131</f>
        <v>0.22464492898580185</v>
      </c>
    </row>
    <row r="6133" spans="8:11">
      <c r="H6133">
        <f>SMALL(SimData5000!$B$9:$B$5008,1125)</f>
        <v>0.22490175675235263</v>
      </c>
      <c r="I6133">
        <f>1/(COUNT(SimData5000!$B$9:$B$5008)-1)+$I$6132</f>
        <v>0.22484496899380346</v>
      </c>
      <c r="J6133">
        <f>SMALL(SimData5000!$C$9:$C$5008,1125)</f>
        <v>0.22077704147613986</v>
      </c>
      <c r="K6133">
        <f>1/(COUNT(SimData5000!$C$9:$C$5008)-1)+$K$6132</f>
        <v>0.22484496899380346</v>
      </c>
    </row>
    <row r="6134" spans="8:11">
      <c r="H6134">
        <f>SMALL(SimData5000!$B$9:$B$5008,1126)</f>
        <v>0.22518560820719821</v>
      </c>
      <c r="I6134">
        <f>1/(COUNT(SimData5000!$B$9:$B$5008)-1)+$I$6133</f>
        <v>0.22504500900180507</v>
      </c>
      <c r="J6134">
        <f>SMALL(SimData5000!$C$9:$C$5008,1126)</f>
        <v>0.22099610916032475</v>
      </c>
      <c r="K6134">
        <f>1/(COUNT(SimData5000!$C$9:$C$5008)-1)+$K$6133</f>
        <v>0.22504500900180507</v>
      </c>
    </row>
    <row r="6135" spans="8:11">
      <c r="H6135">
        <f>SMALL(SimData5000!$B$9:$B$5008,1127)</f>
        <v>0.22530439946816874</v>
      </c>
      <c r="I6135">
        <f>1/(COUNT(SimData5000!$B$9:$B$5008)-1)+$I$6134</f>
        <v>0.22524504900980669</v>
      </c>
      <c r="J6135">
        <f>SMALL(SimData5000!$C$9:$C$5008,1127)</f>
        <v>0.22101230511179892</v>
      </c>
      <c r="K6135">
        <f>1/(COUNT(SimData5000!$C$9:$C$5008)-1)+$K$6134</f>
        <v>0.22524504900980669</v>
      </c>
    </row>
    <row r="6136" spans="8:11">
      <c r="H6136">
        <f>SMALL(SimData5000!$B$9:$B$5008,1128)</f>
        <v>0.22558180345780723</v>
      </c>
      <c r="I6136">
        <f>1/(COUNT(SimData5000!$B$9:$B$5008)-1)+$I$6135</f>
        <v>0.2254450890178083</v>
      </c>
      <c r="J6136">
        <f>SMALL(SimData5000!$C$9:$C$5008,1128)</f>
        <v>0.22120070311211748</v>
      </c>
      <c r="K6136">
        <f>1/(COUNT(SimData5000!$C$9:$C$5008)-1)+$K$6135</f>
        <v>0.2254450890178083</v>
      </c>
    </row>
    <row r="6137" spans="8:11">
      <c r="H6137">
        <f>SMALL(SimData5000!$B$9:$B$5008,1129)</f>
        <v>0.22561898040911624</v>
      </c>
      <c r="I6137">
        <f>1/(COUNT(SimData5000!$B$9:$B$5008)-1)+$I$6136</f>
        <v>0.22564512902580991</v>
      </c>
      <c r="J6137">
        <f>SMALL(SimData5000!$C$9:$C$5008,1129)</f>
        <v>0.22132042123757856</v>
      </c>
      <c r="K6137">
        <f>1/(COUNT(SimData5000!$C$9:$C$5008)-1)+$K$6136</f>
        <v>0.22564512902580991</v>
      </c>
    </row>
    <row r="6138" spans="8:11">
      <c r="H6138">
        <f>SMALL(SimData5000!$B$9:$B$5008,1130)</f>
        <v>0.22591637412303045</v>
      </c>
      <c r="I6138">
        <f>1/(COUNT(SimData5000!$B$9:$B$5008)-1)+$I$6137</f>
        <v>0.22584516903381152</v>
      </c>
      <c r="J6138">
        <f>SMALL(SimData5000!$C$9:$C$5008,1130)</f>
        <v>0.22134380657098518</v>
      </c>
      <c r="K6138">
        <f>1/(COUNT(SimData5000!$C$9:$C$5008)-1)+$K$6137</f>
        <v>0.22584516903381152</v>
      </c>
    </row>
    <row r="6139" spans="8:11">
      <c r="H6139">
        <f>SMALL(SimData5000!$B$9:$B$5008,1131)</f>
        <v>0.22612512313181654</v>
      </c>
      <c r="I6139">
        <f>1/(COUNT(SimData5000!$B$9:$B$5008)-1)+$I$6138</f>
        <v>0.22604520904181313</v>
      </c>
      <c r="J6139">
        <f>SMALL(SimData5000!$C$9:$C$5008,1131)</f>
        <v>0.22190011091242923</v>
      </c>
      <c r="K6139">
        <f>1/(COUNT(SimData5000!$C$9:$C$5008)-1)+$K$6138</f>
        <v>0.22604520904181313</v>
      </c>
    </row>
    <row r="6140" spans="8:11">
      <c r="H6140">
        <f>SMALL(SimData5000!$B$9:$B$5008,1132)</f>
        <v>0.22632577639811807</v>
      </c>
      <c r="I6140">
        <f>1/(COUNT(SimData5000!$B$9:$B$5008)-1)+$I$6139</f>
        <v>0.22624524904981475</v>
      </c>
      <c r="J6140">
        <f>SMALL(SimData5000!$C$9:$C$5008,1132)</f>
        <v>0.22196669381628453</v>
      </c>
      <c r="K6140">
        <f>1/(COUNT(SimData5000!$C$9:$C$5008)-1)+$K$6139</f>
        <v>0.22624524904981475</v>
      </c>
    </row>
    <row r="6141" spans="8:11">
      <c r="H6141">
        <f>SMALL(SimData5000!$B$9:$B$5008,1133)</f>
        <v>0.22640596924107662</v>
      </c>
      <c r="I6141">
        <f>1/(COUNT(SimData5000!$B$9:$B$5008)-1)+$I$6140</f>
        <v>0.22644528905781636</v>
      </c>
      <c r="J6141">
        <f>SMALL(SimData5000!$C$9:$C$5008,1133)</f>
        <v>0.22227022447259515</v>
      </c>
      <c r="K6141">
        <f>1/(COUNT(SimData5000!$C$9:$C$5008)-1)+$K$6140</f>
        <v>0.22644528905781636</v>
      </c>
    </row>
    <row r="6142" spans="8:11">
      <c r="H6142">
        <f>SMALL(SimData5000!$B$9:$B$5008,1134)</f>
        <v>0.22662537703756835</v>
      </c>
      <c r="I6142">
        <f>1/(COUNT(SimData5000!$B$9:$B$5008)-1)+$I$6141</f>
        <v>0.22664532906581797</v>
      </c>
      <c r="J6142">
        <f>SMALL(SimData5000!$C$9:$C$5008,1134)</f>
        <v>0.22227548042883427</v>
      </c>
      <c r="K6142">
        <f>1/(COUNT(SimData5000!$C$9:$C$5008)-1)+$K$6141</f>
        <v>0.22664532906581797</v>
      </c>
    </row>
    <row r="6143" spans="8:11">
      <c r="H6143">
        <f>SMALL(SimData5000!$B$9:$B$5008,1135)</f>
        <v>0.22693149901775911</v>
      </c>
      <c r="I6143">
        <f>1/(COUNT(SimData5000!$B$9:$B$5008)-1)+$I$6142</f>
        <v>0.22684536907381958</v>
      </c>
      <c r="J6143">
        <f>SMALL(SimData5000!$C$9:$C$5008,1135)</f>
        <v>0.22228430048562586</v>
      </c>
      <c r="K6143">
        <f>1/(COUNT(SimData5000!$C$9:$C$5008)-1)+$K$6142</f>
        <v>0.22684536907381958</v>
      </c>
    </row>
    <row r="6144" spans="8:11">
      <c r="H6144">
        <f>SMALL(SimData5000!$B$9:$B$5008,1136)</f>
        <v>0.22713443652850909</v>
      </c>
      <c r="I6144">
        <f>1/(COUNT(SimData5000!$B$9:$B$5008)-1)+$I$6143</f>
        <v>0.22704540908182119</v>
      </c>
      <c r="J6144">
        <f>SMALL(SimData5000!$C$9:$C$5008,1136)</f>
        <v>0.22246525350419688</v>
      </c>
      <c r="K6144">
        <f>1/(COUNT(SimData5000!$C$9:$C$5008)-1)+$K$6143</f>
        <v>0.22704540908182119</v>
      </c>
    </row>
    <row r="6145" spans="8:11">
      <c r="H6145">
        <f>SMALL(SimData5000!$B$9:$B$5008,1137)</f>
        <v>0.22722876878847106</v>
      </c>
      <c r="I6145">
        <f>1/(COUNT(SimData5000!$B$9:$B$5008)-1)+$I$6144</f>
        <v>0.2272454490898228</v>
      </c>
      <c r="J6145">
        <f>SMALL(SimData5000!$C$9:$C$5008,1137)</f>
        <v>0.22255052438322309</v>
      </c>
      <c r="K6145">
        <f>1/(COUNT(SimData5000!$C$9:$C$5008)-1)+$K$6144</f>
        <v>0.2272454490898228</v>
      </c>
    </row>
    <row r="6146" spans="8:11">
      <c r="H6146">
        <f>SMALL(SimData5000!$B$9:$B$5008,1138)</f>
        <v>0.22750411270230639</v>
      </c>
      <c r="I6146">
        <f>1/(COUNT(SimData5000!$B$9:$B$5008)-1)+$I$6145</f>
        <v>0.22744548909782442</v>
      </c>
      <c r="J6146">
        <f>SMALL(SimData5000!$C$9:$C$5008,1138)</f>
        <v>0.22277287766792142</v>
      </c>
      <c r="K6146">
        <f>1/(COUNT(SimData5000!$C$9:$C$5008)-1)+$K$6145</f>
        <v>0.22744548909782442</v>
      </c>
    </row>
    <row r="6147" spans="8:11">
      <c r="H6147">
        <f>SMALL(SimData5000!$B$9:$B$5008,1139)</f>
        <v>0.22766978621498443</v>
      </c>
      <c r="I6147">
        <f>1/(COUNT(SimData5000!$B$9:$B$5008)-1)+$I$6146</f>
        <v>0.22764552910582603</v>
      </c>
      <c r="J6147">
        <f>SMALL(SimData5000!$C$9:$C$5008,1139)</f>
        <v>0.2228812067733088</v>
      </c>
      <c r="K6147">
        <f>1/(COUNT(SimData5000!$C$9:$C$5008)-1)+$K$6146</f>
        <v>0.22764552910582603</v>
      </c>
    </row>
    <row r="6148" spans="8:11">
      <c r="H6148">
        <f>SMALL(SimData5000!$B$9:$B$5008,1140)</f>
        <v>0.22786294355519648</v>
      </c>
      <c r="I6148">
        <f>1/(COUNT(SimData5000!$B$9:$B$5008)-1)+$I$6147</f>
        <v>0.22784556911382764</v>
      </c>
      <c r="J6148">
        <f>SMALL(SimData5000!$C$9:$C$5008,1140)</f>
        <v>0.22293677944890078</v>
      </c>
      <c r="K6148">
        <f>1/(COUNT(SimData5000!$C$9:$C$5008)-1)+$K$6147</f>
        <v>0.22784556911382764</v>
      </c>
    </row>
    <row r="6149" spans="8:11">
      <c r="H6149">
        <f>SMALL(SimData5000!$B$9:$B$5008,1141)</f>
        <v>0.22819721151757921</v>
      </c>
      <c r="I6149">
        <f>1/(COUNT(SimData5000!$B$9:$B$5008)-1)+$I$6148</f>
        <v>0.22804560912182925</v>
      </c>
      <c r="J6149">
        <f>SMALL(SimData5000!$C$9:$C$5008,1141)</f>
        <v>0.22313274697989982</v>
      </c>
      <c r="K6149">
        <f>1/(COUNT(SimData5000!$C$9:$C$5008)-1)+$K$6148</f>
        <v>0.22804560912182925</v>
      </c>
    </row>
    <row r="6150" spans="8:11">
      <c r="H6150">
        <f>SMALL(SimData5000!$B$9:$B$5008,1142)</f>
        <v>0.22826948796707894</v>
      </c>
      <c r="I6150">
        <f>1/(COUNT(SimData5000!$B$9:$B$5008)-1)+$I$6149</f>
        <v>0.22824564912983086</v>
      </c>
      <c r="J6150">
        <f>SMALL(SimData5000!$C$9:$C$5008,1142)</f>
        <v>0.2232111976845772</v>
      </c>
      <c r="K6150">
        <f>1/(COUNT(SimData5000!$C$9:$C$5008)-1)+$K$6149</f>
        <v>0.22824564912983086</v>
      </c>
    </row>
    <row r="6151" spans="8:11">
      <c r="H6151">
        <f>SMALL(SimData5000!$B$9:$B$5008,1143)</f>
        <v>0.22841391121023658</v>
      </c>
      <c r="I6151">
        <f>1/(COUNT(SimData5000!$B$9:$B$5008)-1)+$I$6150</f>
        <v>0.22844568913783247</v>
      </c>
      <c r="J6151">
        <f>SMALL(SimData5000!$C$9:$C$5008,1143)</f>
        <v>0.22370159382080601</v>
      </c>
      <c r="K6151">
        <f>1/(COUNT(SimData5000!$C$9:$C$5008)-1)+$K$6150</f>
        <v>0.22844568913783247</v>
      </c>
    </row>
    <row r="6152" spans="8:11">
      <c r="H6152">
        <f>SMALL(SimData5000!$B$9:$B$5008,1144)</f>
        <v>0.2287573516108462</v>
      </c>
      <c r="I6152">
        <f>1/(COUNT(SimData5000!$B$9:$B$5008)-1)+$I$6151</f>
        <v>0.22864572914583409</v>
      </c>
      <c r="J6152">
        <f>SMALL(SimData5000!$C$9:$C$5008,1144)</f>
        <v>0.22381720115663484</v>
      </c>
      <c r="K6152">
        <f>1/(COUNT(SimData5000!$C$9:$C$5008)-1)+$K$6151</f>
        <v>0.22864572914583409</v>
      </c>
    </row>
    <row r="6153" spans="8:11">
      <c r="H6153">
        <f>SMALL(SimData5000!$B$9:$B$5008,1145)</f>
        <v>0.22896823141145711</v>
      </c>
      <c r="I6153">
        <f>1/(COUNT(SimData5000!$B$9:$B$5008)-1)+$I$6152</f>
        <v>0.2288457691538357</v>
      </c>
      <c r="J6153">
        <f>SMALL(SimData5000!$C$9:$C$5008,1145)</f>
        <v>0.22400777250186366</v>
      </c>
      <c r="K6153">
        <f>1/(COUNT(SimData5000!$C$9:$C$5008)-1)+$K$6152</f>
        <v>0.2288457691538357</v>
      </c>
    </row>
    <row r="6154" spans="8:11">
      <c r="H6154">
        <f>SMALL(SimData5000!$B$9:$B$5008,1146)</f>
        <v>0.22912413943422125</v>
      </c>
      <c r="I6154">
        <f>1/(COUNT(SimData5000!$B$9:$B$5008)-1)+$I$6153</f>
        <v>0.22904580916183731</v>
      </c>
      <c r="J6154">
        <f>SMALL(SimData5000!$C$9:$C$5008,1146)</f>
        <v>0.22412221416470857</v>
      </c>
      <c r="K6154">
        <f>1/(COUNT(SimData5000!$C$9:$C$5008)-1)+$K$6153</f>
        <v>0.22904580916183731</v>
      </c>
    </row>
    <row r="6155" spans="8:11">
      <c r="H6155">
        <f>SMALL(SimData5000!$B$9:$B$5008,1147)</f>
        <v>0.22935448816003148</v>
      </c>
      <c r="I6155">
        <f>1/(COUNT(SimData5000!$B$9:$B$5008)-1)+$I$6154</f>
        <v>0.22924584916983892</v>
      </c>
      <c r="J6155">
        <f>SMALL(SimData5000!$C$9:$C$5008,1147)</f>
        <v>0.22435873159522046</v>
      </c>
      <c r="K6155">
        <f>1/(COUNT(SimData5000!$C$9:$C$5008)-1)+$K$6154</f>
        <v>0.22924584916983892</v>
      </c>
    </row>
    <row r="6156" spans="8:11">
      <c r="H6156">
        <f>SMALL(SimData5000!$B$9:$B$5008,1148)</f>
        <v>0.2295942560577752</v>
      </c>
      <c r="I6156">
        <f>1/(COUNT(SimData5000!$B$9:$B$5008)-1)+$I$6155</f>
        <v>0.22944588917784053</v>
      </c>
      <c r="J6156">
        <f>SMALL(SimData5000!$C$9:$C$5008,1148)</f>
        <v>0.22516464976069983</v>
      </c>
      <c r="K6156">
        <f>1/(COUNT(SimData5000!$C$9:$C$5008)-1)+$K$6155</f>
        <v>0.22944588917784053</v>
      </c>
    </row>
    <row r="6157" spans="8:11">
      <c r="H6157">
        <f>SMALL(SimData5000!$B$9:$B$5008,1149)</f>
        <v>0.22973799651701424</v>
      </c>
      <c r="I6157">
        <f>1/(COUNT(SimData5000!$B$9:$B$5008)-1)+$I$6156</f>
        <v>0.22964592918584215</v>
      </c>
      <c r="J6157">
        <f>SMALL(SimData5000!$C$9:$C$5008,1149)</f>
        <v>0.2253157988525345</v>
      </c>
      <c r="K6157">
        <f>1/(COUNT(SimData5000!$C$9:$C$5008)-1)+$K$6156</f>
        <v>0.22964592918584215</v>
      </c>
    </row>
    <row r="6158" spans="8:11">
      <c r="H6158">
        <f>SMALL(SimData5000!$B$9:$B$5008,1150)</f>
        <v>0.22994105977084045</v>
      </c>
      <c r="I6158">
        <f>1/(COUNT(SimData5000!$B$9:$B$5008)-1)+$I$6157</f>
        <v>0.22984596919384376</v>
      </c>
      <c r="J6158">
        <f>SMALL(SimData5000!$C$9:$C$5008,1150)</f>
        <v>0.22532620093170408</v>
      </c>
      <c r="K6158">
        <f>1/(COUNT(SimData5000!$C$9:$C$5008)-1)+$K$6157</f>
        <v>0.22984596919384376</v>
      </c>
    </row>
    <row r="6159" spans="8:11">
      <c r="H6159">
        <f>SMALL(SimData5000!$B$9:$B$5008,1151)</f>
        <v>0.23010760661543059</v>
      </c>
      <c r="I6159">
        <f>1/(COUNT(SimData5000!$B$9:$B$5008)-1)+$I$6158</f>
        <v>0.23004600920184537</v>
      </c>
      <c r="J6159">
        <f>SMALL(SimData5000!$C$9:$C$5008,1151)</f>
        <v>0.22562967589647087</v>
      </c>
      <c r="K6159">
        <f>1/(COUNT(SimData5000!$C$9:$C$5008)-1)+$K$6158</f>
        <v>0.23004600920184537</v>
      </c>
    </row>
    <row r="6160" spans="8:11">
      <c r="H6160">
        <f>SMALL(SimData5000!$B$9:$B$5008,1152)</f>
        <v>0.23024072660399619</v>
      </c>
      <c r="I6160">
        <f>1/(COUNT(SimData5000!$B$9:$B$5008)-1)+$I$6159</f>
        <v>0.23024604920984698</v>
      </c>
      <c r="J6160">
        <f>SMALL(SimData5000!$C$9:$C$5008,1152)</f>
        <v>0.22597815794327403</v>
      </c>
      <c r="K6160">
        <f>1/(COUNT(SimData5000!$C$9:$C$5008)-1)+$K$6159</f>
        <v>0.23024604920984698</v>
      </c>
    </row>
    <row r="6161" spans="8:11">
      <c r="H6161">
        <f>SMALL(SimData5000!$B$9:$B$5008,1153)</f>
        <v>0.23052378719894304</v>
      </c>
      <c r="I6161">
        <f>1/(COUNT(SimData5000!$B$9:$B$5008)-1)+$I$6160</f>
        <v>0.23044608921784859</v>
      </c>
      <c r="J6161">
        <f>SMALL(SimData5000!$C$9:$C$5008,1153)</f>
        <v>0.22602312653361878</v>
      </c>
      <c r="K6161">
        <f>1/(COUNT(SimData5000!$C$9:$C$5008)-1)+$K$6160</f>
        <v>0.23044608921784859</v>
      </c>
    </row>
    <row r="6162" spans="8:11">
      <c r="H6162">
        <f>SMALL(SimData5000!$B$9:$B$5008,1154)</f>
        <v>0.23064535137821113</v>
      </c>
      <c r="I6162">
        <f>1/(COUNT(SimData5000!$B$9:$B$5008)-1)+$I$6161</f>
        <v>0.2306461292258502</v>
      </c>
      <c r="J6162">
        <f>SMALL(SimData5000!$C$9:$C$5008,1154)</f>
        <v>0.22640568850874843</v>
      </c>
      <c r="K6162">
        <f>1/(COUNT(SimData5000!$C$9:$C$5008)-1)+$K$6161</f>
        <v>0.2306461292258502</v>
      </c>
    </row>
    <row r="6163" spans="8:11">
      <c r="H6163">
        <f>SMALL(SimData5000!$B$9:$B$5008,1155)</f>
        <v>0.23096072706788795</v>
      </c>
      <c r="I6163">
        <f>1/(COUNT(SimData5000!$B$9:$B$5008)-1)+$I$6162</f>
        <v>0.23084616923385182</v>
      </c>
      <c r="J6163">
        <f>SMALL(SimData5000!$C$9:$C$5008,1155)</f>
        <v>0.22658485234842374</v>
      </c>
      <c r="K6163">
        <f>1/(COUNT(SimData5000!$C$9:$C$5008)-1)+$K$6162</f>
        <v>0.23084616923385182</v>
      </c>
    </row>
    <row r="6164" spans="8:11">
      <c r="H6164">
        <f>SMALL(SimData5000!$B$9:$B$5008,1156)</f>
        <v>0.23100258275093569</v>
      </c>
      <c r="I6164">
        <f>1/(COUNT(SimData5000!$B$9:$B$5008)-1)+$I$6163</f>
        <v>0.23104620924185343</v>
      </c>
      <c r="J6164">
        <f>SMALL(SimData5000!$C$9:$C$5008,1156)</f>
        <v>0.22667626005568309</v>
      </c>
      <c r="K6164">
        <f>1/(COUNT(SimData5000!$C$9:$C$5008)-1)+$K$6163</f>
        <v>0.23104620924185343</v>
      </c>
    </row>
    <row r="6165" spans="8:11">
      <c r="H6165">
        <f>SMALL(SimData5000!$B$9:$B$5008,1157)</f>
        <v>0.23137297307838989</v>
      </c>
      <c r="I6165">
        <f>1/(COUNT(SimData5000!$B$9:$B$5008)-1)+$I$6164</f>
        <v>0.23124624924985504</v>
      </c>
      <c r="J6165">
        <f>SMALL(SimData5000!$C$9:$C$5008,1157)</f>
        <v>0.22673286834833561</v>
      </c>
      <c r="K6165">
        <f>1/(COUNT(SimData5000!$C$9:$C$5008)-1)+$K$6164</f>
        <v>0.23124624924985504</v>
      </c>
    </row>
    <row r="6166" spans="8:11">
      <c r="H6166">
        <f>SMALL(SimData5000!$B$9:$B$5008,1158)</f>
        <v>0.23151748923936802</v>
      </c>
      <c r="I6166">
        <f>1/(COUNT(SimData5000!$B$9:$B$5008)-1)+$I$6165</f>
        <v>0.23144628925785665</v>
      </c>
      <c r="J6166">
        <f>SMALL(SimData5000!$C$9:$C$5008,1158)</f>
        <v>0.22675265482484974</v>
      </c>
      <c r="K6166">
        <f>1/(COUNT(SimData5000!$C$9:$C$5008)-1)+$K$6165</f>
        <v>0.23144628925785665</v>
      </c>
    </row>
    <row r="6167" spans="8:11">
      <c r="H6167">
        <f>SMALL(SimData5000!$B$9:$B$5008,1159)</f>
        <v>0.23179324047257965</v>
      </c>
      <c r="I6167">
        <f>1/(COUNT(SimData5000!$B$9:$B$5008)-1)+$I$6166</f>
        <v>0.23164632926585826</v>
      </c>
      <c r="J6167">
        <f>SMALL(SimData5000!$C$9:$C$5008,1159)</f>
        <v>0.22675931666435645</v>
      </c>
      <c r="K6167">
        <f>1/(COUNT(SimData5000!$C$9:$C$5008)-1)+$K$6166</f>
        <v>0.23164632926585826</v>
      </c>
    </row>
    <row r="6168" spans="8:11">
      <c r="H6168">
        <f>SMALL(SimData5000!$B$9:$B$5008,1160)</f>
        <v>0.23187306880147035</v>
      </c>
      <c r="I6168">
        <f>1/(COUNT(SimData5000!$B$9:$B$5008)-1)+$I$6167</f>
        <v>0.23184636927385988</v>
      </c>
      <c r="J6168">
        <f>SMALL(SimData5000!$C$9:$C$5008,1160)</f>
        <v>0.22677061989816139</v>
      </c>
      <c r="K6168">
        <f>1/(COUNT(SimData5000!$C$9:$C$5008)-1)+$K$6167</f>
        <v>0.23184636927385988</v>
      </c>
    </row>
    <row r="6169" spans="8:11">
      <c r="H6169">
        <f>SMALL(SimData5000!$B$9:$B$5008,1161)</f>
        <v>0.23208975853931388</v>
      </c>
      <c r="I6169">
        <f>1/(COUNT(SimData5000!$B$9:$B$5008)-1)+$I$6168</f>
        <v>0.23204640928186149</v>
      </c>
      <c r="J6169">
        <f>SMALL(SimData5000!$C$9:$C$5008,1161)</f>
        <v>0.22735646691671718</v>
      </c>
      <c r="K6169">
        <f>1/(COUNT(SimData5000!$C$9:$C$5008)-1)+$K$6168</f>
        <v>0.23204640928186149</v>
      </c>
    </row>
    <row r="6170" spans="8:11">
      <c r="H6170">
        <f>SMALL(SimData5000!$B$9:$B$5008,1162)</f>
        <v>0.23221098179910588</v>
      </c>
      <c r="I6170">
        <f>1/(COUNT(SimData5000!$B$9:$B$5008)-1)+$I$6169</f>
        <v>0.2322464492898631</v>
      </c>
      <c r="J6170">
        <f>SMALL(SimData5000!$C$9:$C$5008,1162)</f>
        <v>0.22749038228266727</v>
      </c>
      <c r="K6170">
        <f>1/(COUNT(SimData5000!$C$9:$C$5008)-1)+$K$6169</f>
        <v>0.2322464492898631</v>
      </c>
    </row>
    <row r="6171" spans="8:11">
      <c r="H6171">
        <f>SMALL(SimData5000!$B$9:$B$5008,1163)</f>
        <v>0.23242130022687402</v>
      </c>
      <c r="I6171">
        <f>1/(COUNT(SimData5000!$B$9:$B$5008)-1)+$I$6170</f>
        <v>0.23244648929786471</v>
      </c>
      <c r="J6171">
        <f>SMALL(SimData5000!$C$9:$C$5008,1163)</f>
        <v>0.2275118726756773</v>
      </c>
      <c r="K6171">
        <f>1/(COUNT(SimData5000!$C$9:$C$5008)-1)+$K$6170</f>
        <v>0.23244648929786471</v>
      </c>
    </row>
    <row r="6172" spans="8:11">
      <c r="H6172">
        <f>SMALL(SimData5000!$B$9:$B$5008,1164)</f>
        <v>0.23264018933382821</v>
      </c>
      <c r="I6172">
        <f>1/(COUNT(SimData5000!$B$9:$B$5008)-1)+$I$6171</f>
        <v>0.23264652930586632</v>
      </c>
      <c r="J6172">
        <f>SMALL(SimData5000!$C$9:$C$5008,1164)</f>
        <v>0.22758191540651751</v>
      </c>
      <c r="K6172">
        <f>1/(COUNT(SimData5000!$C$9:$C$5008)-1)+$K$6171</f>
        <v>0.23264652930586632</v>
      </c>
    </row>
    <row r="6173" spans="8:11">
      <c r="H6173">
        <f>SMALL(SimData5000!$B$9:$B$5008,1165)</f>
        <v>0.23285009925473718</v>
      </c>
      <c r="I6173">
        <f>1/(COUNT(SimData5000!$B$9:$B$5008)-1)+$I$6172</f>
        <v>0.23284656931386793</v>
      </c>
      <c r="J6173">
        <f>SMALL(SimData5000!$C$9:$C$5008,1165)</f>
        <v>0.22799407767706725</v>
      </c>
      <c r="K6173">
        <f>1/(COUNT(SimData5000!$C$9:$C$5008)-1)+$K$6172</f>
        <v>0.23284656931386793</v>
      </c>
    </row>
    <row r="6174" spans="8:11">
      <c r="H6174">
        <f>SMALL(SimData5000!$B$9:$B$5008,1166)</f>
        <v>0.23304166183770672</v>
      </c>
      <c r="I6174">
        <f>1/(COUNT(SimData5000!$B$9:$B$5008)-1)+$I$6173</f>
        <v>0.23304660932186955</v>
      </c>
      <c r="J6174">
        <f>SMALL(SimData5000!$C$9:$C$5008,1166)</f>
        <v>0.2281693514159997</v>
      </c>
      <c r="K6174">
        <f>1/(COUNT(SimData5000!$C$9:$C$5008)-1)+$K$6173</f>
        <v>0.23304660932186955</v>
      </c>
    </row>
    <row r="6175" spans="8:11">
      <c r="H6175">
        <f>SMALL(SimData5000!$B$9:$B$5008,1167)</f>
        <v>0.23323178510629383</v>
      </c>
      <c r="I6175">
        <f>1/(COUNT(SimData5000!$B$9:$B$5008)-1)+$I$6174</f>
        <v>0.23324664932987116</v>
      </c>
      <c r="J6175">
        <f>SMALL(SimData5000!$C$9:$C$5008,1167)</f>
        <v>0.22818916703363357</v>
      </c>
      <c r="K6175">
        <f>1/(COUNT(SimData5000!$C$9:$C$5008)-1)+$K$6174</f>
        <v>0.23324664932987116</v>
      </c>
    </row>
    <row r="6176" spans="8:11">
      <c r="H6176">
        <f>SMALL(SimData5000!$B$9:$B$5008,1168)</f>
        <v>0.23357030097389833</v>
      </c>
      <c r="I6176">
        <f>1/(COUNT(SimData5000!$B$9:$B$5008)-1)+$I$6175</f>
        <v>0.23344668933787277</v>
      </c>
      <c r="J6176">
        <f>SMALL(SimData5000!$C$9:$C$5008,1168)</f>
        <v>0.22820949206382579</v>
      </c>
      <c r="K6176">
        <f>1/(COUNT(SimData5000!$C$9:$C$5008)-1)+$K$6175</f>
        <v>0.23344668933787277</v>
      </c>
    </row>
    <row r="6177" spans="8:11">
      <c r="H6177">
        <f>SMALL(SimData5000!$B$9:$B$5008,1169)</f>
        <v>0.23373423586481581</v>
      </c>
      <c r="I6177">
        <f>1/(COUNT(SimData5000!$B$9:$B$5008)-1)+$I$6176</f>
        <v>0.23364672934587438</v>
      </c>
      <c r="J6177">
        <f>SMALL(SimData5000!$C$9:$C$5008,1169)</f>
        <v>0.22836900230686297</v>
      </c>
      <c r="K6177">
        <f>1/(COUNT(SimData5000!$C$9:$C$5008)-1)+$K$6176</f>
        <v>0.23364672934587438</v>
      </c>
    </row>
    <row r="6178" spans="8:11">
      <c r="H6178">
        <f>SMALL(SimData5000!$B$9:$B$5008,1170)</f>
        <v>0.23385261141086289</v>
      </c>
      <c r="I6178">
        <f>1/(COUNT(SimData5000!$B$9:$B$5008)-1)+$I$6177</f>
        <v>0.23384676935387599</v>
      </c>
      <c r="J6178">
        <f>SMALL(SimData5000!$C$9:$C$5008,1170)</f>
        <v>0.22880700067616999</v>
      </c>
      <c r="K6178">
        <f>1/(COUNT(SimData5000!$C$9:$C$5008)-1)+$K$6177</f>
        <v>0.23384676935387599</v>
      </c>
    </row>
    <row r="6179" spans="8:11">
      <c r="H6179">
        <f>SMALL(SimData5000!$B$9:$B$5008,1171)</f>
        <v>0.23408751124164265</v>
      </c>
      <c r="I6179">
        <f>1/(COUNT(SimData5000!$B$9:$B$5008)-1)+$I$6178</f>
        <v>0.23404680936187761</v>
      </c>
      <c r="J6179">
        <f>SMALL(SimData5000!$C$9:$C$5008,1171)</f>
        <v>0.22893937780554552</v>
      </c>
      <c r="K6179">
        <f>1/(COUNT(SimData5000!$C$9:$C$5008)-1)+$K$6178</f>
        <v>0.23404680936187761</v>
      </c>
    </row>
    <row r="6180" spans="8:11">
      <c r="H6180">
        <f>SMALL(SimData5000!$B$9:$B$5008,1172)</f>
        <v>0.23435880378697971</v>
      </c>
      <c r="I6180">
        <f>1/(COUNT(SimData5000!$B$9:$B$5008)-1)+$I$6179</f>
        <v>0.23424684936987922</v>
      </c>
      <c r="J6180">
        <f>SMALL(SimData5000!$C$9:$C$5008,1172)</f>
        <v>0.22901928403825877</v>
      </c>
      <c r="K6180">
        <f>1/(COUNT(SimData5000!$C$9:$C$5008)-1)+$K$6179</f>
        <v>0.23424684936987922</v>
      </c>
    </row>
    <row r="6181" spans="8:11">
      <c r="H6181">
        <f>SMALL(SimData5000!$B$9:$B$5008,1173)</f>
        <v>0.23442472749655713</v>
      </c>
      <c r="I6181">
        <f>1/(COUNT(SimData5000!$B$9:$B$5008)-1)+$I$6180</f>
        <v>0.23444688937788083</v>
      </c>
      <c r="J6181">
        <f>SMALL(SimData5000!$C$9:$C$5008,1173)</f>
        <v>0.2292984465148038</v>
      </c>
      <c r="K6181">
        <f>1/(COUNT(SimData5000!$C$9:$C$5008)-1)+$K$6180</f>
        <v>0.23444688937788083</v>
      </c>
    </row>
    <row r="6182" spans="8:11">
      <c r="H6182">
        <f>SMALL(SimData5000!$B$9:$B$5008,1174)</f>
        <v>0.23464064688110739</v>
      </c>
      <c r="I6182">
        <f>1/(COUNT(SimData5000!$B$9:$B$5008)-1)+$I$6181</f>
        <v>0.23464692938588244</v>
      </c>
      <c r="J6182">
        <f>SMALL(SimData5000!$C$9:$C$5008,1174)</f>
        <v>0.22962956314222538</v>
      </c>
      <c r="K6182">
        <f>1/(COUNT(SimData5000!$C$9:$C$5008)-1)+$K$6181</f>
        <v>0.23464692938588244</v>
      </c>
    </row>
    <row r="6183" spans="8:11">
      <c r="H6183">
        <f>SMALL(SimData5000!$B$9:$B$5008,1175)</f>
        <v>0.23492806740662273</v>
      </c>
      <c r="I6183">
        <f>1/(COUNT(SimData5000!$B$9:$B$5008)-1)+$I$6182</f>
        <v>0.23484696939388405</v>
      </c>
      <c r="J6183">
        <f>SMALL(SimData5000!$C$9:$C$5008,1175)</f>
        <v>0.2297215803000654</v>
      </c>
      <c r="K6183">
        <f>1/(COUNT(SimData5000!$C$9:$C$5008)-1)+$K$6182</f>
        <v>0.23484696939388405</v>
      </c>
    </row>
    <row r="6184" spans="8:11">
      <c r="H6184">
        <f>SMALL(SimData5000!$B$9:$B$5008,1176)</f>
        <v>0.23510011605115147</v>
      </c>
      <c r="I6184">
        <f>1/(COUNT(SimData5000!$B$9:$B$5008)-1)+$I$6183</f>
        <v>0.23504700940188566</v>
      </c>
      <c r="J6184">
        <f>SMALL(SimData5000!$C$9:$C$5008,1176)</f>
        <v>0.22981880711085978</v>
      </c>
      <c r="K6184">
        <f>1/(COUNT(SimData5000!$C$9:$C$5008)-1)+$K$6183</f>
        <v>0.23504700940188566</v>
      </c>
    </row>
    <row r="6185" spans="8:11">
      <c r="H6185">
        <f>SMALL(SimData5000!$B$9:$B$5008,1177)</f>
        <v>0.23536233379472102</v>
      </c>
      <c r="I6185">
        <f>1/(COUNT(SimData5000!$B$9:$B$5008)-1)+$I$6184</f>
        <v>0.23524704940988728</v>
      </c>
      <c r="J6185">
        <f>SMALL(SimData5000!$C$9:$C$5008,1177)</f>
        <v>0.23006538138724864</v>
      </c>
      <c r="K6185">
        <f>1/(COUNT(SimData5000!$C$9:$C$5008)-1)+$K$6184</f>
        <v>0.23524704940988728</v>
      </c>
    </row>
    <row r="6186" spans="8:11">
      <c r="H6186">
        <f>SMALL(SimData5000!$B$9:$B$5008,1178)</f>
        <v>0.23551903971063881</v>
      </c>
      <c r="I6186">
        <f>1/(COUNT(SimData5000!$B$9:$B$5008)-1)+$I$6185</f>
        <v>0.23544708941788889</v>
      </c>
      <c r="J6186">
        <f>SMALL(SimData5000!$C$9:$C$5008,1178)</f>
        <v>0.23024173458679797</v>
      </c>
      <c r="K6186">
        <f>1/(COUNT(SimData5000!$C$9:$C$5008)-1)+$K$6185</f>
        <v>0.23544708941788889</v>
      </c>
    </row>
    <row r="6187" spans="8:11">
      <c r="H6187">
        <f>SMALL(SimData5000!$B$9:$B$5008,1179)</f>
        <v>0.23579728890084597</v>
      </c>
      <c r="I6187">
        <f>1/(COUNT(SimData5000!$B$9:$B$5008)-1)+$I$6186</f>
        <v>0.2356471294258905</v>
      </c>
      <c r="J6187">
        <f>SMALL(SimData5000!$C$9:$C$5008,1179)</f>
        <v>0.23041613184886955</v>
      </c>
      <c r="K6187">
        <f>1/(COUNT(SimData5000!$C$9:$C$5008)-1)+$K$6186</f>
        <v>0.2356471294258905</v>
      </c>
    </row>
    <row r="6188" spans="8:11">
      <c r="H6188">
        <f>SMALL(SimData5000!$B$9:$B$5008,1180)</f>
        <v>0.23598150771292425</v>
      </c>
      <c r="I6188">
        <f>1/(COUNT(SimData5000!$B$9:$B$5008)-1)+$I$6187</f>
        <v>0.23584716943389211</v>
      </c>
      <c r="J6188">
        <f>SMALL(SimData5000!$C$9:$C$5008,1180)</f>
        <v>0.23066787519474019</v>
      </c>
      <c r="K6188">
        <f>1/(COUNT(SimData5000!$C$9:$C$5008)-1)+$K$6187</f>
        <v>0.23584716943389211</v>
      </c>
    </row>
    <row r="6189" spans="8:11">
      <c r="H6189">
        <f>SMALL(SimData5000!$B$9:$B$5008,1181)</f>
        <v>0.23613881050980157</v>
      </c>
      <c r="I6189">
        <f>1/(COUNT(SimData5000!$B$9:$B$5008)-1)+$I$6188</f>
        <v>0.23604720944189372</v>
      </c>
      <c r="J6189">
        <f>SMALL(SimData5000!$C$9:$C$5008,1181)</f>
        <v>0.23079190407315764</v>
      </c>
      <c r="K6189">
        <f>1/(COUNT(SimData5000!$C$9:$C$5008)-1)+$K$6188</f>
        <v>0.23604720944189372</v>
      </c>
    </row>
    <row r="6190" spans="8:11">
      <c r="H6190">
        <f>SMALL(SimData5000!$B$9:$B$5008,1182)</f>
        <v>0.23621231739474746</v>
      </c>
      <c r="I6190">
        <f>1/(COUNT(SimData5000!$B$9:$B$5008)-1)+$I$6189</f>
        <v>0.23624724944989534</v>
      </c>
      <c r="J6190">
        <f>SMALL(SimData5000!$C$9:$C$5008,1182)</f>
        <v>0.23134165005103569</v>
      </c>
      <c r="K6190">
        <f>1/(COUNT(SimData5000!$C$9:$C$5008)-1)+$K$6189</f>
        <v>0.23624724944989534</v>
      </c>
    </row>
    <row r="6191" spans="8:11">
      <c r="H6191">
        <f>SMALL(SimData5000!$B$9:$B$5008,1183)</f>
        <v>0.23651247852884991</v>
      </c>
      <c r="I6191">
        <f>1/(COUNT(SimData5000!$B$9:$B$5008)-1)+$I$6190</f>
        <v>0.23644728945789695</v>
      </c>
      <c r="J6191">
        <f>SMALL(SimData5000!$C$9:$C$5008,1183)</f>
        <v>0.23144829906323139</v>
      </c>
      <c r="K6191">
        <f>1/(COUNT(SimData5000!$C$9:$C$5008)-1)+$K$6190</f>
        <v>0.23644728945789695</v>
      </c>
    </row>
    <row r="6192" spans="8:11">
      <c r="H6192">
        <f>SMALL(SimData5000!$B$9:$B$5008,1184)</f>
        <v>0.23665248696800614</v>
      </c>
      <c r="I6192">
        <f>1/(COUNT(SimData5000!$B$9:$B$5008)-1)+$I$6191</f>
        <v>0.23664732946589856</v>
      </c>
      <c r="J6192">
        <f>SMALL(SimData5000!$C$9:$C$5008,1184)</f>
        <v>0.23223508416958794</v>
      </c>
      <c r="K6192">
        <f>1/(COUNT(SimData5000!$C$9:$C$5008)-1)+$K$6191</f>
        <v>0.23664732946589856</v>
      </c>
    </row>
    <row r="6193" spans="8:11">
      <c r="H6193">
        <f>SMALL(SimData5000!$B$9:$B$5008,1185)</f>
        <v>0.23696123610631595</v>
      </c>
      <c r="I6193">
        <f>1/(COUNT(SimData5000!$B$9:$B$5008)-1)+$I$6192</f>
        <v>0.23684736947390017</v>
      </c>
      <c r="J6193">
        <f>SMALL(SimData5000!$C$9:$C$5008,1185)</f>
        <v>0.2325178911396506</v>
      </c>
      <c r="K6193">
        <f>1/(COUNT(SimData5000!$C$9:$C$5008)-1)+$K$6192</f>
        <v>0.23684736947390017</v>
      </c>
    </row>
    <row r="6194" spans="8:11">
      <c r="H6194">
        <f>SMALL(SimData5000!$B$9:$B$5008,1186)</f>
        <v>0.23718214047923269</v>
      </c>
      <c r="I6194">
        <f>1/(COUNT(SimData5000!$B$9:$B$5008)-1)+$I$6193</f>
        <v>0.23704740948190178</v>
      </c>
      <c r="J6194">
        <f>SMALL(SimData5000!$C$9:$C$5008,1186)</f>
        <v>0.23310022264013242</v>
      </c>
      <c r="K6194">
        <f>1/(COUNT(SimData5000!$C$9:$C$5008)-1)+$K$6193</f>
        <v>0.23704740948190178</v>
      </c>
    </row>
    <row r="6195" spans="8:11">
      <c r="H6195">
        <f>SMALL(SimData5000!$B$9:$B$5008,1187)</f>
        <v>0.23726964673089557</v>
      </c>
      <c r="I6195">
        <f>1/(COUNT(SimData5000!$B$9:$B$5008)-1)+$I$6194</f>
        <v>0.23724744948990339</v>
      </c>
      <c r="J6195">
        <f>SMALL(SimData5000!$C$9:$C$5008,1187)</f>
        <v>0.23317872612733481</v>
      </c>
      <c r="K6195">
        <f>1/(COUNT(SimData5000!$C$9:$C$5008)-1)+$K$6194</f>
        <v>0.23724744948990339</v>
      </c>
    </row>
    <row r="6196" spans="8:11">
      <c r="H6196">
        <f>SMALL(SimData5000!$B$9:$B$5008,1188)</f>
        <v>0.23747955613934424</v>
      </c>
      <c r="I6196">
        <f>1/(COUNT(SimData5000!$B$9:$B$5008)-1)+$I$6195</f>
        <v>0.23744748949790501</v>
      </c>
      <c r="J6196">
        <f>SMALL(SimData5000!$C$9:$C$5008,1188)</f>
        <v>0.23322992303428691</v>
      </c>
      <c r="K6196">
        <f>1/(COUNT(SimData5000!$C$9:$C$5008)-1)+$K$6195</f>
        <v>0.23744748949790501</v>
      </c>
    </row>
    <row r="6197" spans="8:11">
      <c r="H6197">
        <f>SMALL(SimData5000!$B$9:$B$5008,1189)</f>
        <v>0.23779055545935188</v>
      </c>
      <c r="I6197">
        <f>1/(COUNT(SimData5000!$B$9:$B$5008)-1)+$I$6196</f>
        <v>0.23764752950590662</v>
      </c>
      <c r="J6197">
        <f>SMALL(SimData5000!$C$9:$C$5008,1189)</f>
        <v>0.23337024190732336</v>
      </c>
      <c r="K6197">
        <f>1/(COUNT(SimData5000!$C$9:$C$5008)-1)+$K$6196</f>
        <v>0.23764752950590662</v>
      </c>
    </row>
    <row r="6198" spans="8:11">
      <c r="H6198">
        <f>SMALL(SimData5000!$B$9:$B$5008,1190)</f>
        <v>0.23788616278532104</v>
      </c>
      <c r="I6198">
        <f>1/(COUNT(SimData5000!$B$9:$B$5008)-1)+$I$6197</f>
        <v>0.23784756951390823</v>
      </c>
      <c r="J6198">
        <f>SMALL(SimData5000!$C$9:$C$5008,1190)</f>
        <v>0.23337332104711095</v>
      </c>
      <c r="K6198">
        <f>1/(COUNT(SimData5000!$C$9:$C$5008)-1)+$K$6197</f>
        <v>0.23784756951390823</v>
      </c>
    </row>
    <row r="6199" spans="8:11">
      <c r="H6199">
        <f>SMALL(SimData5000!$B$9:$B$5008,1191)</f>
        <v>0.23818400110755675</v>
      </c>
      <c r="I6199">
        <f>1/(COUNT(SimData5000!$B$9:$B$5008)-1)+$I$6198</f>
        <v>0.23804760952190984</v>
      </c>
      <c r="J6199">
        <f>SMALL(SimData5000!$C$9:$C$5008,1191)</f>
        <v>0.23345363532916963</v>
      </c>
      <c r="K6199">
        <f>1/(COUNT(SimData5000!$C$9:$C$5008)-1)+$K$6198</f>
        <v>0.23804760952190984</v>
      </c>
    </row>
    <row r="6200" spans="8:11">
      <c r="H6200">
        <f>SMALL(SimData5000!$B$9:$B$5008,1192)</f>
        <v>0.23837512651741857</v>
      </c>
      <c r="I6200">
        <f>1/(COUNT(SimData5000!$B$9:$B$5008)-1)+$I$6199</f>
        <v>0.23824764952991145</v>
      </c>
      <c r="J6200">
        <f>SMALL(SimData5000!$C$9:$C$5008,1192)</f>
        <v>0.23347055880276457</v>
      </c>
      <c r="K6200">
        <f>1/(COUNT(SimData5000!$C$9:$C$5008)-1)+$K$6199</f>
        <v>0.23824764952991145</v>
      </c>
    </row>
    <row r="6201" spans="8:11">
      <c r="H6201">
        <f>SMALL(SimData5000!$B$9:$B$5008,1193)</f>
        <v>0.23842977018263883</v>
      </c>
      <c r="I6201">
        <f>1/(COUNT(SimData5000!$B$9:$B$5008)-1)+$I$6200</f>
        <v>0.23844768953791307</v>
      </c>
      <c r="J6201">
        <f>SMALL(SimData5000!$C$9:$C$5008,1193)</f>
        <v>0.23381515282289911</v>
      </c>
      <c r="K6201">
        <f>1/(COUNT(SimData5000!$C$9:$C$5008)-1)+$K$6200</f>
        <v>0.23844768953791307</v>
      </c>
    </row>
    <row r="6202" spans="8:11">
      <c r="H6202">
        <f>SMALL(SimData5000!$B$9:$B$5008,1194)</f>
        <v>0.23870565186634327</v>
      </c>
      <c r="I6202">
        <f>1/(COUNT(SimData5000!$B$9:$B$5008)-1)+$I$6201</f>
        <v>0.23864772954591468</v>
      </c>
      <c r="J6202">
        <f>SMALL(SimData5000!$C$9:$C$5008,1194)</f>
        <v>0.23381667778630799</v>
      </c>
      <c r="K6202">
        <f>1/(COUNT(SimData5000!$C$9:$C$5008)-1)+$K$6201</f>
        <v>0.23864772954591468</v>
      </c>
    </row>
    <row r="6203" spans="8:11">
      <c r="H6203">
        <f>SMALL(SimData5000!$B$9:$B$5008,1195)</f>
        <v>0.2388477287990152</v>
      </c>
      <c r="I6203">
        <f>1/(COUNT(SimData5000!$B$9:$B$5008)-1)+$I$6202</f>
        <v>0.23884776955391629</v>
      </c>
      <c r="J6203">
        <f>SMALL(SimData5000!$C$9:$C$5008,1195)</f>
        <v>0.23389687109920487</v>
      </c>
      <c r="K6203">
        <f>1/(COUNT(SimData5000!$C$9:$C$5008)-1)+$K$6202</f>
        <v>0.23884776955391629</v>
      </c>
    </row>
    <row r="6204" spans="8:11">
      <c r="H6204">
        <f>SMALL(SimData5000!$B$9:$B$5008,1196)</f>
        <v>0.23904594915589455</v>
      </c>
      <c r="I6204">
        <f>1/(COUNT(SimData5000!$B$9:$B$5008)-1)+$I$6203</f>
        <v>0.2390478095619179</v>
      </c>
      <c r="J6204">
        <f>SMALL(SimData5000!$C$9:$C$5008,1196)</f>
        <v>0.23421718061581487</v>
      </c>
      <c r="K6204">
        <f>1/(COUNT(SimData5000!$C$9:$C$5008)-1)+$K$6203</f>
        <v>0.2390478095619179</v>
      </c>
    </row>
    <row r="6205" spans="8:11">
      <c r="H6205">
        <f>SMALL(SimData5000!$B$9:$B$5008,1197)</f>
        <v>0.23929059656222598</v>
      </c>
      <c r="I6205">
        <f>1/(COUNT(SimData5000!$B$9:$B$5008)-1)+$I$6204</f>
        <v>0.23924784956991951</v>
      </c>
      <c r="J6205">
        <f>SMALL(SimData5000!$C$9:$C$5008,1197)</f>
        <v>0.2342219316842602</v>
      </c>
      <c r="K6205">
        <f>1/(COUNT(SimData5000!$C$9:$C$5008)-1)+$K$6204</f>
        <v>0.23924784956991951</v>
      </c>
    </row>
    <row r="6206" spans="8:11">
      <c r="H6206">
        <f>SMALL(SimData5000!$B$9:$B$5008,1198)</f>
        <v>0.2395575997784635</v>
      </c>
      <c r="I6206">
        <f>1/(COUNT(SimData5000!$B$9:$B$5008)-1)+$I$6205</f>
        <v>0.23944788957792112</v>
      </c>
      <c r="J6206">
        <f>SMALL(SimData5000!$C$9:$C$5008,1198)</f>
        <v>0.23446412604516809</v>
      </c>
      <c r="K6206">
        <f>1/(COUNT(SimData5000!$C$9:$C$5008)-1)+$K$6205</f>
        <v>0.23944788957792112</v>
      </c>
    </row>
    <row r="6207" spans="8:11">
      <c r="H6207">
        <f>SMALL(SimData5000!$B$9:$B$5008,1199)</f>
        <v>0.23970977250936204</v>
      </c>
      <c r="I6207">
        <f>1/(COUNT(SimData5000!$B$9:$B$5008)-1)+$I$6206</f>
        <v>0.23964792958592274</v>
      </c>
      <c r="J6207">
        <f>SMALL(SimData5000!$C$9:$C$5008,1199)</f>
        <v>0.23472805676647113</v>
      </c>
      <c r="K6207">
        <f>1/(COUNT(SimData5000!$C$9:$C$5008)-1)+$K$6206</f>
        <v>0.23964792958592274</v>
      </c>
    </row>
    <row r="6208" spans="8:11">
      <c r="H6208">
        <f>SMALL(SimData5000!$B$9:$B$5008,1200)</f>
        <v>0.23999928124928829</v>
      </c>
      <c r="I6208">
        <f>1/(COUNT(SimData5000!$B$9:$B$5008)-1)+$I$6207</f>
        <v>0.23984796959392435</v>
      </c>
      <c r="J6208">
        <f>SMALL(SimData5000!$C$9:$C$5008,1200)</f>
        <v>0.23477716960132966</v>
      </c>
      <c r="K6208">
        <f>1/(COUNT(SimData5000!$C$9:$C$5008)-1)+$K$6207</f>
        <v>0.23984796959392435</v>
      </c>
    </row>
    <row r="6209" spans="8:11">
      <c r="H6209">
        <f>SMALL(SimData5000!$B$9:$B$5008,1201)</f>
        <v>0.2401775011870492</v>
      </c>
      <c r="I6209">
        <f>1/(COUNT(SimData5000!$B$9:$B$5008)-1)+$I$6208</f>
        <v>0.24004800960192596</v>
      </c>
      <c r="J6209">
        <f>SMALL(SimData5000!$C$9:$C$5008,1201)</f>
        <v>0.23502403169641184</v>
      </c>
      <c r="K6209">
        <f>1/(COUNT(SimData5000!$C$9:$C$5008)-1)+$K$6208</f>
        <v>0.24004800960192596</v>
      </c>
    </row>
    <row r="6210" spans="8:11">
      <c r="H6210">
        <f>SMALL(SimData5000!$B$9:$B$5008,1202)</f>
        <v>0.24022160036247728</v>
      </c>
      <c r="I6210">
        <f>1/(COUNT(SimData5000!$B$9:$B$5008)-1)+$I$6209</f>
        <v>0.24024804960992757</v>
      </c>
      <c r="J6210">
        <f>SMALL(SimData5000!$C$9:$C$5008,1202)</f>
        <v>0.23502677772921743</v>
      </c>
      <c r="K6210">
        <f>1/(COUNT(SimData5000!$C$9:$C$5008)-1)+$K$6209</f>
        <v>0.24024804960992757</v>
      </c>
    </row>
    <row r="6211" spans="8:11">
      <c r="H6211">
        <f>SMALL(SimData5000!$B$9:$B$5008,1203)</f>
        <v>0.24049857535001323</v>
      </c>
      <c r="I6211">
        <f>1/(COUNT(SimData5000!$B$9:$B$5008)-1)+$I$6210</f>
        <v>0.24044808961792918</v>
      </c>
      <c r="J6211">
        <f>SMALL(SimData5000!$C$9:$C$5008,1203)</f>
        <v>0.23507567738488433</v>
      </c>
      <c r="K6211">
        <f>1/(COUNT(SimData5000!$C$9:$C$5008)-1)+$K$6210</f>
        <v>0.24044808961792918</v>
      </c>
    </row>
    <row r="6212" spans="8:11">
      <c r="H6212">
        <f>SMALL(SimData5000!$B$9:$B$5008,1204)</f>
        <v>0.24078231537062261</v>
      </c>
      <c r="I6212">
        <f>1/(COUNT(SimData5000!$B$9:$B$5008)-1)+$I$6211</f>
        <v>0.2406481296259308</v>
      </c>
      <c r="J6212">
        <f>SMALL(SimData5000!$C$9:$C$5008,1204)</f>
        <v>0.23511872402377776</v>
      </c>
      <c r="K6212">
        <f>1/(COUNT(SimData5000!$C$9:$C$5008)-1)+$K$6211</f>
        <v>0.2406481296259308</v>
      </c>
    </row>
    <row r="6213" spans="8:11">
      <c r="H6213">
        <f>SMALL(SimData5000!$B$9:$B$5008,1205)</f>
        <v>0.24090986048279092</v>
      </c>
      <c r="I6213">
        <f>1/(COUNT(SimData5000!$B$9:$B$5008)-1)+$I$6212</f>
        <v>0.24084816963393241</v>
      </c>
      <c r="J6213">
        <f>SMALL(SimData5000!$C$9:$C$5008,1205)</f>
        <v>0.23517729485138261</v>
      </c>
      <c r="K6213">
        <f>1/(COUNT(SimData5000!$C$9:$C$5008)-1)+$K$6212</f>
        <v>0.24084816963393241</v>
      </c>
    </row>
    <row r="6214" spans="8:11">
      <c r="H6214">
        <f>SMALL(SimData5000!$B$9:$B$5008,1206)</f>
        <v>0.24109002120003337</v>
      </c>
      <c r="I6214">
        <f>1/(COUNT(SimData5000!$B$9:$B$5008)-1)+$I$6213</f>
        <v>0.24104820964193402</v>
      </c>
      <c r="J6214">
        <f>SMALL(SimData5000!$C$9:$C$5008,1206)</f>
        <v>0.23543755238279118</v>
      </c>
      <c r="K6214">
        <f>1/(COUNT(SimData5000!$C$9:$C$5008)-1)+$K$6213</f>
        <v>0.24104820964193402</v>
      </c>
    </row>
    <row r="6215" spans="8:11">
      <c r="H6215">
        <f>SMALL(SimData5000!$B$9:$B$5008,1207)</f>
        <v>0.24135275786899793</v>
      </c>
      <c r="I6215">
        <f>1/(COUNT(SimData5000!$B$9:$B$5008)-1)+$I$6214</f>
        <v>0.24124824964993563</v>
      </c>
      <c r="J6215">
        <f>SMALL(SimData5000!$C$9:$C$5008,1207)</f>
        <v>0.23550822431025153</v>
      </c>
      <c r="K6215">
        <f>1/(COUNT(SimData5000!$C$9:$C$5008)-1)+$K$6214</f>
        <v>0.24124824964993563</v>
      </c>
    </row>
    <row r="6216" spans="8:11">
      <c r="H6216">
        <f>SMALL(SimData5000!$B$9:$B$5008,1208)</f>
        <v>0.24151395645866028</v>
      </c>
      <c r="I6216">
        <f>1/(COUNT(SimData5000!$B$9:$B$5008)-1)+$I$6215</f>
        <v>0.24144828965793724</v>
      </c>
      <c r="J6216">
        <f>SMALL(SimData5000!$C$9:$C$5008,1208)</f>
        <v>0.23563349830965308</v>
      </c>
      <c r="K6216">
        <f>1/(COUNT(SimData5000!$C$9:$C$5008)-1)+$K$6215</f>
        <v>0.24144828965793724</v>
      </c>
    </row>
    <row r="6217" spans="8:11">
      <c r="H6217">
        <f>SMALL(SimData5000!$B$9:$B$5008,1209)</f>
        <v>0.241605934333011</v>
      </c>
      <c r="I6217">
        <f>1/(COUNT(SimData5000!$B$9:$B$5008)-1)+$I$6216</f>
        <v>0.24164832966593885</v>
      </c>
      <c r="J6217">
        <f>SMALL(SimData5000!$C$9:$C$5008,1209)</f>
        <v>0.23575528968103754</v>
      </c>
      <c r="K6217">
        <f>1/(COUNT(SimData5000!$C$9:$C$5008)-1)+$K$6216</f>
        <v>0.24164832966593885</v>
      </c>
    </row>
    <row r="6218" spans="8:11">
      <c r="H6218">
        <f>SMALL(SimData5000!$B$9:$B$5008,1210)</f>
        <v>0.24198626877967883</v>
      </c>
      <c r="I6218">
        <f>1/(COUNT(SimData5000!$B$9:$B$5008)-1)+$I$6217</f>
        <v>0.24184836967394047</v>
      </c>
      <c r="J6218">
        <f>SMALL(SimData5000!$C$9:$C$5008,1210)</f>
        <v>0.2360991839241251</v>
      </c>
      <c r="K6218">
        <f>1/(COUNT(SimData5000!$C$9:$C$5008)-1)+$K$6217</f>
        <v>0.24184836967394047</v>
      </c>
    </row>
    <row r="6219" spans="8:11">
      <c r="H6219">
        <f>SMALL(SimData5000!$B$9:$B$5008,1211)</f>
        <v>0.24201986036585177</v>
      </c>
      <c r="I6219">
        <f>1/(COUNT(SimData5000!$B$9:$B$5008)-1)+$I$6218</f>
        <v>0.24204840968194208</v>
      </c>
      <c r="J6219">
        <f>SMALL(SimData5000!$C$9:$C$5008,1211)</f>
        <v>0.23616639052579558</v>
      </c>
      <c r="K6219">
        <f>1/(COUNT(SimData5000!$C$9:$C$5008)-1)+$K$6218</f>
        <v>0.24204840968194208</v>
      </c>
    </row>
    <row r="6220" spans="8:11">
      <c r="H6220">
        <f>SMALL(SimData5000!$B$9:$B$5008,1212)</f>
        <v>0.24229464789868677</v>
      </c>
      <c r="I6220">
        <f>1/(COUNT(SimData5000!$B$9:$B$5008)-1)+$I$6219</f>
        <v>0.24224844968994369</v>
      </c>
      <c r="J6220">
        <f>SMALL(SimData5000!$C$9:$C$5008,1212)</f>
        <v>0.23651233212513034</v>
      </c>
      <c r="K6220">
        <f>1/(COUNT(SimData5000!$C$9:$C$5008)-1)+$K$6219</f>
        <v>0.24224844968994369</v>
      </c>
    </row>
    <row r="6221" spans="8:11">
      <c r="H6221">
        <f>SMALL(SimData5000!$B$9:$B$5008,1213)</f>
        <v>0.24243361043139211</v>
      </c>
      <c r="I6221">
        <f>1/(COUNT(SimData5000!$B$9:$B$5008)-1)+$I$6220</f>
        <v>0.2424484896979453</v>
      </c>
      <c r="J6221">
        <f>SMALL(SimData5000!$C$9:$C$5008,1213)</f>
        <v>0.23661061374423298</v>
      </c>
      <c r="K6221">
        <f>1/(COUNT(SimData5000!$C$9:$C$5008)-1)+$K$6220</f>
        <v>0.2424484896979453</v>
      </c>
    </row>
    <row r="6222" spans="8:11">
      <c r="H6222">
        <f>SMALL(SimData5000!$B$9:$B$5008,1214)</f>
        <v>0.24273682360172666</v>
      </c>
      <c r="I6222">
        <f>1/(COUNT(SimData5000!$B$9:$B$5008)-1)+$I$6221</f>
        <v>0.24264852970594691</v>
      </c>
      <c r="J6222">
        <f>SMALL(SimData5000!$C$9:$C$5008,1214)</f>
        <v>0.23684171830609557</v>
      </c>
      <c r="K6222">
        <f>1/(COUNT(SimData5000!$C$9:$C$5008)-1)+$K$6221</f>
        <v>0.24264852970594691</v>
      </c>
    </row>
    <row r="6223" spans="8:11">
      <c r="H6223">
        <f>SMALL(SimData5000!$B$9:$B$5008,1215)</f>
        <v>0.24299173974250252</v>
      </c>
      <c r="I6223">
        <f>1/(COUNT(SimData5000!$B$9:$B$5008)-1)+$I$6222</f>
        <v>0.24284856971394853</v>
      </c>
      <c r="J6223">
        <f>SMALL(SimData5000!$C$9:$C$5008,1215)</f>
        <v>0.23685249117534113</v>
      </c>
      <c r="K6223">
        <f>1/(COUNT(SimData5000!$C$9:$C$5008)-1)+$K$6222</f>
        <v>0.24284856971394853</v>
      </c>
    </row>
    <row r="6224" spans="8:11">
      <c r="H6224">
        <f>SMALL(SimData5000!$B$9:$B$5008,1216)</f>
        <v>0.24307334509549511</v>
      </c>
      <c r="I6224">
        <f>1/(COUNT(SimData5000!$B$9:$B$5008)-1)+$I$6223</f>
        <v>0.24304860972195014</v>
      </c>
      <c r="J6224">
        <f>SMALL(SimData5000!$C$9:$C$5008,1216)</f>
        <v>0.23695524579125049</v>
      </c>
      <c r="K6224">
        <f>1/(COUNT(SimData5000!$C$9:$C$5008)-1)+$K$6223</f>
        <v>0.24304860972195014</v>
      </c>
    </row>
    <row r="6225" spans="8:11">
      <c r="H6225">
        <f>SMALL(SimData5000!$B$9:$B$5008,1217)</f>
        <v>0.24331466872224461</v>
      </c>
      <c r="I6225">
        <f>1/(COUNT(SimData5000!$B$9:$B$5008)-1)+$I$6224</f>
        <v>0.24324864972995175</v>
      </c>
      <c r="J6225">
        <f>SMALL(SimData5000!$C$9:$C$5008,1217)</f>
        <v>0.23708596069809573</v>
      </c>
      <c r="K6225">
        <f>1/(COUNT(SimData5000!$C$9:$C$5008)-1)+$K$6224</f>
        <v>0.24324864972995175</v>
      </c>
    </row>
    <row r="6226" spans="8:11">
      <c r="H6226">
        <f>SMALL(SimData5000!$B$9:$B$5008,1218)</f>
        <v>0.24352901406989644</v>
      </c>
      <c r="I6226">
        <f>1/(COUNT(SimData5000!$B$9:$B$5008)-1)+$I$6225</f>
        <v>0.24344868973795336</v>
      </c>
      <c r="J6226">
        <f>SMALL(SimData5000!$C$9:$C$5008,1218)</f>
        <v>0.23752591385618871</v>
      </c>
      <c r="K6226">
        <f>1/(COUNT(SimData5000!$C$9:$C$5008)-1)+$K$6225</f>
        <v>0.24344868973795336</v>
      </c>
    </row>
    <row r="6227" spans="8:11">
      <c r="H6227">
        <f>SMALL(SimData5000!$B$9:$B$5008,1219)</f>
        <v>0.24368120939160726</v>
      </c>
      <c r="I6227">
        <f>1/(COUNT(SimData5000!$B$9:$B$5008)-1)+$I$6226</f>
        <v>0.24364872974595497</v>
      </c>
      <c r="J6227">
        <f>SMALL(SimData5000!$C$9:$C$5008,1219)</f>
        <v>0.23789783118263585</v>
      </c>
      <c r="K6227">
        <f>1/(COUNT(SimData5000!$C$9:$C$5008)-1)+$K$6226</f>
        <v>0.24364872974595497</v>
      </c>
    </row>
    <row r="6228" spans="8:11">
      <c r="H6228">
        <f>SMALL(SimData5000!$B$9:$B$5008,1220)</f>
        <v>0.24382570806886669</v>
      </c>
      <c r="I6228">
        <f>1/(COUNT(SimData5000!$B$9:$B$5008)-1)+$I$6227</f>
        <v>0.24384876975395658</v>
      </c>
      <c r="J6228">
        <f>SMALL(SimData5000!$C$9:$C$5008,1220)</f>
        <v>0.23797603710863768</v>
      </c>
      <c r="K6228">
        <f>1/(COUNT(SimData5000!$C$9:$C$5008)-1)+$K$6227</f>
        <v>0.24384876975395658</v>
      </c>
    </row>
    <row r="6229" spans="8:11">
      <c r="H6229">
        <f>SMALL(SimData5000!$B$9:$B$5008,1221)</f>
        <v>0.24403913143282735</v>
      </c>
      <c r="I6229">
        <f>1/(COUNT(SimData5000!$B$9:$B$5008)-1)+$I$6228</f>
        <v>0.2440488097619582</v>
      </c>
      <c r="J6229">
        <f>SMALL(SimData5000!$C$9:$C$5008,1221)</f>
        <v>0.23800367287549307</v>
      </c>
      <c r="K6229">
        <f>1/(COUNT(SimData5000!$C$9:$C$5008)-1)+$K$6228</f>
        <v>0.2440488097619582</v>
      </c>
    </row>
    <row r="6230" spans="8:11">
      <c r="H6230">
        <f>SMALL(SimData5000!$B$9:$B$5008,1222)</f>
        <v>0.24438070032419187</v>
      </c>
      <c r="I6230">
        <f>1/(COUNT(SimData5000!$B$9:$B$5008)-1)+$I$6229</f>
        <v>0.24424884976995981</v>
      </c>
      <c r="J6230">
        <f>SMALL(SimData5000!$C$9:$C$5008,1222)</f>
        <v>0.23829127396220429</v>
      </c>
      <c r="K6230">
        <f>1/(COUNT(SimData5000!$C$9:$C$5008)-1)+$K$6229</f>
        <v>0.24424884976995981</v>
      </c>
    </row>
    <row r="6231" spans="8:11">
      <c r="H6231">
        <f>SMALL(SimData5000!$B$9:$B$5008,1223)</f>
        <v>0.24443880521246206</v>
      </c>
      <c r="I6231">
        <f>1/(COUNT(SimData5000!$B$9:$B$5008)-1)+$I$6230</f>
        <v>0.24444888977796142</v>
      </c>
      <c r="J6231">
        <f>SMALL(SimData5000!$C$9:$C$5008,1223)</f>
        <v>0.2387185807701826</v>
      </c>
      <c r="K6231">
        <f>1/(COUNT(SimData5000!$C$9:$C$5008)-1)+$K$6230</f>
        <v>0.24444888977796142</v>
      </c>
    </row>
    <row r="6232" spans="8:11">
      <c r="H6232">
        <f>SMALL(SimData5000!$B$9:$B$5008,1224)</f>
        <v>0.24468396385630686</v>
      </c>
      <c r="I6232">
        <f>1/(COUNT(SimData5000!$B$9:$B$5008)-1)+$I$6231</f>
        <v>0.24464892978596303</v>
      </c>
      <c r="J6232">
        <f>SMALL(SimData5000!$C$9:$C$5008,1224)</f>
        <v>0.23899212791002356</v>
      </c>
      <c r="K6232">
        <f>1/(COUNT(SimData5000!$C$9:$C$5008)-1)+$K$6231</f>
        <v>0.24464892978596303</v>
      </c>
    </row>
    <row r="6233" spans="8:11">
      <c r="H6233">
        <f>SMALL(SimData5000!$B$9:$B$5008,1225)</f>
        <v>0.24489837801677605</v>
      </c>
      <c r="I6233">
        <f>1/(COUNT(SimData5000!$B$9:$B$5008)-1)+$I$6232</f>
        <v>0.24484896979396464</v>
      </c>
      <c r="J6233">
        <f>SMALL(SimData5000!$C$9:$C$5008,1225)</f>
        <v>0.23934113552513736</v>
      </c>
      <c r="K6233">
        <f>1/(COUNT(SimData5000!$C$9:$C$5008)-1)+$K$6232</f>
        <v>0.24484896979396464</v>
      </c>
    </row>
    <row r="6234" spans="8:11">
      <c r="H6234">
        <f>SMALL(SimData5000!$B$9:$B$5008,1226)</f>
        <v>0.24506925306196076</v>
      </c>
      <c r="I6234">
        <f>1/(COUNT(SimData5000!$B$9:$B$5008)-1)+$I$6233</f>
        <v>0.24504900980196626</v>
      </c>
      <c r="J6234">
        <f>SMALL(SimData5000!$C$9:$C$5008,1226)</f>
        <v>0.2395848108235441</v>
      </c>
      <c r="K6234">
        <f>1/(COUNT(SimData5000!$C$9:$C$5008)-1)+$K$6233</f>
        <v>0.24504900980196626</v>
      </c>
    </row>
    <row r="6235" spans="8:11">
      <c r="H6235">
        <f>SMALL(SimData5000!$B$9:$B$5008,1227)</f>
        <v>0.24532736992187038</v>
      </c>
      <c r="I6235">
        <f>1/(COUNT(SimData5000!$B$9:$B$5008)-1)+$I$6234</f>
        <v>0.24524904980996787</v>
      </c>
      <c r="J6235">
        <f>SMALL(SimData5000!$C$9:$C$5008,1227)</f>
        <v>0.23994362024404836</v>
      </c>
      <c r="K6235">
        <f>1/(COUNT(SimData5000!$C$9:$C$5008)-1)+$K$6234</f>
        <v>0.24524904980996787</v>
      </c>
    </row>
    <row r="6236" spans="8:11">
      <c r="H6236">
        <f>SMALL(SimData5000!$B$9:$B$5008,1228)</f>
        <v>0.24546797895093167</v>
      </c>
      <c r="I6236">
        <f>1/(COUNT(SimData5000!$B$9:$B$5008)-1)+$I$6235</f>
        <v>0.24544908981796948</v>
      </c>
      <c r="J6236">
        <f>SMALL(SimData5000!$C$9:$C$5008,1228)</f>
        <v>0.24002176312478696</v>
      </c>
      <c r="K6236">
        <f>1/(COUNT(SimData5000!$C$9:$C$5008)-1)+$K$6235</f>
        <v>0.24544908981796948</v>
      </c>
    </row>
    <row r="6237" spans="8:11">
      <c r="H6237">
        <f>SMALL(SimData5000!$B$9:$B$5008,1229)</f>
        <v>0.24579688490871268</v>
      </c>
      <c r="I6237">
        <f>1/(COUNT(SimData5000!$B$9:$B$5008)-1)+$I$6236</f>
        <v>0.24564912982597109</v>
      </c>
      <c r="J6237">
        <f>SMALL(SimData5000!$C$9:$C$5008,1229)</f>
        <v>0.24022004433936672</v>
      </c>
      <c r="K6237">
        <f>1/(COUNT(SimData5000!$C$9:$C$5008)-1)+$K$6236</f>
        <v>0.24564912982597109</v>
      </c>
    </row>
    <row r="6238" spans="8:11">
      <c r="H6238">
        <f>SMALL(SimData5000!$B$9:$B$5008,1230)</f>
        <v>0.24586911381847903</v>
      </c>
      <c r="I6238">
        <f>1/(COUNT(SimData5000!$B$9:$B$5008)-1)+$I$6237</f>
        <v>0.2458491698339727</v>
      </c>
      <c r="J6238">
        <f>SMALL(SimData5000!$C$9:$C$5008,1230)</f>
        <v>0.24033696279821015</v>
      </c>
      <c r="K6238">
        <f>1/(COUNT(SimData5000!$C$9:$C$5008)-1)+$K$6237</f>
        <v>0.2458491698339727</v>
      </c>
    </row>
    <row r="6239" spans="8:11">
      <c r="H6239">
        <f>SMALL(SimData5000!$B$9:$B$5008,1231)</f>
        <v>0.24611658702369701</v>
      </c>
      <c r="I6239">
        <f>1/(COUNT(SimData5000!$B$9:$B$5008)-1)+$I$6238</f>
        <v>0.24604920984197431</v>
      </c>
      <c r="J6239">
        <f>SMALL(SimData5000!$C$9:$C$5008,1231)</f>
        <v>0.24058931735089573</v>
      </c>
      <c r="K6239">
        <f>1/(COUNT(SimData5000!$C$9:$C$5008)-1)+$K$6238</f>
        <v>0.24604920984197431</v>
      </c>
    </row>
    <row r="6240" spans="8:11">
      <c r="H6240">
        <f>SMALL(SimData5000!$B$9:$B$5008,1232)</f>
        <v>0.24626641807478536</v>
      </c>
      <c r="I6240">
        <f>1/(COUNT(SimData5000!$B$9:$B$5008)-1)+$I$6239</f>
        <v>0.24624924984997593</v>
      </c>
      <c r="J6240">
        <f>SMALL(SimData5000!$C$9:$C$5008,1232)</f>
        <v>0.24105537371349328</v>
      </c>
      <c r="K6240">
        <f>1/(COUNT(SimData5000!$C$9:$C$5008)-1)+$K$6239</f>
        <v>0.24624924984997593</v>
      </c>
    </row>
    <row r="6241" spans="8:11">
      <c r="H6241">
        <f>SMALL(SimData5000!$B$9:$B$5008,1233)</f>
        <v>0.24659943181467228</v>
      </c>
      <c r="I6241">
        <f>1/(COUNT(SimData5000!$B$9:$B$5008)-1)+$I$6240</f>
        <v>0.24644928985797754</v>
      </c>
      <c r="J6241">
        <f>SMALL(SimData5000!$C$9:$C$5008,1233)</f>
        <v>0.24110724751153612</v>
      </c>
      <c r="K6241">
        <f>1/(COUNT(SimData5000!$C$9:$C$5008)-1)+$K$6240</f>
        <v>0.24644928985797754</v>
      </c>
    </row>
    <row r="6242" spans="8:11">
      <c r="H6242">
        <f>SMALL(SimData5000!$B$9:$B$5008,1234)</f>
        <v>0.24670117898944327</v>
      </c>
      <c r="I6242">
        <f>1/(COUNT(SimData5000!$B$9:$B$5008)-1)+$I$6241</f>
        <v>0.24664932986597915</v>
      </c>
      <c r="J6242">
        <f>SMALL(SimData5000!$C$9:$C$5008,1234)</f>
        <v>0.24135612531972583</v>
      </c>
      <c r="K6242">
        <f>1/(COUNT(SimData5000!$C$9:$C$5008)-1)+$K$6241</f>
        <v>0.24664932986597915</v>
      </c>
    </row>
    <row r="6243" spans="8:11">
      <c r="H6243">
        <f>SMALL(SimData5000!$B$9:$B$5008,1235)</f>
        <v>0.24684035887686545</v>
      </c>
      <c r="I6243">
        <f>1/(COUNT(SimData5000!$B$9:$B$5008)-1)+$I$6242</f>
        <v>0.24684936987398076</v>
      </c>
      <c r="J6243">
        <f>SMALL(SimData5000!$C$9:$C$5008,1235)</f>
        <v>0.24146963019302348</v>
      </c>
      <c r="K6243">
        <f>1/(COUNT(SimData5000!$C$9:$C$5008)-1)+$K$6242</f>
        <v>0.24684936987398076</v>
      </c>
    </row>
    <row r="6244" spans="8:11">
      <c r="H6244">
        <f>SMALL(SimData5000!$B$9:$B$5008,1236)</f>
        <v>0.24703785472792525</v>
      </c>
      <c r="I6244">
        <f>1/(COUNT(SimData5000!$B$9:$B$5008)-1)+$I$6243</f>
        <v>0.24704940988198237</v>
      </c>
      <c r="J6244">
        <f>SMALL(SimData5000!$C$9:$C$5008,1236)</f>
        <v>0.2415095611486322</v>
      </c>
      <c r="K6244">
        <f>1/(COUNT(SimData5000!$C$9:$C$5008)-1)+$K$6243</f>
        <v>0.24704940988198237</v>
      </c>
    </row>
    <row r="6245" spans="8:11">
      <c r="H6245">
        <f>SMALL(SimData5000!$B$9:$B$5008,1237)</f>
        <v>0.2473423350298643</v>
      </c>
      <c r="I6245">
        <f>1/(COUNT(SimData5000!$B$9:$B$5008)-1)+$I$6244</f>
        <v>0.24724944988998399</v>
      </c>
      <c r="J6245">
        <f>SMALL(SimData5000!$C$9:$C$5008,1237)</f>
        <v>0.24183954569798516</v>
      </c>
      <c r="K6245">
        <f>1/(COUNT(SimData5000!$C$9:$C$5008)-1)+$K$6244</f>
        <v>0.24724944988998399</v>
      </c>
    </row>
    <row r="6246" spans="8:11">
      <c r="H6246">
        <f>SMALL(SimData5000!$B$9:$B$5008,1238)</f>
        <v>0.24759910463858373</v>
      </c>
      <c r="I6246">
        <f>1/(COUNT(SimData5000!$B$9:$B$5008)-1)+$I$6245</f>
        <v>0.2474494898979856</v>
      </c>
      <c r="J6246">
        <f>SMALL(SimData5000!$C$9:$C$5008,1238)</f>
        <v>0.24184519165464735</v>
      </c>
      <c r="K6246">
        <f>1/(COUNT(SimData5000!$C$9:$C$5008)-1)+$K$6245</f>
        <v>0.2474494898979856</v>
      </c>
    </row>
    <row r="6247" spans="8:11">
      <c r="H6247">
        <f>SMALL(SimData5000!$B$9:$B$5008,1239)</f>
        <v>0.24764138694518278</v>
      </c>
      <c r="I6247">
        <f>1/(COUNT(SimData5000!$B$9:$B$5008)-1)+$I$6246</f>
        <v>0.24764952990598721</v>
      </c>
      <c r="J6247">
        <f>SMALL(SimData5000!$C$9:$C$5008,1239)</f>
        <v>0.2421597896154708</v>
      </c>
      <c r="K6247">
        <f>1/(COUNT(SimData5000!$C$9:$C$5008)-1)+$K$6246</f>
        <v>0.24764952990598721</v>
      </c>
    </row>
    <row r="6248" spans="8:11">
      <c r="H6248">
        <f>SMALL(SimData5000!$B$9:$B$5008,1240)</f>
        <v>0.2479998513022903</v>
      </c>
      <c r="I6248">
        <f>1/(COUNT(SimData5000!$B$9:$B$5008)-1)+$I$6247</f>
        <v>0.24784956991398882</v>
      </c>
      <c r="J6248">
        <f>SMALL(SimData5000!$C$9:$C$5008,1240)</f>
        <v>0.24231209974732337</v>
      </c>
      <c r="K6248">
        <f>1/(COUNT(SimData5000!$C$9:$C$5008)-1)+$K$6247</f>
        <v>0.24784956991398882</v>
      </c>
    </row>
    <row r="6249" spans="8:11">
      <c r="H6249">
        <f>SMALL(SimData5000!$B$9:$B$5008,1241)</f>
        <v>0.24802276653773683</v>
      </c>
      <c r="I6249">
        <f>1/(COUNT(SimData5000!$B$9:$B$5008)-1)+$I$6248</f>
        <v>0.24804960992199043</v>
      </c>
      <c r="J6249">
        <f>SMALL(SimData5000!$C$9:$C$5008,1241)</f>
        <v>0.24238920119933027</v>
      </c>
      <c r="K6249">
        <f>1/(COUNT(SimData5000!$C$9:$C$5008)-1)+$K$6248</f>
        <v>0.24804960992199043</v>
      </c>
    </row>
    <row r="6250" spans="8:11">
      <c r="H6250">
        <f>SMALL(SimData5000!$B$9:$B$5008,1242)</f>
        <v>0.24829958527383852</v>
      </c>
      <c r="I6250">
        <f>1/(COUNT(SimData5000!$B$9:$B$5008)-1)+$I$6249</f>
        <v>0.24824964992999204</v>
      </c>
      <c r="J6250">
        <f>SMALL(SimData5000!$C$9:$C$5008,1242)</f>
        <v>0.24303853130913922</v>
      </c>
      <c r="K6250">
        <f>1/(COUNT(SimData5000!$C$9:$C$5008)-1)+$K$6249</f>
        <v>0.24824964992999204</v>
      </c>
    </row>
    <row r="6251" spans="8:11">
      <c r="H6251">
        <f>SMALL(SimData5000!$B$9:$B$5008,1243)</f>
        <v>0.2484310142854301</v>
      </c>
      <c r="I6251">
        <f>1/(COUNT(SimData5000!$B$9:$B$5008)-1)+$I$6250</f>
        <v>0.24844968993799366</v>
      </c>
      <c r="J6251">
        <f>SMALL(SimData5000!$C$9:$C$5008,1243)</f>
        <v>0.24313579537192709</v>
      </c>
      <c r="K6251">
        <f>1/(COUNT(SimData5000!$C$9:$C$5008)-1)+$K$6250</f>
        <v>0.24844968993799366</v>
      </c>
    </row>
    <row r="6252" spans="8:11">
      <c r="H6252">
        <f>SMALL(SimData5000!$B$9:$B$5008,1244)</f>
        <v>0.24864603770730229</v>
      </c>
      <c r="I6252">
        <f>1/(COUNT(SimData5000!$B$9:$B$5008)-1)+$I$6251</f>
        <v>0.24864972994599527</v>
      </c>
      <c r="J6252">
        <f>SMALL(SimData5000!$C$9:$C$5008,1244)</f>
        <v>0.24360286853698199</v>
      </c>
      <c r="K6252">
        <f>1/(COUNT(SimData5000!$C$9:$C$5008)-1)+$K$6251</f>
        <v>0.24864972994599527</v>
      </c>
    </row>
    <row r="6253" spans="8:11">
      <c r="H6253">
        <f>SMALL(SimData5000!$B$9:$B$5008,1245)</f>
        <v>0.24897764634102995</v>
      </c>
      <c r="I6253">
        <f>1/(COUNT(SimData5000!$B$9:$B$5008)-1)+$I$6252</f>
        <v>0.24884976995399688</v>
      </c>
      <c r="J6253">
        <f>SMALL(SimData5000!$C$9:$C$5008,1245)</f>
        <v>0.24363756440288853</v>
      </c>
      <c r="K6253">
        <f>1/(COUNT(SimData5000!$C$9:$C$5008)-1)+$K$6252</f>
        <v>0.24884976995399688</v>
      </c>
    </row>
    <row r="6254" spans="8:11">
      <c r="H6254">
        <f>SMALL(SimData5000!$B$9:$B$5008,1246)</f>
        <v>0.24918434161129044</v>
      </c>
      <c r="I6254">
        <f>1/(COUNT(SimData5000!$B$9:$B$5008)-1)+$I$6253</f>
        <v>0.24904980996199849</v>
      </c>
      <c r="J6254">
        <f>SMALL(SimData5000!$C$9:$C$5008,1246)</f>
        <v>0.24406509934669884</v>
      </c>
      <c r="K6254">
        <f>1/(COUNT(SimData5000!$C$9:$C$5008)-1)+$K$6253</f>
        <v>0.24904980996199849</v>
      </c>
    </row>
    <row r="6255" spans="8:11">
      <c r="H6255">
        <f>SMALL(SimData5000!$B$9:$B$5008,1247)</f>
        <v>0.24923873933279855</v>
      </c>
      <c r="I6255">
        <f>1/(COUNT(SimData5000!$B$9:$B$5008)-1)+$I$6254</f>
        <v>0.2492498499700001</v>
      </c>
      <c r="J6255">
        <f>SMALL(SimData5000!$C$9:$C$5008,1247)</f>
        <v>0.24423560660852672</v>
      </c>
      <c r="K6255">
        <f>1/(COUNT(SimData5000!$C$9:$C$5008)-1)+$K$6254</f>
        <v>0.2492498499700001</v>
      </c>
    </row>
    <row r="6256" spans="8:11">
      <c r="H6256">
        <f>SMALL(SimData5000!$B$9:$B$5008,1248)</f>
        <v>0.24955297511037275</v>
      </c>
      <c r="I6256">
        <f>1/(COUNT(SimData5000!$B$9:$B$5008)-1)+$I$6255</f>
        <v>0.24944988997800172</v>
      </c>
      <c r="J6256">
        <f>SMALL(SimData5000!$C$9:$C$5008,1248)</f>
        <v>0.2448263343940198</v>
      </c>
      <c r="K6256">
        <f>1/(COUNT(SimData5000!$C$9:$C$5008)-1)+$K$6255</f>
        <v>0.24944988997800172</v>
      </c>
    </row>
    <row r="6257" spans="8:11">
      <c r="H6257">
        <f>SMALL(SimData5000!$B$9:$B$5008,1249)</f>
        <v>0.24963572441582468</v>
      </c>
      <c r="I6257">
        <f>1/(COUNT(SimData5000!$B$9:$B$5008)-1)+$I$6256</f>
        <v>0.24964992998600333</v>
      </c>
      <c r="J6257">
        <f>SMALL(SimData5000!$C$9:$C$5008,1249)</f>
        <v>0.24501249903460121</v>
      </c>
      <c r="K6257">
        <f>1/(COUNT(SimData5000!$C$9:$C$5008)-1)+$K$6256</f>
        <v>0.24964992998600333</v>
      </c>
    </row>
    <row r="6258" spans="8:11">
      <c r="H6258">
        <f>SMALL(SimData5000!$B$9:$B$5008,1250)</f>
        <v>0.24986454101006139</v>
      </c>
      <c r="I6258">
        <f>1/(COUNT(SimData5000!$B$9:$B$5008)-1)+$I$6257</f>
        <v>0.24984996999400494</v>
      </c>
      <c r="J6258">
        <f>SMALL(SimData5000!$C$9:$C$5008,1250)</f>
        <v>0.24515319323472795</v>
      </c>
      <c r="K6258">
        <f>1/(COUNT(SimData5000!$C$9:$C$5008)-1)+$K$6257</f>
        <v>0.24984996999400494</v>
      </c>
    </row>
    <row r="6259" spans="8:11">
      <c r="H6259">
        <f>SMALL(SimData5000!$B$9:$B$5008,1251)</f>
        <v>0.25004867763641492</v>
      </c>
      <c r="I6259">
        <f>1/(COUNT(SimData5000!$B$9:$B$5008)-1)+$I$6258</f>
        <v>0.25005001000200655</v>
      </c>
      <c r="J6259">
        <f>SMALL(SimData5000!$C$9:$C$5008,1251)</f>
        <v>0.24536045291642949</v>
      </c>
      <c r="K6259">
        <f>1/(COUNT(SimData5000!$C$9:$C$5008)-1)+$K$6258</f>
        <v>0.25005001000200655</v>
      </c>
    </row>
    <row r="6260" spans="8:11">
      <c r="H6260">
        <f>SMALL(SimData5000!$B$9:$B$5008,1252)</f>
        <v>0.25022300495976185</v>
      </c>
      <c r="I6260">
        <f>1/(COUNT(SimData5000!$B$9:$B$5008)-1)+$I$6259</f>
        <v>0.25025005001000816</v>
      </c>
      <c r="J6260">
        <f>SMALL(SimData5000!$C$9:$C$5008,1252)</f>
        <v>0.24539923947759235</v>
      </c>
      <c r="K6260">
        <f>1/(COUNT(SimData5000!$C$9:$C$5008)-1)+$K$6259</f>
        <v>0.25025005001000816</v>
      </c>
    </row>
    <row r="6261" spans="8:11">
      <c r="H6261">
        <f>SMALL(SimData5000!$B$9:$B$5008,1253)</f>
        <v>0.25059509333530328</v>
      </c>
      <c r="I6261">
        <f>1/(COUNT(SimData5000!$B$9:$B$5008)-1)+$I$6260</f>
        <v>0.25045009001800977</v>
      </c>
      <c r="J6261">
        <f>SMALL(SimData5000!$C$9:$C$5008,1253)</f>
        <v>0.24551278097351314</v>
      </c>
      <c r="K6261">
        <f>1/(COUNT(SimData5000!$C$9:$C$5008)-1)+$K$6260</f>
        <v>0.25045009001800977</v>
      </c>
    </row>
    <row r="6262" spans="8:11">
      <c r="H6262">
        <f>SMALL(SimData5000!$B$9:$B$5008,1254)</f>
        <v>0.25072885435492009</v>
      </c>
      <c r="I6262">
        <f>1/(COUNT(SimData5000!$B$9:$B$5008)-1)+$I$6261</f>
        <v>0.25065013002601139</v>
      </c>
      <c r="J6262">
        <f>SMALL(SimData5000!$C$9:$C$5008,1254)</f>
        <v>0.24556510780712415</v>
      </c>
      <c r="K6262">
        <f>1/(COUNT(SimData5000!$C$9:$C$5008)-1)+$K$6261</f>
        <v>0.25065013002601139</v>
      </c>
    </row>
    <row r="6263" spans="8:11">
      <c r="H6263">
        <f>SMALL(SimData5000!$B$9:$B$5008,1255)</f>
        <v>0.25090822946920716</v>
      </c>
      <c r="I6263">
        <f>1/(COUNT(SimData5000!$B$9:$B$5008)-1)+$I$6262</f>
        <v>0.250850170034013</v>
      </c>
      <c r="J6263">
        <f>SMALL(SimData5000!$C$9:$C$5008,1255)</f>
        <v>0.24563908998516126</v>
      </c>
      <c r="K6263">
        <f>1/(COUNT(SimData5000!$C$9:$C$5008)-1)+$K$6262</f>
        <v>0.250850170034013</v>
      </c>
    </row>
    <row r="6264" spans="8:11">
      <c r="H6264">
        <f>SMALL(SimData5000!$B$9:$B$5008,1256)</f>
        <v>0.25105924893390835</v>
      </c>
      <c r="I6264">
        <f>1/(COUNT(SimData5000!$B$9:$B$5008)-1)+$I$6263</f>
        <v>0.25105021004201461</v>
      </c>
      <c r="J6264">
        <f>SMALL(SimData5000!$C$9:$C$5008,1256)</f>
        <v>0.24581047830542957</v>
      </c>
      <c r="K6264">
        <f>1/(COUNT(SimData5000!$C$9:$C$5008)-1)+$K$6263</f>
        <v>0.25105021004201461</v>
      </c>
    </row>
    <row r="6265" spans="8:11">
      <c r="H6265">
        <f>SMALL(SimData5000!$B$9:$B$5008,1257)</f>
        <v>0.25125442138022147</v>
      </c>
      <c r="I6265">
        <f>1/(COUNT(SimData5000!$B$9:$B$5008)-1)+$I$6264</f>
        <v>0.25125025005001622</v>
      </c>
      <c r="J6265">
        <f>SMALL(SimData5000!$C$9:$C$5008,1257)</f>
        <v>0.24589402367382718</v>
      </c>
      <c r="K6265">
        <f>1/(COUNT(SimData5000!$C$9:$C$5008)-1)+$K$6264</f>
        <v>0.25125025005001622</v>
      </c>
    </row>
    <row r="6266" spans="8:11">
      <c r="H6266">
        <f>SMALL(SimData5000!$B$9:$B$5008,1258)</f>
        <v>0.25157967984182289</v>
      </c>
      <c r="I6266">
        <f>1/(COUNT(SimData5000!$B$9:$B$5008)-1)+$I$6265</f>
        <v>0.25145029005801783</v>
      </c>
      <c r="J6266">
        <f>SMALL(SimData5000!$C$9:$C$5008,1258)</f>
        <v>0.24595737700201425</v>
      </c>
      <c r="K6266">
        <f>1/(COUNT(SimData5000!$C$9:$C$5008)-1)+$K$6265</f>
        <v>0.25145029005801783</v>
      </c>
    </row>
    <row r="6267" spans="8:11">
      <c r="H6267">
        <f>SMALL(SimData5000!$B$9:$B$5008,1259)</f>
        <v>0.25168526074846398</v>
      </c>
      <c r="I6267">
        <f>1/(COUNT(SimData5000!$B$9:$B$5008)-1)+$I$6266</f>
        <v>0.25165033006601945</v>
      </c>
      <c r="J6267">
        <f>SMALL(SimData5000!$C$9:$C$5008,1259)</f>
        <v>0.24632706783359026</v>
      </c>
      <c r="K6267">
        <f>1/(COUNT(SimData5000!$C$9:$C$5008)-1)+$K$6266</f>
        <v>0.25165033006601945</v>
      </c>
    </row>
    <row r="6268" spans="8:11">
      <c r="H6268">
        <f>SMALL(SimData5000!$B$9:$B$5008,1260)</f>
        <v>0.25190781415424024</v>
      </c>
      <c r="I6268">
        <f>1/(COUNT(SimData5000!$B$9:$B$5008)-1)+$I$6267</f>
        <v>0.25185037007402106</v>
      </c>
      <c r="J6268">
        <f>SMALL(SimData5000!$C$9:$C$5008,1260)</f>
        <v>0.24632856155585614</v>
      </c>
      <c r="K6268">
        <f>1/(COUNT(SimData5000!$C$9:$C$5008)-1)+$K$6267</f>
        <v>0.25185037007402106</v>
      </c>
    </row>
    <row r="6269" spans="8:11">
      <c r="H6269">
        <f>SMALL(SimData5000!$B$9:$B$5008,1261)</f>
        <v>0.25200089334719838</v>
      </c>
      <c r="I6269">
        <f>1/(COUNT(SimData5000!$B$9:$B$5008)-1)+$I$6268</f>
        <v>0.25205041008202267</v>
      </c>
      <c r="J6269">
        <f>SMALL(SimData5000!$C$9:$C$5008,1261)</f>
        <v>0.24644473922489851</v>
      </c>
      <c r="K6269">
        <f>1/(COUNT(SimData5000!$C$9:$C$5008)-1)+$K$6268</f>
        <v>0.25205041008202267</v>
      </c>
    </row>
    <row r="6270" spans="8:11">
      <c r="H6270">
        <f>SMALL(SimData5000!$B$9:$B$5008,1262)</f>
        <v>0.2522725318152626</v>
      </c>
      <c r="I6270">
        <f>1/(COUNT(SimData5000!$B$9:$B$5008)-1)+$I$6269</f>
        <v>0.25225045009002428</v>
      </c>
      <c r="J6270">
        <f>SMALL(SimData5000!$C$9:$C$5008,1262)</f>
        <v>0.24672587768054655</v>
      </c>
      <c r="K6270">
        <f>1/(COUNT(SimData5000!$C$9:$C$5008)-1)+$K$6269</f>
        <v>0.25225045009002428</v>
      </c>
    </row>
    <row r="6271" spans="8:11">
      <c r="H6271">
        <f>SMALL(SimData5000!$B$9:$B$5008,1263)</f>
        <v>0.25240887826080638</v>
      </c>
      <c r="I6271">
        <f>1/(COUNT(SimData5000!$B$9:$B$5008)-1)+$I$6270</f>
        <v>0.25245049009802589</v>
      </c>
      <c r="J6271">
        <f>SMALL(SimData5000!$C$9:$C$5008,1263)</f>
        <v>0.24693310437214677</v>
      </c>
      <c r="K6271">
        <f>1/(COUNT(SimData5000!$C$9:$C$5008)-1)+$K$6270</f>
        <v>0.25245049009802589</v>
      </c>
    </row>
    <row r="6272" spans="8:11">
      <c r="H6272">
        <f>SMALL(SimData5000!$B$9:$B$5008,1264)</f>
        <v>0.25266610768648468</v>
      </c>
      <c r="I6272">
        <f>1/(COUNT(SimData5000!$B$9:$B$5008)-1)+$I$6271</f>
        <v>0.2526505301060275</v>
      </c>
      <c r="J6272">
        <f>SMALL(SimData5000!$C$9:$C$5008,1264)</f>
        <v>0.24721140002020547</v>
      </c>
      <c r="K6272">
        <f>1/(COUNT(SimData5000!$C$9:$C$5008)-1)+$K$6271</f>
        <v>0.2526505301060275</v>
      </c>
    </row>
    <row r="6273" spans="8:11">
      <c r="H6273">
        <f>SMALL(SimData5000!$B$9:$B$5008,1265)</f>
        <v>0.25295424351048523</v>
      </c>
      <c r="I6273">
        <f>1/(COUNT(SimData5000!$B$9:$B$5008)-1)+$I$6272</f>
        <v>0.25285057011402912</v>
      </c>
      <c r="J6273">
        <f>SMALL(SimData5000!$C$9:$C$5008,1265)</f>
        <v>0.24755203536187764</v>
      </c>
      <c r="K6273">
        <f>1/(COUNT(SimData5000!$C$9:$C$5008)-1)+$K$6272</f>
        <v>0.25285057011402912</v>
      </c>
    </row>
    <row r="6274" spans="8:11">
      <c r="H6274">
        <f>SMALL(SimData5000!$B$9:$B$5008,1266)</f>
        <v>0.25311178065894913</v>
      </c>
      <c r="I6274">
        <f>1/(COUNT(SimData5000!$B$9:$B$5008)-1)+$I$6273</f>
        <v>0.25305061012203073</v>
      </c>
      <c r="J6274">
        <f>SMALL(SimData5000!$C$9:$C$5008,1266)</f>
        <v>0.24830246442434145</v>
      </c>
      <c r="K6274">
        <f>1/(COUNT(SimData5000!$C$9:$C$5008)-1)+$K$6273</f>
        <v>0.25305061012203073</v>
      </c>
    </row>
    <row r="6275" spans="8:11">
      <c r="H6275">
        <f>SMALL(SimData5000!$B$9:$B$5008,1267)</f>
        <v>0.25331249788247806</v>
      </c>
      <c r="I6275">
        <f>1/(COUNT(SimData5000!$B$9:$B$5008)-1)+$I$6274</f>
        <v>0.25325065013003234</v>
      </c>
      <c r="J6275">
        <f>SMALL(SimData5000!$C$9:$C$5008,1267)</f>
        <v>0.24864464665643027</v>
      </c>
      <c r="K6275">
        <f>1/(COUNT(SimData5000!$C$9:$C$5008)-1)+$K$6274</f>
        <v>0.25325065013003234</v>
      </c>
    </row>
    <row r="6276" spans="8:11">
      <c r="H6276">
        <f>SMALL(SimData5000!$B$9:$B$5008,1268)</f>
        <v>0.25352179109140344</v>
      </c>
      <c r="I6276">
        <f>1/(COUNT(SimData5000!$B$9:$B$5008)-1)+$I$6275</f>
        <v>0.25345069013803395</v>
      </c>
      <c r="J6276">
        <f>SMALL(SimData5000!$C$9:$C$5008,1268)</f>
        <v>0.24873254471822293</v>
      </c>
      <c r="K6276">
        <f>1/(COUNT(SimData5000!$C$9:$C$5008)-1)+$K$6275</f>
        <v>0.25345069013803395</v>
      </c>
    </row>
    <row r="6277" spans="8:11">
      <c r="H6277">
        <f>SMALL(SimData5000!$B$9:$B$5008,1269)</f>
        <v>0.2537845673973636</v>
      </c>
      <c r="I6277">
        <f>1/(COUNT(SimData5000!$B$9:$B$5008)-1)+$I$6276</f>
        <v>0.25365073014603556</v>
      </c>
      <c r="J6277">
        <f>SMALL(SimData5000!$C$9:$C$5008,1269)</f>
        <v>0.24873988351919252</v>
      </c>
      <c r="K6277">
        <f>1/(COUNT(SimData5000!$C$9:$C$5008)-1)+$K$6276</f>
        <v>0.25365073014603556</v>
      </c>
    </row>
    <row r="6278" spans="8:11">
      <c r="H6278">
        <f>SMALL(SimData5000!$B$9:$B$5008,1270)</f>
        <v>0.2538055186336407</v>
      </c>
      <c r="I6278">
        <f>1/(COUNT(SimData5000!$B$9:$B$5008)-1)+$I$6277</f>
        <v>0.25385077015403718</v>
      </c>
      <c r="J6278">
        <f>SMALL(SimData5000!$C$9:$C$5008,1270)</f>
        <v>0.24880809455953568</v>
      </c>
      <c r="K6278">
        <f>1/(COUNT(SimData5000!$C$9:$C$5008)-1)+$K$6277</f>
        <v>0.25385077015403718</v>
      </c>
    </row>
    <row r="6279" spans="8:11">
      <c r="H6279">
        <f>SMALL(SimData5000!$B$9:$B$5008,1271)</f>
        <v>0.25407240777632045</v>
      </c>
      <c r="I6279">
        <f>1/(COUNT(SimData5000!$B$9:$B$5008)-1)+$I$6278</f>
        <v>0.25405081016203879</v>
      </c>
      <c r="J6279">
        <f>SMALL(SimData5000!$C$9:$C$5008,1271)</f>
        <v>0.24883431026592007</v>
      </c>
      <c r="K6279">
        <f>1/(COUNT(SimData5000!$C$9:$C$5008)-1)+$K$6278</f>
        <v>0.25405081016203879</v>
      </c>
    </row>
    <row r="6280" spans="8:11">
      <c r="H6280">
        <f>SMALL(SimData5000!$B$9:$B$5008,1272)</f>
        <v>0.25422970534694139</v>
      </c>
      <c r="I6280">
        <f>1/(COUNT(SimData5000!$B$9:$B$5008)-1)+$I$6279</f>
        <v>0.2542508501700404</v>
      </c>
      <c r="J6280">
        <f>SMALL(SimData5000!$C$9:$C$5008,1272)</f>
        <v>0.24965396403149498</v>
      </c>
      <c r="K6280">
        <f>1/(COUNT(SimData5000!$C$9:$C$5008)-1)+$K$6279</f>
        <v>0.2542508501700404</v>
      </c>
    </row>
    <row r="6281" spans="8:11">
      <c r="H6281">
        <f>SMALL(SimData5000!$B$9:$B$5008,1273)</f>
        <v>0.25446975382623954</v>
      </c>
      <c r="I6281">
        <f>1/(COUNT(SimData5000!$B$9:$B$5008)-1)+$I$6280</f>
        <v>0.25445089017804201</v>
      </c>
      <c r="J6281">
        <f>SMALL(SimData5000!$C$9:$C$5008,1273)</f>
        <v>0.25002085327560053</v>
      </c>
      <c r="K6281">
        <f>1/(COUNT(SimData5000!$C$9:$C$5008)-1)+$K$6280</f>
        <v>0.25445089017804201</v>
      </c>
    </row>
    <row r="6282" spans="8:11">
      <c r="H6282">
        <f>SMALL(SimData5000!$B$9:$B$5008,1274)</f>
        <v>0.25478957349764875</v>
      </c>
      <c r="I6282">
        <f>1/(COUNT(SimData5000!$B$9:$B$5008)-1)+$I$6281</f>
        <v>0.25465093018604362</v>
      </c>
      <c r="J6282">
        <f>SMALL(SimData5000!$C$9:$C$5008,1274)</f>
        <v>0.25012773835078406</v>
      </c>
      <c r="K6282">
        <f>1/(COUNT(SimData5000!$C$9:$C$5008)-1)+$K$6281</f>
        <v>0.25465093018604362</v>
      </c>
    </row>
    <row r="6283" spans="8:11">
      <c r="H6283">
        <f>SMALL(SimData5000!$B$9:$B$5008,1275)</f>
        <v>0.25498628500555326</v>
      </c>
      <c r="I6283">
        <f>1/(COUNT(SimData5000!$B$9:$B$5008)-1)+$I$6282</f>
        <v>0.25485097019404523</v>
      </c>
      <c r="J6283">
        <f>SMALL(SimData5000!$C$9:$C$5008,1275)</f>
        <v>0.25046279245452752</v>
      </c>
      <c r="K6283">
        <f>1/(COUNT(SimData5000!$C$9:$C$5008)-1)+$K$6282</f>
        <v>0.25485097019404523</v>
      </c>
    </row>
    <row r="6284" spans="8:11">
      <c r="H6284">
        <f>SMALL(SimData5000!$B$9:$B$5008,1276)</f>
        <v>0.25511983755401335</v>
      </c>
      <c r="I6284">
        <f>1/(COUNT(SimData5000!$B$9:$B$5008)-1)+$I$6283</f>
        <v>0.25505101020204685</v>
      </c>
      <c r="J6284">
        <f>SMALL(SimData5000!$C$9:$C$5008,1276)</f>
        <v>0.25070718432652939</v>
      </c>
      <c r="K6284">
        <f>1/(COUNT(SimData5000!$C$9:$C$5008)-1)+$K$6283</f>
        <v>0.25505101020204685</v>
      </c>
    </row>
    <row r="6285" spans="8:11">
      <c r="H6285">
        <f>SMALL(SimData5000!$B$9:$B$5008,1277)</f>
        <v>0.25538252468369499</v>
      </c>
      <c r="I6285">
        <f>1/(COUNT(SimData5000!$B$9:$B$5008)-1)+$I$6284</f>
        <v>0.25525105021004846</v>
      </c>
      <c r="J6285">
        <f>SMALL(SimData5000!$C$9:$C$5008,1277)</f>
        <v>0.25080753740894579</v>
      </c>
      <c r="K6285">
        <f>1/(COUNT(SimData5000!$C$9:$C$5008)-1)+$K$6284</f>
        <v>0.25525105021004846</v>
      </c>
    </row>
    <row r="6286" spans="8:11">
      <c r="H6286">
        <f>SMALL(SimData5000!$B$9:$B$5008,1278)</f>
        <v>0.2554879422333296</v>
      </c>
      <c r="I6286">
        <f>1/(COUNT(SimData5000!$B$9:$B$5008)-1)+$I$6285</f>
        <v>0.25545109021805007</v>
      </c>
      <c r="J6286">
        <f>SMALL(SimData5000!$C$9:$C$5008,1278)</f>
        <v>0.25084468929071591</v>
      </c>
      <c r="K6286">
        <f>1/(COUNT(SimData5000!$C$9:$C$5008)-1)+$K$6285</f>
        <v>0.25545109021805007</v>
      </c>
    </row>
    <row r="6287" spans="8:11">
      <c r="H6287">
        <f>SMALL(SimData5000!$B$9:$B$5008,1279)</f>
        <v>0.25579327501221405</v>
      </c>
      <c r="I6287">
        <f>1/(COUNT(SimData5000!$B$9:$B$5008)-1)+$I$6286</f>
        <v>0.25565113022605168</v>
      </c>
      <c r="J6287">
        <f>SMALL(SimData5000!$C$9:$C$5008,1279)</f>
        <v>0.25124218894690387</v>
      </c>
      <c r="K6287">
        <f>1/(COUNT(SimData5000!$C$9:$C$5008)-1)+$K$6286</f>
        <v>0.25565113022605168</v>
      </c>
    </row>
    <row r="6288" spans="8:11">
      <c r="H6288">
        <f>SMALL(SimData5000!$B$9:$B$5008,1280)</f>
        <v>0.25594939844052994</v>
      </c>
      <c r="I6288">
        <f>1/(COUNT(SimData5000!$B$9:$B$5008)-1)+$I$6287</f>
        <v>0.25585117023405329</v>
      </c>
      <c r="J6288">
        <f>SMALL(SimData5000!$C$9:$C$5008,1280)</f>
        <v>0.25132587209373014</v>
      </c>
      <c r="K6288">
        <f>1/(COUNT(SimData5000!$C$9:$C$5008)-1)+$K$6287</f>
        <v>0.25585117023405329</v>
      </c>
    </row>
    <row r="6289" spans="8:11">
      <c r="H6289">
        <f>SMALL(SimData5000!$B$9:$B$5008,1281)</f>
        <v>0.25612504867960817</v>
      </c>
      <c r="I6289">
        <f>1/(COUNT(SimData5000!$B$9:$B$5008)-1)+$I$6288</f>
        <v>0.25605121024205491</v>
      </c>
      <c r="J6289">
        <f>SMALL(SimData5000!$C$9:$C$5008,1281)</f>
        <v>0.25136609230321483</v>
      </c>
      <c r="K6289">
        <f>1/(COUNT(SimData5000!$C$9:$C$5008)-1)+$K$6288</f>
        <v>0.25605121024205491</v>
      </c>
    </row>
    <row r="6290" spans="8:11">
      <c r="H6290">
        <f>SMALL(SimData5000!$B$9:$B$5008,1282)</f>
        <v>0.25634189831249926</v>
      </c>
      <c r="I6290">
        <f>1/(COUNT(SimData5000!$B$9:$B$5008)-1)+$I$6289</f>
        <v>0.25625125025005652</v>
      </c>
      <c r="J6290">
        <f>SMALL(SimData5000!$C$9:$C$5008,1282)</f>
        <v>0.25157393929293903</v>
      </c>
      <c r="K6290">
        <f>1/(COUNT(SimData5000!$C$9:$C$5008)-1)+$K$6289</f>
        <v>0.25625125025005652</v>
      </c>
    </row>
    <row r="6291" spans="8:11">
      <c r="H6291">
        <f>SMALL(SimData5000!$B$9:$B$5008,1283)</f>
        <v>0.25640692316168145</v>
      </c>
      <c r="I6291">
        <f>1/(COUNT(SimData5000!$B$9:$B$5008)-1)+$I$6290</f>
        <v>0.25645129025805813</v>
      </c>
      <c r="J6291">
        <f>SMALL(SimData5000!$C$9:$C$5008,1283)</f>
        <v>0.25190409601782449</v>
      </c>
      <c r="K6291">
        <f>1/(COUNT(SimData5000!$C$9:$C$5008)-1)+$K$6290</f>
        <v>0.25645129025805813</v>
      </c>
    </row>
    <row r="6292" spans="8:11">
      <c r="H6292">
        <f>SMALL(SimData5000!$B$9:$B$5008,1284)</f>
        <v>0.25674068770514352</v>
      </c>
      <c r="I6292">
        <f>1/(COUNT(SimData5000!$B$9:$B$5008)-1)+$I$6291</f>
        <v>0.25665133026605974</v>
      </c>
      <c r="J6292">
        <f>SMALL(SimData5000!$C$9:$C$5008,1284)</f>
        <v>0.25288967328742729</v>
      </c>
      <c r="K6292">
        <f>1/(COUNT(SimData5000!$C$9:$C$5008)-1)+$K$6291</f>
        <v>0.25665133026605974</v>
      </c>
    </row>
    <row r="6293" spans="8:11">
      <c r="H6293">
        <f>SMALL(SimData5000!$B$9:$B$5008,1285)</f>
        <v>0.25695972654869775</v>
      </c>
      <c r="I6293">
        <f>1/(COUNT(SimData5000!$B$9:$B$5008)-1)+$I$6292</f>
        <v>0.25685137027406135</v>
      </c>
      <c r="J6293">
        <f>SMALL(SimData5000!$C$9:$C$5008,1285)</f>
        <v>0.25333224860878545</v>
      </c>
      <c r="K6293">
        <f>1/(COUNT(SimData5000!$C$9:$C$5008)-1)+$K$6292</f>
        <v>0.25685137027406135</v>
      </c>
    </row>
    <row r="6294" spans="8:11">
      <c r="H6294">
        <f>SMALL(SimData5000!$B$9:$B$5008,1286)</f>
        <v>0.25705064994987348</v>
      </c>
      <c r="I6294">
        <f>1/(COUNT(SimData5000!$B$9:$B$5008)-1)+$I$6293</f>
        <v>0.25705141028206296</v>
      </c>
      <c r="J6294">
        <f>SMALL(SimData5000!$C$9:$C$5008,1286)</f>
        <v>0.25339034345506661</v>
      </c>
      <c r="K6294">
        <f>1/(COUNT(SimData5000!$C$9:$C$5008)-1)+$K$6293</f>
        <v>0.25705141028206296</v>
      </c>
    </row>
    <row r="6295" spans="8:11">
      <c r="H6295">
        <f>SMALL(SimData5000!$B$9:$B$5008,1287)</f>
        <v>0.2572072331480233</v>
      </c>
      <c r="I6295">
        <f>1/(COUNT(SimData5000!$B$9:$B$5008)-1)+$I$6294</f>
        <v>0.25725145029006458</v>
      </c>
      <c r="J6295">
        <f>SMALL(SimData5000!$C$9:$C$5008,1287)</f>
        <v>0.25353528262166947</v>
      </c>
      <c r="K6295">
        <f>1/(COUNT(SimData5000!$C$9:$C$5008)-1)+$K$6294</f>
        <v>0.25725145029006458</v>
      </c>
    </row>
    <row r="6296" spans="8:11">
      <c r="H6296">
        <f>SMALL(SimData5000!$B$9:$B$5008,1288)</f>
        <v>0.25756093249259537</v>
      </c>
      <c r="I6296">
        <f>1/(COUNT(SimData5000!$B$9:$B$5008)-1)+$I$6295</f>
        <v>0.25745149029806619</v>
      </c>
      <c r="J6296">
        <f>SMALL(SimData5000!$C$9:$C$5008,1288)</f>
        <v>0.25355745545859065</v>
      </c>
      <c r="K6296">
        <f>1/(COUNT(SimData5000!$C$9:$C$5008)-1)+$K$6295</f>
        <v>0.25745149029806619</v>
      </c>
    </row>
    <row r="6297" spans="8:11">
      <c r="H6297">
        <f>SMALL(SimData5000!$B$9:$B$5008,1289)</f>
        <v>0.25769399090481315</v>
      </c>
      <c r="I6297">
        <f>1/(COUNT(SimData5000!$B$9:$B$5008)-1)+$I$6296</f>
        <v>0.2576515303060678</v>
      </c>
      <c r="J6297">
        <f>SMALL(SimData5000!$C$9:$C$5008,1289)</f>
        <v>0.25358632152165228</v>
      </c>
      <c r="K6297">
        <f>1/(COUNT(SimData5000!$C$9:$C$5008)-1)+$K$6296</f>
        <v>0.2576515303060678</v>
      </c>
    </row>
    <row r="6298" spans="8:11">
      <c r="H6298">
        <f>SMALL(SimData5000!$B$9:$B$5008,1290)</f>
        <v>0.25784496524288436</v>
      </c>
      <c r="I6298">
        <f>1/(COUNT(SimData5000!$B$9:$B$5008)-1)+$I$6297</f>
        <v>0.25785157031406941</v>
      </c>
      <c r="J6298">
        <f>SMALL(SimData5000!$C$9:$C$5008,1290)</f>
        <v>0.25403314610230154</v>
      </c>
      <c r="K6298">
        <f>1/(COUNT(SimData5000!$C$9:$C$5008)-1)+$K$6297</f>
        <v>0.25785157031406941</v>
      </c>
    </row>
    <row r="6299" spans="8:11">
      <c r="H6299">
        <f>SMALL(SimData5000!$B$9:$B$5008,1291)</f>
        <v>0.25813447776197795</v>
      </c>
      <c r="I6299">
        <f>1/(COUNT(SimData5000!$B$9:$B$5008)-1)+$I$6298</f>
        <v>0.25805161032207102</v>
      </c>
      <c r="J6299">
        <f>SMALL(SimData5000!$C$9:$C$5008,1291)</f>
        <v>0.25422102340144193</v>
      </c>
      <c r="K6299">
        <f>1/(COUNT(SimData5000!$C$9:$C$5008)-1)+$K$6298</f>
        <v>0.25805161032207102</v>
      </c>
    </row>
    <row r="6300" spans="8:11">
      <c r="H6300">
        <f>SMALL(SimData5000!$B$9:$B$5008,1292)</f>
        <v>0.25837786781126121</v>
      </c>
      <c r="I6300">
        <f>1/(COUNT(SimData5000!$B$9:$B$5008)-1)+$I$6299</f>
        <v>0.25825165033007264</v>
      </c>
      <c r="J6300">
        <f>SMALL(SimData5000!$C$9:$C$5008,1292)</f>
        <v>0.25427030152695806</v>
      </c>
      <c r="K6300">
        <f>1/(COUNT(SimData5000!$C$9:$C$5008)-1)+$K$6299</f>
        <v>0.25825165033007264</v>
      </c>
    </row>
    <row r="6301" spans="8:11">
      <c r="H6301">
        <f>SMALL(SimData5000!$B$9:$B$5008,1293)</f>
        <v>0.25841611248110796</v>
      </c>
      <c r="I6301">
        <f>1/(COUNT(SimData5000!$B$9:$B$5008)-1)+$I$6300</f>
        <v>0.25845169033807425</v>
      </c>
      <c r="J6301">
        <f>SMALL(SimData5000!$C$9:$C$5008,1293)</f>
        <v>0.2544325254020805</v>
      </c>
      <c r="K6301">
        <f>1/(COUNT(SimData5000!$C$9:$C$5008)-1)+$K$6300</f>
        <v>0.25845169033807425</v>
      </c>
    </row>
    <row r="6302" spans="8:11">
      <c r="H6302">
        <f>SMALL(SimData5000!$B$9:$B$5008,1294)</f>
        <v>0.25867959721416228</v>
      </c>
      <c r="I6302">
        <f>1/(COUNT(SimData5000!$B$9:$B$5008)-1)+$I$6301</f>
        <v>0.25865173034607586</v>
      </c>
      <c r="J6302">
        <f>SMALL(SimData5000!$C$9:$C$5008,1294)</f>
        <v>0.2546700605944352</v>
      </c>
      <c r="K6302">
        <f>1/(COUNT(SimData5000!$C$9:$C$5008)-1)+$K$6301</f>
        <v>0.25865173034607586</v>
      </c>
    </row>
    <row r="6303" spans="8:11">
      <c r="H6303">
        <f>SMALL(SimData5000!$B$9:$B$5008,1295)</f>
        <v>0.25880871888036111</v>
      </c>
      <c r="I6303">
        <f>1/(COUNT(SimData5000!$B$9:$B$5008)-1)+$I$6302</f>
        <v>0.25885177035407747</v>
      </c>
      <c r="J6303">
        <f>SMALL(SimData5000!$C$9:$C$5008,1295)</f>
        <v>0.2559002883708672</v>
      </c>
      <c r="K6303">
        <f>1/(COUNT(SimData5000!$C$9:$C$5008)-1)+$K$6302</f>
        <v>0.25885177035407747</v>
      </c>
    </row>
    <row r="6304" spans="8:11">
      <c r="H6304">
        <f>SMALL(SimData5000!$B$9:$B$5008,1296)</f>
        <v>0.25914648540153784</v>
      </c>
      <c r="I6304">
        <f>1/(COUNT(SimData5000!$B$9:$B$5008)-1)+$I$6303</f>
        <v>0.25905181036207908</v>
      </c>
      <c r="J6304">
        <f>SMALL(SimData5000!$C$9:$C$5008,1296)</f>
        <v>0.25598703537434631</v>
      </c>
      <c r="K6304">
        <f>1/(COUNT(SimData5000!$C$9:$C$5008)-1)+$K$6303</f>
        <v>0.25905181036207908</v>
      </c>
    </row>
    <row r="6305" spans="8:11">
      <c r="H6305">
        <f>SMALL(SimData5000!$B$9:$B$5008,1297)</f>
        <v>0.25931943258985862</v>
      </c>
      <c r="I6305">
        <f>1/(COUNT(SimData5000!$B$9:$B$5008)-1)+$I$6304</f>
        <v>0.25925185037008069</v>
      </c>
      <c r="J6305">
        <f>SMALL(SimData5000!$C$9:$C$5008,1297)</f>
        <v>0.2563110818246237</v>
      </c>
      <c r="K6305">
        <f>1/(COUNT(SimData5000!$C$9:$C$5008)-1)+$K$6304</f>
        <v>0.25925185037008069</v>
      </c>
    </row>
    <row r="6306" spans="8:11">
      <c r="H6306">
        <f>SMALL(SimData5000!$B$9:$B$5008,1298)</f>
        <v>0.2595257521847556</v>
      </c>
      <c r="I6306">
        <f>1/(COUNT(SimData5000!$B$9:$B$5008)-1)+$I$6305</f>
        <v>0.25945189037808231</v>
      </c>
      <c r="J6306">
        <f>SMALL(SimData5000!$C$9:$C$5008,1298)</f>
        <v>0.25631359201361192</v>
      </c>
      <c r="K6306">
        <f>1/(COUNT(SimData5000!$C$9:$C$5008)-1)+$K$6305</f>
        <v>0.25945189037808231</v>
      </c>
    </row>
    <row r="6307" spans="8:11">
      <c r="H6307">
        <f>SMALL(SimData5000!$B$9:$B$5008,1299)</f>
        <v>0.25969874994277459</v>
      </c>
      <c r="I6307">
        <f>1/(COUNT(SimData5000!$B$9:$B$5008)-1)+$I$6306</f>
        <v>0.25965193038608392</v>
      </c>
      <c r="J6307">
        <f>SMALL(SimData5000!$C$9:$C$5008,1299)</f>
        <v>0.25635722953666118</v>
      </c>
      <c r="K6307">
        <f>1/(COUNT(SimData5000!$C$9:$C$5008)-1)+$K$6306</f>
        <v>0.25965193038608392</v>
      </c>
    </row>
    <row r="6308" spans="8:11">
      <c r="H6308">
        <f>SMALL(SimData5000!$B$9:$B$5008,1300)</f>
        <v>0.25984591282118247</v>
      </c>
      <c r="I6308">
        <f>1/(COUNT(SimData5000!$B$9:$B$5008)-1)+$I$6307</f>
        <v>0.25985197039408553</v>
      </c>
      <c r="J6308">
        <f>SMALL(SimData5000!$C$9:$C$5008,1300)</f>
        <v>0.2564145564692808</v>
      </c>
      <c r="K6308">
        <f>1/(COUNT(SimData5000!$C$9:$C$5008)-1)+$K$6307</f>
        <v>0.25985197039408553</v>
      </c>
    </row>
    <row r="6309" spans="8:11">
      <c r="H6309">
        <f>SMALL(SimData5000!$B$9:$B$5008,1301)</f>
        <v>0.26015622663967225</v>
      </c>
      <c r="I6309">
        <f>1/(COUNT(SimData5000!$B$9:$B$5008)-1)+$I$6308</f>
        <v>0.26005201040208714</v>
      </c>
      <c r="J6309">
        <f>SMALL(SimData5000!$C$9:$C$5008,1301)</f>
        <v>0.25643654792747839</v>
      </c>
      <c r="K6309">
        <f>1/(COUNT(SimData5000!$C$9:$C$5008)-1)+$K$6308</f>
        <v>0.26005201040208714</v>
      </c>
    </row>
    <row r="6310" spans="8:11">
      <c r="H6310">
        <f>SMALL(SimData5000!$B$9:$B$5008,1302)</f>
        <v>0.26034782730102257</v>
      </c>
      <c r="I6310">
        <f>1/(COUNT(SimData5000!$B$9:$B$5008)-1)+$I$6309</f>
        <v>0.26025205041008875</v>
      </c>
      <c r="J6310">
        <f>SMALL(SimData5000!$C$9:$C$5008,1302)</f>
        <v>0.25653530197087093</v>
      </c>
      <c r="K6310">
        <f>1/(COUNT(SimData5000!$C$9:$C$5008)-1)+$K$6309</f>
        <v>0.26025205041008875</v>
      </c>
    </row>
    <row r="6311" spans="8:11">
      <c r="H6311">
        <f>SMALL(SimData5000!$B$9:$B$5008,1303)</f>
        <v>0.26051095844072081</v>
      </c>
      <c r="I6311">
        <f>1/(COUNT(SimData5000!$B$9:$B$5008)-1)+$I$6310</f>
        <v>0.26045209041809037</v>
      </c>
      <c r="J6311">
        <f>SMALL(SimData5000!$C$9:$C$5008,1303)</f>
        <v>0.25662680862933485</v>
      </c>
      <c r="K6311">
        <f>1/(COUNT(SimData5000!$C$9:$C$5008)-1)+$K$6310</f>
        <v>0.26045209041809037</v>
      </c>
    </row>
    <row r="6312" spans="8:11">
      <c r="H6312">
        <f>SMALL(SimData5000!$B$9:$B$5008,1304)</f>
        <v>0.26079801774057515</v>
      </c>
      <c r="I6312">
        <f>1/(COUNT(SimData5000!$B$9:$B$5008)-1)+$I$6311</f>
        <v>0.26065213042609198</v>
      </c>
      <c r="J6312">
        <f>SMALL(SimData5000!$C$9:$C$5008,1304)</f>
        <v>0.25671936175785959</v>
      </c>
      <c r="K6312">
        <f>1/(COUNT(SimData5000!$C$9:$C$5008)-1)+$K$6311</f>
        <v>0.26065213042609198</v>
      </c>
    </row>
    <row r="6313" spans="8:11">
      <c r="H6313">
        <f>SMALL(SimData5000!$B$9:$B$5008,1305)</f>
        <v>0.26092316751613359</v>
      </c>
      <c r="I6313">
        <f>1/(COUNT(SimData5000!$B$9:$B$5008)-1)+$I$6312</f>
        <v>0.26085217043409359</v>
      </c>
      <c r="J6313">
        <f>SMALL(SimData5000!$C$9:$C$5008,1305)</f>
        <v>0.25706011351303459</v>
      </c>
      <c r="K6313">
        <f>1/(COUNT(SimData5000!$C$9:$C$5008)-1)+$K$6312</f>
        <v>0.26085217043409359</v>
      </c>
    </row>
    <row r="6314" spans="8:11">
      <c r="H6314">
        <f>SMALL(SimData5000!$B$9:$B$5008,1306)</f>
        <v>0.26114229383853788</v>
      </c>
      <c r="I6314">
        <f>1/(COUNT(SimData5000!$B$9:$B$5008)-1)+$I$6313</f>
        <v>0.2610522104420952</v>
      </c>
      <c r="J6314">
        <f>SMALL(SimData5000!$C$9:$C$5008,1306)</f>
        <v>0.2573997959962071</v>
      </c>
      <c r="K6314">
        <f>1/(COUNT(SimData5000!$C$9:$C$5008)-1)+$K$6313</f>
        <v>0.2610522104420952</v>
      </c>
    </row>
    <row r="6315" spans="8:11">
      <c r="H6315">
        <f>SMALL(SimData5000!$B$9:$B$5008,1307)</f>
        <v>0.2612287486124385</v>
      </c>
      <c r="I6315">
        <f>1/(COUNT(SimData5000!$B$9:$B$5008)-1)+$I$6314</f>
        <v>0.26125225045009681</v>
      </c>
      <c r="J6315">
        <f>SMALL(SimData5000!$C$9:$C$5008,1307)</f>
        <v>0.25755700389163394</v>
      </c>
      <c r="K6315">
        <f>1/(COUNT(SimData5000!$C$9:$C$5008)-1)+$K$6314</f>
        <v>0.26125225045009681</v>
      </c>
    </row>
    <row r="6316" spans="8:11">
      <c r="H6316">
        <f>SMALL(SimData5000!$B$9:$B$5008,1308)</f>
        <v>0.26157313551483047</v>
      </c>
      <c r="I6316">
        <f>1/(COUNT(SimData5000!$B$9:$B$5008)-1)+$I$6315</f>
        <v>0.26145229045809842</v>
      </c>
      <c r="J6316">
        <f>SMALL(SimData5000!$C$9:$C$5008,1308)</f>
        <v>0.25769045555080083</v>
      </c>
      <c r="K6316">
        <f>1/(COUNT(SimData5000!$C$9:$C$5008)-1)+$K$6315</f>
        <v>0.26145229045809842</v>
      </c>
    </row>
    <row r="6317" spans="8:11">
      <c r="H6317">
        <f>SMALL(SimData5000!$B$9:$B$5008,1309)</f>
        <v>0.26174649944304174</v>
      </c>
      <c r="I6317">
        <f>1/(COUNT(SimData5000!$B$9:$B$5008)-1)+$I$6316</f>
        <v>0.26165233046610004</v>
      </c>
      <c r="J6317">
        <f>SMALL(SimData5000!$C$9:$C$5008,1309)</f>
        <v>0.25820692381330446</v>
      </c>
      <c r="K6317">
        <f>1/(COUNT(SimData5000!$C$9:$C$5008)-1)+$K$6316</f>
        <v>0.26165233046610004</v>
      </c>
    </row>
    <row r="6318" spans="8:11">
      <c r="H6318">
        <f>SMALL(SimData5000!$B$9:$B$5008,1310)</f>
        <v>0.26198789900638814</v>
      </c>
      <c r="I6318">
        <f>1/(COUNT(SimData5000!$B$9:$B$5008)-1)+$I$6317</f>
        <v>0.26185237047410165</v>
      </c>
      <c r="J6318">
        <f>SMALL(SimData5000!$C$9:$C$5008,1310)</f>
        <v>0.2584479448851198</v>
      </c>
      <c r="K6318">
        <f>1/(COUNT(SimData5000!$C$9:$C$5008)-1)+$K$6317</f>
        <v>0.26185237047410165</v>
      </c>
    </row>
    <row r="6319" spans="8:11">
      <c r="H6319">
        <f>SMALL(SimData5000!$B$9:$B$5008,1311)</f>
        <v>0.26209236144998399</v>
      </c>
      <c r="I6319">
        <f>1/(COUNT(SimData5000!$B$9:$B$5008)-1)+$I$6318</f>
        <v>0.26205241048210326</v>
      </c>
      <c r="J6319">
        <f>SMALL(SimData5000!$C$9:$C$5008,1311)</f>
        <v>0.25851382035580173</v>
      </c>
      <c r="K6319">
        <f>1/(COUNT(SimData5000!$C$9:$C$5008)-1)+$K$6318</f>
        <v>0.26205241048210326</v>
      </c>
    </row>
    <row r="6320" spans="8:11">
      <c r="H6320">
        <f>SMALL(SimData5000!$B$9:$B$5008,1312)</f>
        <v>0.26239345904704964</v>
      </c>
      <c r="I6320">
        <f>1/(COUNT(SimData5000!$B$9:$B$5008)-1)+$I$6319</f>
        <v>0.26225245049010487</v>
      </c>
      <c r="J6320">
        <f>SMALL(SimData5000!$C$9:$C$5008,1312)</f>
        <v>0.25910407666196988</v>
      </c>
      <c r="K6320">
        <f>1/(COUNT(SimData5000!$C$9:$C$5008)-1)+$K$6319</f>
        <v>0.26225245049010487</v>
      </c>
    </row>
    <row r="6321" spans="8:11">
      <c r="H6321">
        <f>SMALL(SimData5000!$B$9:$B$5008,1313)</f>
        <v>0.26257292874133514</v>
      </c>
      <c r="I6321">
        <f>1/(COUNT(SimData5000!$B$9:$B$5008)-1)+$I$6320</f>
        <v>0.26245249049810648</v>
      </c>
      <c r="J6321">
        <f>SMALL(SimData5000!$C$9:$C$5008,1313)</f>
        <v>0.25910593875596533</v>
      </c>
      <c r="K6321">
        <f>1/(COUNT(SimData5000!$C$9:$C$5008)-1)+$K$6320</f>
        <v>0.26245249049810648</v>
      </c>
    </row>
    <row r="6322" spans="8:11">
      <c r="H6322">
        <f>SMALL(SimData5000!$B$9:$B$5008,1314)</f>
        <v>0.26265564210760772</v>
      </c>
      <c r="I6322">
        <f>1/(COUNT(SimData5000!$B$9:$B$5008)-1)+$I$6321</f>
        <v>0.2626525305061081</v>
      </c>
      <c r="J6322">
        <f>SMALL(SimData5000!$C$9:$C$5008,1314)</f>
        <v>0.25925084103710105</v>
      </c>
      <c r="K6322">
        <f>1/(COUNT(SimData5000!$C$9:$C$5008)-1)+$K$6321</f>
        <v>0.2626525305061081</v>
      </c>
    </row>
    <row r="6323" spans="8:11">
      <c r="H6323">
        <f>SMALL(SimData5000!$B$9:$B$5008,1315)</f>
        <v>0.26290414741023072</v>
      </c>
      <c r="I6323">
        <f>1/(COUNT(SimData5000!$B$9:$B$5008)-1)+$I$6322</f>
        <v>0.26285257051410971</v>
      </c>
      <c r="J6323">
        <f>SMALL(SimData5000!$C$9:$C$5008,1315)</f>
        <v>0.25932007396477275</v>
      </c>
      <c r="K6323">
        <f>1/(COUNT(SimData5000!$C$9:$C$5008)-1)+$K$6322</f>
        <v>0.26285257051410971</v>
      </c>
    </row>
    <row r="6324" spans="8:11">
      <c r="H6324">
        <f>SMALL(SimData5000!$B$9:$B$5008,1316)</f>
        <v>0.26312891345222689</v>
      </c>
      <c r="I6324">
        <f>1/(COUNT(SimData5000!$B$9:$B$5008)-1)+$I$6323</f>
        <v>0.26305261052211132</v>
      </c>
      <c r="J6324">
        <f>SMALL(SimData5000!$C$9:$C$5008,1316)</f>
        <v>0.25946726510210283</v>
      </c>
      <c r="K6324">
        <f>1/(COUNT(SimData5000!$C$9:$C$5008)-1)+$K$6323</f>
        <v>0.26305261052211132</v>
      </c>
    </row>
    <row r="6325" spans="8:11">
      <c r="H6325">
        <f>SMALL(SimData5000!$B$9:$B$5008,1317)</f>
        <v>0.26338463427307657</v>
      </c>
      <c r="I6325">
        <f>1/(COUNT(SimData5000!$B$9:$B$5008)-1)+$I$6324</f>
        <v>0.26325265053011293</v>
      </c>
      <c r="J6325">
        <f>SMALL(SimData5000!$C$9:$C$5008,1317)</f>
        <v>0.25947031027681078</v>
      </c>
      <c r="K6325">
        <f>1/(COUNT(SimData5000!$C$9:$C$5008)-1)+$K$6324</f>
        <v>0.26325265053011293</v>
      </c>
    </row>
    <row r="6326" spans="8:11">
      <c r="H6326">
        <f>SMALL(SimData5000!$B$9:$B$5008,1318)</f>
        <v>0.26350802880835439</v>
      </c>
      <c r="I6326">
        <f>1/(COUNT(SimData5000!$B$9:$B$5008)-1)+$I$6325</f>
        <v>0.26345269053811454</v>
      </c>
      <c r="J6326">
        <f>SMALL(SimData5000!$C$9:$C$5008,1318)</f>
        <v>0.25956111001505633</v>
      </c>
      <c r="K6326">
        <f>1/(COUNT(SimData5000!$C$9:$C$5008)-1)+$K$6325</f>
        <v>0.26345269053811454</v>
      </c>
    </row>
    <row r="6327" spans="8:11">
      <c r="H6327">
        <f>SMALL(SimData5000!$B$9:$B$5008,1319)</f>
        <v>0.26364446637757227</v>
      </c>
      <c r="I6327">
        <f>1/(COUNT(SimData5000!$B$9:$B$5008)-1)+$I$6326</f>
        <v>0.26365273054611615</v>
      </c>
      <c r="J6327">
        <f>SMALL(SimData5000!$C$9:$C$5008,1319)</f>
        <v>0.25965397253457922</v>
      </c>
      <c r="K6327">
        <f>1/(COUNT(SimData5000!$C$9:$C$5008)-1)+$K$6326</f>
        <v>0.26365273054611615</v>
      </c>
    </row>
    <row r="6328" spans="8:11">
      <c r="H6328">
        <f>SMALL(SimData5000!$B$9:$B$5008,1320)</f>
        <v>0.26386529650549989</v>
      </c>
      <c r="I6328">
        <f>1/(COUNT(SimData5000!$B$9:$B$5008)-1)+$I$6327</f>
        <v>0.26385277055411777</v>
      </c>
      <c r="J6328">
        <f>SMALL(SimData5000!$C$9:$C$5008,1320)</f>
        <v>0.26036956768348318</v>
      </c>
      <c r="K6328">
        <f>1/(COUNT(SimData5000!$C$9:$C$5008)-1)+$K$6327</f>
        <v>0.26385277055411777</v>
      </c>
    </row>
    <row r="6329" spans="8:11">
      <c r="H6329">
        <f>SMALL(SimData5000!$B$9:$B$5008,1321)</f>
        <v>0.2641189671443121</v>
      </c>
      <c r="I6329">
        <f>1/(COUNT(SimData5000!$B$9:$B$5008)-1)+$I$6328</f>
        <v>0.26405281056211938</v>
      </c>
      <c r="J6329">
        <f>SMALL(SimData5000!$C$9:$C$5008,1321)</f>
        <v>0.26039790765753423</v>
      </c>
      <c r="K6329">
        <f>1/(COUNT(SimData5000!$C$9:$C$5008)-1)+$K$6328</f>
        <v>0.26405281056211938</v>
      </c>
    </row>
    <row r="6330" spans="8:11">
      <c r="H6330">
        <f>SMALL(SimData5000!$B$9:$B$5008,1322)</f>
        <v>0.26429792048328038</v>
      </c>
      <c r="I6330">
        <f>1/(COUNT(SimData5000!$B$9:$B$5008)-1)+$I$6329</f>
        <v>0.26425285057012099</v>
      </c>
      <c r="J6330">
        <f>SMALL(SimData5000!$C$9:$C$5008,1322)</f>
        <v>0.26080295047086111</v>
      </c>
      <c r="K6330">
        <f>1/(COUNT(SimData5000!$C$9:$C$5008)-1)+$K$6329</f>
        <v>0.26425285057012099</v>
      </c>
    </row>
    <row r="6331" spans="8:11">
      <c r="H6331">
        <f>SMALL(SimData5000!$B$9:$B$5008,1323)</f>
        <v>0.26447582412945941</v>
      </c>
      <c r="I6331">
        <f>1/(COUNT(SimData5000!$B$9:$B$5008)-1)+$I$6330</f>
        <v>0.2644528905781226</v>
      </c>
      <c r="J6331">
        <f>SMALL(SimData5000!$C$9:$C$5008,1323)</f>
        <v>0.26085148788297374</v>
      </c>
      <c r="K6331">
        <f>1/(COUNT(SimData5000!$C$9:$C$5008)-1)+$K$6330</f>
        <v>0.2644528905781226</v>
      </c>
    </row>
    <row r="6332" spans="8:11">
      <c r="H6332">
        <f>SMALL(SimData5000!$B$9:$B$5008,1324)</f>
        <v>0.26463962380770584</v>
      </c>
      <c r="I6332">
        <f>1/(COUNT(SimData5000!$B$9:$B$5008)-1)+$I$6331</f>
        <v>0.26465293058612421</v>
      </c>
      <c r="J6332">
        <f>SMALL(SimData5000!$C$9:$C$5008,1324)</f>
        <v>0.26099492072353314</v>
      </c>
      <c r="K6332">
        <f>1/(COUNT(SimData5000!$C$9:$C$5008)-1)+$K$6331</f>
        <v>0.26465293058612421</v>
      </c>
    </row>
    <row r="6333" spans="8:11">
      <c r="H6333">
        <f>SMALL(SimData5000!$B$9:$B$5008,1325)</f>
        <v>0.26490800020115168</v>
      </c>
      <c r="I6333">
        <f>1/(COUNT(SimData5000!$B$9:$B$5008)-1)+$I$6332</f>
        <v>0.26485297059412582</v>
      </c>
      <c r="J6333">
        <f>SMALL(SimData5000!$C$9:$C$5008,1325)</f>
        <v>0.2610227776094689</v>
      </c>
      <c r="K6333">
        <f>1/(COUNT(SimData5000!$C$9:$C$5008)-1)+$K$6332</f>
        <v>0.26485297059412582</v>
      </c>
    </row>
    <row r="6334" spans="8:11">
      <c r="H6334">
        <f>SMALL(SimData5000!$B$9:$B$5008,1326)</f>
        <v>0.26507956248523656</v>
      </c>
      <c r="I6334">
        <f>1/(COUNT(SimData5000!$B$9:$B$5008)-1)+$I$6333</f>
        <v>0.26505301060212744</v>
      </c>
      <c r="J6334">
        <f>SMALL(SimData5000!$C$9:$C$5008,1326)</f>
        <v>0.26106054248521104</v>
      </c>
      <c r="K6334">
        <f>1/(COUNT(SimData5000!$C$9:$C$5008)-1)+$K$6333</f>
        <v>0.26505301060212744</v>
      </c>
    </row>
    <row r="6335" spans="8:11">
      <c r="H6335">
        <f>SMALL(SimData5000!$B$9:$B$5008,1327)</f>
        <v>0.26537395380525247</v>
      </c>
      <c r="I6335">
        <f>1/(COUNT(SimData5000!$B$9:$B$5008)-1)+$I$6334</f>
        <v>0.26525305061012905</v>
      </c>
      <c r="J6335">
        <f>SMALL(SimData5000!$C$9:$C$5008,1327)</f>
        <v>0.26150100477116212</v>
      </c>
      <c r="K6335">
        <f>1/(COUNT(SimData5000!$C$9:$C$5008)-1)+$K$6334</f>
        <v>0.26525305061012905</v>
      </c>
    </row>
    <row r="6336" spans="8:11">
      <c r="H6336">
        <f>SMALL(SimData5000!$B$9:$B$5008,1328)</f>
        <v>0.26547465918508234</v>
      </c>
      <c r="I6336">
        <f>1/(COUNT(SimData5000!$B$9:$B$5008)-1)+$I$6335</f>
        <v>0.26545309061813066</v>
      </c>
      <c r="J6336">
        <f>SMALL(SimData5000!$C$9:$C$5008,1328)</f>
        <v>0.26172829775987339</v>
      </c>
      <c r="K6336">
        <f>1/(COUNT(SimData5000!$C$9:$C$5008)-1)+$K$6335</f>
        <v>0.26545309061813066</v>
      </c>
    </row>
    <row r="6337" spans="8:11">
      <c r="H6337">
        <f>SMALL(SimData5000!$B$9:$B$5008,1329)</f>
        <v>0.26571521643458756</v>
      </c>
      <c r="I6337">
        <f>1/(COUNT(SimData5000!$B$9:$B$5008)-1)+$I$6336</f>
        <v>0.26565313062613227</v>
      </c>
      <c r="J6337">
        <f>SMALL(SimData5000!$C$9:$C$5008,1329)</f>
        <v>0.26179317510923283</v>
      </c>
      <c r="K6337">
        <f>1/(COUNT(SimData5000!$C$9:$C$5008)-1)+$K$6336</f>
        <v>0.26565313062613227</v>
      </c>
    </row>
    <row r="6338" spans="8:11">
      <c r="H6338">
        <f>SMALL(SimData5000!$B$9:$B$5008,1330)</f>
        <v>0.26592765230264692</v>
      </c>
      <c r="I6338">
        <f>1/(COUNT(SimData5000!$B$9:$B$5008)-1)+$I$6337</f>
        <v>0.26585317063413388</v>
      </c>
      <c r="J6338">
        <f>SMALL(SimData5000!$C$9:$C$5008,1330)</f>
        <v>0.26184089670096</v>
      </c>
      <c r="K6338">
        <f>1/(COUNT(SimData5000!$C$9:$C$5008)-1)+$K$6337</f>
        <v>0.26585317063413388</v>
      </c>
    </row>
    <row r="6339" spans="8:11">
      <c r="H6339">
        <f>SMALL(SimData5000!$B$9:$B$5008,1331)</f>
        <v>0.26608356849972242</v>
      </c>
      <c r="I6339">
        <f>1/(COUNT(SimData5000!$B$9:$B$5008)-1)+$I$6338</f>
        <v>0.2660532106421355</v>
      </c>
      <c r="J6339">
        <f>SMALL(SimData5000!$C$9:$C$5008,1331)</f>
        <v>0.26246564946904982</v>
      </c>
      <c r="K6339">
        <f>1/(COUNT(SimData5000!$C$9:$C$5008)-1)+$K$6338</f>
        <v>0.2660532106421355</v>
      </c>
    </row>
    <row r="6340" spans="8:11">
      <c r="H6340">
        <f>SMALL(SimData5000!$B$9:$B$5008,1332)</f>
        <v>0.26627258842225948</v>
      </c>
      <c r="I6340">
        <f>1/(COUNT(SimData5000!$B$9:$B$5008)-1)+$I$6339</f>
        <v>0.26625325065013711</v>
      </c>
      <c r="J6340">
        <f>SMALL(SimData5000!$C$9:$C$5008,1332)</f>
        <v>0.26247844583667757</v>
      </c>
      <c r="K6340">
        <f>1/(COUNT(SimData5000!$C$9:$C$5008)-1)+$K$6339</f>
        <v>0.26625325065013711</v>
      </c>
    </row>
    <row r="6341" spans="8:11">
      <c r="H6341">
        <f>SMALL(SimData5000!$B$9:$B$5008,1333)</f>
        <v>0.26657989932759196</v>
      </c>
      <c r="I6341">
        <f>1/(COUNT(SimData5000!$B$9:$B$5008)-1)+$I$6340</f>
        <v>0.26645329065813872</v>
      </c>
      <c r="J6341">
        <f>SMALL(SimData5000!$C$9:$C$5008,1333)</f>
        <v>0.26276112071172975</v>
      </c>
      <c r="K6341">
        <f>1/(COUNT(SimData5000!$C$9:$C$5008)-1)+$K$6340</f>
        <v>0.26645329065813872</v>
      </c>
    </row>
    <row r="6342" spans="8:11">
      <c r="H6342">
        <f>SMALL(SimData5000!$B$9:$B$5008,1334)</f>
        <v>0.26672156039688771</v>
      </c>
      <c r="I6342">
        <f>1/(COUNT(SimData5000!$B$9:$B$5008)-1)+$I$6341</f>
        <v>0.26665333066614033</v>
      </c>
      <c r="J6342">
        <f>SMALL(SimData5000!$C$9:$C$5008,1334)</f>
        <v>0.26316476451574999</v>
      </c>
      <c r="K6342">
        <f>1/(COUNT(SimData5000!$C$9:$C$5008)-1)+$K$6341</f>
        <v>0.26665333066614033</v>
      </c>
    </row>
    <row r="6343" spans="8:11">
      <c r="H6343">
        <f>SMALL(SimData5000!$B$9:$B$5008,1335)</f>
        <v>0.26689112955454997</v>
      </c>
      <c r="I6343">
        <f>1/(COUNT(SimData5000!$B$9:$B$5008)-1)+$I$6342</f>
        <v>0.26685337067414194</v>
      </c>
      <c r="J6343">
        <f>SMALL(SimData5000!$C$9:$C$5008,1335)</f>
        <v>0.26322233182054333</v>
      </c>
      <c r="K6343">
        <f>1/(COUNT(SimData5000!$C$9:$C$5008)-1)+$K$6342</f>
        <v>0.26685337067414194</v>
      </c>
    </row>
    <row r="6344" spans="8:11">
      <c r="H6344">
        <f>SMALL(SimData5000!$B$9:$B$5008,1336)</f>
        <v>0.26713497542043563</v>
      </c>
      <c r="I6344">
        <f>1/(COUNT(SimData5000!$B$9:$B$5008)-1)+$I$6343</f>
        <v>0.26705341068214355</v>
      </c>
      <c r="J6344">
        <f>SMALL(SimData5000!$C$9:$C$5008,1336)</f>
        <v>0.26325759945757454</v>
      </c>
      <c r="K6344">
        <f>1/(COUNT(SimData5000!$C$9:$C$5008)-1)+$K$6343</f>
        <v>0.26705341068214355</v>
      </c>
    </row>
    <row r="6345" spans="8:11">
      <c r="H6345">
        <f>SMALL(SimData5000!$B$9:$B$5008,1337)</f>
        <v>0.26732416469336584</v>
      </c>
      <c r="I6345">
        <f>1/(COUNT(SimData5000!$B$9:$B$5008)-1)+$I$6344</f>
        <v>0.26725345069014517</v>
      </c>
      <c r="J6345">
        <f>SMALL(SimData5000!$C$9:$C$5008,1337)</f>
        <v>0.26343766105674149</v>
      </c>
      <c r="K6345">
        <f>1/(COUNT(SimData5000!$C$9:$C$5008)-1)+$K$6344</f>
        <v>0.26725345069014517</v>
      </c>
    </row>
    <row r="6346" spans="8:11">
      <c r="H6346">
        <f>SMALL(SimData5000!$B$9:$B$5008,1338)</f>
        <v>0.26752730643253947</v>
      </c>
      <c r="I6346">
        <f>1/(COUNT(SimData5000!$B$9:$B$5008)-1)+$I$6345</f>
        <v>0.26745349069814678</v>
      </c>
      <c r="J6346">
        <f>SMALL(SimData5000!$C$9:$C$5008,1338)</f>
        <v>0.26350403668675426</v>
      </c>
      <c r="K6346">
        <f>1/(COUNT(SimData5000!$C$9:$C$5008)-1)+$K$6345</f>
        <v>0.26745349069814678</v>
      </c>
    </row>
    <row r="6347" spans="8:11">
      <c r="H6347">
        <f>SMALL(SimData5000!$B$9:$B$5008,1339)</f>
        <v>0.2677244378929316</v>
      </c>
      <c r="I6347">
        <f>1/(COUNT(SimData5000!$B$9:$B$5008)-1)+$I$6346</f>
        <v>0.26765353070614839</v>
      </c>
      <c r="J6347">
        <f>SMALL(SimData5000!$C$9:$C$5008,1339)</f>
        <v>0.26367871414367983</v>
      </c>
      <c r="K6347">
        <f>1/(COUNT(SimData5000!$C$9:$C$5008)-1)+$K$6346</f>
        <v>0.26765353070614839</v>
      </c>
    </row>
    <row r="6348" spans="8:11">
      <c r="H6348">
        <f>SMALL(SimData5000!$B$9:$B$5008,1340)</f>
        <v>0.26796776136554956</v>
      </c>
      <c r="I6348">
        <f>1/(COUNT(SimData5000!$B$9:$B$5008)-1)+$I$6347</f>
        <v>0.26785357071415</v>
      </c>
      <c r="J6348">
        <f>SMALL(SimData5000!$C$9:$C$5008,1340)</f>
        <v>0.26375437999013229</v>
      </c>
      <c r="K6348">
        <f>1/(COUNT(SimData5000!$C$9:$C$5008)-1)+$K$6347</f>
        <v>0.26785357071415</v>
      </c>
    </row>
    <row r="6349" spans="8:11">
      <c r="H6349">
        <f>SMALL(SimData5000!$B$9:$B$5008,1341)</f>
        <v>0.2680950791932864</v>
      </c>
      <c r="I6349">
        <f>1/(COUNT(SimData5000!$B$9:$B$5008)-1)+$I$6348</f>
        <v>0.26805361072215161</v>
      </c>
      <c r="J6349">
        <f>SMALL(SimData5000!$C$9:$C$5008,1341)</f>
        <v>0.26404383886165306</v>
      </c>
      <c r="K6349">
        <f>1/(COUNT(SimData5000!$C$9:$C$5008)-1)+$K$6348</f>
        <v>0.26805361072215161</v>
      </c>
    </row>
    <row r="6350" spans="8:11">
      <c r="H6350">
        <f>SMALL(SimData5000!$B$9:$B$5008,1342)</f>
        <v>0.26825588945463669</v>
      </c>
      <c r="I6350">
        <f>1/(COUNT(SimData5000!$B$9:$B$5008)-1)+$I$6349</f>
        <v>0.26825365073015323</v>
      </c>
      <c r="J6350">
        <f>SMALL(SimData5000!$C$9:$C$5008,1342)</f>
        <v>0.26434111940670846</v>
      </c>
      <c r="K6350">
        <f>1/(COUNT(SimData5000!$C$9:$C$5008)-1)+$K$6349</f>
        <v>0.26825365073015323</v>
      </c>
    </row>
    <row r="6351" spans="8:11">
      <c r="H6351">
        <f>SMALL(SimData5000!$B$9:$B$5008,1343)</f>
        <v>0.26859525176696369</v>
      </c>
      <c r="I6351">
        <f>1/(COUNT(SimData5000!$B$9:$B$5008)-1)+$I$6350</f>
        <v>0.26845369073815484</v>
      </c>
      <c r="J6351">
        <f>SMALL(SimData5000!$C$9:$C$5008,1343)</f>
        <v>0.26471095905708353</v>
      </c>
      <c r="K6351">
        <f>1/(COUNT(SimData5000!$C$9:$C$5008)-1)+$K$6350</f>
        <v>0.26845369073815484</v>
      </c>
    </row>
    <row r="6352" spans="8:11">
      <c r="H6352">
        <f>SMALL(SimData5000!$B$9:$B$5008,1344)</f>
        <v>0.26875882649094768</v>
      </c>
      <c r="I6352">
        <f>1/(COUNT(SimData5000!$B$9:$B$5008)-1)+$I$6351</f>
        <v>0.26865373074615645</v>
      </c>
      <c r="J6352">
        <f>SMALL(SimData5000!$C$9:$C$5008,1344)</f>
        <v>0.26501722429929941</v>
      </c>
      <c r="K6352">
        <f>1/(COUNT(SimData5000!$C$9:$C$5008)-1)+$K$6351</f>
        <v>0.26865373074615645</v>
      </c>
    </row>
    <row r="6353" spans="8:11">
      <c r="H6353">
        <f>SMALL(SimData5000!$B$9:$B$5008,1345)</f>
        <v>0.26886708866694642</v>
      </c>
      <c r="I6353">
        <f>1/(COUNT(SimData5000!$B$9:$B$5008)-1)+$I$6352</f>
        <v>0.26885377075415806</v>
      </c>
      <c r="J6353">
        <f>SMALL(SimData5000!$C$9:$C$5008,1345)</f>
        <v>0.26502335598070204</v>
      </c>
      <c r="K6353">
        <f>1/(COUNT(SimData5000!$C$9:$C$5008)-1)+$K$6352</f>
        <v>0.26885377075415806</v>
      </c>
    </row>
    <row r="6354" spans="8:11">
      <c r="H6354">
        <f>SMALL(SimData5000!$B$9:$B$5008,1346)</f>
        <v>0.26918150067086832</v>
      </c>
      <c r="I6354">
        <f>1/(COUNT(SimData5000!$B$9:$B$5008)-1)+$I$6353</f>
        <v>0.26905381076215967</v>
      </c>
      <c r="J6354">
        <f>SMALL(SimData5000!$C$9:$C$5008,1346)</f>
        <v>0.26502359666392294</v>
      </c>
      <c r="K6354">
        <f>1/(COUNT(SimData5000!$C$9:$C$5008)-1)+$K$6353</f>
        <v>0.26905381076215967</v>
      </c>
    </row>
    <row r="6355" spans="8:11">
      <c r="H6355">
        <f>SMALL(SimData5000!$B$9:$B$5008,1347)</f>
        <v>0.26923980045300905</v>
      </c>
      <c r="I6355">
        <f>1/(COUNT(SimData5000!$B$9:$B$5008)-1)+$I$6354</f>
        <v>0.26925385077016128</v>
      </c>
      <c r="J6355">
        <f>SMALL(SimData5000!$C$9:$C$5008,1347)</f>
        <v>0.26524228504422354</v>
      </c>
      <c r="K6355">
        <f>1/(COUNT(SimData5000!$C$9:$C$5008)-1)+$K$6354</f>
        <v>0.26925385077016128</v>
      </c>
    </row>
    <row r="6356" spans="8:11">
      <c r="H6356">
        <f>SMALL(SimData5000!$B$9:$B$5008,1348)</f>
        <v>0.26942083272296491</v>
      </c>
      <c r="I6356">
        <f>1/(COUNT(SimData5000!$B$9:$B$5008)-1)+$I$6355</f>
        <v>0.2694538907781629</v>
      </c>
      <c r="J6356">
        <f>SMALL(SimData5000!$C$9:$C$5008,1348)</f>
        <v>0.26541421124603914</v>
      </c>
      <c r="K6356">
        <f>1/(COUNT(SimData5000!$C$9:$C$5008)-1)+$K$6355</f>
        <v>0.2694538907781629</v>
      </c>
    </row>
    <row r="6357" spans="8:11">
      <c r="H6357">
        <f>SMALL(SimData5000!$B$9:$B$5008,1349)</f>
        <v>0.26965932269353871</v>
      </c>
      <c r="I6357">
        <f>1/(COUNT(SimData5000!$B$9:$B$5008)-1)+$I$6356</f>
        <v>0.26965393078616451</v>
      </c>
      <c r="J6357">
        <f>SMALL(SimData5000!$C$9:$C$5008,1349)</f>
        <v>0.26549097936185717</v>
      </c>
      <c r="K6357">
        <f>1/(COUNT(SimData5000!$C$9:$C$5008)-1)+$K$6356</f>
        <v>0.26965393078616451</v>
      </c>
    </row>
    <row r="6358" spans="8:11">
      <c r="H6358">
        <f>SMALL(SimData5000!$B$9:$B$5008,1350)</f>
        <v>0.26998599499496306</v>
      </c>
      <c r="I6358">
        <f>1/(COUNT(SimData5000!$B$9:$B$5008)-1)+$I$6357</f>
        <v>0.26985397079416612</v>
      </c>
      <c r="J6358">
        <f>SMALL(SimData5000!$C$9:$C$5008,1350)</f>
        <v>0.26550565129036841</v>
      </c>
      <c r="K6358">
        <f>1/(COUNT(SimData5000!$C$9:$C$5008)-1)+$K$6357</f>
        <v>0.26985397079416612</v>
      </c>
    </row>
    <row r="6359" spans="8:11">
      <c r="H6359">
        <f>SMALL(SimData5000!$B$9:$B$5008,1351)</f>
        <v>0.27008987441498084</v>
      </c>
      <c r="I6359">
        <f>1/(COUNT(SimData5000!$B$9:$B$5008)-1)+$I$6358</f>
        <v>0.27005401080216773</v>
      </c>
      <c r="J6359">
        <f>SMALL(SimData5000!$C$9:$C$5008,1351)</f>
        <v>0.26559230211296381</v>
      </c>
      <c r="K6359">
        <f>1/(COUNT(SimData5000!$C$9:$C$5008)-1)+$K$6358</f>
        <v>0.27005401080216773</v>
      </c>
    </row>
    <row r="6360" spans="8:11">
      <c r="H6360">
        <f>SMALL(SimData5000!$B$9:$B$5008,1352)</f>
        <v>0.27036383477830417</v>
      </c>
      <c r="I6360">
        <f>1/(COUNT(SimData5000!$B$9:$B$5008)-1)+$I$6359</f>
        <v>0.27025405081016934</v>
      </c>
      <c r="J6360">
        <f>SMALL(SimData5000!$C$9:$C$5008,1352)</f>
        <v>0.26598546157674718</v>
      </c>
      <c r="K6360">
        <f>1/(COUNT(SimData5000!$C$9:$C$5008)-1)+$K$6359</f>
        <v>0.27025405081016934</v>
      </c>
    </row>
    <row r="6361" spans="8:11">
      <c r="H6361">
        <f>SMALL(SimData5000!$B$9:$B$5008,1353)</f>
        <v>0.27055633379927752</v>
      </c>
      <c r="I6361">
        <f>1/(COUNT(SimData5000!$B$9:$B$5008)-1)+$I$6360</f>
        <v>0.27045409081817096</v>
      </c>
      <c r="J6361">
        <f>SMALL(SimData5000!$C$9:$C$5008,1353)</f>
        <v>0.26605817727067915</v>
      </c>
      <c r="K6361">
        <f>1/(COUNT(SimData5000!$C$9:$C$5008)-1)+$K$6360</f>
        <v>0.27045409081817096</v>
      </c>
    </row>
    <row r="6362" spans="8:11">
      <c r="H6362">
        <f>SMALL(SimData5000!$B$9:$B$5008,1354)</f>
        <v>0.27061912553552986</v>
      </c>
      <c r="I6362">
        <f>1/(COUNT(SimData5000!$B$9:$B$5008)-1)+$I$6361</f>
        <v>0.27065413082617257</v>
      </c>
      <c r="J6362">
        <f>SMALL(SimData5000!$C$9:$C$5008,1354)</f>
        <v>0.26613543830990238</v>
      </c>
      <c r="K6362">
        <f>1/(COUNT(SimData5000!$C$9:$C$5008)-1)+$K$6361</f>
        <v>0.27065413082617257</v>
      </c>
    </row>
    <row r="6363" spans="8:11">
      <c r="H6363">
        <f>SMALL(SimData5000!$B$9:$B$5008,1355)</f>
        <v>0.27096518264649555</v>
      </c>
      <c r="I6363">
        <f>1/(COUNT(SimData5000!$B$9:$B$5008)-1)+$I$6362</f>
        <v>0.27085417083417418</v>
      </c>
      <c r="J6363">
        <f>SMALL(SimData5000!$C$9:$C$5008,1355)</f>
        <v>0.26619247447979433</v>
      </c>
      <c r="K6363">
        <f>1/(COUNT(SimData5000!$C$9:$C$5008)-1)+$K$6362</f>
        <v>0.27085417083417418</v>
      </c>
    </row>
    <row r="6364" spans="8:11">
      <c r="H6364">
        <f>SMALL(SimData5000!$B$9:$B$5008,1356)</f>
        <v>0.27111176288312105</v>
      </c>
      <c r="I6364">
        <f>1/(COUNT(SimData5000!$B$9:$B$5008)-1)+$I$6363</f>
        <v>0.27105421084217579</v>
      </c>
      <c r="J6364">
        <f>SMALL(SimData5000!$C$9:$C$5008,1356)</f>
        <v>0.26620540719977726</v>
      </c>
      <c r="K6364">
        <f>1/(COUNT(SimData5000!$C$9:$C$5008)-1)+$K$6363</f>
        <v>0.27105421084217579</v>
      </c>
    </row>
    <row r="6365" spans="8:11">
      <c r="H6365">
        <f>SMALL(SimData5000!$B$9:$B$5008,1357)</f>
        <v>0.27122283997349972</v>
      </c>
      <c r="I6365">
        <f>1/(COUNT(SimData5000!$B$9:$B$5008)-1)+$I$6364</f>
        <v>0.2712542508501774</v>
      </c>
      <c r="J6365">
        <f>SMALL(SimData5000!$C$9:$C$5008,1357)</f>
        <v>0.26638907092819863</v>
      </c>
      <c r="K6365">
        <f>1/(COUNT(SimData5000!$C$9:$C$5008)-1)+$K$6364</f>
        <v>0.2712542508501774</v>
      </c>
    </row>
    <row r="6366" spans="8:11">
      <c r="H6366">
        <f>SMALL(SimData5000!$B$9:$B$5008,1358)</f>
        <v>0.27156780549841181</v>
      </c>
      <c r="I6366">
        <f>1/(COUNT(SimData5000!$B$9:$B$5008)-1)+$I$6365</f>
        <v>0.27145429085817901</v>
      </c>
      <c r="J6366">
        <f>SMALL(SimData5000!$C$9:$C$5008,1358)</f>
        <v>0.26641066866523033</v>
      </c>
      <c r="K6366">
        <f>1/(COUNT(SimData5000!$C$9:$C$5008)-1)+$K$6365</f>
        <v>0.27145429085817901</v>
      </c>
    </row>
    <row r="6367" spans="8:11">
      <c r="H6367">
        <f>SMALL(SimData5000!$B$9:$B$5008,1359)</f>
        <v>0.27172924937376036</v>
      </c>
      <c r="I6367">
        <f>1/(COUNT(SimData5000!$B$9:$B$5008)-1)+$I$6366</f>
        <v>0.27165433086618063</v>
      </c>
      <c r="J6367">
        <f>SMALL(SimData5000!$C$9:$C$5008,1359)</f>
        <v>0.26655799020591076</v>
      </c>
      <c r="K6367">
        <f>1/(COUNT(SimData5000!$C$9:$C$5008)-1)+$K$6366</f>
        <v>0.27165433086618063</v>
      </c>
    </row>
    <row r="6368" spans="8:11">
      <c r="H6368">
        <f>SMALL(SimData5000!$B$9:$B$5008,1360)</f>
        <v>0.27180374586749906</v>
      </c>
      <c r="I6368">
        <f>1/(COUNT(SimData5000!$B$9:$B$5008)-1)+$I$6367</f>
        <v>0.27185437087418224</v>
      </c>
      <c r="J6368">
        <f>SMALL(SimData5000!$C$9:$C$5008,1360)</f>
        <v>0.26658130734904262</v>
      </c>
      <c r="K6368">
        <f>1/(COUNT(SimData5000!$C$9:$C$5008)-1)+$K$6367</f>
        <v>0.27185437087418224</v>
      </c>
    </row>
    <row r="6369" spans="8:11">
      <c r="H6369">
        <f>SMALL(SimData5000!$B$9:$B$5008,1361)</f>
        <v>0.27207446868602986</v>
      </c>
      <c r="I6369">
        <f>1/(COUNT(SimData5000!$B$9:$B$5008)-1)+$I$6368</f>
        <v>0.27205441088218385</v>
      </c>
      <c r="J6369">
        <f>SMALL(SimData5000!$C$9:$C$5008,1361)</f>
        <v>0.26681686059782805</v>
      </c>
      <c r="K6369">
        <f>1/(COUNT(SimData5000!$C$9:$C$5008)-1)+$K$6368</f>
        <v>0.27205441088218385</v>
      </c>
    </row>
    <row r="6370" spans="8:11">
      <c r="H6370">
        <f>SMALL(SimData5000!$B$9:$B$5008,1362)</f>
        <v>0.2722067789473121</v>
      </c>
      <c r="I6370">
        <f>1/(COUNT(SimData5000!$B$9:$B$5008)-1)+$I$6369</f>
        <v>0.27225445089018546</v>
      </c>
      <c r="J6370">
        <f>SMALL(SimData5000!$C$9:$C$5008,1362)</f>
        <v>0.26739194810943445</v>
      </c>
      <c r="K6370">
        <f>1/(COUNT(SimData5000!$C$9:$C$5008)-1)+$K$6369</f>
        <v>0.27225445089018546</v>
      </c>
    </row>
    <row r="6371" spans="8:11">
      <c r="H6371">
        <f>SMALL(SimData5000!$B$9:$B$5008,1363)</f>
        <v>0.27259867329406517</v>
      </c>
      <c r="I6371">
        <f>1/(COUNT(SimData5000!$B$9:$B$5008)-1)+$I$6370</f>
        <v>0.27245449089818707</v>
      </c>
      <c r="J6371">
        <f>SMALL(SimData5000!$C$9:$C$5008,1363)</f>
        <v>0.26825685639505537</v>
      </c>
      <c r="K6371">
        <f>1/(COUNT(SimData5000!$C$9:$C$5008)-1)+$K$6370</f>
        <v>0.27245449089818707</v>
      </c>
    </row>
    <row r="6372" spans="8:11">
      <c r="H6372">
        <f>SMALL(SimData5000!$B$9:$B$5008,1364)</f>
        <v>0.27275970032377161</v>
      </c>
      <c r="I6372">
        <f>1/(COUNT(SimData5000!$B$9:$B$5008)-1)+$I$6371</f>
        <v>0.27265453090618869</v>
      </c>
      <c r="J6372">
        <f>SMALL(SimData5000!$C$9:$C$5008,1364)</f>
        <v>0.26827593700090802</v>
      </c>
      <c r="K6372">
        <f>1/(COUNT(SimData5000!$C$9:$C$5008)-1)+$K$6371</f>
        <v>0.27265453090618869</v>
      </c>
    </row>
    <row r="6373" spans="8:11">
      <c r="H6373">
        <f>SMALL(SimData5000!$B$9:$B$5008,1365)</f>
        <v>0.27292431747371432</v>
      </c>
      <c r="I6373">
        <f>1/(COUNT(SimData5000!$B$9:$B$5008)-1)+$I$6372</f>
        <v>0.2728545709141903</v>
      </c>
      <c r="J6373">
        <f>SMALL(SimData5000!$C$9:$C$5008,1365)</f>
        <v>0.26834528722429241</v>
      </c>
      <c r="K6373">
        <f>1/(COUNT(SimData5000!$C$9:$C$5008)-1)+$K$6372</f>
        <v>0.2728545709141903</v>
      </c>
    </row>
    <row r="6374" spans="8:11">
      <c r="H6374">
        <f>SMALL(SimData5000!$B$9:$B$5008,1366)</f>
        <v>0.27310393915518744</v>
      </c>
      <c r="I6374">
        <f>1/(COUNT(SimData5000!$B$9:$B$5008)-1)+$I$6373</f>
        <v>0.27305461092219191</v>
      </c>
      <c r="J6374">
        <f>SMALL(SimData5000!$C$9:$C$5008,1366)</f>
        <v>0.26835434687927773</v>
      </c>
      <c r="K6374">
        <f>1/(COUNT(SimData5000!$C$9:$C$5008)-1)+$K$6373</f>
        <v>0.27305461092219191</v>
      </c>
    </row>
    <row r="6375" spans="8:11">
      <c r="H6375">
        <f>SMALL(SimData5000!$B$9:$B$5008,1367)</f>
        <v>0.27328546698486561</v>
      </c>
      <c r="I6375">
        <f>1/(COUNT(SimData5000!$B$9:$B$5008)-1)+$I$6374</f>
        <v>0.27325465093019352</v>
      </c>
      <c r="J6375">
        <f>SMALL(SimData5000!$C$9:$C$5008,1367)</f>
        <v>0.26858207689929259</v>
      </c>
      <c r="K6375">
        <f>1/(COUNT(SimData5000!$C$9:$C$5008)-1)+$K$6374</f>
        <v>0.27325465093019352</v>
      </c>
    </row>
    <row r="6376" spans="8:11">
      <c r="H6376">
        <f>SMALL(SimData5000!$B$9:$B$5008,1368)</f>
        <v>0.27353979092159769</v>
      </c>
      <c r="I6376">
        <f>1/(COUNT(SimData5000!$B$9:$B$5008)-1)+$I$6375</f>
        <v>0.27345469093819513</v>
      </c>
      <c r="J6376">
        <f>SMALL(SimData5000!$C$9:$C$5008,1368)</f>
        <v>0.26865399640428222</v>
      </c>
      <c r="K6376">
        <f>1/(COUNT(SimData5000!$C$9:$C$5008)-1)+$K$6375</f>
        <v>0.27345469093819513</v>
      </c>
    </row>
    <row r="6377" spans="8:11">
      <c r="H6377">
        <f>SMALL(SimData5000!$B$9:$B$5008,1369)</f>
        <v>0.27379038495914787</v>
      </c>
      <c r="I6377">
        <f>1/(COUNT(SimData5000!$B$9:$B$5008)-1)+$I$6376</f>
        <v>0.27365473094619674</v>
      </c>
      <c r="J6377">
        <f>SMALL(SimData5000!$C$9:$C$5008,1369)</f>
        <v>0.26884380674346176</v>
      </c>
      <c r="K6377">
        <f>1/(COUNT(SimData5000!$C$9:$C$5008)-1)+$K$6376</f>
        <v>0.27365473094619674</v>
      </c>
    </row>
    <row r="6378" spans="8:11">
      <c r="H6378">
        <f>SMALL(SimData5000!$B$9:$B$5008,1370)</f>
        <v>0.27398482214761544</v>
      </c>
      <c r="I6378">
        <f>1/(COUNT(SimData5000!$B$9:$B$5008)-1)+$I$6377</f>
        <v>0.27385477095419836</v>
      </c>
      <c r="J6378">
        <f>SMALL(SimData5000!$C$9:$C$5008,1370)</f>
        <v>0.26904036249106866</v>
      </c>
      <c r="K6378">
        <f>1/(COUNT(SimData5000!$C$9:$C$5008)-1)+$K$6377</f>
        <v>0.27385477095419836</v>
      </c>
    </row>
    <row r="6379" spans="8:11">
      <c r="H6379">
        <f>SMALL(SimData5000!$B$9:$B$5008,1371)</f>
        <v>0.27403558015377155</v>
      </c>
      <c r="I6379">
        <f>1/(COUNT(SimData5000!$B$9:$B$5008)-1)+$I$6378</f>
        <v>0.27405481096219997</v>
      </c>
      <c r="J6379">
        <f>SMALL(SimData5000!$C$9:$C$5008,1371)</f>
        <v>0.26906592915474903</v>
      </c>
      <c r="K6379">
        <f>1/(COUNT(SimData5000!$C$9:$C$5008)-1)+$K$6378</f>
        <v>0.27405481096219997</v>
      </c>
    </row>
    <row r="6380" spans="8:11">
      <c r="H6380">
        <f>SMALL(SimData5000!$B$9:$B$5008,1372)</f>
        <v>0.27424307546006588</v>
      </c>
      <c r="I6380">
        <f>1/(COUNT(SimData5000!$B$9:$B$5008)-1)+$I$6379</f>
        <v>0.27425485097020158</v>
      </c>
      <c r="J6380">
        <f>SMALL(SimData5000!$C$9:$C$5008,1372)</f>
        <v>0.26916737936335267</v>
      </c>
      <c r="K6380">
        <f>1/(COUNT(SimData5000!$C$9:$C$5008)-1)+$K$6379</f>
        <v>0.27425485097020158</v>
      </c>
    </row>
    <row r="6381" spans="8:11">
      <c r="H6381">
        <f>SMALL(SimData5000!$B$9:$B$5008,1373)</f>
        <v>0.27443511542906873</v>
      </c>
      <c r="I6381">
        <f>1/(COUNT(SimData5000!$B$9:$B$5008)-1)+$I$6380</f>
        <v>0.27445489097820319</v>
      </c>
      <c r="J6381">
        <f>SMALL(SimData5000!$C$9:$C$5008,1373)</f>
        <v>0.26937082180120342</v>
      </c>
      <c r="K6381">
        <f>1/(COUNT(SimData5000!$C$9:$C$5008)-1)+$K$6380</f>
        <v>0.27445489097820319</v>
      </c>
    </row>
    <row r="6382" spans="8:11">
      <c r="H6382">
        <f>SMALL(SimData5000!$B$9:$B$5008,1374)</f>
        <v>0.27477367124049312</v>
      </c>
      <c r="I6382">
        <f>1/(COUNT(SimData5000!$B$9:$B$5008)-1)+$I$6381</f>
        <v>0.2746549309862048</v>
      </c>
      <c r="J6382">
        <f>SMALL(SimData5000!$C$9:$C$5008,1374)</f>
        <v>0.26971331514050689</v>
      </c>
      <c r="K6382">
        <f>1/(COUNT(SimData5000!$C$9:$C$5008)-1)+$K$6381</f>
        <v>0.2746549309862048</v>
      </c>
    </row>
    <row r="6383" spans="8:11">
      <c r="H6383">
        <f>SMALL(SimData5000!$B$9:$B$5008,1375)</f>
        <v>0.27493757216896336</v>
      </c>
      <c r="I6383">
        <f>1/(COUNT(SimData5000!$B$9:$B$5008)-1)+$I$6382</f>
        <v>0.27485497099420642</v>
      </c>
      <c r="J6383">
        <f>SMALL(SimData5000!$C$9:$C$5008,1375)</f>
        <v>0.26982698530355265</v>
      </c>
      <c r="K6383">
        <f>1/(COUNT(SimData5000!$C$9:$C$5008)-1)+$K$6382</f>
        <v>0.27485497099420642</v>
      </c>
    </row>
    <row r="6384" spans="8:11">
      <c r="H6384">
        <f>SMALL(SimData5000!$B$9:$B$5008,1376)</f>
        <v>0.27513634093542033</v>
      </c>
      <c r="I6384">
        <f>1/(COUNT(SimData5000!$B$9:$B$5008)-1)+$I$6383</f>
        <v>0.27505501100220803</v>
      </c>
      <c r="J6384">
        <f>SMALL(SimData5000!$C$9:$C$5008,1376)</f>
        <v>0.27002488187463314</v>
      </c>
      <c r="K6384">
        <f>1/(COUNT(SimData5000!$C$9:$C$5008)-1)+$K$6383</f>
        <v>0.27505501100220803</v>
      </c>
    </row>
    <row r="6385" spans="8:11">
      <c r="H6385">
        <f>SMALL(SimData5000!$B$9:$B$5008,1377)</f>
        <v>0.27521673363224064</v>
      </c>
      <c r="I6385">
        <f>1/(COUNT(SimData5000!$B$9:$B$5008)-1)+$I$6384</f>
        <v>0.27525505101020964</v>
      </c>
      <c r="J6385">
        <f>SMALL(SimData5000!$C$9:$C$5008,1377)</f>
        <v>0.27011096718888439</v>
      </c>
      <c r="K6385">
        <f>1/(COUNT(SimData5000!$C$9:$C$5008)-1)+$K$6384</f>
        <v>0.27525505101020964</v>
      </c>
    </row>
    <row r="6386" spans="8:11">
      <c r="H6386">
        <f>SMALL(SimData5000!$B$9:$B$5008,1378)</f>
        <v>0.27558040379667198</v>
      </c>
      <c r="I6386">
        <f>1/(COUNT(SimData5000!$B$9:$B$5008)-1)+$I$6385</f>
        <v>0.27545509101821125</v>
      </c>
      <c r="J6386">
        <f>SMALL(SimData5000!$C$9:$C$5008,1378)</f>
        <v>0.27018416809369228</v>
      </c>
      <c r="K6386">
        <f>1/(COUNT(SimData5000!$C$9:$C$5008)-1)+$K$6385</f>
        <v>0.27545509101821125</v>
      </c>
    </row>
    <row r="6387" spans="8:11">
      <c r="H6387">
        <f>SMALL(SimData5000!$B$9:$B$5008,1379)</f>
        <v>0.27576970130423312</v>
      </c>
      <c r="I6387">
        <f>1/(COUNT(SimData5000!$B$9:$B$5008)-1)+$I$6386</f>
        <v>0.27565513102621286</v>
      </c>
      <c r="J6387">
        <f>SMALL(SimData5000!$C$9:$C$5008,1379)</f>
        <v>0.27082321033867629</v>
      </c>
      <c r="K6387">
        <f>1/(COUNT(SimData5000!$C$9:$C$5008)-1)+$K$6386</f>
        <v>0.27565513102621286</v>
      </c>
    </row>
    <row r="6388" spans="8:11">
      <c r="H6388">
        <f>SMALL(SimData5000!$B$9:$B$5008,1380)</f>
        <v>0.27582271283576792</v>
      </c>
      <c r="I6388">
        <f>1/(COUNT(SimData5000!$B$9:$B$5008)-1)+$I$6387</f>
        <v>0.27585517103421447</v>
      </c>
      <c r="J6388">
        <f>SMALL(SimData5000!$C$9:$C$5008,1380)</f>
        <v>0.27086514799066208</v>
      </c>
      <c r="K6388">
        <f>1/(COUNT(SimData5000!$C$9:$C$5008)-1)+$K$6387</f>
        <v>0.27585517103421447</v>
      </c>
    </row>
    <row r="6389" spans="8:11">
      <c r="H6389">
        <f>SMALL(SimData5000!$B$9:$B$5008,1381)</f>
        <v>0.27602054262748466</v>
      </c>
      <c r="I6389">
        <f>1/(COUNT(SimData5000!$B$9:$B$5008)-1)+$I$6388</f>
        <v>0.27605521104221609</v>
      </c>
      <c r="J6389">
        <f>SMALL(SimData5000!$C$9:$C$5008,1381)</f>
        <v>0.2711063243023375</v>
      </c>
      <c r="K6389">
        <f>1/(COUNT(SimData5000!$C$9:$C$5008)-1)+$K$6388</f>
        <v>0.27605521104221609</v>
      </c>
    </row>
    <row r="6390" spans="8:11">
      <c r="H6390">
        <f>SMALL(SimData5000!$B$9:$B$5008,1382)</f>
        <v>0.27629226067557283</v>
      </c>
      <c r="I6390">
        <f>1/(COUNT(SimData5000!$B$9:$B$5008)-1)+$I$6389</f>
        <v>0.2762552510502177</v>
      </c>
      <c r="J6390">
        <f>SMALL(SimData5000!$C$9:$C$5008,1382)</f>
        <v>0.27111268027147162</v>
      </c>
      <c r="K6390">
        <f>1/(COUNT(SimData5000!$C$9:$C$5008)-1)+$K$6389</f>
        <v>0.2762552510502177</v>
      </c>
    </row>
    <row r="6391" spans="8:11">
      <c r="H6391">
        <f>SMALL(SimData5000!$B$9:$B$5008,1383)</f>
        <v>0.27653566391121964</v>
      </c>
      <c r="I6391">
        <f>1/(COUNT(SimData5000!$B$9:$B$5008)-1)+$I$6390</f>
        <v>0.27645529105821931</v>
      </c>
      <c r="J6391">
        <f>SMALL(SimData5000!$C$9:$C$5008,1383)</f>
        <v>0.27113960713904817</v>
      </c>
      <c r="K6391">
        <f>1/(COUNT(SimData5000!$C$9:$C$5008)-1)+$K$6390</f>
        <v>0.27645529105821931</v>
      </c>
    </row>
    <row r="6392" spans="8:11">
      <c r="H6392">
        <f>SMALL(SimData5000!$B$9:$B$5008,1384)</f>
        <v>0.27666239928087738</v>
      </c>
      <c r="I6392">
        <f>1/(COUNT(SimData5000!$B$9:$B$5008)-1)+$I$6391</f>
        <v>0.27665533106622092</v>
      </c>
      <c r="J6392">
        <f>SMALL(SimData5000!$C$9:$C$5008,1384)</f>
        <v>0.27143809264543961</v>
      </c>
      <c r="K6392">
        <f>1/(COUNT(SimData5000!$C$9:$C$5008)-1)+$K$6391</f>
        <v>0.27665533106622092</v>
      </c>
    </row>
    <row r="6393" spans="8:11">
      <c r="H6393">
        <f>SMALL(SimData5000!$B$9:$B$5008,1385)</f>
        <v>0.27684356970909135</v>
      </c>
      <c r="I6393">
        <f>1/(COUNT(SimData5000!$B$9:$B$5008)-1)+$I$6392</f>
        <v>0.27685537107422253</v>
      </c>
      <c r="J6393">
        <f>SMALL(SimData5000!$C$9:$C$5008,1385)</f>
        <v>0.2715354794590894</v>
      </c>
      <c r="K6393">
        <f>1/(COUNT(SimData5000!$C$9:$C$5008)-1)+$K$6392</f>
        <v>0.27685537107422253</v>
      </c>
    </row>
    <row r="6394" spans="8:11">
      <c r="H6394">
        <f>SMALL(SimData5000!$B$9:$B$5008,1386)</f>
        <v>0.2771107159966395</v>
      </c>
      <c r="I6394">
        <f>1/(COUNT(SimData5000!$B$9:$B$5008)-1)+$I$6393</f>
        <v>0.27705541108222415</v>
      </c>
      <c r="J6394">
        <f>SMALL(SimData5000!$C$9:$C$5008,1386)</f>
        <v>0.2715482098656139</v>
      </c>
      <c r="K6394">
        <f>1/(COUNT(SimData5000!$C$9:$C$5008)-1)+$K$6393</f>
        <v>0.27705541108222415</v>
      </c>
    </row>
    <row r="6395" spans="8:11">
      <c r="H6395">
        <f>SMALL(SimData5000!$B$9:$B$5008,1387)</f>
        <v>0.27732166082852561</v>
      </c>
      <c r="I6395">
        <f>1/(COUNT(SimData5000!$B$9:$B$5008)-1)+$I$6394</f>
        <v>0.27725545109022576</v>
      </c>
      <c r="J6395">
        <f>SMALL(SimData5000!$C$9:$C$5008,1387)</f>
        <v>0.27210805627601076</v>
      </c>
      <c r="K6395">
        <f>1/(COUNT(SimData5000!$C$9:$C$5008)-1)+$K$6394</f>
        <v>0.27725545109022576</v>
      </c>
    </row>
    <row r="6396" spans="8:11">
      <c r="H6396">
        <f>SMALL(SimData5000!$B$9:$B$5008,1388)</f>
        <v>0.27748212480500389</v>
      </c>
      <c r="I6396">
        <f>1/(COUNT(SimData5000!$B$9:$B$5008)-1)+$I$6395</f>
        <v>0.27745549109822737</v>
      </c>
      <c r="J6396">
        <f>SMALL(SimData5000!$C$9:$C$5008,1388)</f>
        <v>0.27224961785486812</v>
      </c>
      <c r="K6396">
        <f>1/(COUNT(SimData5000!$C$9:$C$5008)-1)+$K$6395</f>
        <v>0.27745549109822737</v>
      </c>
    </row>
    <row r="6397" spans="8:11">
      <c r="H6397">
        <f>SMALL(SimData5000!$B$9:$B$5008,1389)</f>
        <v>0.27761820286242717</v>
      </c>
      <c r="I6397">
        <f>1/(COUNT(SimData5000!$B$9:$B$5008)-1)+$I$6396</f>
        <v>0.27765553110622898</v>
      </c>
      <c r="J6397">
        <f>SMALL(SimData5000!$C$9:$C$5008,1389)</f>
        <v>0.27233044345666713</v>
      </c>
      <c r="K6397">
        <f>1/(COUNT(SimData5000!$C$9:$C$5008)-1)+$K$6396</f>
        <v>0.27765553110622898</v>
      </c>
    </row>
    <row r="6398" spans="8:11">
      <c r="H6398">
        <f>SMALL(SimData5000!$B$9:$B$5008,1390)</f>
        <v>0.27791568558097718</v>
      </c>
      <c r="I6398">
        <f>1/(COUNT(SimData5000!$B$9:$B$5008)-1)+$I$6397</f>
        <v>0.27785557111423059</v>
      </c>
      <c r="J6398">
        <f>SMALL(SimData5000!$C$9:$C$5008,1390)</f>
        <v>0.27235809138801415</v>
      </c>
      <c r="K6398">
        <f>1/(COUNT(SimData5000!$C$9:$C$5008)-1)+$K$6397</f>
        <v>0.27785557111423059</v>
      </c>
    </row>
    <row r="6399" spans="8:11">
      <c r="H6399">
        <f>SMALL(SimData5000!$B$9:$B$5008,1391)</f>
        <v>0.27818954961900355</v>
      </c>
      <c r="I6399">
        <f>1/(COUNT(SimData5000!$B$9:$B$5008)-1)+$I$6398</f>
        <v>0.2780556111222322</v>
      </c>
      <c r="J6399">
        <f>SMALL(SimData5000!$C$9:$C$5008,1391)</f>
        <v>0.27275596435174521</v>
      </c>
      <c r="K6399">
        <f>1/(COUNT(SimData5000!$C$9:$C$5008)-1)+$K$6398</f>
        <v>0.2780556111222322</v>
      </c>
    </row>
    <row r="6400" spans="8:11">
      <c r="H6400">
        <f>SMALL(SimData5000!$B$9:$B$5008,1392)</f>
        <v>0.27821381636043402</v>
      </c>
      <c r="I6400">
        <f>1/(COUNT(SimData5000!$B$9:$B$5008)-1)+$I$6399</f>
        <v>0.27825565113023382</v>
      </c>
      <c r="J6400">
        <f>SMALL(SimData5000!$C$9:$C$5008,1392)</f>
        <v>0.27309138426426216</v>
      </c>
      <c r="K6400">
        <f>1/(COUNT(SimData5000!$C$9:$C$5008)-1)+$K$6399</f>
        <v>0.27825565113023382</v>
      </c>
    </row>
    <row r="6401" spans="8:11">
      <c r="H6401">
        <f>SMALL(SimData5000!$B$9:$B$5008,1393)</f>
        <v>0.27853357366801557</v>
      </c>
      <c r="I6401">
        <f>1/(COUNT(SimData5000!$B$9:$B$5008)-1)+$I$6400</f>
        <v>0.27845569113823543</v>
      </c>
      <c r="J6401">
        <f>SMALL(SimData5000!$C$9:$C$5008,1393)</f>
        <v>0.27385392500036687</v>
      </c>
      <c r="K6401">
        <f>1/(COUNT(SimData5000!$C$9:$C$5008)-1)+$K$6400</f>
        <v>0.27845569113823543</v>
      </c>
    </row>
    <row r="6402" spans="8:11">
      <c r="H6402">
        <f>SMALL(SimData5000!$B$9:$B$5008,1394)</f>
        <v>0.27862802834893302</v>
      </c>
      <c r="I6402">
        <f>1/(COUNT(SimData5000!$B$9:$B$5008)-1)+$I$6401</f>
        <v>0.27865573114623704</v>
      </c>
      <c r="J6402">
        <f>SMALL(SimData5000!$C$9:$C$5008,1394)</f>
        <v>0.27385778809821204</v>
      </c>
      <c r="K6402">
        <f>1/(COUNT(SimData5000!$C$9:$C$5008)-1)+$K$6401</f>
        <v>0.27865573114623704</v>
      </c>
    </row>
    <row r="6403" spans="8:11">
      <c r="H6403">
        <f>SMALL(SimData5000!$B$9:$B$5008,1395)</f>
        <v>0.2788274572826055</v>
      </c>
      <c r="I6403">
        <f>1/(COUNT(SimData5000!$B$9:$B$5008)-1)+$I$6402</f>
        <v>0.27885577115423865</v>
      </c>
      <c r="J6403">
        <f>SMALL(SimData5000!$C$9:$C$5008,1395)</f>
        <v>0.27450275682622305</v>
      </c>
      <c r="K6403">
        <f>1/(COUNT(SimData5000!$C$9:$C$5008)-1)+$K$6402</f>
        <v>0.27885577115423865</v>
      </c>
    </row>
    <row r="6404" spans="8:11">
      <c r="H6404">
        <f>SMALL(SimData5000!$B$9:$B$5008,1396)</f>
        <v>0.27914873666929751</v>
      </c>
      <c r="I6404">
        <f>1/(COUNT(SimData5000!$B$9:$B$5008)-1)+$I$6403</f>
        <v>0.27905581116224026</v>
      </c>
      <c r="J6404">
        <f>SMALL(SimData5000!$C$9:$C$5008,1396)</f>
        <v>0.27465414345078898</v>
      </c>
      <c r="K6404">
        <f>1/(COUNT(SimData5000!$C$9:$C$5008)-1)+$K$6403</f>
        <v>0.27905581116224026</v>
      </c>
    </row>
    <row r="6405" spans="8:11">
      <c r="H6405">
        <f>SMALL(SimData5000!$B$9:$B$5008,1397)</f>
        <v>0.27936163354398724</v>
      </c>
      <c r="I6405">
        <f>1/(COUNT(SimData5000!$B$9:$B$5008)-1)+$I$6404</f>
        <v>0.27925585117024188</v>
      </c>
      <c r="J6405">
        <f>SMALL(SimData5000!$C$9:$C$5008,1397)</f>
        <v>0.27491434874264087</v>
      </c>
      <c r="K6405">
        <f>1/(COUNT(SimData5000!$C$9:$C$5008)-1)+$K$6404</f>
        <v>0.27925585117024188</v>
      </c>
    </row>
    <row r="6406" spans="8:11">
      <c r="H6406">
        <f>SMALL(SimData5000!$B$9:$B$5008,1398)</f>
        <v>0.27954558661364615</v>
      </c>
      <c r="I6406">
        <f>1/(COUNT(SimData5000!$B$9:$B$5008)-1)+$I$6405</f>
        <v>0.27945589117824349</v>
      </c>
      <c r="J6406">
        <f>SMALL(SimData5000!$C$9:$C$5008,1398)</f>
        <v>0.27516655755425745</v>
      </c>
      <c r="K6406">
        <f>1/(COUNT(SimData5000!$C$9:$C$5008)-1)+$K$6405</f>
        <v>0.27945589117824349</v>
      </c>
    </row>
    <row r="6407" spans="8:11">
      <c r="H6407">
        <f>SMALL(SimData5000!$B$9:$B$5008,1399)</f>
        <v>0.27972559031362776</v>
      </c>
      <c r="I6407">
        <f>1/(COUNT(SimData5000!$B$9:$B$5008)-1)+$I$6406</f>
        <v>0.2796559311862451</v>
      </c>
      <c r="J6407">
        <f>SMALL(SimData5000!$C$9:$C$5008,1399)</f>
        <v>0.27543674984462996</v>
      </c>
      <c r="K6407">
        <f>1/(COUNT(SimData5000!$C$9:$C$5008)-1)+$K$6406</f>
        <v>0.2796559311862451</v>
      </c>
    </row>
    <row r="6408" spans="8:11">
      <c r="H6408">
        <f>SMALL(SimData5000!$B$9:$B$5008,1400)</f>
        <v>0.27983883935977677</v>
      </c>
      <c r="I6408">
        <f>1/(COUNT(SimData5000!$B$9:$B$5008)-1)+$I$6407</f>
        <v>0.27985597119424671</v>
      </c>
      <c r="J6408">
        <f>SMALL(SimData5000!$C$9:$C$5008,1400)</f>
        <v>0.27547094685451157</v>
      </c>
      <c r="K6408">
        <f>1/(COUNT(SimData5000!$C$9:$C$5008)-1)+$K$6407</f>
        <v>0.27985597119424671</v>
      </c>
    </row>
    <row r="6409" spans="8:11">
      <c r="H6409">
        <f>SMALL(SimData5000!$B$9:$B$5008,1401)</f>
        <v>0.28015479989679409</v>
      </c>
      <c r="I6409">
        <f>1/(COUNT(SimData5000!$B$9:$B$5008)-1)+$I$6408</f>
        <v>0.28005601120224832</v>
      </c>
      <c r="J6409">
        <f>SMALL(SimData5000!$C$9:$C$5008,1401)</f>
        <v>0.27594376472825388</v>
      </c>
      <c r="K6409">
        <f>1/(COUNT(SimData5000!$C$9:$C$5008)-1)+$K$6408</f>
        <v>0.28005601120224832</v>
      </c>
    </row>
    <row r="6410" spans="8:11">
      <c r="H6410">
        <f>SMALL(SimData5000!$B$9:$B$5008,1402)</f>
        <v>0.28034954936880374</v>
      </c>
      <c r="I6410">
        <f>1/(COUNT(SimData5000!$B$9:$B$5008)-1)+$I$6409</f>
        <v>0.28025605121024993</v>
      </c>
      <c r="J6410">
        <f>SMALL(SimData5000!$C$9:$C$5008,1402)</f>
        <v>0.27609617764755967</v>
      </c>
      <c r="K6410">
        <f>1/(COUNT(SimData5000!$C$9:$C$5008)-1)+$K$6409</f>
        <v>0.28025605121024993</v>
      </c>
    </row>
    <row r="6411" spans="8:11">
      <c r="H6411">
        <f>SMALL(SimData5000!$B$9:$B$5008,1403)</f>
        <v>0.28041120369262323</v>
      </c>
      <c r="I6411">
        <f>1/(COUNT(SimData5000!$B$9:$B$5008)-1)+$I$6410</f>
        <v>0.28045609121825155</v>
      </c>
      <c r="J6411">
        <f>SMALL(SimData5000!$C$9:$C$5008,1403)</f>
        <v>0.2761110135470517</v>
      </c>
      <c r="K6411">
        <f>1/(COUNT(SimData5000!$C$9:$C$5008)-1)+$K$6410</f>
        <v>0.28045609121825155</v>
      </c>
    </row>
    <row r="6412" spans="8:11">
      <c r="H6412">
        <f>SMALL(SimData5000!$B$9:$B$5008,1404)</f>
        <v>0.28076774500901058</v>
      </c>
      <c r="I6412">
        <f>1/(COUNT(SimData5000!$B$9:$B$5008)-1)+$I$6411</f>
        <v>0.28065613122625316</v>
      </c>
      <c r="J6412">
        <f>SMALL(SimData5000!$C$9:$C$5008,1404)</f>
        <v>0.27625171868749021</v>
      </c>
      <c r="K6412">
        <f>1/(COUNT(SimData5000!$C$9:$C$5008)-1)+$K$6411</f>
        <v>0.28065613122625316</v>
      </c>
    </row>
    <row r="6413" spans="8:11">
      <c r="H6413">
        <f>SMALL(SimData5000!$B$9:$B$5008,1405)</f>
        <v>0.28099690750283118</v>
      </c>
      <c r="I6413">
        <f>1/(COUNT(SimData5000!$B$9:$B$5008)-1)+$I$6412</f>
        <v>0.28085617123425477</v>
      </c>
      <c r="J6413">
        <f>SMALL(SimData5000!$C$9:$C$5008,1405)</f>
        <v>0.27656595764165104</v>
      </c>
      <c r="K6413">
        <f>1/(COUNT(SimData5000!$C$9:$C$5008)-1)+$K$6412</f>
        <v>0.28085617123425477</v>
      </c>
    </row>
    <row r="6414" spans="8:11">
      <c r="H6414">
        <f>SMALL(SimData5000!$B$9:$B$5008,1406)</f>
        <v>0.28103932686178928</v>
      </c>
      <c r="I6414">
        <f>1/(COUNT(SimData5000!$B$9:$B$5008)-1)+$I$6413</f>
        <v>0.28105621124225638</v>
      </c>
      <c r="J6414">
        <f>SMALL(SimData5000!$C$9:$C$5008,1406)</f>
        <v>0.27702198481438245</v>
      </c>
      <c r="K6414">
        <f>1/(COUNT(SimData5000!$C$9:$C$5008)-1)+$K$6413</f>
        <v>0.28105621124225638</v>
      </c>
    </row>
    <row r="6415" spans="8:11">
      <c r="H6415">
        <f>SMALL(SimData5000!$B$9:$B$5008,1407)</f>
        <v>0.28132674504595967</v>
      </c>
      <c r="I6415">
        <f>1/(COUNT(SimData5000!$B$9:$B$5008)-1)+$I$6414</f>
        <v>0.28125625125025799</v>
      </c>
      <c r="J6415">
        <f>SMALL(SimData5000!$C$9:$C$5008,1407)</f>
        <v>0.27706440664951515</v>
      </c>
      <c r="K6415">
        <f>1/(COUNT(SimData5000!$C$9:$C$5008)-1)+$K$6414</f>
        <v>0.28125625125025799</v>
      </c>
    </row>
    <row r="6416" spans="8:11">
      <c r="H6416">
        <f>SMALL(SimData5000!$B$9:$B$5008,1408)</f>
        <v>0.28141475600032484</v>
      </c>
      <c r="I6416">
        <f>1/(COUNT(SimData5000!$B$9:$B$5008)-1)+$I$6415</f>
        <v>0.28145629125825961</v>
      </c>
      <c r="J6416">
        <f>SMALL(SimData5000!$C$9:$C$5008,1408)</f>
        <v>0.27715663905111398</v>
      </c>
      <c r="K6416">
        <f>1/(COUNT(SimData5000!$C$9:$C$5008)-1)+$K$6415</f>
        <v>0.28145629125825961</v>
      </c>
    </row>
    <row r="6417" spans="8:11">
      <c r="H6417">
        <f>SMALL(SimData5000!$B$9:$B$5008,1409)</f>
        <v>0.28177462297886952</v>
      </c>
      <c r="I6417">
        <f>1/(COUNT(SimData5000!$B$9:$B$5008)-1)+$I$6416</f>
        <v>0.28165633126626122</v>
      </c>
      <c r="J6417">
        <f>SMALL(SimData5000!$C$9:$C$5008,1409)</f>
        <v>0.2775615886775995</v>
      </c>
      <c r="K6417">
        <f>1/(COUNT(SimData5000!$C$9:$C$5008)-1)+$K$6416</f>
        <v>0.28165633126626122</v>
      </c>
    </row>
    <row r="6418" spans="8:11">
      <c r="H6418">
        <f>SMALL(SimData5000!$B$9:$B$5008,1410)</f>
        <v>0.28197851453888662</v>
      </c>
      <c r="I6418">
        <f>1/(COUNT(SimData5000!$B$9:$B$5008)-1)+$I$6417</f>
        <v>0.28185637127426283</v>
      </c>
      <c r="J6418">
        <f>SMALL(SimData5000!$C$9:$C$5008,1410)</f>
        <v>0.27783336704578687</v>
      </c>
      <c r="K6418">
        <f>1/(COUNT(SimData5000!$C$9:$C$5008)-1)+$K$6417</f>
        <v>0.28185637127426283</v>
      </c>
    </row>
    <row r="6419" spans="8:11">
      <c r="H6419">
        <f>SMALL(SimData5000!$B$9:$B$5008,1411)</f>
        <v>0.28215541041091913</v>
      </c>
      <c r="I6419">
        <f>1/(COUNT(SimData5000!$B$9:$B$5008)-1)+$I$6418</f>
        <v>0.28205641128226444</v>
      </c>
      <c r="J6419">
        <f>SMALL(SimData5000!$C$9:$C$5008,1411)</f>
        <v>0.27794938789247681</v>
      </c>
      <c r="K6419">
        <f>1/(COUNT(SimData5000!$C$9:$C$5008)-1)+$K$6418</f>
        <v>0.28205641128226444</v>
      </c>
    </row>
    <row r="6420" spans="8:11">
      <c r="H6420">
        <f>SMALL(SimData5000!$B$9:$B$5008,1412)</f>
        <v>0.28221162612038009</v>
      </c>
      <c r="I6420">
        <f>1/(COUNT(SimData5000!$B$9:$B$5008)-1)+$I$6419</f>
        <v>0.28225645129026605</v>
      </c>
      <c r="J6420">
        <f>SMALL(SimData5000!$C$9:$C$5008,1412)</f>
        <v>0.27798846748009964</v>
      </c>
      <c r="K6420">
        <f>1/(COUNT(SimData5000!$C$9:$C$5008)-1)+$K$6419</f>
        <v>0.28225645129026605</v>
      </c>
    </row>
    <row r="6421" spans="8:11">
      <c r="H6421">
        <f>SMALL(SimData5000!$B$9:$B$5008,1413)</f>
        <v>0.28250431779630114</v>
      </c>
      <c r="I6421">
        <f>1/(COUNT(SimData5000!$B$9:$B$5008)-1)+$I$6420</f>
        <v>0.28245649129826766</v>
      </c>
      <c r="J6421">
        <f>SMALL(SimData5000!$C$9:$C$5008,1413)</f>
        <v>0.27801783735412755</v>
      </c>
      <c r="K6421">
        <f>1/(COUNT(SimData5000!$C$9:$C$5008)-1)+$K$6420</f>
        <v>0.28245649129826766</v>
      </c>
    </row>
    <row r="6422" spans="8:11">
      <c r="H6422">
        <f>SMALL(SimData5000!$B$9:$B$5008,1414)</f>
        <v>0.282652556684998</v>
      </c>
      <c r="I6422">
        <f>1/(COUNT(SimData5000!$B$9:$B$5008)-1)+$I$6421</f>
        <v>0.28265653130626928</v>
      </c>
      <c r="J6422">
        <f>SMALL(SimData5000!$C$9:$C$5008,1414)</f>
        <v>0.27814802316700593</v>
      </c>
      <c r="K6422">
        <f>1/(COUNT(SimData5000!$C$9:$C$5008)-1)+$K$6421</f>
        <v>0.28265653130626928</v>
      </c>
    </row>
    <row r="6423" spans="8:11">
      <c r="H6423">
        <f>SMALL(SimData5000!$B$9:$B$5008,1415)</f>
        <v>0.28283397993911846</v>
      </c>
      <c r="I6423">
        <f>1/(COUNT(SimData5000!$B$9:$B$5008)-1)+$I$6422</f>
        <v>0.28285657131427089</v>
      </c>
      <c r="J6423">
        <f>SMALL(SimData5000!$C$9:$C$5008,1415)</f>
        <v>0.2781809664247703</v>
      </c>
      <c r="K6423">
        <f>1/(COUNT(SimData5000!$C$9:$C$5008)-1)+$K$6422</f>
        <v>0.28285657131427089</v>
      </c>
    </row>
    <row r="6424" spans="8:11">
      <c r="H6424">
        <f>SMALL(SimData5000!$B$9:$B$5008,1416)</f>
        <v>0.2831518955439683</v>
      </c>
      <c r="I6424">
        <f>1/(COUNT(SimData5000!$B$9:$B$5008)-1)+$I$6423</f>
        <v>0.2830566113222725</v>
      </c>
      <c r="J6424">
        <f>SMALL(SimData5000!$C$9:$C$5008,1416)</f>
        <v>0.2782936008179604</v>
      </c>
      <c r="K6424">
        <f>1/(COUNT(SimData5000!$C$9:$C$5008)-1)+$K$6423</f>
        <v>0.2830566113222725</v>
      </c>
    </row>
    <row r="6425" spans="8:11">
      <c r="H6425">
        <f>SMALL(SimData5000!$B$9:$B$5008,1417)</f>
        <v>0.28334623585835711</v>
      </c>
      <c r="I6425">
        <f>1/(COUNT(SimData5000!$B$9:$B$5008)-1)+$I$6424</f>
        <v>0.28325665133027411</v>
      </c>
      <c r="J6425">
        <f>SMALL(SimData5000!$C$9:$C$5008,1417)</f>
        <v>0.27856266876916891</v>
      </c>
      <c r="K6425">
        <f>1/(COUNT(SimData5000!$C$9:$C$5008)-1)+$K$6424</f>
        <v>0.28325665133027411</v>
      </c>
    </row>
    <row r="6426" spans="8:11">
      <c r="H6426">
        <f>SMALL(SimData5000!$B$9:$B$5008,1418)</f>
        <v>0.28351059653337823</v>
      </c>
      <c r="I6426">
        <f>1/(COUNT(SimData5000!$B$9:$B$5008)-1)+$I$6425</f>
        <v>0.28345669133827572</v>
      </c>
      <c r="J6426">
        <f>SMALL(SimData5000!$C$9:$C$5008,1418)</f>
        <v>0.27884911173168803</v>
      </c>
      <c r="K6426">
        <f>1/(COUNT(SimData5000!$C$9:$C$5008)-1)+$K$6425</f>
        <v>0.28345669133827572</v>
      </c>
    </row>
    <row r="6427" spans="8:11">
      <c r="H6427">
        <f>SMALL(SimData5000!$B$9:$B$5008,1419)</f>
        <v>0.2836644993846455</v>
      </c>
      <c r="I6427">
        <f>1/(COUNT(SimData5000!$B$9:$B$5008)-1)+$I$6426</f>
        <v>0.28365673134627734</v>
      </c>
      <c r="J6427">
        <f>SMALL(SimData5000!$C$9:$C$5008,1419)</f>
        <v>0.27942601232007291</v>
      </c>
      <c r="K6427">
        <f>1/(COUNT(SimData5000!$C$9:$C$5008)-1)+$K$6426</f>
        <v>0.28365673134627734</v>
      </c>
    </row>
    <row r="6428" spans="8:11">
      <c r="H6428">
        <f>SMALL(SimData5000!$B$9:$B$5008,1420)</f>
        <v>0.28387178351359255</v>
      </c>
      <c r="I6428">
        <f>1/(COUNT(SimData5000!$B$9:$B$5008)-1)+$I$6427</f>
        <v>0.28385677135427895</v>
      </c>
      <c r="J6428">
        <f>SMALL(SimData5000!$C$9:$C$5008,1420)</f>
        <v>0.27978093552519567</v>
      </c>
      <c r="K6428">
        <f>1/(COUNT(SimData5000!$C$9:$C$5008)-1)+$K$6427</f>
        <v>0.28385677135427895</v>
      </c>
    </row>
    <row r="6429" spans="8:11">
      <c r="H6429">
        <f>SMALL(SimData5000!$B$9:$B$5008,1421)</f>
        <v>0.28403856670130939</v>
      </c>
      <c r="I6429">
        <f>1/(COUNT(SimData5000!$B$9:$B$5008)-1)+$I$6428</f>
        <v>0.28405681136228056</v>
      </c>
      <c r="J6429">
        <f>SMALL(SimData5000!$C$9:$C$5008,1421)</f>
        <v>0.27997995596797409</v>
      </c>
      <c r="K6429">
        <f>1/(COUNT(SimData5000!$C$9:$C$5008)-1)+$K$6428</f>
        <v>0.28405681136228056</v>
      </c>
    </row>
    <row r="6430" spans="8:11">
      <c r="H6430">
        <f>SMALL(SimData5000!$B$9:$B$5008,1422)</f>
        <v>0.28439077389617234</v>
      </c>
      <c r="I6430">
        <f>1/(COUNT(SimData5000!$B$9:$B$5008)-1)+$I$6429</f>
        <v>0.28425685137028217</v>
      </c>
      <c r="J6430">
        <f>SMALL(SimData5000!$C$9:$C$5008,1422)</f>
        <v>0.27999726924645074</v>
      </c>
      <c r="K6430">
        <f>1/(COUNT(SimData5000!$C$9:$C$5008)-1)+$K$6429</f>
        <v>0.28425685137028217</v>
      </c>
    </row>
    <row r="6431" spans="8:11">
      <c r="H6431">
        <f>SMALL(SimData5000!$B$9:$B$5008,1423)</f>
        <v>0.28441307205139033</v>
      </c>
      <c r="I6431">
        <f>1/(COUNT(SimData5000!$B$9:$B$5008)-1)+$I$6430</f>
        <v>0.28445689137828378</v>
      </c>
      <c r="J6431">
        <f>SMALL(SimData5000!$C$9:$C$5008,1423)</f>
        <v>0.28010126056142326</v>
      </c>
      <c r="K6431">
        <f>1/(COUNT(SimData5000!$C$9:$C$5008)-1)+$K$6430</f>
        <v>0.28445689137828378</v>
      </c>
    </row>
    <row r="6432" spans="8:11">
      <c r="H6432">
        <f>SMALL(SimData5000!$B$9:$B$5008,1424)</f>
        <v>0.28471433075515418</v>
      </c>
      <c r="I6432">
        <f>1/(COUNT(SimData5000!$B$9:$B$5008)-1)+$I$6431</f>
        <v>0.28465693138628539</v>
      </c>
      <c r="J6432">
        <f>SMALL(SimData5000!$C$9:$C$5008,1424)</f>
        <v>0.28024890134383895</v>
      </c>
      <c r="K6432">
        <f>1/(COUNT(SimData5000!$C$9:$C$5008)-1)+$K$6431</f>
        <v>0.28465693138628539</v>
      </c>
    </row>
    <row r="6433" spans="8:11">
      <c r="H6433">
        <f>SMALL(SimData5000!$B$9:$B$5008,1425)</f>
        <v>0.28493121014915668</v>
      </c>
      <c r="I6433">
        <f>1/(COUNT(SimData5000!$B$9:$B$5008)-1)+$I$6432</f>
        <v>0.28485697139428701</v>
      </c>
      <c r="J6433">
        <f>SMALL(SimData5000!$C$9:$C$5008,1425)</f>
        <v>0.28035332215586095</v>
      </c>
      <c r="K6433">
        <f>1/(COUNT(SimData5000!$C$9:$C$5008)-1)+$K$6432</f>
        <v>0.28485697139428701</v>
      </c>
    </row>
    <row r="6434" spans="8:11">
      <c r="H6434">
        <f>SMALL(SimData5000!$B$9:$B$5008,1426)</f>
        <v>0.28502946846420629</v>
      </c>
      <c r="I6434">
        <f>1/(COUNT(SimData5000!$B$9:$B$5008)-1)+$I$6433</f>
        <v>0.28505701140228862</v>
      </c>
      <c r="J6434">
        <f>SMALL(SimData5000!$C$9:$C$5008,1426)</f>
        <v>0.2804002650491384</v>
      </c>
      <c r="K6434">
        <f>1/(COUNT(SimData5000!$C$9:$C$5008)-1)+$K$6433</f>
        <v>0.28505701140228862</v>
      </c>
    </row>
    <row r="6435" spans="8:11">
      <c r="H6435">
        <f>SMALL(SimData5000!$B$9:$B$5008,1427)</f>
        <v>0.28527033884159064</v>
      </c>
      <c r="I6435">
        <f>1/(COUNT(SimData5000!$B$9:$B$5008)-1)+$I$6434</f>
        <v>0.28525705141029023</v>
      </c>
      <c r="J6435">
        <f>SMALL(SimData5000!$C$9:$C$5008,1427)</f>
        <v>0.28063931027281797</v>
      </c>
      <c r="K6435">
        <f>1/(COUNT(SimData5000!$C$9:$C$5008)-1)+$K$6434</f>
        <v>0.28525705141029023</v>
      </c>
    </row>
    <row r="6436" spans="8:11">
      <c r="H6436">
        <f>SMALL(SimData5000!$B$9:$B$5008,1428)</f>
        <v>0.28543709657751887</v>
      </c>
      <c r="I6436">
        <f>1/(COUNT(SimData5000!$B$9:$B$5008)-1)+$I$6435</f>
        <v>0.28545709141829184</v>
      </c>
      <c r="J6436">
        <f>SMALL(SimData5000!$C$9:$C$5008,1428)</f>
        <v>0.28113830740767298</v>
      </c>
      <c r="K6436">
        <f>1/(COUNT(SimData5000!$C$9:$C$5008)-1)+$K$6435</f>
        <v>0.28545709141829184</v>
      </c>
    </row>
    <row r="6437" spans="8:11">
      <c r="H6437">
        <f>SMALL(SimData5000!$B$9:$B$5008,1429)</f>
        <v>0.28562557345168327</v>
      </c>
      <c r="I6437">
        <f>1/(COUNT(SimData5000!$B$9:$B$5008)-1)+$I$6436</f>
        <v>0.28565713142629345</v>
      </c>
      <c r="J6437">
        <f>SMALL(SimData5000!$C$9:$C$5008,1429)</f>
        <v>0.2811506132266004</v>
      </c>
      <c r="K6437">
        <f>1/(COUNT(SimData5000!$C$9:$C$5008)-1)+$K$6436</f>
        <v>0.28565713142629345</v>
      </c>
    </row>
    <row r="6438" spans="8:11">
      <c r="H6438">
        <f>SMALL(SimData5000!$B$9:$B$5008,1430)</f>
        <v>0.28596009430716751</v>
      </c>
      <c r="I6438">
        <f>1/(COUNT(SimData5000!$B$9:$B$5008)-1)+$I$6437</f>
        <v>0.28585717143429507</v>
      </c>
      <c r="J6438">
        <f>SMALL(SimData5000!$C$9:$C$5008,1430)</f>
        <v>0.28132870302124502</v>
      </c>
      <c r="K6438">
        <f>1/(COUNT(SimData5000!$C$9:$C$5008)-1)+$K$6437</f>
        <v>0.28585717143429507</v>
      </c>
    </row>
    <row r="6439" spans="8:11">
      <c r="H6439">
        <f>SMALL(SimData5000!$B$9:$B$5008,1431)</f>
        <v>0.2861164474532279</v>
      </c>
      <c r="I6439">
        <f>1/(COUNT(SimData5000!$B$9:$B$5008)-1)+$I$6438</f>
        <v>0.28605721144229668</v>
      </c>
      <c r="J6439">
        <f>SMALL(SimData5000!$C$9:$C$5008,1431)</f>
        <v>0.28145596751892299</v>
      </c>
      <c r="K6439">
        <f>1/(COUNT(SimData5000!$C$9:$C$5008)-1)+$K$6438</f>
        <v>0.28605721144229668</v>
      </c>
    </row>
    <row r="6440" spans="8:11">
      <c r="H6440">
        <f>SMALL(SimData5000!$B$9:$B$5008,1432)</f>
        <v>0.28625284280820118</v>
      </c>
      <c r="I6440">
        <f>1/(COUNT(SimData5000!$B$9:$B$5008)-1)+$I$6439</f>
        <v>0.28625725145029829</v>
      </c>
      <c r="J6440">
        <f>SMALL(SimData5000!$C$9:$C$5008,1432)</f>
        <v>0.28169066768805351</v>
      </c>
      <c r="K6440">
        <f>1/(COUNT(SimData5000!$C$9:$C$5008)-1)+$K$6439</f>
        <v>0.28625725145029829</v>
      </c>
    </row>
    <row r="6441" spans="8:11">
      <c r="H6441">
        <f>SMALL(SimData5000!$B$9:$B$5008,1433)</f>
        <v>0.2865345647744682</v>
      </c>
      <c r="I6441">
        <f>1/(COUNT(SimData5000!$B$9:$B$5008)-1)+$I$6440</f>
        <v>0.2864572914582999</v>
      </c>
      <c r="J6441">
        <f>SMALL(SimData5000!$C$9:$C$5008,1433)</f>
        <v>0.28196000699244905</v>
      </c>
      <c r="K6441">
        <f>1/(COUNT(SimData5000!$C$9:$C$5008)-1)+$K$6440</f>
        <v>0.2864572914582999</v>
      </c>
    </row>
    <row r="6442" spans="8:11">
      <c r="H6442">
        <f>SMALL(SimData5000!$B$9:$B$5008,1434)</f>
        <v>0.28672179128423375</v>
      </c>
      <c r="I6442">
        <f>1/(COUNT(SimData5000!$B$9:$B$5008)-1)+$I$6441</f>
        <v>0.28665733146630151</v>
      </c>
      <c r="J6442">
        <f>SMALL(SimData5000!$C$9:$C$5008,1434)</f>
        <v>0.28200814927913598</v>
      </c>
      <c r="K6442">
        <f>1/(COUNT(SimData5000!$C$9:$C$5008)-1)+$K$6441</f>
        <v>0.28665733146630151</v>
      </c>
    </row>
    <row r="6443" spans="8:11">
      <c r="H6443">
        <f>SMALL(SimData5000!$B$9:$B$5008,1435)</f>
        <v>0.28696340896821659</v>
      </c>
      <c r="I6443">
        <f>1/(COUNT(SimData5000!$B$9:$B$5008)-1)+$I$6442</f>
        <v>0.28685737147430312</v>
      </c>
      <c r="J6443">
        <f>SMALL(SimData5000!$C$9:$C$5008,1435)</f>
        <v>0.28201745882688556</v>
      </c>
      <c r="K6443">
        <f>1/(COUNT(SimData5000!$C$9:$C$5008)-1)+$K$6442</f>
        <v>0.28685737147430312</v>
      </c>
    </row>
    <row r="6444" spans="8:11">
      <c r="H6444">
        <f>SMALL(SimData5000!$B$9:$B$5008,1436)</f>
        <v>0.28712524560888419</v>
      </c>
      <c r="I6444">
        <f>1/(COUNT(SimData5000!$B$9:$B$5008)-1)+$I$6443</f>
        <v>0.28705741148230474</v>
      </c>
      <c r="J6444">
        <f>SMALL(SimData5000!$C$9:$C$5008,1436)</f>
        <v>0.2820890533093916</v>
      </c>
      <c r="K6444">
        <f>1/(COUNT(SimData5000!$C$9:$C$5008)-1)+$K$6443</f>
        <v>0.28705741148230474</v>
      </c>
    </row>
    <row r="6445" spans="8:11">
      <c r="H6445">
        <f>SMALL(SimData5000!$B$9:$B$5008,1437)</f>
        <v>0.28727265224523674</v>
      </c>
      <c r="I6445">
        <f>1/(COUNT(SimData5000!$B$9:$B$5008)-1)+$I$6444</f>
        <v>0.28725745149030635</v>
      </c>
      <c r="J6445">
        <f>SMALL(SimData5000!$C$9:$C$5008,1437)</f>
        <v>0.28222068171726278</v>
      </c>
      <c r="K6445">
        <f>1/(COUNT(SimData5000!$C$9:$C$5008)-1)+$K$6444</f>
        <v>0.28725745149030635</v>
      </c>
    </row>
    <row r="6446" spans="8:11">
      <c r="H6446">
        <f>SMALL(SimData5000!$B$9:$B$5008,1438)</f>
        <v>0.28748641416339349</v>
      </c>
      <c r="I6446">
        <f>1/(COUNT(SimData5000!$B$9:$B$5008)-1)+$I$6445</f>
        <v>0.28745749149830796</v>
      </c>
      <c r="J6446">
        <f>SMALL(SimData5000!$C$9:$C$5008,1438)</f>
        <v>0.28309930306750175</v>
      </c>
      <c r="K6446">
        <f>1/(COUNT(SimData5000!$C$9:$C$5008)-1)+$K$6445</f>
        <v>0.28745749149830796</v>
      </c>
    </row>
    <row r="6447" spans="8:11">
      <c r="H6447">
        <f>SMALL(SimData5000!$B$9:$B$5008,1439)</f>
        <v>0.28779094903529412</v>
      </c>
      <c r="I6447">
        <f>1/(COUNT(SimData5000!$B$9:$B$5008)-1)+$I$6446</f>
        <v>0.28765753150630957</v>
      </c>
      <c r="J6447">
        <f>SMALL(SimData5000!$C$9:$C$5008,1439)</f>
        <v>0.2832370176583936</v>
      </c>
      <c r="K6447">
        <f>1/(COUNT(SimData5000!$C$9:$C$5008)-1)+$K$6446</f>
        <v>0.28765753150630957</v>
      </c>
    </row>
    <row r="6448" spans="8:11">
      <c r="H6448">
        <f>SMALL(SimData5000!$B$9:$B$5008,1440)</f>
        <v>0.28782515139650211</v>
      </c>
      <c r="I6448">
        <f>1/(COUNT(SimData5000!$B$9:$B$5008)-1)+$I$6447</f>
        <v>0.28785757151431118</v>
      </c>
      <c r="J6448">
        <f>SMALL(SimData5000!$C$9:$C$5008,1440)</f>
        <v>0.28333518180352257</v>
      </c>
      <c r="K6448">
        <f>1/(COUNT(SimData5000!$C$9:$C$5008)-1)+$K$6447</f>
        <v>0.28785757151431118</v>
      </c>
    </row>
    <row r="6449" spans="8:11">
      <c r="H6449">
        <f>SMALL(SimData5000!$B$9:$B$5008,1441)</f>
        <v>0.28807096992686176</v>
      </c>
      <c r="I6449">
        <f>1/(COUNT(SimData5000!$B$9:$B$5008)-1)+$I$6448</f>
        <v>0.2880576115223128</v>
      </c>
      <c r="J6449">
        <f>SMALL(SimData5000!$C$9:$C$5008,1441)</f>
        <v>0.28398203332380945</v>
      </c>
      <c r="K6449">
        <f>1/(COUNT(SimData5000!$C$9:$C$5008)-1)+$K$6448</f>
        <v>0.2880576115223128</v>
      </c>
    </row>
    <row r="6450" spans="8:11">
      <c r="H6450">
        <f>SMALL(SimData5000!$B$9:$B$5008,1442)</f>
        <v>0.28835517992813964</v>
      </c>
      <c r="I6450">
        <f>1/(COUNT(SimData5000!$B$9:$B$5008)-1)+$I$6449</f>
        <v>0.28825765153031441</v>
      </c>
      <c r="J6450">
        <f>SMALL(SimData5000!$C$9:$C$5008,1442)</f>
        <v>0.28434144068614842</v>
      </c>
      <c r="K6450">
        <f>1/(COUNT(SimData5000!$C$9:$C$5008)-1)+$K$6449</f>
        <v>0.28825765153031441</v>
      </c>
    </row>
    <row r="6451" spans="8:11">
      <c r="H6451">
        <f>SMALL(SimData5000!$B$9:$B$5008,1443)</f>
        <v>0.28852196294514504</v>
      </c>
      <c r="I6451">
        <f>1/(COUNT(SimData5000!$B$9:$B$5008)-1)+$I$6450</f>
        <v>0.28845769153831602</v>
      </c>
      <c r="J6451">
        <f>SMALL(SimData5000!$C$9:$C$5008,1443)</f>
        <v>0.28451868754200405</v>
      </c>
      <c r="K6451">
        <f>1/(COUNT(SimData5000!$C$9:$C$5008)-1)+$K$6450</f>
        <v>0.28845769153831602</v>
      </c>
    </row>
    <row r="6452" spans="8:11">
      <c r="H6452">
        <f>SMALL(SimData5000!$B$9:$B$5008,1444)</f>
        <v>0.28871794331197581</v>
      </c>
      <c r="I6452">
        <f>1/(COUNT(SimData5000!$B$9:$B$5008)-1)+$I$6451</f>
        <v>0.28865773154631763</v>
      </c>
      <c r="J6452">
        <f>SMALL(SimData5000!$C$9:$C$5008,1444)</f>
        <v>0.28478810545402666</v>
      </c>
      <c r="K6452">
        <f>1/(COUNT(SimData5000!$C$9:$C$5008)-1)+$K$6451</f>
        <v>0.28865773154631763</v>
      </c>
    </row>
    <row r="6453" spans="8:11">
      <c r="H6453">
        <f>SMALL(SimData5000!$B$9:$B$5008,1445)</f>
        <v>0.28890135207206508</v>
      </c>
      <c r="I6453">
        <f>1/(COUNT(SimData5000!$B$9:$B$5008)-1)+$I$6452</f>
        <v>0.28885777155431924</v>
      </c>
      <c r="J6453">
        <f>SMALL(SimData5000!$C$9:$C$5008,1445)</f>
        <v>0.2848681904060868</v>
      </c>
      <c r="K6453">
        <f>1/(COUNT(SimData5000!$C$9:$C$5008)-1)+$K$6452</f>
        <v>0.28885777155431924</v>
      </c>
    </row>
    <row r="6454" spans="8:11">
      <c r="H6454">
        <f>SMALL(SimData5000!$B$9:$B$5008,1446)</f>
        <v>0.28909775030941182</v>
      </c>
      <c r="I6454">
        <f>1/(COUNT(SimData5000!$B$9:$B$5008)-1)+$I$6453</f>
        <v>0.28905781156232085</v>
      </c>
      <c r="J6454">
        <f>SMALL(SimData5000!$C$9:$C$5008,1446)</f>
        <v>0.28519867052000336</v>
      </c>
      <c r="K6454">
        <f>1/(COUNT(SimData5000!$C$9:$C$5008)-1)+$K$6453</f>
        <v>0.28905781156232085</v>
      </c>
    </row>
    <row r="6455" spans="8:11">
      <c r="H6455">
        <f>SMALL(SimData5000!$B$9:$B$5008,1447)</f>
        <v>0.28931033859972616</v>
      </c>
      <c r="I6455">
        <f>1/(COUNT(SimData5000!$B$9:$B$5008)-1)+$I$6454</f>
        <v>0.28925785157032247</v>
      </c>
      <c r="J6455">
        <f>SMALL(SimData5000!$C$9:$C$5008,1447)</f>
        <v>0.28521784263557493</v>
      </c>
      <c r="K6455">
        <f>1/(COUNT(SimData5000!$C$9:$C$5008)-1)+$K$6454</f>
        <v>0.28925785157032247</v>
      </c>
    </row>
    <row r="6456" spans="8:11">
      <c r="H6456">
        <f>SMALL(SimData5000!$B$9:$B$5008,1448)</f>
        <v>0.28953323207826659</v>
      </c>
      <c r="I6456">
        <f>1/(COUNT(SimData5000!$B$9:$B$5008)-1)+$I$6455</f>
        <v>0.28945789157832408</v>
      </c>
      <c r="J6456">
        <f>SMALL(SimData5000!$C$9:$C$5008,1448)</f>
        <v>0.28524255255524622</v>
      </c>
      <c r="K6456">
        <f>1/(COUNT(SimData5000!$C$9:$C$5008)-1)+$K$6455</f>
        <v>0.28945789157832408</v>
      </c>
    </row>
    <row r="6457" spans="8:11">
      <c r="H6457">
        <f>SMALL(SimData5000!$B$9:$B$5008,1449)</f>
        <v>0.28963592702393326</v>
      </c>
      <c r="I6457">
        <f>1/(COUNT(SimData5000!$B$9:$B$5008)-1)+$I$6456</f>
        <v>0.28965793158632569</v>
      </c>
      <c r="J6457">
        <f>SMALL(SimData5000!$C$9:$C$5008,1449)</f>
        <v>0.28528113104493968</v>
      </c>
      <c r="K6457">
        <f>1/(COUNT(SimData5000!$C$9:$C$5008)-1)+$K$6456</f>
        <v>0.28965793158632569</v>
      </c>
    </row>
    <row r="6458" spans="8:11">
      <c r="H6458">
        <f>SMALL(SimData5000!$B$9:$B$5008,1450)</f>
        <v>0.289954142688856</v>
      </c>
      <c r="I6458">
        <f>1/(COUNT(SimData5000!$B$9:$B$5008)-1)+$I$6457</f>
        <v>0.2898579715943273</v>
      </c>
      <c r="J6458">
        <f>SMALL(SimData5000!$C$9:$C$5008,1450)</f>
        <v>0.28596973211733712</v>
      </c>
      <c r="K6458">
        <f>1/(COUNT(SimData5000!$C$9:$C$5008)-1)+$K$6457</f>
        <v>0.2898579715943273</v>
      </c>
    </row>
    <row r="6459" spans="8:11">
      <c r="H6459">
        <f>SMALL(SimData5000!$B$9:$B$5008,1451)</f>
        <v>0.29017748274611715</v>
      </c>
      <c r="I6459">
        <f>1/(COUNT(SimData5000!$B$9:$B$5008)-1)+$I$6458</f>
        <v>0.29005801160232891</v>
      </c>
      <c r="J6459">
        <f>SMALL(SimData5000!$C$9:$C$5008,1451)</f>
        <v>0.28613845951349504</v>
      </c>
      <c r="K6459">
        <f>1/(COUNT(SimData5000!$C$9:$C$5008)-1)+$K$6458</f>
        <v>0.29005801160232891</v>
      </c>
    </row>
    <row r="6460" spans="8:11">
      <c r="H6460">
        <f>SMALL(SimData5000!$B$9:$B$5008,1452)</f>
        <v>0.29027362916620297</v>
      </c>
      <c r="I6460">
        <f>1/(COUNT(SimData5000!$B$9:$B$5008)-1)+$I$6459</f>
        <v>0.29025805161033053</v>
      </c>
      <c r="J6460">
        <f>SMALL(SimData5000!$C$9:$C$5008,1452)</f>
        <v>0.28663686423897161</v>
      </c>
      <c r="K6460">
        <f>1/(COUNT(SimData5000!$C$9:$C$5008)-1)+$K$6459</f>
        <v>0.29025805161033053</v>
      </c>
    </row>
    <row r="6461" spans="8:11">
      <c r="H6461">
        <f>SMALL(SimData5000!$B$9:$B$5008,1453)</f>
        <v>0.29054515150705007</v>
      </c>
      <c r="I6461">
        <f>1/(COUNT(SimData5000!$B$9:$B$5008)-1)+$I$6460</f>
        <v>0.29045809161833214</v>
      </c>
      <c r="J6461">
        <f>SMALL(SimData5000!$C$9:$C$5008,1453)</f>
        <v>0.28712861157691805</v>
      </c>
      <c r="K6461">
        <f>1/(COUNT(SimData5000!$C$9:$C$5008)-1)+$K$6460</f>
        <v>0.29045809161833214</v>
      </c>
    </row>
    <row r="6462" spans="8:11">
      <c r="H6462">
        <f>SMALL(SimData5000!$B$9:$B$5008,1454)</f>
        <v>0.29073834837007762</v>
      </c>
      <c r="I6462">
        <f>1/(COUNT(SimData5000!$B$9:$B$5008)-1)+$I$6461</f>
        <v>0.29065813162633375</v>
      </c>
      <c r="J6462">
        <f>SMALL(SimData5000!$C$9:$C$5008,1454)</f>
        <v>0.287276627220308</v>
      </c>
      <c r="K6462">
        <f>1/(COUNT(SimData5000!$C$9:$C$5008)-1)+$K$6461</f>
        <v>0.29065813162633375</v>
      </c>
    </row>
    <row r="6463" spans="8:11">
      <c r="H6463">
        <f>SMALL(SimData5000!$B$9:$B$5008,1455)</f>
        <v>0.29082955628913582</v>
      </c>
      <c r="I6463">
        <f>1/(COUNT(SimData5000!$B$9:$B$5008)-1)+$I$6462</f>
        <v>0.29085817163433536</v>
      </c>
      <c r="J6463">
        <f>SMALL(SimData5000!$C$9:$C$5008,1455)</f>
        <v>0.28732493571806117</v>
      </c>
      <c r="K6463">
        <f>1/(COUNT(SimData5000!$C$9:$C$5008)-1)+$K$6462</f>
        <v>0.29085817163433536</v>
      </c>
    </row>
    <row r="6464" spans="8:11">
      <c r="H6464">
        <f>SMALL(SimData5000!$B$9:$B$5008,1456)</f>
        <v>0.29101967318850097</v>
      </c>
      <c r="I6464">
        <f>1/(COUNT(SimData5000!$B$9:$B$5008)-1)+$I$6463</f>
        <v>0.29105821164233697</v>
      </c>
      <c r="J6464">
        <f>SMALL(SimData5000!$C$9:$C$5008,1456)</f>
        <v>0.28782841135216586</v>
      </c>
      <c r="K6464">
        <f>1/(COUNT(SimData5000!$C$9:$C$5008)-1)+$K$6463</f>
        <v>0.29105821164233697</v>
      </c>
    </row>
    <row r="6465" spans="8:11">
      <c r="H6465">
        <f>SMALL(SimData5000!$B$9:$B$5008,1457)</f>
        <v>0.29122275137822673</v>
      </c>
      <c r="I6465">
        <f>1/(COUNT(SimData5000!$B$9:$B$5008)-1)+$I$6464</f>
        <v>0.29125825165033858</v>
      </c>
      <c r="J6465">
        <f>SMALL(SimData5000!$C$9:$C$5008,1457)</f>
        <v>0.28802297074071248</v>
      </c>
      <c r="K6465">
        <f>1/(COUNT(SimData5000!$C$9:$C$5008)-1)+$K$6464</f>
        <v>0.29125825165033858</v>
      </c>
    </row>
    <row r="6466" spans="8:11">
      <c r="H6466">
        <f>SMALL(SimData5000!$B$9:$B$5008,1458)</f>
        <v>0.29150700043456329</v>
      </c>
      <c r="I6466">
        <f>1/(COUNT(SimData5000!$B$9:$B$5008)-1)+$I$6465</f>
        <v>0.2914582916583402</v>
      </c>
      <c r="J6466">
        <f>SMALL(SimData5000!$C$9:$C$5008,1458)</f>
        <v>0.28806698413427512</v>
      </c>
      <c r="K6466">
        <f>1/(COUNT(SimData5000!$C$9:$C$5008)-1)+$K$6465</f>
        <v>0.2914582916583402</v>
      </c>
    </row>
    <row r="6467" spans="8:11">
      <c r="H6467">
        <f>SMALL(SimData5000!$B$9:$B$5008,1459)</f>
        <v>0.29162838380793771</v>
      </c>
      <c r="I6467">
        <f>1/(COUNT(SimData5000!$B$9:$B$5008)-1)+$I$6466</f>
        <v>0.29165833166634181</v>
      </c>
      <c r="J6467">
        <f>SMALL(SimData5000!$C$9:$C$5008,1459)</f>
        <v>0.28829920046155166</v>
      </c>
      <c r="K6467">
        <f>1/(COUNT(SimData5000!$C$9:$C$5008)-1)+$K$6466</f>
        <v>0.29165833166634181</v>
      </c>
    </row>
    <row r="6468" spans="8:11">
      <c r="H6468">
        <f>SMALL(SimData5000!$B$9:$B$5008,1460)</f>
        <v>0.29193840407918636</v>
      </c>
      <c r="I6468">
        <f>1/(COUNT(SimData5000!$B$9:$B$5008)-1)+$I$6467</f>
        <v>0.29185837167434342</v>
      </c>
      <c r="J6468">
        <f>SMALL(SimData5000!$C$9:$C$5008,1460)</f>
        <v>0.28843694533316011</v>
      </c>
      <c r="K6468">
        <f>1/(COUNT(SimData5000!$C$9:$C$5008)-1)+$K$6467</f>
        <v>0.29185837167434342</v>
      </c>
    </row>
    <row r="6469" spans="8:11">
      <c r="H6469">
        <f>SMALL(SimData5000!$B$9:$B$5008,1461)</f>
        <v>0.29219678740682942</v>
      </c>
      <c r="I6469">
        <f>1/(COUNT(SimData5000!$B$9:$B$5008)-1)+$I$6468</f>
        <v>0.29205841168234503</v>
      </c>
      <c r="J6469">
        <f>SMALL(SimData5000!$C$9:$C$5008,1461)</f>
        <v>0.28881979163270444</v>
      </c>
      <c r="K6469">
        <f>1/(COUNT(SimData5000!$C$9:$C$5008)-1)+$K$6468</f>
        <v>0.29205841168234503</v>
      </c>
    </row>
    <row r="6470" spans="8:11">
      <c r="H6470">
        <f>SMALL(SimData5000!$B$9:$B$5008,1462)</f>
        <v>0.29237242852052964</v>
      </c>
      <c r="I6470">
        <f>1/(COUNT(SimData5000!$B$9:$B$5008)-1)+$I$6469</f>
        <v>0.29225845169034664</v>
      </c>
      <c r="J6470">
        <f>SMALL(SimData5000!$C$9:$C$5008,1462)</f>
        <v>0.28887043332633766</v>
      </c>
      <c r="K6470">
        <f>1/(COUNT(SimData5000!$C$9:$C$5008)-1)+$K$6469</f>
        <v>0.29225845169034664</v>
      </c>
    </row>
    <row r="6471" spans="8:11">
      <c r="H6471">
        <f>SMALL(SimData5000!$B$9:$B$5008,1463)</f>
        <v>0.29244746800704102</v>
      </c>
      <c r="I6471">
        <f>1/(COUNT(SimData5000!$B$9:$B$5008)-1)+$I$6470</f>
        <v>0.29245849169834826</v>
      </c>
      <c r="J6471">
        <f>SMALL(SimData5000!$C$9:$C$5008,1463)</f>
        <v>0.28931390234720311</v>
      </c>
      <c r="K6471">
        <f>1/(COUNT(SimData5000!$C$9:$C$5008)-1)+$K$6470</f>
        <v>0.29245849169834826</v>
      </c>
    </row>
    <row r="6472" spans="8:11">
      <c r="H6472">
        <f>SMALL(SimData5000!$B$9:$B$5008,1464)</f>
        <v>0.29274806092976313</v>
      </c>
      <c r="I6472">
        <f>1/(COUNT(SimData5000!$B$9:$B$5008)-1)+$I$6471</f>
        <v>0.29265853170634987</v>
      </c>
      <c r="J6472">
        <f>SMALL(SimData5000!$C$9:$C$5008,1464)</f>
        <v>0.28960828519029747</v>
      </c>
      <c r="K6472">
        <f>1/(COUNT(SimData5000!$C$9:$C$5008)-1)+$K$6471</f>
        <v>0.29265853170634987</v>
      </c>
    </row>
    <row r="6473" spans="8:11">
      <c r="H6473">
        <f>SMALL(SimData5000!$B$9:$B$5008,1465)</f>
        <v>0.29282674262677943</v>
      </c>
      <c r="I6473">
        <f>1/(COUNT(SimData5000!$B$9:$B$5008)-1)+$I$6472</f>
        <v>0.29285857171435148</v>
      </c>
      <c r="J6473">
        <f>SMALL(SimData5000!$C$9:$C$5008,1465)</f>
        <v>0.28970769205170654</v>
      </c>
      <c r="K6473">
        <f>1/(COUNT(SimData5000!$C$9:$C$5008)-1)+$K$6472</f>
        <v>0.29285857171435148</v>
      </c>
    </row>
    <row r="6474" spans="8:11">
      <c r="H6474">
        <f>SMALL(SimData5000!$B$9:$B$5008,1466)</f>
        <v>0.29310613623254606</v>
      </c>
      <c r="I6474">
        <f>1/(COUNT(SimData5000!$B$9:$B$5008)-1)+$I$6473</f>
        <v>0.29305861172235309</v>
      </c>
      <c r="J6474">
        <f>SMALL(SimData5000!$C$9:$C$5008,1466)</f>
        <v>0.28998087784384552</v>
      </c>
      <c r="K6474">
        <f>1/(COUNT(SimData5000!$C$9:$C$5008)-1)+$K$6473</f>
        <v>0.29305861172235309</v>
      </c>
    </row>
    <row r="6475" spans="8:11">
      <c r="H6475">
        <f>SMALL(SimData5000!$B$9:$B$5008,1467)</f>
        <v>0.29332389162222944</v>
      </c>
      <c r="I6475">
        <f>1/(COUNT(SimData5000!$B$9:$B$5008)-1)+$I$6474</f>
        <v>0.2932586517303547</v>
      </c>
      <c r="J6475">
        <f>SMALL(SimData5000!$C$9:$C$5008,1467)</f>
        <v>0.28999375134571892</v>
      </c>
      <c r="K6475">
        <f>1/(COUNT(SimData5000!$C$9:$C$5008)-1)+$K$6474</f>
        <v>0.2932586517303547</v>
      </c>
    </row>
    <row r="6476" spans="8:11">
      <c r="H6476">
        <f>SMALL(SimData5000!$B$9:$B$5008,1468)</f>
        <v>0.2934536065636793</v>
      </c>
      <c r="I6476">
        <f>1/(COUNT(SimData5000!$B$9:$B$5008)-1)+$I$6475</f>
        <v>0.29345869173835631</v>
      </c>
      <c r="J6476">
        <f>SMALL(SimData5000!$C$9:$C$5008,1468)</f>
        <v>0.29018890257339081</v>
      </c>
      <c r="K6476">
        <f>1/(COUNT(SimData5000!$C$9:$C$5008)-1)+$K$6475</f>
        <v>0.29345869173835631</v>
      </c>
    </row>
    <row r="6477" spans="8:11">
      <c r="H6477">
        <f>SMALL(SimData5000!$B$9:$B$5008,1469)</f>
        <v>0.29375963902691371</v>
      </c>
      <c r="I6477">
        <f>1/(COUNT(SimData5000!$B$9:$B$5008)-1)+$I$6476</f>
        <v>0.29365873174635793</v>
      </c>
      <c r="J6477">
        <f>SMALL(SimData5000!$C$9:$C$5008,1469)</f>
        <v>0.29152924282152526</v>
      </c>
      <c r="K6477">
        <f>1/(COUNT(SimData5000!$C$9:$C$5008)-1)+$K$6476</f>
        <v>0.29365873174635793</v>
      </c>
    </row>
    <row r="6478" spans="8:11">
      <c r="H6478">
        <f>SMALL(SimData5000!$B$9:$B$5008,1470)</f>
        <v>0.2939175794380991</v>
      </c>
      <c r="I6478">
        <f>1/(COUNT(SimData5000!$B$9:$B$5008)-1)+$I$6477</f>
        <v>0.29385877175435954</v>
      </c>
      <c r="J6478">
        <f>SMALL(SimData5000!$C$9:$C$5008,1470)</f>
        <v>0.29157110725009261</v>
      </c>
      <c r="K6478">
        <f>1/(COUNT(SimData5000!$C$9:$C$5008)-1)+$K$6477</f>
        <v>0.29385877175435954</v>
      </c>
    </row>
    <row r="6479" spans="8:11">
      <c r="H6479">
        <f>SMALL(SimData5000!$B$9:$B$5008,1471)</f>
        <v>0.29414299647094283</v>
      </c>
      <c r="I6479">
        <f>1/(COUNT(SimData5000!$B$9:$B$5008)-1)+$I$6478</f>
        <v>0.29405881176236115</v>
      </c>
      <c r="J6479">
        <f>SMALL(SimData5000!$C$9:$C$5008,1471)</f>
        <v>0.29163796886496129</v>
      </c>
      <c r="K6479">
        <f>1/(COUNT(SimData5000!$C$9:$C$5008)-1)+$K$6478</f>
        <v>0.29405881176236115</v>
      </c>
    </row>
    <row r="6480" spans="8:11">
      <c r="H6480">
        <f>SMALL(SimData5000!$B$9:$B$5008,1472)</f>
        <v>0.29436636783833764</v>
      </c>
      <c r="I6480">
        <f>1/(COUNT(SimData5000!$B$9:$B$5008)-1)+$I$6479</f>
        <v>0.29425885177036276</v>
      </c>
      <c r="J6480">
        <f>SMALL(SimData5000!$C$9:$C$5008,1472)</f>
        <v>0.29174213360238355</v>
      </c>
      <c r="K6480">
        <f>1/(COUNT(SimData5000!$C$9:$C$5008)-1)+$K$6479</f>
        <v>0.29425885177036276</v>
      </c>
    </row>
    <row r="6481" spans="8:11">
      <c r="H6481">
        <f>SMALL(SimData5000!$B$9:$B$5008,1473)</f>
        <v>0.29441686147847607</v>
      </c>
      <c r="I6481">
        <f>1/(COUNT(SimData5000!$B$9:$B$5008)-1)+$I$6480</f>
        <v>0.29445889177836437</v>
      </c>
      <c r="J6481">
        <f>SMALL(SimData5000!$C$9:$C$5008,1473)</f>
        <v>0.29216527895732725</v>
      </c>
      <c r="K6481">
        <f>1/(COUNT(SimData5000!$C$9:$C$5008)-1)+$K$6480</f>
        <v>0.29445889177836437</v>
      </c>
    </row>
    <row r="6482" spans="8:11">
      <c r="H6482">
        <f>SMALL(SimData5000!$B$9:$B$5008,1474)</f>
        <v>0.29470199912872674</v>
      </c>
      <c r="I6482">
        <f>1/(COUNT(SimData5000!$B$9:$B$5008)-1)+$I$6481</f>
        <v>0.29465893178636599</v>
      </c>
      <c r="J6482">
        <f>SMALL(SimData5000!$C$9:$C$5008,1474)</f>
        <v>0.29238682348204748</v>
      </c>
      <c r="K6482">
        <f>1/(COUNT(SimData5000!$C$9:$C$5008)-1)+$K$6481</f>
        <v>0.29465893178636599</v>
      </c>
    </row>
    <row r="6483" spans="8:11">
      <c r="H6483">
        <f>SMALL(SimData5000!$B$9:$B$5008,1475)</f>
        <v>0.29486870721286834</v>
      </c>
      <c r="I6483">
        <f>1/(COUNT(SimData5000!$B$9:$B$5008)-1)+$I$6482</f>
        <v>0.2948589717943676</v>
      </c>
      <c r="J6483">
        <f>SMALL(SimData5000!$C$9:$C$5008,1475)</f>
        <v>0.29267301493928244</v>
      </c>
      <c r="K6483">
        <f>1/(COUNT(SimData5000!$C$9:$C$5008)-1)+$K$6482</f>
        <v>0.2948589717943676</v>
      </c>
    </row>
    <row r="6484" spans="8:11">
      <c r="H6484">
        <f>SMALL(SimData5000!$B$9:$B$5008,1476)</f>
        <v>0.2950183535270901</v>
      </c>
      <c r="I6484">
        <f>1/(COUNT(SimData5000!$B$9:$B$5008)-1)+$I$6483</f>
        <v>0.29505901180236921</v>
      </c>
      <c r="J6484">
        <f>SMALL(SimData5000!$C$9:$C$5008,1476)</f>
        <v>0.2929309785595251</v>
      </c>
      <c r="K6484">
        <f>1/(COUNT(SimData5000!$C$9:$C$5008)-1)+$K$6483</f>
        <v>0.29505901180236921</v>
      </c>
    </row>
    <row r="6485" spans="8:11">
      <c r="H6485">
        <f>SMALL(SimData5000!$B$9:$B$5008,1477)</f>
        <v>0.29529325923241984</v>
      </c>
      <c r="I6485">
        <f>1/(COUNT(SimData5000!$B$9:$B$5008)-1)+$I$6484</f>
        <v>0.29525905181037082</v>
      </c>
      <c r="J6485">
        <f>SMALL(SimData5000!$C$9:$C$5008,1477)</f>
        <v>0.29331593640654319</v>
      </c>
      <c r="K6485">
        <f>1/(COUNT(SimData5000!$C$9:$C$5008)-1)+$K$6484</f>
        <v>0.29525905181037082</v>
      </c>
    </row>
    <row r="6486" spans="8:11">
      <c r="H6486">
        <f>SMALL(SimData5000!$B$9:$B$5008,1478)</f>
        <v>0.29553931393607968</v>
      </c>
      <c r="I6486">
        <f>1/(COUNT(SimData5000!$B$9:$B$5008)-1)+$I$6485</f>
        <v>0.29545909181837243</v>
      </c>
      <c r="J6486">
        <f>SMALL(SimData5000!$C$9:$C$5008,1478)</f>
        <v>0.29344419706467306</v>
      </c>
      <c r="K6486">
        <f>1/(COUNT(SimData5000!$C$9:$C$5008)-1)+$K$6485</f>
        <v>0.29545909181837243</v>
      </c>
    </row>
    <row r="6487" spans="8:11">
      <c r="H6487">
        <f>SMALL(SimData5000!$B$9:$B$5008,1479)</f>
        <v>0.29570530203485518</v>
      </c>
      <c r="I6487">
        <f>1/(COUNT(SimData5000!$B$9:$B$5008)-1)+$I$6486</f>
        <v>0.29565913182637404</v>
      </c>
      <c r="J6487">
        <f>SMALL(SimData5000!$C$9:$C$5008,1479)</f>
        <v>0.29376513951683592</v>
      </c>
      <c r="K6487">
        <f>1/(COUNT(SimData5000!$C$9:$C$5008)-1)+$K$6486</f>
        <v>0.29565913182637404</v>
      </c>
    </row>
    <row r="6488" spans="8:11">
      <c r="H6488">
        <f>SMALL(SimData5000!$B$9:$B$5008,1480)</f>
        <v>0.2958234614825862</v>
      </c>
      <c r="I6488">
        <f>1/(COUNT(SimData5000!$B$9:$B$5008)-1)+$I$6487</f>
        <v>0.29585917183437566</v>
      </c>
      <c r="J6488">
        <f>SMALL(SimData5000!$C$9:$C$5008,1480)</f>
        <v>0.29389918749529897</v>
      </c>
      <c r="K6488">
        <f>1/(COUNT(SimData5000!$C$9:$C$5008)-1)+$K$6487</f>
        <v>0.29585917183437566</v>
      </c>
    </row>
    <row r="6489" spans="8:11">
      <c r="H6489">
        <f>SMALL(SimData5000!$B$9:$B$5008,1481)</f>
        <v>0.29614402181556077</v>
      </c>
      <c r="I6489">
        <f>1/(COUNT(SimData5000!$B$9:$B$5008)-1)+$I$6488</f>
        <v>0.29605921184237727</v>
      </c>
      <c r="J6489">
        <f>SMALL(SimData5000!$C$9:$C$5008,1481)</f>
        <v>0.29390518684886047</v>
      </c>
      <c r="K6489">
        <f>1/(COUNT(SimData5000!$C$9:$C$5008)-1)+$K$6488</f>
        <v>0.29605921184237727</v>
      </c>
    </row>
    <row r="6490" spans="8:11">
      <c r="H6490">
        <f>SMALL(SimData5000!$B$9:$B$5008,1482)</f>
        <v>0.29627576007360495</v>
      </c>
      <c r="I6490">
        <f>1/(COUNT(SimData5000!$B$9:$B$5008)-1)+$I$6489</f>
        <v>0.29625925185037888</v>
      </c>
      <c r="J6490">
        <f>SMALL(SimData5000!$C$9:$C$5008,1482)</f>
        <v>0.2945206734148087</v>
      </c>
      <c r="K6490">
        <f>1/(COUNT(SimData5000!$C$9:$C$5008)-1)+$K$6489</f>
        <v>0.29625925185037888</v>
      </c>
    </row>
    <row r="6491" spans="8:11">
      <c r="H6491">
        <f>SMALL(SimData5000!$B$9:$B$5008,1483)</f>
        <v>0.29648204925537158</v>
      </c>
      <c r="I6491">
        <f>1/(COUNT(SimData5000!$B$9:$B$5008)-1)+$I$6490</f>
        <v>0.29645929185838049</v>
      </c>
      <c r="J6491">
        <f>SMALL(SimData5000!$C$9:$C$5008,1483)</f>
        <v>0.2948689180184374</v>
      </c>
      <c r="K6491">
        <f>1/(COUNT(SimData5000!$C$9:$C$5008)-1)+$K$6490</f>
        <v>0.29645929185838049</v>
      </c>
    </row>
    <row r="6492" spans="8:11">
      <c r="H6492">
        <f>SMALL(SimData5000!$B$9:$B$5008,1484)</f>
        <v>0.29667741712883056</v>
      </c>
      <c r="I6492">
        <f>1/(COUNT(SimData5000!$B$9:$B$5008)-1)+$I$6491</f>
        <v>0.2966593318663821</v>
      </c>
      <c r="J6492">
        <f>SMALL(SimData5000!$C$9:$C$5008,1484)</f>
        <v>0.29491161674468458</v>
      </c>
      <c r="K6492">
        <f>1/(COUNT(SimData5000!$C$9:$C$5008)-1)+$K$6491</f>
        <v>0.2966593318663821</v>
      </c>
    </row>
    <row r="6493" spans="8:11">
      <c r="H6493">
        <f>SMALL(SimData5000!$B$9:$B$5008,1485)</f>
        <v>0.29695693584255806</v>
      </c>
      <c r="I6493">
        <f>1/(COUNT(SimData5000!$B$9:$B$5008)-1)+$I$6492</f>
        <v>0.29685937187438372</v>
      </c>
      <c r="J6493">
        <f>SMALL(SimData5000!$C$9:$C$5008,1485)</f>
        <v>0.29524323795340024</v>
      </c>
      <c r="K6493">
        <f>1/(COUNT(SimData5000!$C$9:$C$5008)-1)+$K$6492</f>
        <v>0.29685937187438372</v>
      </c>
    </row>
    <row r="6494" spans="8:11">
      <c r="H6494">
        <f>SMALL(SimData5000!$B$9:$B$5008,1486)</f>
        <v>0.29719921165052782</v>
      </c>
      <c r="I6494">
        <f>1/(COUNT(SimData5000!$B$9:$B$5008)-1)+$I$6493</f>
        <v>0.29705941188238533</v>
      </c>
      <c r="J6494">
        <f>SMALL(SimData5000!$C$9:$C$5008,1486)</f>
        <v>0.29525396257122338</v>
      </c>
      <c r="K6494">
        <f>1/(COUNT(SimData5000!$C$9:$C$5008)-1)+$K$6493</f>
        <v>0.29705941188238533</v>
      </c>
    </row>
    <row r="6495" spans="8:11">
      <c r="H6495">
        <f>SMALL(SimData5000!$B$9:$B$5008,1487)</f>
        <v>0.29720076484438052</v>
      </c>
      <c r="I6495">
        <f>1/(COUNT(SimData5000!$B$9:$B$5008)-1)+$I$6494</f>
        <v>0.29725945189038694</v>
      </c>
      <c r="J6495">
        <f>SMALL(SimData5000!$C$9:$C$5008,1487)</f>
        <v>0.29536248909334972</v>
      </c>
      <c r="K6495">
        <f>1/(COUNT(SimData5000!$C$9:$C$5008)-1)+$K$6494</f>
        <v>0.29725945189038694</v>
      </c>
    </row>
    <row r="6496" spans="8:11">
      <c r="H6496">
        <f>SMALL(SimData5000!$B$9:$B$5008,1488)</f>
        <v>0.2975617079707239</v>
      </c>
      <c r="I6496">
        <f>1/(COUNT(SimData5000!$B$9:$B$5008)-1)+$I$6495</f>
        <v>0.29745949189838855</v>
      </c>
      <c r="J6496">
        <f>SMALL(SimData5000!$C$9:$C$5008,1488)</f>
        <v>0.29577951726423635</v>
      </c>
      <c r="K6496">
        <f>1/(COUNT(SimData5000!$C$9:$C$5008)-1)+$K$6495</f>
        <v>0.29745949189838855</v>
      </c>
    </row>
    <row r="6497" spans="8:11">
      <c r="H6497">
        <f>SMALL(SimData5000!$B$9:$B$5008,1489)</f>
        <v>0.29760906198257792</v>
      </c>
      <c r="I6497">
        <f>1/(COUNT(SimData5000!$B$9:$B$5008)-1)+$I$6496</f>
        <v>0.29765953190639016</v>
      </c>
      <c r="J6497">
        <f>SMALL(SimData5000!$C$9:$C$5008,1489)</f>
        <v>0.29589859878433344</v>
      </c>
      <c r="K6497">
        <f>1/(COUNT(SimData5000!$C$9:$C$5008)-1)+$K$6496</f>
        <v>0.29765953190639016</v>
      </c>
    </row>
    <row r="6498" spans="8:11">
      <c r="H6498">
        <f>SMALL(SimData5000!$B$9:$B$5008,1490)</f>
        <v>0.29783931878927145</v>
      </c>
      <c r="I6498">
        <f>1/(COUNT(SimData5000!$B$9:$B$5008)-1)+$I$6497</f>
        <v>0.29785957191439177</v>
      </c>
      <c r="J6498">
        <f>SMALL(SimData5000!$C$9:$C$5008,1490)</f>
        <v>0.29607874632984021</v>
      </c>
      <c r="K6498">
        <f>1/(COUNT(SimData5000!$C$9:$C$5008)-1)+$K$6497</f>
        <v>0.29785957191439177</v>
      </c>
    </row>
    <row r="6499" spans="8:11">
      <c r="H6499">
        <f>SMALL(SimData5000!$B$9:$B$5008,1491)</f>
        <v>0.29803875392210638</v>
      </c>
      <c r="I6499">
        <f>1/(COUNT(SimData5000!$B$9:$B$5008)-1)+$I$6498</f>
        <v>0.29805961192239339</v>
      </c>
      <c r="J6499">
        <f>SMALL(SimData5000!$C$9:$C$5008,1491)</f>
        <v>0.29618941211356287</v>
      </c>
      <c r="K6499">
        <f>1/(COUNT(SimData5000!$C$9:$C$5008)-1)+$K$6498</f>
        <v>0.29805961192239339</v>
      </c>
    </row>
    <row r="6500" spans="8:11">
      <c r="H6500">
        <f>SMALL(SimData5000!$B$9:$B$5008,1492)</f>
        <v>0.29836899768597652</v>
      </c>
      <c r="I6500">
        <f>1/(COUNT(SimData5000!$B$9:$B$5008)-1)+$I$6499</f>
        <v>0.298259651930395</v>
      </c>
      <c r="J6500">
        <f>SMALL(SimData5000!$C$9:$C$5008,1492)</f>
        <v>0.29675110502377322</v>
      </c>
      <c r="K6500">
        <f>1/(COUNT(SimData5000!$C$9:$C$5008)-1)+$K$6499</f>
        <v>0.298259651930395</v>
      </c>
    </row>
    <row r="6501" spans="8:11">
      <c r="H6501">
        <f>SMALL(SimData5000!$B$9:$B$5008,1493)</f>
        <v>0.29852547281769232</v>
      </c>
      <c r="I6501">
        <f>1/(COUNT(SimData5000!$B$9:$B$5008)-1)+$I$6500</f>
        <v>0.29845969193839661</v>
      </c>
      <c r="J6501">
        <f>SMALL(SimData5000!$C$9:$C$5008,1493)</f>
        <v>0.29698023622677283</v>
      </c>
      <c r="K6501">
        <f>1/(COUNT(SimData5000!$C$9:$C$5008)-1)+$K$6500</f>
        <v>0.29845969193839661</v>
      </c>
    </row>
    <row r="6502" spans="8:11">
      <c r="H6502">
        <f>SMALL(SimData5000!$B$9:$B$5008,1494)</f>
        <v>0.29866950519230906</v>
      </c>
      <c r="I6502">
        <f>1/(COUNT(SimData5000!$B$9:$B$5008)-1)+$I$6501</f>
        <v>0.29865973194639822</v>
      </c>
      <c r="J6502">
        <f>SMALL(SimData5000!$C$9:$C$5008,1494)</f>
        <v>0.2971050131454831</v>
      </c>
      <c r="K6502">
        <f>1/(COUNT(SimData5000!$C$9:$C$5008)-1)+$K$6501</f>
        <v>0.29865973194639822</v>
      </c>
    </row>
    <row r="6503" spans="8:11">
      <c r="H6503">
        <f>SMALL(SimData5000!$B$9:$B$5008,1495)</f>
        <v>0.29885738379677235</v>
      </c>
      <c r="I6503">
        <f>1/(COUNT(SimData5000!$B$9:$B$5008)-1)+$I$6502</f>
        <v>0.29885977195439983</v>
      </c>
      <c r="J6503">
        <f>SMALL(SimData5000!$C$9:$C$5008,1495)</f>
        <v>0.29730513862523367</v>
      </c>
      <c r="K6503">
        <f>1/(COUNT(SimData5000!$C$9:$C$5008)-1)+$K$6502</f>
        <v>0.29885977195439983</v>
      </c>
    </row>
    <row r="6504" spans="8:11">
      <c r="H6504">
        <f>SMALL(SimData5000!$B$9:$B$5008,1496)</f>
        <v>0.29903761136420948</v>
      </c>
      <c r="I6504">
        <f>1/(COUNT(SimData5000!$B$9:$B$5008)-1)+$I$6503</f>
        <v>0.29905981196240145</v>
      </c>
      <c r="J6504">
        <f>SMALL(SimData5000!$C$9:$C$5008,1496)</f>
        <v>0.29732371242971567</v>
      </c>
      <c r="K6504">
        <f>1/(COUNT(SimData5000!$C$9:$C$5008)-1)+$K$6503</f>
        <v>0.29905981196240145</v>
      </c>
    </row>
    <row r="6505" spans="8:11">
      <c r="H6505">
        <f>SMALL(SimData5000!$B$9:$B$5008,1497)</f>
        <v>0.29937620105579871</v>
      </c>
      <c r="I6505">
        <f>1/(COUNT(SimData5000!$B$9:$B$5008)-1)+$I$6504</f>
        <v>0.29925985197040306</v>
      </c>
      <c r="J6505">
        <f>SMALL(SimData5000!$C$9:$C$5008,1497)</f>
        <v>0.29738159102271311</v>
      </c>
      <c r="K6505">
        <f>1/(COUNT(SimData5000!$C$9:$C$5008)-1)+$K$6504</f>
        <v>0.29925985197040306</v>
      </c>
    </row>
    <row r="6506" spans="8:11">
      <c r="H6506">
        <f>SMALL(SimData5000!$B$9:$B$5008,1498)</f>
        <v>0.29940720646586438</v>
      </c>
      <c r="I6506">
        <f>1/(COUNT(SimData5000!$B$9:$B$5008)-1)+$I$6505</f>
        <v>0.29945989197840467</v>
      </c>
      <c r="J6506">
        <f>SMALL(SimData5000!$C$9:$C$5008,1498)</f>
        <v>0.29755707009007892</v>
      </c>
      <c r="K6506">
        <f>1/(COUNT(SimData5000!$C$9:$C$5008)-1)+$K$6505</f>
        <v>0.29945989197840467</v>
      </c>
    </row>
    <row r="6507" spans="8:11">
      <c r="H6507">
        <f>SMALL(SimData5000!$B$9:$B$5008,1499)</f>
        <v>0.29977642635646656</v>
      </c>
      <c r="I6507">
        <f>1/(COUNT(SimData5000!$B$9:$B$5008)-1)+$I$6506</f>
        <v>0.29965993198640628</v>
      </c>
      <c r="J6507">
        <f>SMALL(SimData5000!$C$9:$C$5008,1499)</f>
        <v>0.2975937706660261</v>
      </c>
      <c r="K6507">
        <f>1/(COUNT(SimData5000!$C$9:$C$5008)-1)+$K$6506</f>
        <v>0.29965993198640628</v>
      </c>
    </row>
    <row r="6508" spans="8:11">
      <c r="H6508">
        <f>SMALL(SimData5000!$B$9:$B$5008,1500)</f>
        <v>0.2999943276674939</v>
      </c>
      <c r="I6508">
        <f>1/(COUNT(SimData5000!$B$9:$B$5008)-1)+$I$6507</f>
        <v>0.29985997199440789</v>
      </c>
      <c r="J6508">
        <f>SMALL(SimData5000!$C$9:$C$5008,1500)</f>
        <v>0.29796830561463139</v>
      </c>
      <c r="K6508">
        <f>1/(COUNT(SimData5000!$C$9:$C$5008)-1)+$K$6507</f>
        <v>0.29985997199440789</v>
      </c>
    </row>
    <row r="6509" spans="8:11">
      <c r="H6509">
        <f>SMALL(SimData5000!$B$9:$B$5008,1501)</f>
        <v>0.30010990104789614</v>
      </c>
      <c r="I6509">
        <f>1/(COUNT(SimData5000!$B$9:$B$5008)-1)+$I$6508</f>
        <v>0.3000600120024095</v>
      </c>
      <c r="J6509">
        <f>SMALL(SimData5000!$C$9:$C$5008,1501)</f>
        <v>0.29806312617620279</v>
      </c>
      <c r="K6509">
        <f>1/(COUNT(SimData5000!$C$9:$C$5008)-1)+$K$6508</f>
        <v>0.3000600120024095</v>
      </c>
    </row>
    <row r="6510" spans="8:11">
      <c r="H6510">
        <f>SMALL(SimData5000!$B$9:$B$5008,1502)</f>
        <v>0.30021850621900953</v>
      </c>
      <c r="I6510">
        <f>1/(COUNT(SimData5000!$B$9:$B$5008)-1)+$I$6509</f>
        <v>0.30026005201041112</v>
      </c>
      <c r="J6510">
        <f>SMALL(SimData5000!$C$9:$C$5008,1502)</f>
        <v>0.29809136569565453</v>
      </c>
      <c r="K6510">
        <f>1/(COUNT(SimData5000!$C$9:$C$5008)-1)+$K$6509</f>
        <v>0.30026005201041112</v>
      </c>
    </row>
    <row r="6511" spans="8:11">
      <c r="H6511">
        <f>SMALL(SimData5000!$B$9:$B$5008,1503)</f>
        <v>0.3005607021453699</v>
      </c>
      <c r="I6511">
        <f>1/(COUNT(SimData5000!$B$9:$B$5008)-1)+$I$6510</f>
        <v>0.30046009201841273</v>
      </c>
      <c r="J6511">
        <f>SMALL(SimData5000!$C$9:$C$5008,1503)</f>
        <v>0.29822621402763616</v>
      </c>
      <c r="K6511">
        <f>1/(COUNT(SimData5000!$C$9:$C$5008)-1)+$K$6510</f>
        <v>0.30046009201841273</v>
      </c>
    </row>
    <row r="6512" spans="8:11">
      <c r="H6512">
        <f>SMALL(SimData5000!$B$9:$B$5008,1504)</f>
        <v>0.30065924846531339</v>
      </c>
      <c r="I6512">
        <f>1/(COUNT(SimData5000!$B$9:$B$5008)-1)+$I$6511</f>
        <v>0.30066013202641434</v>
      </c>
      <c r="J6512">
        <f>SMALL(SimData5000!$C$9:$C$5008,1504)</f>
        <v>0.29838015396671835</v>
      </c>
      <c r="K6512">
        <f>1/(COUNT(SimData5000!$C$9:$C$5008)-1)+$K$6511</f>
        <v>0.30066013202641434</v>
      </c>
    </row>
    <row r="6513" spans="8:11">
      <c r="H6513">
        <f>SMALL(SimData5000!$B$9:$B$5008,1505)</f>
        <v>0.30085359505667664</v>
      </c>
      <c r="I6513">
        <f>1/(COUNT(SimData5000!$B$9:$B$5008)-1)+$I$6512</f>
        <v>0.30086017203441595</v>
      </c>
      <c r="J6513">
        <f>SMALL(SimData5000!$C$9:$C$5008,1505)</f>
        <v>0.29876261418303329</v>
      </c>
      <c r="K6513">
        <f>1/(COUNT(SimData5000!$C$9:$C$5008)-1)+$K$6512</f>
        <v>0.30086017203441595</v>
      </c>
    </row>
    <row r="6514" spans="8:11">
      <c r="H6514">
        <f>SMALL(SimData5000!$B$9:$B$5008,1506)</f>
        <v>0.30110586854827259</v>
      </c>
      <c r="I6514">
        <f>1/(COUNT(SimData5000!$B$9:$B$5008)-1)+$I$6513</f>
        <v>0.30106021204241756</v>
      </c>
      <c r="J6514">
        <f>SMALL(SimData5000!$C$9:$C$5008,1506)</f>
        <v>0.29916644688637462</v>
      </c>
      <c r="K6514">
        <f>1/(COUNT(SimData5000!$C$9:$C$5008)-1)+$K$6513</f>
        <v>0.30106021204241756</v>
      </c>
    </row>
    <row r="6515" spans="8:11">
      <c r="H6515">
        <f>SMALL(SimData5000!$B$9:$B$5008,1507)</f>
        <v>0.30123530336214122</v>
      </c>
      <c r="I6515">
        <f>1/(COUNT(SimData5000!$B$9:$B$5008)-1)+$I$6514</f>
        <v>0.30126025205041917</v>
      </c>
      <c r="J6515">
        <f>SMALL(SimData5000!$C$9:$C$5008,1507)</f>
        <v>0.29928340318019764</v>
      </c>
      <c r="K6515">
        <f>1/(COUNT(SimData5000!$C$9:$C$5008)-1)+$K$6514</f>
        <v>0.30126025205041917</v>
      </c>
    </row>
    <row r="6516" spans="8:11">
      <c r="H6516">
        <f>SMALL(SimData5000!$B$9:$B$5008,1508)</f>
        <v>0.30153307952278596</v>
      </c>
      <c r="I6516">
        <f>1/(COUNT(SimData5000!$B$9:$B$5008)-1)+$I$6515</f>
        <v>0.30146029205842079</v>
      </c>
      <c r="J6516">
        <f>SMALL(SimData5000!$C$9:$C$5008,1508)</f>
        <v>0.29936498461393057</v>
      </c>
      <c r="K6516">
        <f>1/(COUNT(SimData5000!$C$9:$C$5008)-1)+$K$6515</f>
        <v>0.30146029205842079</v>
      </c>
    </row>
    <row r="6517" spans="8:11">
      <c r="H6517">
        <f>SMALL(SimData5000!$B$9:$B$5008,1509)</f>
        <v>0.3016376263758721</v>
      </c>
      <c r="I6517">
        <f>1/(COUNT(SimData5000!$B$9:$B$5008)-1)+$I$6516</f>
        <v>0.3016603320664224</v>
      </c>
      <c r="J6517">
        <f>SMALL(SimData5000!$C$9:$C$5008,1509)</f>
        <v>0.2993778862637555</v>
      </c>
      <c r="K6517">
        <f>1/(COUNT(SimData5000!$C$9:$C$5008)-1)+$K$6516</f>
        <v>0.3016603320664224</v>
      </c>
    </row>
    <row r="6518" spans="8:11">
      <c r="H6518">
        <f>SMALL(SimData5000!$B$9:$B$5008,1510)</f>
        <v>0.30187240956818512</v>
      </c>
      <c r="I6518">
        <f>1/(COUNT(SimData5000!$B$9:$B$5008)-1)+$I$6517</f>
        <v>0.30186037207442401</v>
      </c>
      <c r="J6518">
        <f>SMALL(SimData5000!$C$9:$C$5008,1510)</f>
        <v>0.29949178134302201</v>
      </c>
      <c r="K6518">
        <f>1/(COUNT(SimData5000!$C$9:$C$5008)-1)+$K$6517</f>
        <v>0.30186037207442401</v>
      </c>
    </row>
    <row r="6519" spans="8:11">
      <c r="H6519">
        <f>SMALL(SimData5000!$B$9:$B$5008,1511)</f>
        <v>0.30212041124983702</v>
      </c>
      <c r="I6519">
        <f>1/(COUNT(SimData5000!$B$9:$B$5008)-1)+$I$6518</f>
        <v>0.30206041208242562</v>
      </c>
      <c r="J6519">
        <f>SMALL(SimData5000!$C$9:$C$5008,1511)</f>
        <v>0.29951859446646267</v>
      </c>
      <c r="K6519">
        <f>1/(COUNT(SimData5000!$C$9:$C$5008)-1)+$K$6518</f>
        <v>0.30206041208242562</v>
      </c>
    </row>
    <row r="6520" spans="8:11">
      <c r="H6520">
        <f>SMALL(SimData5000!$B$9:$B$5008,1512)</f>
        <v>0.30227968653582027</v>
      </c>
      <c r="I6520">
        <f>1/(COUNT(SimData5000!$B$9:$B$5008)-1)+$I$6519</f>
        <v>0.30226045209042723</v>
      </c>
      <c r="J6520">
        <f>SMALL(SimData5000!$C$9:$C$5008,1512)</f>
        <v>0.29999054036488815</v>
      </c>
      <c r="K6520">
        <f>1/(COUNT(SimData5000!$C$9:$C$5008)-1)+$K$6519</f>
        <v>0.30226045209042723</v>
      </c>
    </row>
    <row r="6521" spans="8:11">
      <c r="H6521">
        <f>SMALL(SimData5000!$B$9:$B$5008,1513)</f>
        <v>0.30254177073774435</v>
      </c>
      <c r="I6521">
        <f>1/(COUNT(SimData5000!$B$9:$B$5008)-1)+$I$6520</f>
        <v>0.30246049209842885</v>
      </c>
      <c r="J6521">
        <f>SMALL(SimData5000!$C$9:$C$5008,1513)</f>
        <v>0.30009022810372699</v>
      </c>
      <c r="K6521">
        <f>1/(COUNT(SimData5000!$C$9:$C$5008)-1)+$K$6520</f>
        <v>0.30246049209842885</v>
      </c>
    </row>
    <row r="6522" spans="8:11">
      <c r="H6522">
        <f>SMALL(SimData5000!$B$9:$B$5008,1514)</f>
        <v>0.30270668181509403</v>
      </c>
      <c r="I6522">
        <f>1/(COUNT(SimData5000!$B$9:$B$5008)-1)+$I$6521</f>
        <v>0.30266053210643046</v>
      </c>
      <c r="J6522">
        <f>SMALL(SimData5000!$C$9:$C$5008,1514)</f>
        <v>0.30023545861695311</v>
      </c>
      <c r="K6522">
        <f>1/(COUNT(SimData5000!$C$9:$C$5008)-1)+$K$6521</f>
        <v>0.30266053210643046</v>
      </c>
    </row>
    <row r="6523" spans="8:11">
      <c r="H6523">
        <f>SMALL(SimData5000!$B$9:$B$5008,1515)</f>
        <v>0.30281990288431287</v>
      </c>
      <c r="I6523">
        <f>1/(COUNT(SimData5000!$B$9:$B$5008)-1)+$I$6522</f>
        <v>0.30286057211443207</v>
      </c>
      <c r="J6523">
        <f>SMALL(SimData5000!$C$9:$C$5008,1515)</f>
        <v>0.30088624809013709</v>
      </c>
      <c r="K6523">
        <f>1/(COUNT(SimData5000!$C$9:$C$5008)-1)+$K$6522</f>
        <v>0.30286057211443207</v>
      </c>
    </row>
    <row r="6524" spans="8:11">
      <c r="H6524">
        <f>SMALL(SimData5000!$B$9:$B$5008,1516)</f>
        <v>0.30314532227500929</v>
      </c>
      <c r="I6524">
        <f>1/(COUNT(SimData5000!$B$9:$B$5008)-1)+$I$6523</f>
        <v>0.30306061212243368</v>
      </c>
      <c r="J6524">
        <f>SMALL(SimData5000!$C$9:$C$5008,1516)</f>
        <v>0.30100541130741476</v>
      </c>
      <c r="K6524">
        <f>1/(COUNT(SimData5000!$C$9:$C$5008)-1)+$K$6523</f>
        <v>0.30306061212243368</v>
      </c>
    </row>
    <row r="6525" spans="8:11">
      <c r="H6525">
        <f>SMALL(SimData5000!$B$9:$B$5008,1517)</f>
        <v>0.30325171323643341</v>
      </c>
      <c r="I6525">
        <f>1/(COUNT(SimData5000!$B$9:$B$5008)-1)+$I$6524</f>
        <v>0.30326065213043529</v>
      </c>
      <c r="J6525">
        <f>SMALL(SimData5000!$C$9:$C$5008,1517)</f>
        <v>0.30139459522890277</v>
      </c>
      <c r="K6525">
        <f>1/(COUNT(SimData5000!$C$9:$C$5008)-1)+$K$6524</f>
        <v>0.30326065213043529</v>
      </c>
    </row>
    <row r="6526" spans="8:11">
      <c r="H6526">
        <f>SMALL(SimData5000!$B$9:$B$5008,1518)</f>
        <v>0.30343371378477518</v>
      </c>
      <c r="I6526">
        <f>1/(COUNT(SimData5000!$B$9:$B$5008)-1)+$I$6525</f>
        <v>0.3034606921384369</v>
      </c>
      <c r="J6526">
        <f>SMALL(SimData5000!$C$9:$C$5008,1518)</f>
        <v>0.30141509048735315</v>
      </c>
      <c r="K6526">
        <f>1/(COUNT(SimData5000!$C$9:$C$5008)-1)+$K$6525</f>
        <v>0.3034606921384369</v>
      </c>
    </row>
    <row r="6527" spans="8:11">
      <c r="H6527">
        <f>SMALL(SimData5000!$B$9:$B$5008,1519)</f>
        <v>0.30371867650209899</v>
      </c>
      <c r="I6527">
        <f>1/(COUNT(SimData5000!$B$9:$B$5008)-1)+$I$6526</f>
        <v>0.30366073214643852</v>
      </c>
      <c r="J6527">
        <f>SMALL(SimData5000!$C$9:$C$5008,1519)</f>
        <v>0.30149426267144008</v>
      </c>
      <c r="K6527">
        <f>1/(COUNT(SimData5000!$C$9:$C$5008)-1)+$K$6526</f>
        <v>0.30366073214643852</v>
      </c>
    </row>
    <row r="6528" spans="8:11">
      <c r="H6528">
        <f>SMALL(SimData5000!$B$9:$B$5008,1520)</f>
        <v>0.3039187331317269</v>
      </c>
      <c r="I6528">
        <f>1/(COUNT(SimData5000!$B$9:$B$5008)-1)+$I$6527</f>
        <v>0.30386077215444013</v>
      </c>
      <c r="J6528">
        <f>SMALL(SimData5000!$C$9:$C$5008,1520)</f>
        <v>0.30177134979203402</v>
      </c>
      <c r="K6528">
        <f>1/(COUNT(SimData5000!$C$9:$C$5008)-1)+$K$6527</f>
        <v>0.30386077215444013</v>
      </c>
    </row>
    <row r="6529" spans="8:11">
      <c r="H6529">
        <f>SMALL(SimData5000!$B$9:$B$5008,1521)</f>
        <v>0.3041021436421904</v>
      </c>
      <c r="I6529">
        <f>1/(COUNT(SimData5000!$B$9:$B$5008)-1)+$I$6528</f>
        <v>0.30406081216244174</v>
      </c>
      <c r="J6529">
        <f>SMALL(SimData5000!$C$9:$C$5008,1521)</f>
        <v>0.30255402616876381</v>
      </c>
      <c r="K6529">
        <f>1/(COUNT(SimData5000!$C$9:$C$5008)-1)+$K$6528</f>
        <v>0.30406081216244174</v>
      </c>
    </row>
    <row r="6530" spans="8:11">
      <c r="H6530">
        <f>SMALL(SimData5000!$B$9:$B$5008,1522)</f>
        <v>0.30420713749630546</v>
      </c>
      <c r="I6530">
        <f>1/(COUNT(SimData5000!$B$9:$B$5008)-1)+$I$6529</f>
        <v>0.30426085217044335</v>
      </c>
      <c r="J6530">
        <f>SMALL(SimData5000!$C$9:$C$5008,1522)</f>
        <v>0.30266524336093426</v>
      </c>
      <c r="K6530">
        <f>1/(COUNT(SimData5000!$C$9:$C$5008)-1)+$K$6529</f>
        <v>0.30426085217044335</v>
      </c>
    </row>
    <row r="6531" spans="8:11">
      <c r="H6531">
        <f>SMALL(SimData5000!$B$9:$B$5008,1523)</f>
        <v>0.30457143851694918</v>
      </c>
      <c r="I6531">
        <f>1/(COUNT(SimData5000!$B$9:$B$5008)-1)+$I$6530</f>
        <v>0.30446089217844496</v>
      </c>
      <c r="J6531">
        <f>SMALL(SimData5000!$C$9:$C$5008,1523)</f>
        <v>0.30271509683188924</v>
      </c>
      <c r="K6531">
        <f>1/(COUNT(SimData5000!$C$9:$C$5008)-1)+$K$6530</f>
        <v>0.30446089217844496</v>
      </c>
    </row>
    <row r="6532" spans="8:11">
      <c r="H6532">
        <f>SMALL(SimData5000!$B$9:$B$5008,1524)</f>
        <v>0.30471210014031086</v>
      </c>
      <c r="I6532">
        <f>1/(COUNT(SimData5000!$B$9:$B$5008)-1)+$I$6531</f>
        <v>0.30466093218644658</v>
      </c>
      <c r="J6532">
        <f>SMALL(SimData5000!$C$9:$C$5008,1524)</f>
        <v>0.30324538035984006</v>
      </c>
      <c r="K6532">
        <f>1/(COUNT(SimData5000!$C$9:$C$5008)-1)+$K$6531</f>
        <v>0.30466093218644658</v>
      </c>
    </row>
    <row r="6533" spans="8:11">
      <c r="H6533">
        <f>SMALL(SimData5000!$B$9:$B$5008,1525)</f>
        <v>0.3049575570231205</v>
      </c>
      <c r="I6533">
        <f>1/(COUNT(SimData5000!$B$9:$B$5008)-1)+$I$6532</f>
        <v>0.30486097219444819</v>
      </c>
      <c r="J6533">
        <f>SMALL(SimData5000!$C$9:$C$5008,1525)</f>
        <v>0.30326130469893542</v>
      </c>
      <c r="K6533">
        <f>1/(COUNT(SimData5000!$C$9:$C$5008)-1)+$K$6532</f>
        <v>0.30486097219444819</v>
      </c>
    </row>
    <row r="6534" spans="8:11">
      <c r="H6534">
        <f>SMALL(SimData5000!$B$9:$B$5008,1526)</f>
        <v>0.30503252094784578</v>
      </c>
      <c r="I6534">
        <f>1/(COUNT(SimData5000!$B$9:$B$5008)-1)+$I$6533</f>
        <v>0.3050610122024498</v>
      </c>
      <c r="J6534">
        <f>SMALL(SimData5000!$C$9:$C$5008,1526)</f>
        <v>0.30375900389481103</v>
      </c>
      <c r="K6534">
        <f>1/(COUNT(SimData5000!$C$9:$C$5008)-1)+$K$6533</f>
        <v>0.3050610122024498</v>
      </c>
    </row>
    <row r="6535" spans="8:11">
      <c r="H6535">
        <f>SMALL(SimData5000!$B$9:$B$5008,1527)</f>
        <v>0.30528106353159085</v>
      </c>
      <c r="I6535">
        <f>1/(COUNT(SimData5000!$B$9:$B$5008)-1)+$I$6534</f>
        <v>0.30526105221045141</v>
      </c>
      <c r="J6535">
        <f>SMALL(SimData5000!$C$9:$C$5008,1527)</f>
        <v>0.30396766894136817</v>
      </c>
      <c r="K6535">
        <f>1/(COUNT(SimData5000!$C$9:$C$5008)-1)+$K$6534</f>
        <v>0.30526105221045141</v>
      </c>
    </row>
    <row r="6536" spans="8:11">
      <c r="H6536">
        <f>SMALL(SimData5000!$B$9:$B$5008,1528)</f>
        <v>0.30544132312756067</v>
      </c>
      <c r="I6536">
        <f>1/(COUNT(SimData5000!$B$9:$B$5008)-1)+$I$6535</f>
        <v>0.30546109221845302</v>
      </c>
      <c r="J6536">
        <f>SMALL(SimData5000!$C$9:$C$5008,1528)</f>
        <v>0.30412700528449932</v>
      </c>
      <c r="K6536">
        <f>1/(COUNT(SimData5000!$C$9:$C$5008)-1)+$K$6535</f>
        <v>0.30546109221845302</v>
      </c>
    </row>
    <row r="6537" spans="8:11">
      <c r="H6537">
        <f>SMALL(SimData5000!$B$9:$B$5008,1529)</f>
        <v>0.30577908448753394</v>
      </c>
      <c r="I6537">
        <f>1/(COUNT(SimData5000!$B$9:$B$5008)-1)+$I$6536</f>
        <v>0.30566113222645463</v>
      </c>
      <c r="J6537">
        <f>SMALL(SimData5000!$C$9:$C$5008,1529)</f>
        <v>0.30414642115829338</v>
      </c>
      <c r="K6537">
        <f>1/(COUNT(SimData5000!$C$9:$C$5008)-1)+$K$6536</f>
        <v>0.30566113222645463</v>
      </c>
    </row>
    <row r="6538" spans="8:11">
      <c r="H6538">
        <f>SMALL(SimData5000!$B$9:$B$5008,1530)</f>
        <v>0.30592720154340547</v>
      </c>
      <c r="I6538">
        <f>1/(COUNT(SimData5000!$B$9:$B$5008)-1)+$I$6537</f>
        <v>0.30586117223445625</v>
      </c>
      <c r="J6538">
        <f>SMALL(SimData5000!$C$9:$C$5008,1530)</f>
        <v>0.30417944716555212</v>
      </c>
      <c r="K6538">
        <f>1/(COUNT(SimData5000!$C$9:$C$5008)-1)+$K$6537</f>
        <v>0.30586117223445625</v>
      </c>
    </row>
    <row r="6539" spans="8:11">
      <c r="H6539">
        <f>SMALL(SimData5000!$B$9:$B$5008,1531)</f>
        <v>0.30602713767653961</v>
      </c>
      <c r="I6539">
        <f>1/(COUNT(SimData5000!$B$9:$B$5008)-1)+$I$6538</f>
        <v>0.30606121224245786</v>
      </c>
      <c r="J6539">
        <f>SMALL(SimData5000!$C$9:$C$5008,1531)</f>
        <v>0.3042366537711132</v>
      </c>
      <c r="K6539">
        <f>1/(COUNT(SimData5000!$C$9:$C$5008)-1)+$K$6538</f>
        <v>0.30606121224245786</v>
      </c>
    </row>
    <row r="6540" spans="8:11">
      <c r="H6540">
        <f>SMALL(SimData5000!$B$9:$B$5008,1532)</f>
        <v>0.30635020575503591</v>
      </c>
      <c r="I6540">
        <f>1/(COUNT(SimData5000!$B$9:$B$5008)-1)+$I$6539</f>
        <v>0.30626125225045947</v>
      </c>
      <c r="J6540">
        <f>SMALL(SimData5000!$C$9:$C$5008,1532)</f>
        <v>0.30446289760766376</v>
      </c>
      <c r="K6540">
        <f>1/(COUNT(SimData5000!$C$9:$C$5008)-1)+$K$6539</f>
        <v>0.30626125225045947</v>
      </c>
    </row>
    <row r="6541" spans="8:11">
      <c r="H6541">
        <f>SMALL(SimData5000!$B$9:$B$5008,1533)</f>
        <v>0.30654888779626899</v>
      </c>
      <c r="I6541">
        <f>1/(COUNT(SimData5000!$B$9:$B$5008)-1)+$I$6540</f>
        <v>0.30646129225846108</v>
      </c>
      <c r="J6541">
        <f>SMALL(SimData5000!$C$9:$C$5008,1533)</f>
        <v>0.30453576867148513</v>
      </c>
      <c r="K6541">
        <f>1/(COUNT(SimData5000!$C$9:$C$5008)-1)+$K$6540</f>
        <v>0.30646129225846108</v>
      </c>
    </row>
    <row r="6542" spans="8:11">
      <c r="H6542">
        <f>SMALL(SimData5000!$B$9:$B$5008,1534)</f>
        <v>0.30663012857870897</v>
      </c>
      <c r="I6542">
        <f>1/(COUNT(SimData5000!$B$9:$B$5008)-1)+$I$6541</f>
        <v>0.30666133226646269</v>
      </c>
      <c r="J6542">
        <f>SMALL(SimData5000!$C$9:$C$5008,1534)</f>
        <v>0.30528474038965214</v>
      </c>
      <c r="K6542">
        <f>1/(COUNT(SimData5000!$C$9:$C$5008)-1)+$K$6541</f>
        <v>0.30666133226646269</v>
      </c>
    </row>
    <row r="6543" spans="8:11">
      <c r="H6543">
        <f>SMALL(SimData5000!$B$9:$B$5008,1535)</f>
        <v>0.30689991320630072</v>
      </c>
      <c r="I6543">
        <f>1/(COUNT(SimData5000!$B$9:$B$5008)-1)+$I$6542</f>
        <v>0.30686137227446431</v>
      </c>
      <c r="J6543">
        <f>SMALL(SimData5000!$C$9:$C$5008,1535)</f>
        <v>0.3052980279599069</v>
      </c>
      <c r="K6543">
        <f>1/(COUNT(SimData5000!$C$9:$C$5008)-1)+$K$6542</f>
        <v>0.30686137227446431</v>
      </c>
    </row>
    <row r="6544" spans="8:11">
      <c r="H6544">
        <f>SMALL(SimData5000!$B$9:$B$5008,1536)</f>
        <v>0.3070163509320506</v>
      </c>
      <c r="I6544">
        <f>1/(COUNT(SimData5000!$B$9:$B$5008)-1)+$I$6543</f>
        <v>0.30706141228246592</v>
      </c>
      <c r="J6544">
        <f>SMALL(SimData5000!$C$9:$C$5008,1536)</f>
        <v>0.30547357724481117</v>
      </c>
      <c r="K6544">
        <f>1/(COUNT(SimData5000!$C$9:$C$5008)-1)+$K$6543</f>
        <v>0.30706141228246592</v>
      </c>
    </row>
    <row r="6545" spans="8:11">
      <c r="H6545">
        <f>SMALL(SimData5000!$B$9:$B$5008,1537)</f>
        <v>0.30728545070343782</v>
      </c>
      <c r="I6545">
        <f>1/(COUNT(SimData5000!$B$9:$B$5008)-1)+$I$6544</f>
        <v>0.30726145229046753</v>
      </c>
      <c r="J6545">
        <f>SMALL(SimData5000!$C$9:$C$5008,1537)</f>
        <v>0.30555441671003791</v>
      </c>
      <c r="K6545">
        <f>1/(COUNT(SimData5000!$C$9:$C$5008)-1)+$K$6544</f>
        <v>0.30726145229046753</v>
      </c>
    </row>
    <row r="6546" spans="8:11">
      <c r="H6546">
        <f>SMALL(SimData5000!$B$9:$B$5008,1538)</f>
        <v>0.30757274172123816</v>
      </c>
      <c r="I6546">
        <f>1/(COUNT(SimData5000!$B$9:$B$5008)-1)+$I$6545</f>
        <v>0.30746149229846914</v>
      </c>
      <c r="J6546">
        <f>SMALL(SimData5000!$C$9:$C$5008,1538)</f>
        <v>0.30595573882601457</v>
      </c>
      <c r="K6546">
        <f>1/(COUNT(SimData5000!$C$9:$C$5008)-1)+$K$6545</f>
        <v>0.30746149229846914</v>
      </c>
    </row>
    <row r="6547" spans="8:11">
      <c r="H6547">
        <f>SMALL(SimData5000!$B$9:$B$5008,1539)</f>
        <v>0.30767664875231604</v>
      </c>
      <c r="I6547">
        <f>1/(COUNT(SimData5000!$B$9:$B$5008)-1)+$I$6546</f>
        <v>0.30766153230647075</v>
      </c>
      <c r="J6547">
        <f>SMALL(SimData5000!$C$9:$C$5008,1539)</f>
        <v>0.3060222415251701</v>
      </c>
      <c r="K6547">
        <f>1/(COUNT(SimData5000!$C$9:$C$5008)-1)+$K$6546</f>
        <v>0.30766153230647075</v>
      </c>
    </row>
    <row r="6548" spans="8:11">
      <c r="H6548">
        <f>SMALL(SimData5000!$B$9:$B$5008,1540)</f>
        <v>0.3078540924797426</v>
      </c>
      <c r="I6548">
        <f>1/(COUNT(SimData5000!$B$9:$B$5008)-1)+$I$6547</f>
        <v>0.30786157231447236</v>
      </c>
      <c r="J6548">
        <f>SMALL(SimData5000!$C$9:$C$5008,1540)</f>
        <v>0.30617017143049452</v>
      </c>
      <c r="K6548">
        <f>1/(COUNT(SimData5000!$C$9:$C$5008)-1)+$K$6547</f>
        <v>0.30786157231447236</v>
      </c>
    </row>
    <row r="6549" spans="8:11">
      <c r="H6549">
        <f>SMALL(SimData5000!$B$9:$B$5008,1541)</f>
        <v>0.30804058984924121</v>
      </c>
      <c r="I6549">
        <f>1/(COUNT(SimData5000!$B$9:$B$5008)-1)+$I$6548</f>
        <v>0.30806161232247398</v>
      </c>
      <c r="J6549">
        <f>SMALL(SimData5000!$C$9:$C$5008,1541)</f>
        <v>0.30639678038096463</v>
      </c>
      <c r="K6549">
        <f>1/(COUNT(SimData5000!$C$9:$C$5008)-1)+$K$6548</f>
        <v>0.30806161232247398</v>
      </c>
    </row>
    <row r="6550" spans="8:11">
      <c r="H6550">
        <f>SMALL(SimData5000!$B$9:$B$5008,1542)</f>
        <v>0.30830180887521752</v>
      </c>
      <c r="I6550">
        <f>1/(COUNT(SimData5000!$B$9:$B$5008)-1)+$I$6549</f>
        <v>0.30826165233047559</v>
      </c>
      <c r="J6550">
        <f>SMALL(SimData5000!$C$9:$C$5008,1542)</f>
        <v>0.30647626905556535</v>
      </c>
      <c r="K6550">
        <f>1/(COUNT(SimData5000!$C$9:$C$5008)-1)+$K$6549</f>
        <v>0.30826165233047559</v>
      </c>
    </row>
    <row r="6551" spans="8:11">
      <c r="H6551">
        <f>SMALL(SimData5000!$B$9:$B$5008,1543)</f>
        <v>0.30848706282309424</v>
      </c>
      <c r="I6551">
        <f>1/(COUNT(SimData5000!$B$9:$B$5008)-1)+$I$6550</f>
        <v>0.3084616923384772</v>
      </c>
      <c r="J6551">
        <f>SMALL(SimData5000!$C$9:$C$5008,1543)</f>
        <v>0.30659760966591421</v>
      </c>
      <c r="K6551">
        <f>1/(COUNT(SimData5000!$C$9:$C$5008)-1)+$K$6550</f>
        <v>0.3084616923384772</v>
      </c>
    </row>
    <row r="6552" spans="8:11">
      <c r="H6552">
        <f>SMALL(SimData5000!$B$9:$B$5008,1544)</f>
        <v>0.30870753747283192</v>
      </c>
      <c r="I6552">
        <f>1/(COUNT(SimData5000!$B$9:$B$5008)-1)+$I$6551</f>
        <v>0.30866173234647881</v>
      </c>
      <c r="J6552">
        <f>SMALL(SimData5000!$C$9:$C$5008,1544)</f>
        <v>0.30691055584247806</v>
      </c>
      <c r="K6552">
        <f>1/(COUNT(SimData5000!$C$9:$C$5008)-1)+$K$6551</f>
        <v>0.30866173234647881</v>
      </c>
    </row>
    <row r="6553" spans="8:11">
      <c r="H6553">
        <f>SMALL(SimData5000!$B$9:$B$5008,1545)</f>
        <v>0.30891115927205215</v>
      </c>
      <c r="I6553">
        <f>1/(COUNT(SimData5000!$B$9:$B$5008)-1)+$I$6552</f>
        <v>0.30886177235448042</v>
      </c>
      <c r="J6553">
        <f>SMALL(SimData5000!$C$9:$C$5008,1545)</f>
        <v>0.3069377456604343</v>
      </c>
      <c r="K6553">
        <f>1/(COUNT(SimData5000!$C$9:$C$5008)-1)+$K$6552</f>
        <v>0.30886177235448042</v>
      </c>
    </row>
    <row r="6554" spans="8:11">
      <c r="H6554">
        <f>SMALL(SimData5000!$B$9:$B$5008,1546)</f>
        <v>0.30917323603298824</v>
      </c>
      <c r="I6554">
        <f>1/(COUNT(SimData5000!$B$9:$B$5008)-1)+$I$6553</f>
        <v>0.30906181236248204</v>
      </c>
      <c r="J6554">
        <f>SMALL(SimData5000!$C$9:$C$5008,1546)</f>
        <v>0.30708580008649733</v>
      </c>
      <c r="K6554">
        <f>1/(COUNT(SimData5000!$C$9:$C$5008)-1)+$K$6553</f>
        <v>0.30906181236248204</v>
      </c>
    </row>
    <row r="6555" spans="8:11">
      <c r="H6555">
        <f>SMALL(SimData5000!$B$9:$B$5008,1547)</f>
        <v>0.30937531641185639</v>
      </c>
      <c r="I6555">
        <f>1/(COUNT(SimData5000!$B$9:$B$5008)-1)+$I$6554</f>
        <v>0.30926185237048365</v>
      </c>
      <c r="J6555">
        <f>SMALL(SimData5000!$C$9:$C$5008,1547)</f>
        <v>0.30729511653953523</v>
      </c>
      <c r="K6555">
        <f>1/(COUNT(SimData5000!$C$9:$C$5008)-1)+$K$6554</f>
        <v>0.30926185237048365</v>
      </c>
    </row>
    <row r="6556" spans="8:11">
      <c r="H6556">
        <f>SMALL(SimData5000!$B$9:$B$5008,1548)</f>
        <v>0.30951106430234182</v>
      </c>
      <c r="I6556">
        <f>1/(COUNT(SimData5000!$B$9:$B$5008)-1)+$I$6555</f>
        <v>0.30946189237848526</v>
      </c>
      <c r="J6556">
        <f>SMALL(SimData5000!$C$9:$C$5008,1548)</f>
        <v>0.30762165880560133</v>
      </c>
      <c r="K6556">
        <f>1/(COUNT(SimData5000!$C$9:$C$5008)-1)+$K$6555</f>
        <v>0.30946189237848526</v>
      </c>
    </row>
    <row r="6557" spans="8:11">
      <c r="H6557">
        <f>SMALL(SimData5000!$B$9:$B$5008,1549)</f>
        <v>0.3097587114419692</v>
      </c>
      <c r="I6557">
        <f>1/(COUNT(SimData5000!$B$9:$B$5008)-1)+$I$6556</f>
        <v>0.30966193238648687</v>
      </c>
      <c r="J6557">
        <f>SMALL(SimData5000!$C$9:$C$5008,1549)</f>
        <v>0.30779354005608184</v>
      </c>
      <c r="K6557">
        <f>1/(COUNT(SimData5000!$C$9:$C$5008)-1)+$K$6556</f>
        <v>0.30966193238648687</v>
      </c>
    </row>
    <row r="6558" spans="8:11">
      <c r="H6558">
        <f>SMALL(SimData5000!$B$9:$B$5008,1550)</f>
        <v>0.30994411371507313</v>
      </c>
      <c r="I6558">
        <f>1/(COUNT(SimData5000!$B$9:$B$5008)-1)+$I$6557</f>
        <v>0.30986197239448848</v>
      </c>
      <c r="J6558">
        <f>SMALL(SimData5000!$C$9:$C$5008,1550)</f>
        <v>0.30791164067704813</v>
      </c>
      <c r="K6558">
        <f>1/(COUNT(SimData5000!$C$9:$C$5008)-1)+$K$6557</f>
        <v>0.30986197239448848</v>
      </c>
    </row>
    <row r="6559" spans="8:11">
      <c r="H6559">
        <f>SMALL(SimData5000!$B$9:$B$5008,1551)</f>
        <v>0.31010796760374398</v>
      </c>
      <c r="I6559">
        <f>1/(COUNT(SimData5000!$B$9:$B$5008)-1)+$I$6558</f>
        <v>0.31006201240249009</v>
      </c>
      <c r="J6559">
        <f>SMALL(SimData5000!$C$9:$C$5008,1551)</f>
        <v>0.30809889784723055</v>
      </c>
      <c r="K6559">
        <f>1/(COUNT(SimData5000!$C$9:$C$5008)-1)+$K$6558</f>
        <v>0.31006201240249009</v>
      </c>
    </row>
    <row r="6560" spans="8:11">
      <c r="H6560">
        <f>SMALL(SimData5000!$B$9:$B$5008,1552)</f>
        <v>0.31027294044999237</v>
      </c>
      <c r="I6560">
        <f>1/(COUNT(SimData5000!$B$9:$B$5008)-1)+$I$6559</f>
        <v>0.31026205241049171</v>
      </c>
      <c r="J6560">
        <f>SMALL(SimData5000!$C$9:$C$5008,1552)</f>
        <v>0.30838419899464498</v>
      </c>
      <c r="K6560">
        <f>1/(COUNT(SimData5000!$C$9:$C$5008)-1)+$K$6559</f>
        <v>0.31026205241049171</v>
      </c>
    </row>
    <row r="6561" spans="8:11">
      <c r="H6561">
        <f>SMALL(SimData5000!$B$9:$B$5008,1553)</f>
        <v>0.31042060392201426</v>
      </c>
      <c r="I6561">
        <f>1/(COUNT(SimData5000!$B$9:$B$5008)-1)+$I$6560</f>
        <v>0.31046209241849332</v>
      </c>
      <c r="J6561">
        <f>SMALL(SimData5000!$C$9:$C$5008,1553)</f>
        <v>0.30870219053576875</v>
      </c>
      <c r="K6561">
        <f>1/(COUNT(SimData5000!$C$9:$C$5008)-1)+$K$6560</f>
        <v>0.31046209241849332</v>
      </c>
    </row>
    <row r="6562" spans="8:11">
      <c r="H6562">
        <f>SMALL(SimData5000!$B$9:$B$5008,1554)</f>
        <v>0.31069757151247412</v>
      </c>
      <c r="I6562">
        <f>1/(COUNT(SimData5000!$B$9:$B$5008)-1)+$I$6561</f>
        <v>0.31066213242649493</v>
      </c>
      <c r="J6562">
        <f>SMALL(SimData5000!$C$9:$C$5008,1554)</f>
        <v>0.30911379850749654</v>
      </c>
      <c r="K6562">
        <f>1/(COUNT(SimData5000!$C$9:$C$5008)-1)+$K$6561</f>
        <v>0.31066213242649493</v>
      </c>
    </row>
    <row r="6563" spans="8:11">
      <c r="H6563">
        <f>SMALL(SimData5000!$B$9:$B$5008,1555)</f>
        <v>0.31083961059093468</v>
      </c>
      <c r="I6563">
        <f>1/(COUNT(SimData5000!$B$9:$B$5008)-1)+$I$6562</f>
        <v>0.31086217243449654</v>
      </c>
      <c r="J6563">
        <f>SMALL(SimData5000!$C$9:$C$5008,1555)</f>
        <v>0.30917460442287847</v>
      </c>
      <c r="K6563">
        <f>1/(COUNT(SimData5000!$C$9:$C$5008)-1)+$K$6562</f>
        <v>0.31086217243449654</v>
      </c>
    </row>
    <row r="6564" spans="8:11">
      <c r="H6564">
        <f>SMALL(SimData5000!$B$9:$B$5008,1556)</f>
        <v>0.3111554742640712</v>
      </c>
      <c r="I6564">
        <f>1/(COUNT(SimData5000!$B$9:$B$5008)-1)+$I$6563</f>
        <v>0.31106221244249815</v>
      </c>
      <c r="J6564">
        <f>SMALL(SimData5000!$C$9:$C$5008,1556)</f>
        <v>0.30923472530685103</v>
      </c>
      <c r="K6564">
        <f>1/(COUNT(SimData5000!$C$9:$C$5008)-1)+$K$6563</f>
        <v>0.31106221244249815</v>
      </c>
    </row>
    <row r="6565" spans="8:11">
      <c r="H6565">
        <f>SMALL(SimData5000!$B$9:$B$5008,1557)</f>
        <v>0.31130043661894752</v>
      </c>
      <c r="I6565">
        <f>1/(COUNT(SimData5000!$B$9:$B$5008)-1)+$I$6564</f>
        <v>0.31126225245049977</v>
      </c>
      <c r="J6565">
        <f>SMALL(SimData5000!$C$9:$C$5008,1557)</f>
        <v>0.30930423734480428</v>
      </c>
      <c r="K6565">
        <f>1/(COUNT(SimData5000!$C$9:$C$5008)-1)+$K$6564</f>
        <v>0.31126225245049977</v>
      </c>
    </row>
    <row r="6566" spans="8:11">
      <c r="H6566">
        <f>SMALL(SimData5000!$B$9:$B$5008,1558)</f>
        <v>0.31157452321526935</v>
      </c>
      <c r="I6566">
        <f>1/(COUNT(SimData5000!$B$9:$B$5008)-1)+$I$6565</f>
        <v>0.31146229245850138</v>
      </c>
      <c r="J6566">
        <f>SMALL(SimData5000!$C$9:$C$5008,1558)</f>
        <v>0.30981514617087669</v>
      </c>
      <c r="K6566">
        <f>1/(COUNT(SimData5000!$C$9:$C$5008)-1)+$K$6565</f>
        <v>0.31146229245850138</v>
      </c>
    </row>
    <row r="6567" spans="8:11">
      <c r="H6567">
        <f>SMALL(SimData5000!$B$9:$B$5008,1559)</f>
        <v>0.31170639096365926</v>
      </c>
      <c r="I6567">
        <f>1/(COUNT(SimData5000!$B$9:$B$5008)-1)+$I$6566</f>
        <v>0.31166233246650299</v>
      </c>
      <c r="J6567">
        <f>SMALL(SimData5000!$C$9:$C$5008,1559)</f>
        <v>0.31004081685296114</v>
      </c>
      <c r="K6567">
        <f>1/(COUNT(SimData5000!$C$9:$C$5008)-1)+$K$6566</f>
        <v>0.31166233246650299</v>
      </c>
    </row>
    <row r="6568" spans="8:11">
      <c r="H6568">
        <f>SMALL(SimData5000!$B$9:$B$5008,1560)</f>
        <v>0.31198231488167827</v>
      </c>
      <c r="I6568">
        <f>1/(COUNT(SimData5000!$B$9:$B$5008)-1)+$I$6567</f>
        <v>0.3118623724745046</v>
      </c>
      <c r="J6568">
        <f>SMALL(SimData5000!$C$9:$C$5008,1560)</f>
        <v>0.31004876102088019</v>
      </c>
      <c r="K6568">
        <f>1/(COUNT(SimData5000!$C$9:$C$5008)-1)+$K$6567</f>
        <v>0.3118623724745046</v>
      </c>
    </row>
    <row r="6569" spans="8:11">
      <c r="H6569">
        <f>SMALL(SimData5000!$B$9:$B$5008,1561)</f>
        <v>0.31218154127751047</v>
      </c>
      <c r="I6569">
        <f>1/(COUNT(SimData5000!$B$9:$B$5008)-1)+$I$6568</f>
        <v>0.31206241248250621</v>
      </c>
      <c r="J6569">
        <f>SMALL(SimData5000!$C$9:$C$5008,1561)</f>
        <v>0.3100651151717102</v>
      </c>
      <c r="K6569">
        <f>1/(COUNT(SimData5000!$C$9:$C$5008)-1)+$K$6568</f>
        <v>0.31206241248250621</v>
      </c>
    </row>
    <row r="6570" spans="8:11">
      <c r="H6570">
        <f>SMALL(SimData5000!$B$9:$B$5008,1562)</f>
        <v>0.31239410534258794</v>
      </c>
      <c r="I6570">
        <f>1/(COUNT(SimData5000!$B$9:$B$5008)-1)+$I$6569</f>
        <v>0.31226245249050782</v>
      </c>
      <c r="J6570">
        <f>SMALL(SimData5000!$C$9:$C$5008,1562)</f>
        <v>0.31016208446726523</v>
      </c>
      <c r="K6570">
        <f>1/(COUNT(SimData5000!$C$9:$C$5008)-1)+$K$6569</f>
        <v>0.31226245249050782</v>
      </c>
    </row>
    <row r="6571" spans="8:11">
      <c r="H6571">
        <f>SMALL(SimData5000!$B$9:$B$5008,1563)</f>
        <v>0.31248608955375062</v>
      </c>
      <c r="I6571">
        <f>1/(COUNT(SimData5000!$B$9:$B$5008)-1)+$I$6570</f>
        <v>0.31246249249850944</v>
      </c>
      <c r="J6571">
        <f>SMALL(SimData5000!$C$9:$C$5008,1563)</f>
        <v>0.31046484550552123</v>
      </c>
      <c r="K6571">
        <f>1/(COUNT(SimData5000!$C$9:$C$5008)-1)+$K$6570</f>
        <v>0.31246249249850944</v>
      </c>
    </row>
    <row r="6572" spans="8:11">
      <c r="H6572">
        <f>SMALL(SimData5000!$B$9:$B$5008,1564)</f>
        <v>0.31271027049373612</v>
      </c>
      <c r="I6572">
        <f>1/(COUNT(SimData5000!$B$9:$B$5008)-1)+$I$6571</f>
        <v>0.31266253250651105</v>
      </c>
      <c r="J6572">
        <f>SMALL(SimData5000!$C$9:$C$5008,1564)</f>
        <v>0.31073750173436565</v>
      </c>
      <c r="K6572">
        <f>1/(COUNT(SimData5000!$C$9:$C$5008)-1)+$K$6571</f>
        <v>0.31266253250651105</v>
      </c>
    </row>
    <row r="6573" spans="8:11">
      <c r="H6573">
        <f>SMALL(SimData5000!$B$9:$B$5008,1565)</f>
        <v>0.31294132889573029</v>
      </c>
      <c r="I6573">
        <f>1/(COUNT(SimData5000!$B$9:$B$5008)-1)+$I$6572</f>
        <v>0.31286257251451266</v>
      </c>
      <c r="J6573">
        <f>SMALL(SimData5000!$C$9:$C$5008,1565)</f>
        <v>0.3109298793342532</v>
      </c>
      <c r="K6573">
        <f>1/(COUNT(SimData5000!$C$9:$C$5008)-1)+$K$6572</f>
        <v>0.31286257251451266</v>
      </c>
    </row>
    <row r="6574" spans="8:11">
      <c r="H6574">
        <f>SMALL(SimData5000!$B$9:$B$5008,1566)</f>
        <v>0.31303437881130597</v>
      </c>
      <c r="I6574">
        <f>1/(COUNT(SimData5000!$B$9:$B$5008)-1)+$I$6573</f>
        <v>0.31306261252251427</v>
      </c>
      <c r="J6574">
        <f>SMALL(SimData5000!$C$9:$C$5008,1566)</f>
        <v>0.31093291551405855</v>
      </c>
      <c r="K6574">
        <f>1/(COUNT(SimData5000!$C$9:$C$5008)-1)+$K$6573</f>
        <v>0.31306261252251427</v>
      </c>
    </row>
    <row r="6575" spans="8:11">
      <c r="H6575">
        <f>SMALL(SimData5000!$B$9:$B$5008,1567)</f>
        <v>0.31328446833111445</v>
      </c>
      <c r="I6575">
        <f>1/(COUNT(SimData5000!$B$9:$B$5008)-1)+$I$6574</f>
        <v>0.31326265253051588</v>
      </c>
      <c r="J6575">
        <f>SMALL(SimData5000!$C$9:$C$5008,1567)</f>
        <v>0.31118820690974758</v>
      </c>
      <c r="K6575">
        <f>1/(COUNT(SimData5000!$C$9:$C$5008)-1)+$K$6574</f>
        <v>0.31326265253051588</v>
      </c>
    </row>
    <row r="6576" spans="8:11">
      <c r="H6576">
        <f>SMALL(SimData5000!$B$9:$B$5008,1568)</f>
        <v>0.31354264547809552</v>
      </c>
      <c r="I6576">
        <f>1/(COUNT(SimData5000!$B$9:$B$5008)-1)+$I$6575</f>
        <v>0.3134626925385175</v>
      </c>
      <c r="J6576">
        <f>SMALL(SimData5000!$C$9:$C$5008,1568)</f>
        <v>0.31134004672276205</v>
      </c>
      <c r="K6576">
        <f>1/(COUNT(SimData5000!$C$9:$C$5008)-1)+$K$6575</f>
        <v>0.3134626925385175</v>
      </c>
    </row>
    <row r="6577" spans="8:11">
      <c r="H6577">
        <f>SMALL(SimData5000!$B$9:$B$5008,1569)</f>
        <v>0.31370103722519732</v>
      </c>
      <c r="I6577">
        <f>1/(COUNT(SimData5000!$B$9:$B$5008)-1)+$I$6576</f>
        <v>0.31366273254651911</v>
      </c>
      <c r="J6577">
        <f>SMALL(SimData5000!$C$9:$C$5008,1569)</f>
        <v>0.3115199386702443</v>
      </c>
      <c r="K6577">
        <f>1/(COUNT(SimData5000!$C$9:$C$5008)-1)+$K$6576</f>
        <v>0.31366273254651911</v>
      </c>
    </row>
    <row r="6578" spans="8:11">
      <c r="H6578">
        <f>SMALL(SimData5000!$B$9:$B$5008,1570)</f>
        <v>0.31392932848789012</v>
      </c>
      <c r="I6578">
        <f>1/(COUNT(SimData5000!$B$9:$B$5008)-1)+$I$6577</f>
        <v>0.31386277255452072</v>
      </c>
      <c r="J6578">
        <f>SMALL(SimData5000!$C$9:$C$5008,1570)</f>
        <v>0.3117126887991617</v>
      </c>
      <c r="K6578">
        <f>1/(COUNT(SimData5000!$C$9:$C$5008)-1)+$K$6577</f>
        <v>0.31386277255452072</v>
      </c>
    </row>
    <row r="6579" spans="8:11">
      <c r="H6579">
        <f>SMALL(SimData5000!$B$9:$B$5008,1571)</f>
        <v>0.31405390068382349</v>
      </c>
      <c r="I6579">
        <f>1/(COUNT(SimData5000!$B$9:$B$5008)-1)+$I$6578</f>
        <v>0.31406281256252233</v>
      </c>
      <c r="J6579">
        <f>SMALL(SimData5000!$C$9:$C$5008,1571)</f>
        <v>0.31172593363680789</v>
      </c>
      <c r="K6579">
        <f>1/(COUNT(SimData5000!$C$9:$C$5008)-1)+$K$6578</f>
        <v>0.31406281256252233</v>
      </c>
    </row>
    <row r="6580" spans="8:11">
      <c r="H6580">
        <f>SMALL(SimData5000!$B$9:$B$5008,1572)</f>
        <v>0.31421806820137849</v>
      </c>
      <c r="I6580">
        <f>1/(COUNT(SimData5000!$B$9:$B$5008)-1)+$I$6579</f>
        <v>0.31426285257052394</v>
      </c>
      <c r="J6580">
        <f>SMALL(SimData5000!$C$9:$C$5008,1572)</f>
        <v>0.31174306631146464</v>
      </c>
      <c r="K6580">
        <f>1/(COUNT(SimData5000!$C$9:$C$5008)-1)+$K$6579</f>
        <v>0.31426285257052394</v>
      </c>
    </row>
    <row r="6581" spans="8:11">
      <c r="H6581">
        <f>SMALL(SimData5000!$B$9:$B$5008,1573)</f>
        <v>0.31444943476730247</v>
      </c>
      <c r="I6581">
        <f>1/(COUNT(SimData5000!$B$9:$B$5008)-1)+$I$6580</f>
        <v>0.31446289257852555</v>
      </c>
      <c r="J6581">
        <f>SMALL(SimData5000!$C$9:$C$5008,1573)</f>
        <v>0.31178074392755661</v>
      </c>
      <c r="K6581">
        <f>1/(COUNT(SimData5000!$C$9:$C$5008)-1)+$K$6580</f>
        <v>0.31446289257852555</v>
      </c>
    </row>
    <row r="6582" spans="8:11">
      <c r="H6582">
        <f>SMALL(SimData5000!$B$9:$B$5008,1574)</f>
        <v>0.31478901742584747</v>
      </c>
      <c r="I6582">
        <f>1/(COUNT(SimData5000!$B$9:$B$5008)-1)+$I$6581</f>
        <v>0.31466293258652717</v>
      </c>
      <c r="J6582">
        <f>SMALL(SimData5000!$C$9:$C$5008,1574)</f>
        <v>0.31193605441148975</v>
      </c>
      <c r="K6582">
        <f>1/(COUNT(SimData5000!$C$9:$C$5008)-1)+$K$6581</f>
        <v>0.31466293258652717</v>
      </c>
    </row>
    <row r="6583" spans="8:11">
      <c r="H6583">
        <f>SMALL(SimData5000!$B$9:$B$5008,1575)</f>
        <v>0.31492362006477165</v>
      </c>
      <c r="I6583">
        <f>1/(COUNT(SimData5000!$B$9:$B$5008)-1)+$I$6582</f>
        <v>0.31486297259452878</v>
      </c>
      <c r="J6583">
        <f>SMALL(SimData5000!$C$9:$C$5008,1575)</f>
        <v>0.31200430927128764</v>
      </c>
      <c r="K6583">
        <f>1/(COUNT(SimData5000!$C$9:$C$5008)-1)+$K$6582</f>
        <v>0.31486297259452878</v>
      </c>
    </row>
    <row r="6584" spans="8:11">
      <c r="H6584">
        <f>SMALL(SimData5000!$B$9:$B$5008,1576)</f>
        <v>0.31508808238741198</v>
      </c>
      <c r="I6584">
        <f>1/(COUNT(SimData5000!$B$9:$B$5008)-1)+$I$6583</f>
        <v>0.31506301260253039</v>
      </c>
      <c r="J6584">
        <f>SMALL(SimData5000!$C$9:$C$5008,1576)</f>
        <v>0.31258274191259261</v>
      </c>
      <c r="K6584">
        <f>1/(COUNT(SimData5000!$C$9:$C$5008)-1)+$K$6583</f>
        <v>0.31506301260253039</v>
      </c>
    </row>
    <row r="6585" spans="8:11">
      <c r="H6585">
        <f>SMALL(SimData5000!$B$9:$B$5008,1577)</f>
        <v>0.31535913707319629</v>
      </c>
      <c r="I6585">
        <f>1/(COUNT(SimData5000!$B$9:$B$5008)-1)+$I$6584</f>
        <v>0.315263052610532</v>
      </c>
      <c r="J6585">
        <f>SMALL(SimData5000!$C$9:$C$5008,1577)</f>
        <v>0.3127706567693167</v>
      </c>
      <c r="K6585">
        <f>1/(COUNT(SimData5000!$C$9:$C$5008)-1)+$K$6584</f>
        <v>0.315263052610532</v>
      </c>
    </row>
    <row r="6586" spans="8:11">
      <c r="H6586">
        <f>SMALL(SimData5000!$B$9:$B$5008,1578)</f>
        <v>0.31554132314118122</v>
      </c>
      <c r="I6586">
        <f>1/(COUNT(SimData5000!$B$9:$B$5008)-1)+$I$6585</f>
        <v>0.31546309261853361</v>
      </c>
      <c r="J6586">
        <f>SMALL(SimData5000!$C$9:$C$5008,1578)</f>
        <v>0.31277755296832765</v>
      </c>
      <c r="K6586">
        <f>1/(COUNT(SimData5000!$C$9:$C$5008)-1)+$K$6585</f>
        <v>0.31546309261853361</v>
      </c>
    </row>
    <row r="6587" spans="8:11">
      <c r="H6587">
        <f>SMALL(SimData5000!$B$9:$B$5008,1579)</f>
        <v>0.3157482581295884</v>
      </c>
      <c r="I6587">
        <f>1/(COUNT(SimData5000!$B$9:$B$5008)-1)+$I$6586</f>
        <v>0.31566313262653523</v>
      </c>
      <c r="J6587">
        <f>SMALL(SimData5000!$C$9:$C$5008,1579)</f>
        <v>0.3128444804551691</v>
      </c>
      <c r="K6587">
        <f>1/(COUNT(SimData5000!$C$9:$C$5008)-1)+$K$6586</f>
        <v>0.31566313262653523</v>
      </c>
    </row>
    <row r="6588" spans="8:11">
      <c r="H6588">
        <f>SMALL(SimData5000!$B$9:$B$5008,1580)</f>
        <v>0.31590749664867934</v>
      </c>
      <c r="I6588">
        <f>1/(COUNT(SimData5000!$B$9:$B$5008)-1)+$I$6587</f>
        <v>0.31586317263453684</v>
      </c>
      <c r="J6588">
        <f>SMALL(SimData5000!$C$9:$C$5008,1580)</f>
        <v>0.31329309671218653</v>
      </c>
      <c r="K6588">
        <f>1/(COUNT(SimData5000!$C$9:$C$5008)-1)+$K$6587</f>
        <v>0.31586317263453684</v>
      </c>
    </row>
    <row r="6589" spans="8:11">
      <c r="H6589">
        <f>SMALL(SimData5000!$B$9:$B$5008,1581)</f>
        <v>0.31607185871332694</v>
      </c>
      <c r="I6589">
        <f>1/(COUNT(SimData5000!$B$9:$B$5008)-1)+$I$6588</f>
        <v>0.31606321264253845</v>
      </c>
      <c r="J6589">
        <f>SMALL(SimData5000!$C$9:$C$5008,1581)</f>
        <v>0.31345178889932868</v>
      </c>
      <c r="K6589">
        <f>1/(COUNT(SimData5000!$C$9:$C$5008)-1)+$K$6588</f>
        <v>0.31606321264253845</v>
      </c>
    </row>
    <row r="6590" spans="8:11">
      <c r="H6590">
        <f>SMALL(SimData5000!$B$9:$B$5008,1582)</f>
        <v>0.31620109576652783</v>
      </c>
      <c r="I6590">
        <f>1/(COUNT(SimData5000!$B$9:$B$5008)-1)+$I$6589</f>
        <v>0.31626325265054006</v>
      </c>
      <c r="J6590">
        <f>SMALL(SimData5000!$C$9:$C$5008,1582)</f>
        <v>0.31360721838973404</v>
      </c>
      <c r="K6590">
        <f>1/(COUNT(SimData5000!$C$9:$C$5008)-1)+$K$6589</f>
        <v>0.31626325265054006</v>
      </c>
    </row>
    <row r="6591" spans="8:11">
      <c r="H6591">
        <f>SMALL(SimData5000!$B$9:$B$5008,1583)</f>
        <v>0.3165453384241893</v>
      </c>
      <c r="I6591">
        <f>1/(COUNT(SimData5000!$B$9:$B$5008)-1)+$I$6590</f>
        <v>0.31646329265854167</v>
      </c>
      <c r="J6591">
        <f>SMALL(SimData5000!$C$9:$C$5008,1583)</f>
        <v>0.31360995139402803</v>
      </c>
      <c r="K6591">
        <f>1/(COUNT(SimData5000!$C$9:$C$5008)-1)+$K$6590</f>
        <v>0.31646329265854167</v>
      </c>
    </row>
    <row r="6592" spans="8:11">
      <c r="H6592">
        <f>SMALL(SimData5000!$B$9:$B$5008,1584)</f>
        <v>0.3166566284051297</v>
      </c>
      <c r="I6592">
        <f>1/(COUNT(SimData5000!$B$9:$B$5008)-1)+$I$6591</f>
        <v>0.31666333266654328</v>
      </c>
      <c r="J6592">
        <f>SMALL(SimData5000!$C$9:$C$5008,1584)</f>
        <v>0.31364401403152442</v>
      </c>
      <c r="K6592">
        <f>1/(COUNT(SimData5000!$C$9:$C$5008)-1)+$K$6591</f>
        <v>0.31666333266654328</v>
      </c>
    </row>
    <row r="6593" spans="8:11">
      <c r="H6593">
        <f>SMALL(SimData5000!$B$9:$B$5008,1585)</f>
        <v>0.31697335890726497</v>
      </c>
      <c r="I6593">
        <f>1/(COUNT(SimData5000!$B$9:$B$5008)-1)+$I$6592</f>
        <v>0.3168633726745449</v>
      </c>
      <c r="J6593">
        <f>SMALL(SimData5000!$C$9:$C$5008,1585)</f>
        <v>0.31409862947111833</v>
      </c>
      <c r="K6593">
        <f>1/(COUNT(SimData5000!$C$9:$C$5008)-1)+$K$6592</f>
        <v>0.3168633726745449</v>
      </c>
    </row>
    <row r="6594" spans="8:11">
      <c r="H6594">
        <f>SMALL(SimData5000!$B$9:$B$5008,1586)</f>
        <v>0.31719264813246961</v>
      </c>
      <c r="I6594">
        <f>1/(COUNT(SimData5000!$B$9:$B$5008)-1)+$I$6593</f>
        <v>0.31706341268254651</v>
      </c>
      <c r="J6594">
        <f>SMALL(SimData5000!$C$9:$C$5008,1586)</f>
        <v>0.3143067571309075</v>
      </c>
      <c r="K6594">
        <f>1/(COUNT(SimData5000!$C$9:$C$5008)-1)+$K$6593</f>
        <v>0.31706341268254651</v>
      </c>
    </row>
    <row r="6595" spans="8:11">
      <c r="H6595">
        <f>SMALL(SimData5000!$B$9:$B$5008,1587)</f>
        <v>0.31738606360363453</v>
      </c>
      <c r="I6595">
        <f>1/(COUNT(SimData5000!$B$9:$B$5008)-1)+$I$6594</f>
        <v>0.31726345269054812</v>
      </c>
      <c r="J6595">
        <f>SMALL(SimData5000!$C$9:$C$5008,1587)</f>
        <v>0.31434515520416539</v>
      </c>
      <c r="K6595">
        <f>1/(COUNT(SimData5000!$C$9:$C$5008)-1)+$K$6594</f>
        <v>0.31726345269054812</v>
      </c>
    </row>
    <row r="6596" spans="8:11">
      <c r="H6596">
        <f>SMALL(SimData5000!$B$9:$B$5008,1588)</f>
        <v>0.3174417682017297</v>
      </c>
      <c r="I6596">
        <f>1/(COUNT(SimData5000!$B$9:$B$5008)-1)+$I$6595</f>
        <v>0.31746349269854973</v>
      </c>
      <c r="J6596">
        <f>SMALL(SimData5000!$C$9:$C$5008,1588)</f>
        <v>0.31503004976548254</v>
      </c>
      <c r="K6596">
        <f>1/(COUNT(SimData5000!$C$9:$C$5008)-1)+$K$6595</f>
        <v>0.31746349269854973</v>
      </c>
    </row>
    <row r="6597" spans="8:11">
      <c r="H6597">
        <f>SMALL(SimData5000!$B$9:$B$5008,1589)</f>
        <v>0.31773715556914384</v>
      </c>
      <c r="I6597">
        <f>1/(COUNT(SimData5000!$B$9:$B$5008)-1)+$I$6596</f>
        <v>0.31766353270655134</v>
      </c>
      <c r="J6597">
        <f>SMALL(SimData5000!$C$9:$C$5008,1589)</f>
        <v>0.31606510381425323</v>
      </c>
      <c r="K6597">
        <f>1/(COUNT(SimData5000!$C$9:$C$5008)-1)+$K$6596</f>
        <v>0.31766353270655134</v>
      </c>
    </row>
    <row r="6598" spans="8:11">
      <c r="H6598">
        <f>SMALL(SimData5000!$B$9:$B$5008,1590)</f>
        <v>0.31793550159035611</v>
      </c>
      <c r="I6598">
        <f>1/(COUNT(SimData5000!$B$9:$B$5008)-1)+$I$6597</f>
        <v>0.31786357271455296</v>
      </c>
      <c r="J6598">
        <f>SMALL(SimData5000!$C$9:$C$5008,1590)</f>
        <v>0.3163413302772824</v>
      </c>
      <c r="K6598">
        <f>1/(COUNT(SimData5000!$C$9:$C$5008)-1)+$K$6597</f>
        <v>0.31786357271455296</v>
      </c>
    </row>
    <row r="6599" spans="8:11">
      <c r="H6599">
        <f>SMALL(SimData5000!$B$9:$B$5008,1591)</f>
        <v>0.3180487755716892</v>
      </c>
      <c r="I6599">
        <f>1/(COUNT(SimData5000!$B$9:$B$5008)-1)+$I$6598</f>
        <v>0.31806361272255457</v>
      </c>
      <c r="J6599">
        <f>SMALL(SimData5000!$C$9:$C$5008,1591)</f>
        <v>0.31656254877725587</v>
      </c>
      <c r="K6599">
        <f>1/(COUNT(SimData5000!$C$9:$C$5008)-1)+$K$6598</f>
        <v>0.31806361272255457</v>
      </c>
    </row>
    <row r="6600" spans="8:11">
      <c r="H6600">
        <f>SMALL(SimData5000!$B$9:$B$5008,1592)</f>
        <v>0.31827153107926054</v>
      </c>
      <c r="I6600">
        <f>1/(COUNT(SimData5000!$B$9:$B$5008)-1)+$I$6599</f>
        <v>0.31826365273055618</v>
      </c>
      <c r="J6600">
        <f>SMALL(SimData5000!$C$9:$C$5008,1592)</f>
        <v>0.31656845082125074</v>
      </c>
      <c r="K6600">
        <f>1/(COUNT(SimData5000!$C$9:$C$5008)-1)+$K$6599</f>
        <v>0.31826365273055618</v>
      </c>
    </row>
    <row r="6601" spans="8:11">
      <c r="H6601">
        <f>SMALL(SimData5000!$B$9:$B$5008,1593)</f>
        <v>0.31847438742473594</v>
      </c>
      <c r="I6601">
        <f>1/(COUNT(SimData5000!$B$9:$B$5008)-1)+$I$6600</f>
        <v>0.31846369273855779</v>
      </c>
      <c r="J6601">
        <f>SMALL(SimData5000!$C$9:$C$5008,1593)</f>
        <v>0.31670206507806142</v>
      </c>
      <c r="K6601">
        <f>1/(COUNT(SimData5000!$C$9:$C$5008)-1)+$K$6600</f>
        <v>0.31846369273855779</v>
      </c>
    </row>
    <row r="6602" spans="8:11">
      <c r="H6602">
        <f>SMALL(SimData5000!$B$9:$B$5008,1594)</f>
        <v>0.31860010796030985</v>
      </c>
      <c r="I6602">
        <f>1/(COUNT(SimData5000!$B$9:$B$5008)-1)+$I$6601</f>
        <v>0.3186637327465594</v>
      </c>
      <c r="J6602">
        <f>SMALL(SimData5000!$C$9:$C$5008,1594)</f>
        <v>0.31711606523822411</v>
      </c>
      <c r="K6602">
        <f>1/(COUNT(SimData5000!$C$9:$C$5008)-1)+$K$6601</f>
        <v>0.3186637327465594</v>
      </c>
    </row>
    <row r="6603" spans="8:11">
      <c r="H6603">
        <f>SMALL(SimData5000!$B$9:$B$5008,1595)</f>
        <v>0.31885118410658353</v>
      </c>
      <c r="I6603">
        <f>1/(COUNT(SimData5000!$B$9:$B$5008)-1)+$I$6602</f>
        <v>0.31886377275456101</v>
      </c>
      <c r="J6603">
        <f>SMALL(SimData5000!$C$9:$C$5008,1595)</f>
        <v>0.31722589250239253</v>
      </c>
      <c r="K6603">
        <f>1/(COUNT(SimData5000!$C$9:$C$5008)-1)+$K$6602</f>
        <v>0.31886377275456101</v>
      </c>
    </row>
    <row r="6604" spans="8:11">
      <c r="H6604">
        <f>SMALL(SimData5000!$B$9:$B$5008,1596)</f>
        <v>0.31910110476112485</v>
      </c>
      <c r="I6604">
        <f>1/(COUNT(SimData5000!$B$9:$B$5008)-1)+$I$6603</f>
        <v>0.31906381276256263</v>
      </c>
      <c r="J6604">
        <f>SMALL(SimData5000!$C$9:$C$5008,1596)</f>
        <v>0.31750269584063062</v>
      </c>
      <c r="K6604">
        <f>1/(COUNT(SimData5000!$C$9:$C$5008)-1)+$K$6603</f>
        <v>0.31906381276256263</v>
      </c>
    </row>
    <row r="6605" spans="8:11">
      <c r="H6605">
        <f>SMALL(SimData5000!$B$9:$B$5008,1597)</f>
        <v>0.31923147438481253</v>
      </c>
      <c r="I6605">
        <f>1/(COUNT(SimData5000!$B$9:$B$5008)-1)+$I$6604</f>
        <v>0.31926385277056424</v>
      </c>
      <c r="J6605">
        <f>SMALL(SimData5000!$C$9:$C$5008,1597)</f>
        <v>0.31798003452786361</v>
      </c>
      <c r="K6605">
        <f>1/(COUNT(SimData5000!$C$9:$C$5008)-1)+$K$6604</f>
        <v>0.31926385277056424</v>
      </c>
    </row>
    <row r="6606" spans="8:11">
      <c r="H6606">
        <f>SMALL(SimData5000!$B$9:$B$5008,1598)</f>
        <v>0.31946313844478297</v>
      </c>
      <c r="I6606">
        <f>1/(COUNT(SimData5000!$B$9:$B$5008)-1)+$I$6605</f>
        <v>0.31946389277856585</v>
      </c>
      <c r="J6606">
        <f>SMALL(SimData5000!$C$9:$C$5008,1598)</f>
        <v>0.31809305333263183</v>
      </c>
      <c r="K6606">
        <f>1/(COUNT(SimData5000!$C$9:$C$5008)-1)+$K$6605</f>
        <v>0.31946389277856585</v>
      </c>
    </row>
    <row r="6607" spans="8:11">
      <c r="H6607">
        <f>SMALL(SimData5000!$B$9:$B$5008,1599)</f>
        <v>0.31977045656292946</v>
      </c>
      <c r="I6607">
        <f>1/(COUNT(SimData5000!$B$9:$B$5008)-1)+$I$6606</f>
        <v>0.31966393278656746</v>
      </c>
      <c r="J6607">
        <f>SMALL(SimData5000!$C$9:$C$5008,1599)</f>
        <v>0.31827230257567862</v>
      </c>
      <c r="K6607">
        <f>1/(COUNT(SimData5000!$C$9:$C$5008)-1)+$K$6606</f>
        <v>0.31966393278656746</v>
      </c>
    </row>
    <row r="6608" spans="8:11">
      <c r="H6608">
        <f>SMALL(SimData5000!$B$9:$B$5008,1600)</f>
        <v>0.31997116657918578</v>
      </c>
      <c r="I6608">
        <f>1/(COUNT(SimData5000!$B$9:$B$5008)-1)+$I$6607</f>
        <v>0.31986397279456907</v>
      </c>
      <c r="J6608">
        <f>SMALL(SimData5000!$C$9:$C$5008,1600)</f>
        <v>0.31842671231424902</v>
      </c>
      <c r="K6608">
        <f>1/(COUNT(SimData5000!$C$9:$C$5008)-1)+$K$6607</f>
        <v>0.31986397279456907</v>
      </c>
    </row>
    <row r="6609" spans="8:11">
      <c r="H6609">
        <f>SMALL(SimData5000!$B$9:$B$5008,1601)</f>
        <v>0.32004724682291208</v>
      </c>
      <c r="I6609">
        <f>1/(COUNT(SimData5000!$B$9:$B$5008)-1)+$I$6608</f>
        <v>0.32006401280257069</v>
      </c>
      <c r="J6609">
        <f>SMALL(SimData5000!$C$9:$C$5008,1601)</f>
        <v>0.31859138085656014</v>
      </c>
      <c r="K6609">
        <f>1/(COUNT(SimData5000!$C$9:$C$5008)-1)+$K$6608</f>
        <v>0.32006401280257069</v>
      </c>
    </row>
    <row r="6610" spans="8:11">
      <c r="H6610">
        <f>SMALL(SimData5000!$B$9:$B$5008,1602)</f>
        <v>0.32032865627774243</v>
      </c>
      <c r="I6610">
        <f>1/(COUNT(SimData5000!$B$9:$B$5008)-1)+$I$6609</f>
        <v>0.3202640528105723</v>
      </c>
      <c r="J6610">
        <f>SMALL(SimData5000!$C$9:$C$5008,1602)</f>
        <v>0.31876698220003163</v>
      </c>
      <c r="K6610">
        <f>1/(COUNT(SimData5000!$C$9:$C$5008)-1)+$K$6609</f>
        <v>0.3202640528105723</v>
      </c>
    </row>
    <row r="6611" spans="8:11">
      <c r="H6611">
        <f>SMALL(SimData5000!$B$9:$B$5008,1603)</f>
        <v>0.32050224704768099</v>
      </c>
      <c r="I6611">
        <f>1/(COUNT(SimData5000!$B$9:$B$5008)-1)+$I$6610</f>
        <v>0.32046409281857391</v>
      </c>
      <c r="J6611">
        <f>SMALL(SimData5000!$C$9:$C$5008,1603)</f>
        <v>0.31876698610176391</v>
      </c>
      <c r="K6611">
        <f>1/(COUNT(SimData5000!$C$9:$C$5008)-1)+$K$6610</f>
        <v>0.32046409281857391</v>
      </c>
    </row>
    <row r="6612" spans="8:11">
      <c r="H6612">
        <f>SMALL(SimData5000!$B$9:$B$5008,1604)</f>
        <v>0.3206211169587963</v>
      </c>
      <c r="I6612">
        <f>1/(COUNT(SimData5000!$B$9:$B$5008)-1)+$I$6611</f>
        <v>0.32066413282657552</v>
      </c>
      <c r="J6612">
        <f>SMALL(SimData5000!$C$9:$C$5008,1604)</f>
        <v>0.31891426546008006</v>
      </c>
      <c r="K6612">
        <f>1/(COUNT(SimData5000!$C$9:$C$5008)-1)+$K$6611</f>
        <v>0.32066413282657552</v>
      </c>
    </row>
    <row r="6613" spans="8:11">
      <c r="H6613">
        <f>SMALL(SimData5000!$B$9:$B$5008,1605)</f>
        <v>0.32099174528419783</v>
      </c>
      <c r="I6613">
        <f>1/(COUNT(SimData5000!$B$9:$B$5008)-1)+$I$6612</f>
        <v>0.32086417283457713</v>
      </c>
      <c r="J6613">
        <f>SMALL(SimData5000!$C$9:$C$5008,1605)</f>
        <v>0.31906534892368654</v>
      </c>
      <c r="K6613">
        <f>1/(COUNT(SimData5000!$C$9:$C$5008)-1)+$K$6612</f>
        <v>0.32086417283457713</v>
      </c>
    </row>
    <row r="6614" spans="8:11">
      <c r="H6614">
        <f>SMALL(SimData5000!$B$9:$B$5008,1606)</f>
        <v>0.32107592278837133</v>
      </c>
      <c r="I6614">
        <f>1/(COUNT(SimData5000!$B$9:$B$5008)-1)+$I$6613</f>
        <v>0.32106421284257874</v>
      </c>
      <c r="J6614">
        <f>SMALL(SimData5000!$C$9:$C$5008,1606)</f>
        <v>0.31966339994687587</v>
      </c>
      <c r="K6614">
        <f>1/(COUNT(SimData5000!$C$9:$C$5008)-1)+$K$6613</f>
        <v>0.32106421284257874</v>
      </c>
    </row>
    <row r="6615" spans="8:11">
      <c r="H6615">
        <f>SMALL(SimData5000!$B$9:$B$5008,1607)</f>
        <v>0.32132213216901806</v>
      </c>
      <c r="I6615">
        <f>1/(COUNT(SimData5000!$B$9:$B$5008)-1)+$I$6614</f>
        <v>0.32126425285058036</v>
      </c>
      <c r="J6615">
        <f>SMALL(SimData5000!$C$9:$C$5008,1607)</f>
        <v>0.31970036135498958</v>
      </c>
      <c r="K6615">
        <f>1/(COUNT(SimData5000!$C$9:$C$5008)-1)+$K$6614</f>
        <v>0.32126425285058036</v>
      </c>
    </row>
    <row r="6616" spans="8:11">
      <c r="H6616">
        <f>SMALL(SimData5000!$B$9:$B$5008,1608)</f>
        <v>0.32157721497066716</v>
      </c>
      <c r="I6616">
        <f>1/(COUNT(SimData5000!$B$9:$B$5008)-1)+$I$6615</f>
        <v>0.32146429285858197</v>
      </c>
      <c r="J6616">
        <f>SMALL(SimData5000!$C$9:$C$5008,1608)</f>
        <v>0.31982867584522978</v>
      </c>
      <c r="K6616">
        <f>1/(COUNT(SimData5000!$C$9:$C$5008)-1)+$K$6615</f>
        <v>0.32146429285858197</v>
      </c>
    </row>
    <row r="6617" spans="8:11">
      <c r="H6617">
        <f>SMALL(SimData5000!$B$9:$B$5008,1609)</f>
        <v>0.32177092348764902</v>
      </c>
      <c r="I6617">
        <f>1/(COUNT(SimData5000!$B$9:$B$5008)-1)+$I$6616</f>
        <v>0.32166433286658358</v>
      </c>
      <c r="J6617">
        <f>SMALL(SimData5000!$C$9:$C$5008,1609)</f>
        <v>0.31990849752583017</v>
      </c>
      <c r="K6617">
        <f>1/(COUNT(SimData5000!$C$9:$C$5008)-1)+$K$6616</f>
        <v>0.32166433286658358</v>
      </c>
    </row>
    <row r="6618" spans="8:11">
      <c r="H6618">
        <f>SMALL(SimData5000!$B$9:$B$5008,1610)</f>
        <v>0.32193857240382079</v>
      </c>
      <c r="I6618">
        <f>1/(COUNT(SimData5000!$B$9:$B$5008)-1)+$I$6617</f>
        <v>0.32186437287458519</v>
      </c>
      <c r="J6618">
        <f>SMALL(SimData5000!$C$9:$C$5008,1610)</f>
        <v>0.32002664073206688</v>
      </c>
      <c r="K6618">
        <f>1/(COUNT(SimData5000!$C$9:$C$5008)-1)+$K$6617</f>
        <v>0.32186437287458519</v>
      </c>
    </row>
    <row r="6619" spans="8:11">
      <c r="H6619">
        <f>SMALL(SimData5000!$B$9:$B$5008,1611)</f>
        <v>0.32213728973747635</v>
      </c>
      <c r="I6619">
        <f>1/(COUNT(SimData5000!$B$9:$B$5008)-1)+$I$6618</f>
        <v>0.3220644128825868</v>
      </c>
      <c r="J6619">
        <f>SMALL(SimData5000!$C$9:$C$5008,1611)</f>
        <v>0.32012982732339879</v>
      </c>
      <c r="K6619">
        <f>1/(COUNT(SimData5000!$C$9:$C$5008)-1)+$K$6618</f>
        <v>0.3220644128825868</v>
      </c>
    </row>
    <row r="6620" spans="8:11">
      <c r="H6620">
        <f>SMALL(SimData5000!$B$9:$B$5008,1612)</f>
        <v>0.32231024244616513</v>
      </c>
      <c r="I6620">
        <f>1/(COUNT(SimData5000!$B$9:$B$5008)-1)+$I$6619</f>
        <v>0.32226445289058842</v>
      </c>
      <c r="J6620">
        <f>SMALL(SimData5000!$C$9:$C$5008,1612)</f>
        <v>0.32025281822552643</v>
      </c>
      <c r="K6620">
        <f>1/(COUNT(SimData5000!$C$9:$C$5008)-1)+$K$6619</f>
        <v>0.32226445289058842</v>
      </c>
    </row>
    <row r="6621" spans="8:11">
      <c r="H6621">
        <f>SMALL(SimData5000!$B$9:$B$5008,1613)</f>
        <v>0.32254152182618662</v>
      </c>
      <c r="I6621">
        <f>1/(COUNT(SimData5000!$B$9:$B$5008)-1)+$I$6620</f>
        <v>0.32246449289859003</v>
      </c>
      <c r="J6621">
        <f>SMALL(SimData5000!$C$9:$C$5008,1613)</f>
        <v>0.32032680828797311</v>
      </c>
      <c r="K6621">
        <f>1/(COUNT(SimData5000!$C$9:$C$5008)-1)+$K$6620</f>
        <v>0.32246449289859003</v>
      </c>
    </row>
    <row r="6622" spans="8:11">
      <c r="H6622">
        <f>SMALL(SimData5000!$B$9:$B$5008,1614)</f>
        <v>0.32261809433424338</v>
      </c>
      <c r="I6622">
        <f>1/(COUNT(SimData5000!$B$9:$B$5008)-1)+$I$6621</f>
        <v>0.32266453290659164</v>
      </c>
      <c r="J6622">
        <f>SMALL(SimData5000!$C$9:$C$5008,1614)</f>
        <v>0.32056077623929013</v>
      </c>
      <c r="K6622">
        <f>1/(COUNT(SimData5000!$C$9:$C$5008)-1)+$K$6621</f>
        <v>0.32266453290659164</v>
      </c>
    </row>
    <row r="6623" spans="8:11">
      <c r="H6623">
        <f>SMALL(SimData5000!$B$9:$B$5008,1615)</f>
        <v>0.32280327838631423</v>
      </c>
      <c r="I6623">
        <f>1/(COUNT(SimData5000!$B$9:$B$5008)-1)+$I$6622</f>
        <v>0.32286457291459325</v>
      </c>
      <c r="J6623">
        <f>SMALL(SimData5000!$C$9:$C$5008,1615)</f>
        <v>0.32070179162838031</v>
      </c>
      <c r="K6623">
        <f>1/(COUNT(SimData5000!$C$9:$C$5008)-1)+$K$6622</f>
        <v>0.32286457291459325</v>
      </c>
    </row>
    <row r="6624" spans="8:11">
      <c r="H6624">
        <f>SMALL(SimData5000!$B$9:$B$5008,1616)</f>
        <v>0.32317839088974948</v>
      </c>
      <c r="I6624">
        <f>1/(COUNT(SimData5000!$B$9:$B$5008)-1)+$I$6623</f>
        <v>0.32306461292259486</v>
      </c>
      <c r="J6624">
        <f>SMALL(SimData5000!$C$9:$C$5008,1616)</f>
        <v>0.3209711004546989</v>
      </c>
      <c r="K6624">
        <f>1/(COUNT(SimData5000!$C$9:$C$5008)-1)+$K$6623</f>
        <v>0.32306461292259486</v>
      </c>
    </row>
    <row r="6625" spans="8:11">
      <c r="H6625">
        <f>SMALL(SimData5000!$B$9:$B$5008,1617)</f>
        <v>0.32330005464053246</v>
      </c>
      <c r="I6625">
        <f>1/(COUNT(SimData5000!$B$9:$B$5008)-1)+$I$6624</f>
        <v>0.32326465293059647</v>
      </c>
      <c r="J6625">
        <f>SMALL(SimData5000!$C$9:$C$5008,1617)</f>
        <v>0.32113755860427773</v>
      </c>
      <c r="K6625">
        <f>1/(COUNT(SimData5000!$C$9:$C$5008)-1)+$K$6624</f>
        <v>0.32326465293059647</v>
      </c>
    </row>
    <row r="6626" spans="8:11">
      <c r="H6626">
        <f>SMALL(SimData5000!$B$9:$B$5008,1618)</f>
        <v>0.32352706917080265</v>
      </c>
      <c r="I6626">
        <f>1/(COUNT(SimData5000!$B$9:$B$5008)-1)+$I$6625</f>
        <v>0.32346469293859809</v>
      </c>
      <c r="J6626">
        <f>SMALL(SimData5000!$C$9:$C$5008,1618)</f>
        <v>0.32122934315157181</v>
      </c>
      <c r="K6626">
        <f>1/(COUNT(SimData5000!$C$9:$C$5008)-1)+$K$6625</f>
        <v>0.32346469293859809</v>
      </c>
    </row>
    <row r="6627" spans="8:11">
      <c r="H6627">
        <f>SMALL(SimData5000!$B$9:$B$5008,1619)</f>
        <v>0.32376024952390237</v>
      </c>
      <c r="I6627">
        <f>1/(COUNT(SimData5000!$B$9:$B$5008)-1)+$I$6626</f>
        <v>0.3236647329465997</v>
      </c>
      <c r="J6627">
        <f>SMALL(SimData5000!$C$9:$C$5008,1619)</f>
        <v>0.32124197030407231</v>
      </c>
      <c r="K6627">
        <f>1/(COUNT(SimData5000!$C$9:$C$5008)-1)+$K$6626</f>
        <v>0.3236647329465997</v>
      </c>
    </row>
    <row r="6628" spans="8:11">
      <c r="H6628">
        <f>SMALL(SimData5000!$B$9:$B$5008,1620)</f>
        <v>0.32386519457610913</v>
      </c>
      <c r="I6628">
        <f>1/(COUNT(SimData5000!$B$9:$B$5008)-1)+$I$6627</f>
        <v>0.32386477295460131</v>
      </c>
      <c r="J6628">
        <f>SMALL(SimData5000!$C$9:$C$5008,1620)</f>
        <v>0.32130219677401328</v>
      </c>
      <c r="K6628">
        <f>1/(COUNT(SimData5000!$C$9:$C$5008)-1)+$K$6627</f>
        <v>0.32386477295460131</v>
      </c>
    </row>
    <row r="6629" spans="8:11">
      <c r="H6629">
        <f>SMALL(SimData5000!$B$9:$B$5008,1621)</f>
        <v>0.32414913146331653</v>
      </c>
      <c r="I6629">
        <f>1/(COUNT(SimData5000!$B$9:$B$5008)-1)+$I$6628</f>
        <v>0.32406481296260292</v>
      </c>
      <c r="J6629">
        <f>SMALL(SimData5000!$C$9:$C$5008,1621)</f>
        <v>0.32172185269791953</v>
      </c>
      <c r="K6629">
        <f>1/(COUNT(SimData5000!$C$9:$C$5008)-1)+$K$6628</f>
        <v>0.32406481296260292</v>
      </c>
    </row>
    <row r="6630" spans="8:11">
      <c r="H6630">
        <f>SMALL(SimData5000!$B$9:$B$5008,1622)</f>
        <v>0.32431153197048967</v>
      </c>
      <c r="I6630">
        <f>1/(COUNT(SimData5000!$B$9:$B$5008)-1)+$I$6629</f>
        <v>0.32426485297060453</v>
      </c>
      <c r="J6630">
        <f>SMALL(SimData5000!$C$9:$C$5008,1622)</f>
        <v>0.32211113999346708</v>
      </c>
      <c r="K6630">
        <f>1/(COUNT(SimData5000!$C$9:$C$5008)-1)+$K$6629</f>
        <v>0.32426485297060453</v>
      </c>
    </row>
    <row r="6631" spans="8:11">
      <c r="H6631">
        <f>SMALL(SimData5000!$B$9:$B$5008,1623)</f>
        <v>0.32455282295810822</v>
      </c>
      <c r="I6631">
        <f>1/(COUNT(SimData5000!$B$9:$B$5008)-1)+$I$6630</f>
        <v>0.32446489297860615</v>
      </c>
      <c r="J6631">
        <f>SMALL(SimData5000!$C$9:$C$5008,1623)</f>
        <v>0.32230236961004266</v>
      </c>
      <c r="K6631">
        <f>1/(COUNT(SimData5000!$C$9:$C$5008)-1)+$K$6630</f>
        <v>0.32446489297860615</v>
      </c>
    </row>
    <row r="6632" spans="8:11">
      <c r="H6632">
        <f>SMALL(SimData5000!$B$9:$B$5008,1624)</f>
        <v>0.32467434605068396</v>
      </c>
      <c r="I6632">
        <f>1/(COUNT(SimData5000!$B$9:$B$5008)-1)+$I$6631</f>
        <v>0.32466493298660776</v>
      </c>
      <c r="J6632">
        <f>SMALL(SimData5000!$C$9:$C$5008,1624)</f>
        <v>0.3223514204573803</v>
      </c>
      <c r="K6632">
        <f>1/(COUNT(SimData5000!$C$9:$C$5008)-1)+$K$6631</f>
        <v>0.32466493298660776</v>
      </c>
    </row>
    <row r="6633" spans="8:11">
      <c r="H6633">
        <f>SMALL(SimData5000!$B$9:$B$5008,1625)</f>
        <v>0.3249719881955469</v>
      </c>
      <c r="I6633">
        <f>1/(COUNT(SimData5000!$B$9:$B$5008)-1)+$I$6632</f>
        <v>0.32486497299460937</v>
      </c>
      <c r="J6633">
        <f>SMALL(SimData5000!$C$9:$C$5008,1625)</f>
        <v>0.32244580345923168</v>
      </c>
      <c r="K6633">
        <f>1/(COUNT(SimData5000!$C$9:$C$5008)-1)+$K$6632</f>
        <v>0.32486497299460937</v>
      </c>
    </row>
    <row r="6634" spans="8:11">
      <c r="H6634">
        <f>SMALL(SimData5000!$B$9:$B$5008,1626)</f>
        <v>0.32509462542182171</v>
      </c>
      <c r="I6634">
        <f>1/(COUNT(SimData5000!$B$9:$B$5008)-1)+$I$6633</f>
        <v>0.32506501300261098</v>
      </c>
      <c r="J6634">
        <f>SMALL(SimData5000!$C$9:$C$5008,1626)</f>
        <v>0.32269401615576498</v>
      </c>
      <c r="K6634">
        <f>1/(COUNT(SimData5000!$C$9:$C$5008)-1)+$K$6633</f>
        <v>0.32506501300261098</v>
      </c>
    </row>
    <row r="6635" spans="8:11">
      <c r="H6635">
        <f>SMALL(SimData5000!$B$9:$B$5008,1627)</f>
        <v>0.32529401008260761</v>
      </c>
      <c r="I6635">
        <f>1/(COUNT(SimData5000!$B$9:$B$5008)-1)+$I$6634</f>
        <v>0.32526505301061259</v>
      </c>
      <c r="J6635">
        <f>SMALL(SimData5000!$C$9:$C$5008,1627)</f>
        <v>0.32298507486575545</v>
      </c>
      <c r="K6635">
        <f>1/(COUNT(SimData5000!$C$9:$C$5008)-1)+$K$6634</f>
        <v>0.32526505301061259</v>
      </c>
    </row>
    <row r="6636" spans="8:11">
      <c r="H6636">
        <f>SMALL(SimData5000!$B$9:$B$5008,1628)</f>
        <v>0.32542975921552386</v>
      </c>
      <c r="I6636">
        <f>1/(COUNT(SimData5000!$B$9:$B$5008)-1)+$I$6635</f>
        <v>0.3254650930186142</v>
      </c>
      <c r="J6636">
        <f>SMALL(SimData5000!$C$9:$C$5008,1628)</f>
        <v>0.32299207727919566</v>
      </c>
      <c r="K6636">
        <f>1/(COUNT(SimData5000!$C$9:$C$5008)-1)+$K$6635</f>
        <v>0.3254650930186142</v>
      </c>
    </row>
    <row r="6637" spans="8:11">
      <c r="H6637">
        <f>SMALL(SimData5000!$B$9:$B$5008,1629)</f>
        <v>0.32578275558175118</v>
      </c>
      <c r="I6637">
        <f>1/(COUNT(SimData5000!$B$9:$B$5008)-1)+$I$6636</f>
        <v>0.32566513302661582</v>
      </c>
      <c r="J6637">
        <f>SMALL(SimData5000!$C$9:$C$5008,1629)</f>
        <v>0.3231657894593809</v>
      </c>
      <c r="K6637">
        <f>1/(COUNT(SimData5000!$C$9:$C$5008)-1)+$K$6636</f>
        <v>0.32566513302661582</v>
      </c>
    </row>
    <row r="6638" spans="8:11">
      <c r="H6638">
        <f>SMALL(SimData5000!$B$9:$B$5008,1630)</f>
        <v>0.32582312744348846</v>
      </c>
      <c r="I6638">
        <f>1/(COUNT(SimData5000!$B$9:$B$5008)-1)+$I$6637</f>
        <v>0.32586517303461743</v>
      </c>
      <c r="J6638">
        <f>SMALL(SimData5000!$C$9:$C$5008,1630)</f>
        <v>0.32327889777661767</v>
      </c>
      <c r="K6638">
        <f>1/(COUNT(SimData5000!$C$9:$C$5008)-1)+$K$6637</f>
        <v>0.32586517303461743</v>
      </c>
    </row>
    <row r="6639" spans="8:11">
      <c r="H6639">
        <f>SMALL(SimData5000!$B$9:$B$5008,1631)</f>
        <v>0.32605613563392682</v>
      </c>
      <c r="I6639">
        <f>1/(COUNT(SimData5000!$B$9:$B$5008)-1)+$I$6638</f>
        <v>0.32606521304261904</v>
      </c>
      <c r="J6639">
        <f>SMALL(SimData5000!$C$9:$C$5008,1631)</f>
        <v>0.32353699923896784</v>
      </c>
      <c r="K6639">
        <f>1/(COUNT(SimData5000!$C$9:$C$5008)-1)+$K$6638</f>
        <v>0.32606521304261904</v>
      </c>
    </row>
    <row r="6640" spans="8:11">
      <c r="H6640">
        <f>SMALL(SimData5000!$B$9:$B$5008,1632)</f>
        <v>0.32633754074702448</v>
      </c>
      <c r="I6640">
        <f>1/(COUNT(SimData5000!$B$9:$B$5008)-1)+$I$6639</f>
        <v>0.32626525305062065</v>
      </c>
      <c r="J6640">
        <f>SMALL(SimData5000!$C$9:$C$5008,1632)</f>
        <v>0.32372387987379625</v>
      </c>
      <c r="K6640">
        <f>1/(COUNT(SimData5000!$C$9:$C$5008)-1)+$K$6639</f>
        <v>0.32626525305062065</v>
      </c>
    </row>
    <row r="6641" spans="8:11">
      <c r="H6641">
        <f>SMALL(SimData5000!$B$9:$B$5008,1633)</f>
        <v>0.32646981011584164</v>
      </c>
      <c r="I6641">
        <f>1/(COUNT(SimData5000!$B$9:$B$5008)-1)+$I$6640</f>
        <v>0.32646529305862226</v>
      </c>
      <c r="J6641">
        <f>SMALL(SimData5000!$C$9:$C$5008,1633)</f>
        <v>0.3240766451735908</v>
      </c>
      <c r="K6641">
        <f>1/(COUNT(SimData5000!$C$9:$C$5008)-1)+$K$6640</f>
        <v>0.32646529305862226</v>
      </c>
    </row>
    <row r="6642" spans="8:11">
      <c r="H6642">
        <f>SMALL(SimData5000!$B$9:$B$5008,1634)</f>
        <v>0.32674079208870904</v>
      </c>
      <c r="I6642">
        <f>1/(COUNT(SimData5000!$B$9:$B$5008)-1)+$I$6641</f>
        <v>0.32666533306662388</v>
      </c>
      <c r="J6642">
        <f>SMALL(SimData5000!$C$9:$C$5008,1634)</f>
        <v>0.32424634961716947</v>
      </c>
      <c r="K6642">
        <f>1/(COUNT(SimData5000!$C$9:$C$5008)-1)+$K$6641</f>
        <v>0.32666533306662388</v>
      </c>
    </row>
    <row r="6643" spans="8:11">
      <c r="H6643">
        <f>SMALL(SimData5000!$B$9:$B$5008,1635)</f>
        <v>0.32692003977660095</v>
      </c>
      <c r="I6643">
        <f>1/(COUNT(SimData5000!$B$9:$B$5008)-1)+$I$6642</f>
        <v>0.32686537307462549</v>
      </c>
      <c r="J6643">
        <f>SMALL(SimData5000!$C$9:$C$5008,1635)</f>
        <v>0.32461541638349445</v>
      </c>
      <c r="K6643">
        <f>1/(COUNT(SimData5000!$C$9:$C$5008)-1)+$K$6642</f>
        <v>0.32686537307462549</v>
      </c>
    </row>
    <row r="6644" spans="8:11">
      <c r="H6644">
        <f>SMALL(SimData5000!$B$9:$B$5008,1636)</f>
        <v>0.32704343954227943</v>
      </c>
      <c r="I6644">
        <f>1/(COUNT(SimData5000!$B$9:$B$5008)-1)+$I$6643</f>
        <v>0.3270654130826271</v>
      </c>
      <c r="J6644">
        <f>SMALL(SimData5000!$C$9:$C$5008,1636)</f>
        <v>0.32499389206532214</v>
      </c>
      <c r="K6644">
        <f>1/(COUNT(SimData5000!$C$9:$C$5008)-1)+$K$6643</f>
        <v>0.3270654130826271</v>
      </c>
    </row>
    <row r="6645" spans="8:11">
      <c r="H6645">
        <f>SMALL(SimData5000!$B$9:$B$5008,1637)</f>
        <v>0.32723123823679778</v>
      </c>
      <c r="I6645">
        <f>1/(COUNT(SimData5000!$B$9:$B$5008)-1)+$I$6644</f>
        <v>0.32726545309062871</v>
      </c>
      <c r="J6645">
        <f>SMALL(SimData5000!$C$9:$C$5008,1637)</f>
        <v>0.32505386153115978</v>
      </c>
      <c r="K6645">
        <f>1/(COUNT(SimData5000!$C$9:$C$5008)-1)+$K$6644</f>
        <v>0.32726545309062871</v>
      </c>
    </row>
    <row r="6646" spans="8:11">
      <c r="H6646">
        <f>SMALL(SimData5000!$B$9:$B$5008,1638)</f>
        <v>0.32740524958232542</v>
      </c>
      <c r="I6646">
        <f>1/(COUNT(SimData5000!$B$9:$B$5008)-1)+$I$6645</f>
        <v>0.32746549309863032</v>
      </c>
      <c r="J6646">
        <f>SMALL(SimData5000!$C$9:$C$5008,1638)</f>
        <v>0.32562772864912404</v>
      </c>
      <c r="K6646">
        <f>1/(COUNT(SimData5000!$C$9:$C$5008)-1)+$K$6645</f>
        <v>0.32746549309863032</v>
      </c>
    </row>
    <row r="6647" spans="8:11">
      <c r="H6647">
        <f>SMALL(SimData5000!$B$9:$B$5008,1639)</f>
        <v>0.32773689592432625</v>
      </c>
      <c r="I6647">
        <f>1/(COUNT(SimData5000!$B$9:$B$5008)-1)+$I$6646</f>
        <v>0.32766553310663193</v>
      </c>
      <c r="J6647">
        <f>SMALL(SimData5000!$C$9:$C$5008,1639)</f>
        <v>0.3256896791035615</v>
      </c>
      <c r="K6647">
        <f>1/(COUNT(SimData5000!$C$9:$C$5008)-1)+$K$6646</f>
        <v>0.32766553310663193</v>
      </c>
    </row>
    <row r="6648" spans="8:11">
      <c r="H6648">
        <f>SMALL(SimData5000!$B$9:$B$5008,1640)</f>
        <v>0.3279650375039701</v>
      </c>
      <c r="I6648">
        <f>1/(COUNT(SimData5000!$B$9:$B$5008)-1)+$I$6647</f>
        <v>0.32786557311463355</v>
      </c>
      <c r="J6648">
        <f>SMALL(SimData5000!$C$9:$C$5008,1640)</f>
        <v>0.32576974448056717</v>
      </c>
      <c r="K6648">
        <f>1/(COUNT(SimData5000!$C$9:$C$5008)-1)+$K$6647</f>
        <v>0.32786557311463355</v>
      </c>
    </row>
    <row r="6649" spans="8:11">
      <c r="H6649">
        <f>SMALL(SimData5000!$B$9:$B$5008,1641)</f>
        <v>0.32800531240366521</v>
      </c>
      <c r="I6649">
        <f>1/(COUNT(SimData5000!$B$9:$B$5008)-1)+$I$6648</f>
        <v>0.32806561312263516</v>
      </c>
      <c r="J6649">
        <f>SMALL(SimData5000!$C$9:$C$5008,1641)</f>
        <v>0.32591992121706426</v>
      </c>
      <c r="K6649">
        <f>1/(COUNT(SimData5000!$C$9:$C$5008)-1)+$K$6648</f>
        <v>0.32806561312263516</v>
      </c>
    </row>
    <row r="6650" spans="8:11">
      <c r="H6650">
        <f>SMALL(SimData5000!$B$9:$B$5008,1642)</f>
        <v>0.3283349949750432</v>
      </c>
      <c r="I6650">
        <f>1/(COUNT(SimData5000!$B$9:$B$5008)-1)+$I$6649</f>
        <v>0.32826565313063677</v>
      </c>
      <c r="J6650">
        <f>SMALL(SimData5000!$C$9:$C$5008,1642)</f>
        <v>0.32595362377560377</v>
      </c>
      <c r="K6650">
        <f>1/(COUNT(SimData5000!$C$9:$C$5008)-1)+$K$6649</f>
        <v>0.32826565313063677</v>
      </c>
    </row>
    <row r="6651" spans="8:11">
      <c r="H6651">
        <f>SMALL(SimData5000!$B$9:$B$5008,1643)</f>
        <v>0.32856306390724216</v>
      </c>
      <c r="I6651">
        <f>1/(COUNT(SimData5000!$B$9:$B$5008)-1)+$I$6650</f>
        <v>0.32846569313863838</v>
      </c>
      <c r="J6651">
        <f>SMALL(SimData5000!$C$9:$C$5008,1643)</f>
        <v>0.32599184926766611</v>
      </c>
      <c r="K6651">
        <f>1/(COUNT(SimData5000!$C$9:$C$5008)-1)+$K$6650</f>
        <v>0.32846569313863838</v>
      </c>
    </row>
    <row r="6652" spans="8:11">
      <c r="H6652">
        <f>SMALL(SimData5000!$B$9:$B$5008,1644)</f>
        <v>0.32877631983872885</v>
      </c>
      <c r="I6652">
        <f>1/(COUNT(SimData5000!$B$9:$B$5008)-1)+$I$6651</f>
        <v>0.32866573314663999</v>
      </c>
      <c r="J6652">
        <f>SMALL(SimData5000!$C$9:$C$5008,1644)</f>
        <v>0.32611705383351364</v>
      </c>
      <c r="K6652">
        <f>1/(COUNT(SimData5000!$C$9:$C$5008)-1)+$K$6651</f>
        <v>0.32866573314663999</v>
      </c>
    </row>
    <row r="6653" spans="8:11">
      <c r="H6653">
        <f>SMALL(SimData5000!$B$9:$B$5008,1645)</f>
        <v>0.32894137791011979</v>
      </c>
      <c r="I6653">
        <f>1/(COUNT(SimData5000!$B$9:$B$5008)-1)+$I$6652</f>
        <v>0.32886577315464161</v>
      </c>
      <c r="J6653">
        <f>SMALL(SimData5000!$C$9:$C$5008,1645)</f>
        <v>0.32612406150383322</v>
      </c>
      <c r="K6653">
        <f>1/(COUNT(SimData5000!$C$9:$C$5008)-1)+$K$6652</f>
        <v>0.32886577315464161</v>
      </c>
    </row>
    <row r="6654" spans="8:11">
      <c r="H6654">
        <f>SMALL(SimData5000!$B$9:$B$5008,1646)</f>
        <v>0.3291522566857637</v>
      </c>
      <c r="I6654">
        <f>1/(COUNT(SimData5000!$B$9:$B$5008)-1)+$I$6653</f>
        <v>0.32906581316264322</v>
      </c>
      <c r="J6654">
        <f>SMALL(SimData5000!$C$9:$C$5008,1646)</f>
        <v>0.32615005956085952</v>
      </c>
      <c r="K6654">
        <f>1/(COUNT(SimData5000!$C$9:$C$5008)-1)+$K$6653</f>
        <v>0.32906581316264322</v>
      </c>
    </row>
    <row r="6655" spans="8:11">
      <c r="H6655">
        <f>SMALL(SimData5000!$B$9:$B$5008,1647)</f>
        <v>0.32937524223457443</v>
      </c>
      <c r="I6655">
        <f>1/(COUNT(SimData5000!$B$9:$B$5008)-1)+$I$6654</f>
        <v>0.32926585317064483</v>
      </c>
      <c r="J6655">
        <f>SMALL(SimData5000!$C$9:$C$5008,1647)</f>
        <v>0.32628636063782324</v>
      </c>
      <c r="K6655">
        <f>1/(COUNT(SimData5000!$C$9:$C$5008)-1)+$K$6654</f>
        <v>0.32926585317064483</v>
      </c>
    </row>
    <row r="6656" spans="8:11">
      <c r="H6656">
        <f>SMALL(SimData5000!$B$9:$B$5008,1648)</f>
        <v>0.32952916302604812</v>
      </c>
      <c r="I6656">
        <f>1/(COUNT(SimData5000!$B$9:$B$5008)-1)+$I$6655</f>
        <v>0.32946589317864644</v>
      </c>
      <c r="J6656">
        <f>SMALL(SimData5000!$C$9:$C$5008,1648)</f>
        <v>0.3264224997283236</v>
      </c>
      <c r="K6656">
        <f>1/(COUNT(SimData5000!$C$9:$C$5008)-1)+$K$6655</f>
        <v>0.32946589317864644</v>
      </c>
    </row>
    <row r="6657" spans="8:11">
      <c r="H6657">
        <f>SMALL(SimData5000!$B$9:$B$5008,1649)</f>
        <v>0.32977909049489051</v>
      </c>
      <c r="I6657">
        <f>1/(COUNT(SimData5000!$B$9:$B$5008)-1)+$I$6656</f>
        <v>0.32966593318664805</v>
      </c>
      <c r="J6657">
        <f>SMALL(SimData5000!$C$9:$C$5008,1649)</f>
        <v>0.32660615203258203</v>
      </c>
      <c r="K6657">
        <f>1/(COUNT(SimData5000!$C$9:$C$5008)-1)+$K$6656</f>
        <v>0.32966593318664805</v>
      </c>
    </row>
    <row r="6658" spans="8:11">
      <c r="H6658">
        <f>SMALL(SimData5000!$B$9:$B$5008,1650)</f>
        <v>0.32994364658141123</v>
      </c>
      <c r="I6658">
        <f>1/(COUNT(SimData5000!$B$9:$B$5008)-1)+$I$6657</f>
        <v>0.32986597319464966</v>
      </c>
      <c r="J6658">
        <f>SMALL(SimData5000!$C$9:$C$5008,1650)</f>
        <v>0.32674147729630931</v>
      </c>
      <c r="K6658">
        <f>1/(COUNT(SimData5000!$C$9:$C$5008)-1)+$K$6657</f>
        <v>0.32986597319464966</v>
      </c>
    </row>
    <row r="6659" spans="8:11">
      <c r="H6659">
        <f>SMALL(SimData5000!$B$9:$B$5008,1651)</f>
        <v>0.33008564969624526</v>
      </c>
      <c r="I6659">
        <f>1/(COUNT(SimData5000!$B$9:$B$5008)-1)+$I$6658</f>
        <v>0.33006601320265128</v>
      </c>
      <c r="J6659">
        <f>SMALL(SimData5000!$C$9:$C$5008,1651)</f>
        <v>0.32697520067722508</v>
      </c>
      <c r="K6659">
        <f>1/(COUNT(SimData5000!$C$9:$C$5008)-1)+$K$6658</f>
        <v>0.33006601320265128</v>
      </c>
    </row>
    <row r="6660" spans="8:11">
      <c r="H6660">
        <f>SMALL(SimData5000!$B$9:$B$5008,1652)</f>
        <v>0.33024582032599625</v>
      </c>
      <c r="I6660">
        <f>1/(COUNT(SimData5000!$B$9:$B$5008)-1)+$I$6659</f>
        <v>0.33026605321065289</v>
      </c>
      <c r="J6660">
        <f>SMALL(SimData5000!$C$9:$C$5008,1652)</f>
        <v>0.32700473666136531</v>
      </c>
      <c r="K6660">
        <f>1/(COUNT(SimData5000!$C$9:$C$5008)-1)+$K$6659</f>
        <v>0.33026605321065289</v>
      </c>
    </row>
    <row r="6661" spans="8:11">
      <c r="H6661">
        <f>SMALL(SimData5000!$B$9:$B$5008,1653)</f>
        <v>0.3305871762904774</v>
      </c>
      <c r="I6661">
        <f>1/(COUNT(SimData5000!$B$9:$B$5008)-1)+$I$6660</f>
        <v>0.3304660932186545</v>
      </c>
      <c r="J6661">
        <f>SMALL(SimData5000!$C$9:$C$5008,1653)</f>
        <v>0.32790479040158971</v>
      </c>
      <c r="K6661">
        <f>1/(COUNT(SimData5000!$C$9:$C$5008)-1)+$K$6660</f>
        <v>0.3304660932186545</v>
      </c>
    </row>
    <row r="6662" spans="8:11">
      <c r="H6662">
        <f>SMALL(SimData5000!$B$9:$B$5008,1654)</f>
        <v>0.33071761611139344</v>
      </c>
      <c r="I6662">
        <f>1/(COUNT(SimData5000!$B$9:$B$5008)-1)+$I$6661</f>
        <v>0.33066613322665611</v>
      </c>
      <c r="J6662">
        <f>SMALL(SimData5000!$C$9:$C$5008,1654)</f>
        <v>0.32809865674971661</v>
      </c>
      <c r="K6662">
        <f>1/(COUNT(SimData5000!$C$9:$C$5008)-1)+$K$6661</f>
        <v>0.33066613322665611</v>
      </c>
    </row>
    <row r="6663" spans="8:11">
      <c r="H6663">
        <f>SMALL(SimData5000!$B$9:$B$5008,1655)</f>
        <v>0.33090171618254433</v>
      </c>
      <c r="I6663">
        <f>1/(COUNT(SimData5000!$B$9:$B$5008)-1)+$I$6662</f>
        <v>0.33086617323465772</v>
      </c>
      <c r="J6663">
        <f>SMALL(SimData5000!$C$9:$C$5008,1655)</f>
        <v>0.32819880251372524</v>
      </c>
      <c r="K6663">
        <f>1/(COUNT(SimData5000!$C$9:$C$5008)-1)+$K$6662</f>
        <v>0.33086617323465772</v>
      </c>
    </row>
    <row r="6664" spans="8:11">
      <c r="H6664">
        <f>SMALL(SimData5000!$B$9:$B$5008,1656)</f>
        <v>0.33119317583292562</v>
      </c>
      <c r="I6664">
        <f>1/(COUNT(SimData5000!$B$9:$B$5008)-1)+$I$6663</f>
        <v>0.33106621324265934</v>
      </c>
      <c r="J6664">
        <f>SMALL(SimData5000!$C$9:$C$5008,1656)</f>
        <v>0.32843378293455316</v>
      </c>
      <c r="K6664">
        <f>1/(COUNT(SimData5000!$C$9:$C$5008)-1)+$K$6663</f>
        <v>0.33106621324265934</v>
      </c>
    </row>
    <row r="6665" spans="8:11">
      <c r="H6665">
        <f>SMALL(SimData5000!$B$9:$B$5008,1657)</f>
        <v>0.33128429651537078</v>
      </c>
      <c r="I6665">
        <f>1/(COUNT(SimData5000!$B$9:$B$5008)-1)+$I$6664</f>
        <v>0.33126625325066095</v>
      </c>
      <c r="J6665">
        <f>SMALL(SimData5000!$C$9:$C$5008,1657)</f>
        <v>0.32850141452581738</v>
      </c>
      <c r="K6665">
        <f>1/(COUNT(SimData5000!$C$9:$C$5008)-1)+$K$6664</f>
        <v>0.33126625325066095</v>
      </c>
    </row>
    <row r="6666" spans="8:11">
      <c r="H6666">
        <f>SMALL(SimData5000!$B$9:$B$5008,1658)</f>
        <v>0.33150907415349712</v>
      </c>
      <c r="I6666">
        <f>1/(COUNT(SimData5000!$B$9:$B$5008)-1)+$I$6665</f>
        <v>0.33146629325866256</v>
      </c>
      <c r="J6666">
        <f>SMALL(SimData5000!$C$9:$C$5008,1658)</f>
        <v>0.32858262438185193</v>
      </c>
      <c r="K6666">
        <f>1/(COUNT(SimData5000!$C$9:$C$5008)-1)+$K$6665</f>
        <v>0.33146629325866256</v>
      </c>
    </row>
    <row r="6667" spans="8:11">
      <c r="H6667">
        <f>SMALL(SimData5000!$B$9:$B$5008,1659)</f>
        <v>0.33175065279527349</v>
      </c>
      <c r="I6667">
        <f>1/(COUNT(SimData5000!$B$9:$B$5008)-1)+$I$6666</f>
        <v>0.33166633326666417</v>
      </c>
      <c r="J6667">
        <f>SMALL(SimData5000!$C$9:$C$5008,1659)</f>
        <v>0.32866410062615614</v>
      </c>
      <c r="K6667">
        <f>1/(COUNT(SimData5000!$C$9:$C$5008)-1)+$K$6666</f>
        <v>0.33166633326666417</v>
      </c>
    </row>
    <row r="6668" spans="8:11">
      <c r="H6668">
        <f>SMALL(SimData5000!$B$9:$B$5008,1660)</f>
        <v>0.33198254521535303</v>
      </c>
      <c r="I6668">
        <f>1/(COUNT(SimData5000!$B$9:$B$5008)-1)+$I$6667</f>
        <v>0.33186637327466578</v>
      </c>
      <c r="J6668">
        <f>SMALL(SimData5000!$C$9:$C$5008,1660)</f>
        <v>0.32904360580323555</v>
      </c>
      <c r="K6668">
        <f>1/(COUNT(SimData5000!$C$9:$C$5008)-1)+$K$6667</f>
        <v>0.33186637327466578</v>
      </c>
    </row>
    <row r="6669" spans="8:11">
      <c r="H6669">
        <f>SMALL(SimData5000!$B$9:$B$5008,1661)</f>
        <v>0.33216316161764858</v>
      </c>
      <c r="I6669">
        <f>1/(COUNT(SimData5000!$B$9:$B$5008)-1)+$I$6668</f>
        <v>0.33206641328266739</v>
      </c>
      <c r="J6669">
        <f>SMALL(SimData5000!$C$9:$C$5008,1661)</f>
        <v>0.32905933216079575</v>
      </c>
      <c r="K6669">
        <f>1/(COUNT(SimData5000!$C$9:$C$5008)-1)+$K$6668</f>
        <v>0.33206641328266739</v>
      </c>
    </row>
    <row r="6670" spans="8:11">
      <c r="H6670">
        <f>SMALL(SimData5000!$B$9:$B$5008,1662)</f>
        <v>0.33230526244735936</v>
      </c>
      <c r="I6670">
        <f>1/(COUNT(SimData5000!$B$9:$B$5008)-1)+$I$6669</f>
        <v>0.33226645329066901</v>
      </c>
      <c r="J6670">
        <f>SMALL(SimData5000!$C$9:$C$5008,1662)</f>
        <v>0.32937900869910663</v>
      </c>
      <c r="K6670">
        <f>1/(COUNT(SimData5000!$C$9:$C$5008)-1)+$K$6669</f>
        <v>0.33226645329066901</v>
      </c>
    </row>
    <row r="6671" spans="8:11">
      <c r="H6671">
        <f>SMALL(SimData5000!$B$9:$B$5008,1663)</f>
        <v>0.33247111119750677</v>
      </c>
      <c r="I6671">
        <f>1/(COUNT(SimData5000!$B$9:$B$5008)-1)+$I$6670</f>
        <v>0.33246649329867062</v>
      </c>
      <c r="J6671">
        <f>SMALL(SimData5000!$C$9:$C$5008,1663)</f>
        <v>0.32941558591119247</v>
      </c>
      <c r="K6671">
        <f>1/(COUNT(SimData5000!$C$9:$C$5008)-1)+$K$6670</f>
        <v>0.33246649329867062</v>
      </c>
    </row>
    <row r="6672" spans="8:11">
      <c r="H6672">
        <f>SMALL(SimData5000!$B$9:$B$5008,1664)</f>
        <v>0.33267756020130534</v>
      </c>
      <c r="I6672">
        <f>1/(COUNT(SimData5000!$B$9:$B$5008)-1)+$I$6671</f>
        <v>0.33266653330667223</v>
      </c>
      <c r="J6672">
        <f>SMALL(SimData5000!$C$9:$C$5008,1664)</f>
        <v>0.32951161597338796</v>
      </c>
      <c r="K6672">
        <f>1/(COUNT(SimData5000!$C$9:$C$5008)-1)+$K$6671</f>
        <v>0.33266653330667223</v>
      </c>
    </row>
    <row r="6673" spans="8:11">
      <c r="H6673">
        <f>SMALL(SimData5000!$B$9:$B$5008,1665)</f>
        <v>0.33280155205568335</v>
      </c>
      <c r="I6673">
        <f>1/(COUNT(SimData5000!$B$9:$B$5008)-1)+$I$6672</f>
        <v>0.33286657331467384</v>
      </c>
      <c r="J6673">
        <f>SMALL(SimData5000!$C$9:$C$5008,1665)</f>
        <v>0.32988239777296258</v>
      </c>
      <c r="K6673">
        <f>1/(COUNT(SimData5000!$C$9:$C$5008)-1)+$K$6672</f>
        <v>0.33286657331467384</v>
      </c>
    </row>
    <row r="6674" spans="8:11">
      <c r="H6674">
        <f>SMALL(SimData5000!$B$9:$B$5008,1666)</f>
        <v>0.33311443141701502</v>
      </c>
      <c r="I6674">
        <f>1/(COUNT(SimData5000!$B$9:$B$5008)-1)+$I$6673</f>
        <v>0.33306661332267545</v>
      </c>
      <c r="J6674">
        <f>SMALL(SimData5000!$C$9:$C$5008,1666)</f>
        <v>0.33017067774744646</v>
      </c>
      <c r="K6674">
        <f>1/(COUNT(SimData5000!$C$9:$C$5008)-1)+$K$6673</f>
        <v>0.33306661332267545</v>
      </c>
    </row>
    <row r="6675" spans="8:11">
      <c r="H6675">
        <f>SMALL(SimData5000!$B$9:$B$5008,1667)</f>
        <v>0.33330807238302845</v>
      </c>
      <c r="I6675">
        <f>1/(COUNT(SimData5000!$B$9:$B$5008)-1)+$I$6674</f>
        <v>0.33326665333067707</v>
      </c>
      <c r="J6675">
        <f>SMALL(SimData5000!$C$9:$C$5008,1667)</f>
        <v>0.33026256752236804</v>
      </c>
      <c r="K6675">
        <f>1/(COUNT(SimData5000!$C$9:$C$5008)-1)+$K$6674</f>
        <v>0.33326665333067707</v>
      </c>
    </row>
    <row r="6676" spans="8:11">
      <c r="H6676">
        <f>SMALL(SimData5000!$B$9:$B$5008,1668)</f>
        <v>0.33350244654456679</v>
      </c>
      <c r="I6676">
        <f>1/(COUNT(SimData5000!$B$9:$B$5008)-1)+$I$6675</f>
        <v>0.33346669333867868</v>
      </c>
      <c r="J6676">
        <f>SMALL(SimData5000!$C$9:$C$5008,1668)</f>
        <v>0.33108169419483602</v>
      </c>
      <c r="K6676">
        <f>1/(COUNT(SimData5000!$C$9:$C$5008)-1)+$K$6675</f>
        <v>0.33346669333867868</v>
      </c>
    </row>
    <row r="6677" spans="8:11">
      <c r="H6677">
        <f>SMALL(SimData5000!$B$9:$B$5008,1669)</f>
        <v>0.33361804411458268</v>
      </c>
      <c r="I6677">
        <f>1/(COUNT(SimData5000!$B$9:$B$5008)-1)+$I$6676</f>
        <v>0.33366673334668029</v>
      </c>
      <c r="J6677">
        <f>SMALL(SimData5000!$C$9:$C$5008,1669)</f>
        <v>0.33135213765582705</v>
      </c>
      <c r="K6677">
        <f>1/(COUNT(SimData5000!$C$9:$C$5008)-1)+$K$6676</f>
        <v>0.33366673334668029</v>
      </c>
    </row>
    <row r="6678" spans="8:11">
      <c r="H6678">
        <f>SMALL(SimData5000!$B$9:$B$5008,1670)</f>
        <v>0.33381426113779056</v>
      </c>
      <c r="I6678">
        <f>1/(COUNT(SimData5000!$B$9:$B$5008)-1)+$I$6677</f>
        <v>0.3338667733546819</v>
      </c>
      <c r="J6678">
        <f>SMALL(SimData5000!$C$9:$C$5008,1670)</f>
        <v>0.33169974662723689</v>
      </c>
      <c r="K6678">
        <f>1/(COUNT(SimData5000!$C$9:$C$5008)-1)+$K$6677</f>
        <v>0.3338667733546819</v>
      </c>
    </row>
    <row r="6679" spans="8:11">
      <c r="H6679">
        <f>SMALL(SimData5000!$B$9:$B$5008,1671)</f>
        <v>0.33400637233606689</v>
      </c>
      <c r="I6679">
        <f>1/(COUNT(SimData5000!$B$9:$B$5008)-1)+$I$6678</f>
        <v>0.33406681336268351</v>
      </c>
      <c r="J6679">
        <f>SMALL(SimData5000!$C$9:$C$5008,1671)</f>
        <v>0.33188637724835601</v>
      </c>
      <c r="K6679">
        <f>1/(COUNT(SimData5000!$C$9:$C$5008)-1)+$K$6678</f>
        <v>0.33406681336268351</v>
      </c>
    </row>
    <row r="6680" spans="8:11">
      <c r="H6680">
        <f>SMALL(SimData5000!$B$9:$B$5008,1672)</f>
        <v>0.3342019517863174</v>
      </c>
      <c r="I6680">
        <f>1/(COUNT(SimData5000!$B$9:$B$5008)-1)+$I$6679</f>
        <v>0.33426685337068512</v>
      </c>
      <c r="J6680">
        <f>SMALL(SimData5000!$C$9:$C$5008,1672)</f>
        <v>0.33196973936446739</v>
      </c>
      <c r="K6680">
        <f>1/(COUNT(SimData5000!$C$9:$C$5008)-1)+$K$6679</f>
        <v>0.33426685337068512</v>
      </c>
    </row>
    <row r="6681" spans="8:11">
      <c r="H6681">
        <f>SMALL(SimData5000!$B$9:$B$5008,1673)</f>
        <v>0.33452137634919987</v>
      </c>
      <c r="I6681">
        <f>1/(COUNT(SimData5000!$B$9:$B$5008)-1)+$I$6680</f>
        <v>0.33446689337868674</v>
      </c>
      <c r="J6681">
        <f>SMALL(SimData5000!$C$9:$C$5008,1673)</f>
        <v>0.33213064516166924</v>
      </c>
      <c r="K6681">
        <f>1/(COUNT(SimData5000!$C$9:$C$5008)-1)+$K$6680</f>
        <v>0.33446689337868674</v>
      </c>
    </row>
    <row r="6682" spans="8:11">
      <c r="H6682">
        <f>SMALL(SimData5000!$B$9:$B$5008,1674)</f>
        <v>0.33477351643256226</v>
      </c>
      <c r="I6682">
        <f>1/(COUNT(SimData5000!$B$9:$B$5008)-1)+$I$6681</f>
        <v>0.33466693338668835</v>
      </c>
      <c r="J6682">
        <f>SMALL(SimData5000!$C$9:$C$5008,1674)</f>
        <v>0.33220589887423557</v>
      </c>
      <c r="K6682">
        <f>1/(COUNT(SimData5000!$C$9:$C$5008)-1)+$K$6681</f>
        <v>0.33466693338668835</v>
      </c>
    </row>
    <row r="6683" spans="8:11">
      <c r="H6683">
        <f>SMALL(SimData5000!$B$9:$B$5008,1675)</f>
        <v>0.33499227136107912</v>
      </c>
      <c r="I6683">
        <f>1/(COUNT(SimData5000!$B$9:$B$5008)-1)+$I$6682</f>
        <v>0.33486697339468996</v>
      </c>
      <c r="J6683">
        <f>SMALL(SimData5000!$C$9:$C$5008,1675)</f>
        <v>0.33247494092393026</v>
      </c>
      <c r="K6683">
        <f>1/(COUNT(SimData5000!$C$9:$C$5008)-1)+$K$6682</f>
        <v>0.33486697339468996</v>
      </c>
    </row>
    <row r="6684" spans="8:11">
      <c r="H6684">
        <f>SMALL(SimData5000!$B$9:$B$5008,1676)</f>
        <v>0.33519931665742758</v>
      </c>
      <c r="I6684">
        <f>1/(COUNT(SimData5000!$B$9:$B$5008)-1)+$I$6683</f>
        <v>0.33506701340269157</v>
      </c>
      <c r="J6684">
        <f>SMALL(SimData5000!$C$9:$C$5008,1676)</f>
        <v>0.33294476977971499</v>
      </c>
      <c r="K6684">
        <f>1/(COUNT(SimData5000!$C$9:$C$5008)-1)+$K$6683</f>
        <v>0.33506701340269157</v>
      </c>
    </row>
    <row r="6685" spans="8:11">
      <c r="H6685">
        <f>SMALL(SimData5000!$B$9:$B$5008,1677)</f>
        <v>0.33526638608455339</v>
      </c>
      <c r="I6685">
        <f>1/(COUNT(SimData5000!$B$9:$B$5008)-1)+$I$6684</f>
        <v>0.33526705341069318</v>
      </c>
      <c r="J6685">
        <f>SMALL(SimData5000!$C$9:$C$5008,1677)</f>
        <v>0.33311793722168659</v>
      </c>
      <c r="K6685">
        <f>1/(COUNT(SimData5000!$C$9:$C$5008)-1)+$K$6684</f>
        <v>0.33526705341069318</v>
      </c>
    </row>
    <row r="6686" spans="8:11">
      <c r="H6686">
        <f>SMALL(SimData5000!$B$9:$B$5008,1678)</f>
        <v>0.33542239641105348</v>
      </c>
      <c r="I6686">
        <f>1/(COUNT(SimData5000!$B$9:$B$5008)-1)+$I$6685</f>
        <v>0.3354670934186948</v>
      </c>
      <c r="J6686">
        <f>SMALL(SimData5000!$C$9:$C$5008,1678)</f>
        <v>0.3331753833563198</v>
      </c>
      <c r="K6686">
        <f>1/(COUNT(SimData5000!$C$9:$C$5008)-1)+$K$6685</f>
        <v>0.3354670934186948</v>
      </c>
    </row>
    <row r="6687" spans="8:11">
      <c r="H6687">
        <f>SMALL(SimData5000!$B$9:$B$5008,1679)</f>
        <v>0.33570378676604101</v>
      </c>
      <c r="I6687">
        <f>1/(COUNT(SimData5000!$B$9:$B$5008)-1)+$I$6686</f>
        <v>0.33566713342669641</v>
      </c>
      <c r="J6687">
        <f>SMALL(SimData5000!$C$9:$C$5008,1679)</f>
        <v>0.3333855374248742</v>
      </c>
      <c r="K6687">
        <f>1/(COUNT(SimData5000!$C$9:$C$5008)-1)+$K$6686</f>
        <v>0.33566713342669641</v>
      </c>
    </row>
    <row r="6688" spans="8:11">
      <c r="H6688">
        <f>SMALL(SimData5000!$B$9:$B$5008,1680)</f>
        <v>0.33585395215131664</v>
      </c>
      <c r="I6688">
        <f>1/(COUNT(SimData5000!$B$9:$B$5008)-1)+$I$6687</f>
        <v>0.33586717343469802</v>
      </c>
      <c r="J6688">
        <f>SMALL(SimData5000!$C$9:$C$5008,1680)</f>
        <v>0.33345938089314586</v>
      </c>
      <c r="K6688">
        <f>1/(COUNT(SimData5000!$C$9:$C$5008)-1)+$K$6687</f>
        <v>0.33586717343469802</v>
      </c>
    </row>
    <row r="6689" spans="8:11">
      <c r="H6689">
        <f>SMALL(SimData5000!$B$9:$B$5008,1681)</f>
        <v>0.3360745098304177</v>
      </c>
      <c r="I6689">
        <f>1/(COUNT(SimData5000!$B$9:$B$5008)-1)+$I$6688</f>
        <v>0.33606721344269963</v>
      </c>
      <c r="J6689">
        <f>SMALL(SimData5000!$C$9:$C$5008,1681)</f>
        <v>0.33350778304156847</v>
      </c>
      <c r="K6689">
        <f>1/(COUNT(SimData5000!$C$9:$C$5008)-1)+$K$6688</f>
        <v>0.33606721344269963</v>
      </c>
    </row>
    <row r="6690" spans="8:11">
      <c r="H6690">
        <f>SMALL(SimData5000!$B$9:$B$5008,1682)</f>
        <v>0.33636898024752016</v>
      </c>
      <c r="I6690">
        <f>1/(COUNT(SimData5000!$B$9:$B$5008)-1)+$I$6689</f>
        <v>0.33626725345070124</v>
      </c>
      <c r="J6690">
        <f>SMALL(SimData5000!$C$9:$C$5008,1682)</f>
        <v>0.33367410380833462</v>
      </c>
      <c r="K6690">
        <f>1/(COUNT(SimData5000!$C$9:$C$5008)-1)+$K$6689</f>
        <v>0.33626725345070124</v>
      </c>
    </row>
    <row r="6691" spans="8:11">
      <c r="H6691">
        <f>SMALL(SimData5000!$B$9:$B$5008,1683)</f>
        <v>0.3364295637627201</v>
      </c>
      <c r="I6691">
        <f>1/(COUNT(SimData5000!$B$9:$B$5008)-1)+$I$6690</f>
        <v>0.33646729345870285</v>
      </c>
      <c r="J6691">
        <f>SMALL(SimData5000!$C$9:$C$5008,1683)</f>
        <v>0.33374267124690959</v>
      </c>
      <c r="K6691">
        <f>1/(COUNT(SimData5000!$C$9:$C$5008)-1)+$K$6690</f>
        <v>0.33646729345870285</v>
      </c>
    </row>
    <row r="6692" spans="8:11">
      <c r="H6692">
        <f>SMALL(SimData5000!$B$9:$B$5008,1684)</f>
        <v>0.33676706157568076</v>
      </c>
      <c r="I6692">
        <f>1/(COUNT(SimData5000!$B$9:$B$5008)-1)+$I$6691</f>
        <v>0.33666733346670447</v>
      </c>
      <c r="J6692">
        <f>SMALL(SimData5000!$C$9:$C$5008,1684)</f>
        <v>0.33395531684982416</v>
      </c>
      <c r="K6692">
        <f>1/(COUNT(SimData5000!$C$9:$C$5008)-1)+$K$6691</f>
        <v>0.33666733346670447</v>
      </c>
    </row>
    <row r="6693" spans="8:11">
      <c r="H6693">
        <f>SMALL(SimData5000!$B$9:$B$5008,1685)</f>
        <v>0.33680089438478483</v>
      </c>
      <c r="I6693">
        <f>1/(COUNT(SimData5000!$B$9:$B$5008)-1)+$I$6692</f>
        <v>0.33686737347470608</v>
      </c>
      <c r="J6693">
        <f>SMALL(SimData5000!$C$9:$C$5008,1685)</f>
        <v>0.33399735749389947</v>
      </c>
      <c r="K6693">
        <f>1/(COUNT(SimData5000!$C$9:$C$5008)-1)+$K$6692</f>
        <v>0.33686737347470608</v>
      </c>
    </row>
    <row r="6694" spans="8:11">
      <c r="H6694">
        <f>SMALL(SimData5000!$B$9:$B$5008,1686)</f>
        <v>0.33700056677418777</v>
      </c>
      <c r="I6694">
        <f>1/(COUNT(SimData5000!$B$9:$B$5008)-1)+$I$6693</f>
        <v>0.33706741348270769</v>
      </c>
      <c r="J6694">
        <f>SMALL(SimData5000!$C$9:$C$5008,1686)</f>
        <v>0.33416154701899359</v>
      </c>
      <c r="K6694">
        <f>1/(COUNT(SimData5000!$C$9:$C$5008)-1)+$K$6693</f>
        <v>0.33706741348270769</v>
      </c>
    </row>
    <row r="6695" spans="8:11">
      <c r="H6695">
        <f>SMALL(SimData5000!$B$9:$B$5008,1687)</f>
        <v>0.33722663817871978</v>
      </c>
      <c r="I6695">
        <f>1/(COUNT(SimData5000!$B$9:$B$5008)-1)+$I$6694</f>
        <v>0.3372674534907093</v>
      </c>
      <c r="J6695">
        <f>SMALL(SimData5000!$C$9:$C$5008,1687)</f>
        <v>0.3345507830463248</v>
      </c>
      <c r="K6695">
        <f>1/(COUNT(SimData5000!$C$9:$C$5008)-1)+$K$6694</f>
        <v>0.3372674534907093</v>
      </c>
    </row>
    <row r="6696" spans="8:11">
      <c r="H6696">
        <f>SMALL(SimData5000!$B$9:$B$5008,1688)</f>
        <v>0.33757507845814688</v>
      </c>
      <c r="I6696">
        <f>1/(COUNT(SimData5000!$B$9:$B$5008)-1)+$I$6695</f>
        <v>0.33746749349871091</v>
      </c>
      <c r="J6696">
        <f>SMALL(SimData5000!$C$9:$C$5008,1688)</f>
        <v>0.33464810052919347</v>
      </c>
      <c r="K6696">
        <f>1/(COUNT(SimData5000!$C$9:$C$5008)-1)+$K$6695</f>
        <v>0.33746749349871091</v>
      </c>
    </row>
    <row r="6697" spans="8:11">
      <c r="H6697">
        <f>SMALL(SimData5000!$B$9:$B$5008,1689)</f>
        <v>0.33767767911317703</v>
      </c>
      <c r="I6697">
        <f>1/(COUNT(SimData5000!$B$9:$B$5008)-1)+$I$6696</f>
        <v>0.33766753350671252</v>
      </c>
      <c r="J6697">
        <f>SMALL(SimData5000!$C$9:$C$5008,1689)</f>
        <v>0.33468500867820694</v>
      </c>
      <c r="K6697">
        <f>1/(COUNT(SimData5000!$C$9:$C$5008)-1)+$K$6696</f>
        <v>0.33766753350671252</v>
      </c>
    </row>
    <row r="6698" spans="8:11">
      <c r="H6698">
        <f>SMALL(SimData5000!$B$9:$B$5008,1690)</f>
        <v>0.33782809738969155</v>
      </c>
      <c r="I6698">
        <f>1/(COUNT(SimData5000!$B$9:$B$5008)-1)+$I$6697</f>
        <v>0.33786757351471414</v>
      </c>
      <c r="J6698">
        <f>SMALL(SimData5000!$C$9:$C$5008,1690)</f>
        <v>0.33479032797276886</v>
      </c>
      <c r="K6698">
        <f>1/(COUNT(SimData5000!$C$9:$C$5008)-1)+$K$6697</f>
        <v>0.33786757351471414</v>
      </c>
    </row>
    <row r="6699" spans="8:11">
      <c r="H6699">
        <f>SMALL(SimData5000!$B$9:$B$5008,1691)</f>
        <v>0.33802009234265895</v>
      </c>
      <c r="I6699">
        <f>1/(COUNT(SimData5000!$B$9:$B$5008)-1)+$I$6698</f>
        <v>0.33806761352271575</v>
      </c>
      <c r="J6699">
        <f>SMALL(SimData5000!$C$9:$C$5008,1691)</f>
        <v>0.33482993594407162</v>
      </c>
      <c r="K6699">
        <f>1/(COUNT(SimData5000!$C$9:$C$5008)-1)+$K$6698</f>
        <v>0.33806761352271575</v>
      </c>
    </row>
    <row r="6700" spans="8:11">
      <c r="H6700">
        <f>SMALL(SimData5000!$B$9:$B$5008,1692)</f>
        <v>0.33838425290211666</v>
      </c>
      <c r="I6700">
        <f>1/(COUNT(SimData5000!$B$9:$B$5008)-1)+$I$6699</f>
        <v>0.33826765353071736</v>
      </c>
      <c r="J6700">
        <f>SMALL(SimData5000!$C$9:$C$5008,1692)</f>
        <v>0.33497836802052916</v>
      </c>
      <c r="K6700">
        <f>1/(COUNT(SimData5000!$C$9:$C$5008)-1)+$K$6699</f>
        <v>0.33826765353071736</v>
      </c>
    </row>
    <row r="6701" spans="8:11">
      <c r="H6701">
        <f>SMALL(SimData5000!$B$9:$B$5008,1693)</f>
        <v>0.33858854393060051</v>
      </c>
      <c r="I6701">
        <f>1/(COUNT(SimData5000!$B$9:$B$5008)-1)+$I$6700</f>
        <v>0.33846769353871897</v>
      </c>
      <c r="J6701">
        <f>SMALL(SimData5000!$C$9:$C$5008,1693)</f>
        <v>0.33555715341935866</v>
      </c>
      <c r="K6701">
        <f>1/(COUNT(SimData5000!$C$9:$C$5008)-1)+$K$6700</f>
        <v>0.33846769353871897</v>
      </c>
    </row>
    <row r="6702" spans="8:11">
      <c r="H6702">
        <f>SMALL(SimData5000!$B$9:$B$5008,1694)</f>
        <v>0.33869704745954299</v>
      </c>
      <c r="I6702">
        <f>1/(COUNT(SimData5000!$B$9:$B$5008)-1)+$I$6701</f>
        <v>0.33866773354672058</v>
      </c>
      <c r="J6702">
        <f>SMALL(SimData5000!$C$9:$C$5008,1694)</f>
        <v>0.3357033007487189</v>
      </c>
      <c r="K6702">
        <f>1/(COUNT(SimData5000!$C$9:$C$5008)-1)+$K$6701</f>
        <v>0.33866773354672058</v>
      </c>
    </row>
    <row r="6703" spans="8:11">
      <c r="H6703">
        <f>SMALL(SimData5000!$B$9:$B$5008,1695)</f>
        <v>0.33897589744785239</v>
      </c>
      <c r="I6703">
        <f>1/(COUNT(SimData5000!$B$9:$B$5008)-1)+$I$6702</f>
        <v>0.3388677735547222</v>
      </c>
      <c r="J6703">
        <f>SMALL(SimData5000!$C$9:$C$5008,1695)</f>
        <v>0.33586238116367895</v>
      </c>
      <c r="K6703">
        <f>1/(COUNT(SimData5000!$C$9:$C$5008)-1)+$K$6702</f>
        <v>0.3388677735547222</v>
      </c>
    </row>
    <row r="6704" spans="8:11">
      <c r="H6704">
        <f>SMALL(SimData5000!$B$9:$B$5008,1696)</f>
        <v>0.33916725682252252</v>
      </c>
      <c r="I6704">
        <f>1/(COUNT(SimData5000!$B$9:$B$5008)-1)+$I$6703</f>
        <v>0.33906781356272381</v>
      </c>
      <c r="J6704">
        <f>SMALL(SimData5000!$C$9:$C$5008,1696)</f>
        <v>0.33626379094857839</v>
      </c>
      <c r="K6704">
        <f>1/(COUNT(SimData5000!$C$9:$C$5008)-1)+$K$6703</f>
        <v>0.33906781356272381</v>
      </c>
    </row>
    <row r="6705" spans="8:11">
      <c r="H6705">
        <f>SMALL(SimData5000!$B$9:$B$5008,1697)</f>
        <v>0.3393533267727013</v>
      </c>
      <c r="I6705">
        <f>1/(COUNT(SimData5000!$B$9:$B$5008)-1)+$I$6704</f>
        <v>0.33926785357072542</v>
      </c>
      <c r="J6705">
        <f>SMALL(SimData5000!$C$9:$C$5008,1697)</f>
        <v>0.33670828028152755</v>
      </c>
      <c r="K6705">
        <f>1/(COUNT(SimData5000!$C$9:$C$5008)-1)+$K$6704</f>
        <v>0.33926785357072542</v>
      </c>
    </row>
    <row r="6706" spans="8:11">
      <c r="H6706">
        <f>SMALL(SimData5000!$B$9:$B$5008,1698)</f>
        <v>0.33942693224475418</v>
      </c>
      <c r="I6706">
        <f>1/(COUNT(SimData5000!$B$9:$B$5008)-1)+$I$6705</f>
        <v>0.33946789357872703</v>
      </c>
      <c r="J6706">
        <f>SMALL(SimData5000!$C$9:$C$5008,1698)</f>
        <v>0.33709003466719878</v>
      </c>
      <c r="K6706">
        <f>1/(COUNT(SimData5000!$C$9:$C$5008)-1)+$K$6705</f>
        <v>0.33946789357872703</v>
      </c>
    </row>
    <row r="6707" spans="8:11">
      <c r="H6707">
        <f>SMALL(SimData5000!$B$9:$B$5008,1699)</f>
        <v>0.33967176487061002</v>
      </c>
      <c r="I6707">
        <f>1/(COUNT(SimData5000!$B$9:$B$5008)-1)+$I$6706</f>
        <v>0.33966793358672864</v>
      </c>
      <c r="J6707">
        <f>SMALL(SimData5000!$C$9:$C$5008,1699)</f>
        <v>0.33717511072609341</v>
      </c>
      <c r="K6707">
        <f>1/(COUNT(SimData5000!$C$9:$C$5008)-1)+$K$6706</f>
        <v>0.33966793358672864</v>
      </c>
    </row>
    <row r="6708" spans="8:11">
      <c r="H6708">
        <f>SMALL(SimData5000!$B$9:$B$5008,1700)</f>
        <v>0.33996012504509654</v>
      </c>
      <c r="I6708">
        <f>1/(COUNT(SimData5000!$B$9:$B$5008)-1)+$I$6707</f>
        <v>0.33986797359473025</v>
      </c>
      <c r="J6708">
        <f>SMALL(SimData5000!$C$9:$C$5008,1700)</f>
        <v>0.33728762711507443</v>
      </c>
      <c r="K6708">
        <f>1/(COUNT(SimData5000!$C$9:$C$5008)-1)+$K$6707</f>
        <v>0.33986797359473025</v>
      </c>
    </row>
    <row r="6709" spans="8:11">
      <c r="H6709">
        <f>SMALL(SimData5000!$B$9:$B$5008,1701)</f>
        <v>0.34019245705865148</v>
      </c>
      <c r="I6709">
        <f>1/(COUNT(SimData5000!$B$9:$B$5008)-1)+$I$6708</f>
        <v>0.34006801360273187</v>
      </c>
      <c r="J6709">
        <f>SMALL(SimData5000!$C$9:$C$5008,1701)</f>
        <v>0.33738394733336463</v>
      </c>
      <c r="K6709">
        <f>1/(COUNT(SimData5000!$C$9:$C$5008)-1)+$K$6708</f>
        <v>0.34006801360273187</v>
      </c>
    </row>
    <row r="6710" spans="8:11">
      <c r="H6710">
        <f>SMALL(SimData5000!$B$9:$B$5008,1702)</f>
        <v>0.34035450011337048</v>
      </c>
      <c r="I6710">
        <f>1/(COUNT(SimData5000!$B$9:$B$5008)-1)+$I$6709</f>
        <v>0.34026805361073348</v>
      </c>
      <c r="J6710">
        <f>SMALL(SimData5000!$C$9:$C$5008,1702)</f>
        <v>0.33738922030715912</v>
      </c>
      <c r="K6710">
        <f>1/(COUNT(SimData5000!$C$9:$C$5008)-1)+$K$6709</f>
        <v>0.34026805361073348</v>
      </c>
    </row>
    <row r="6711" spans="8:11">
      <c r="H6711">
        <f>SMALL(SimData5000!$B$9:$B$5008,1703)</f>
        <v>0.34040198552226691</v>
      </c>
      <c r="I6711">
        <f>1/(COUNT(SimData5000!$B$9:$B$5008)-1)+$I$6710</f>
        <v>0.34046809361873509</v>
      </c>
      <c r="J6711">
        <f>SMALL(SimData5000!$C$9:$C$5008,1703)</f>
        <v>0.33780045005732973</v>
      </c>
      <c r="K6711">
        <f>1/(COUNT(SimData5000!$C$9:$C$5008)-1)+$K$6710</f>
        <v>0.34046809361873509</v>
      </c>
    </row>
    <row r="6712" spans="8:11">
      <c r="H6712">
        <f>SMALL(SimData5000!$B$9:$B$5008,1704)</f>
        <v>0.3406303749786761</v>
      </c>
      <c r="I6712">
        <f>1/(COUNT(SimData5000!$B$9:$B$5008)-1)+$I$6711</f>
        <v>0.3406681336267367</v>
      </c>
      <c r="J6712">
        <f>SMALL(SimData5000!$C$9:$C$5008,1704)</f>
        <v>0.3379516522081758</v>
      </c>
      <c r="K6712">
        <f>1/(COUNT(SimData5000!$C$9:$C$5008)-1)+$K$6711</f>
        <v>0.3406681336267367</v>
      </c>
    </row>
    <row r="6713" spans="8:11">
      <c r="H6713">
        <f>SMALL(SimData5000!$B$9:$B$5008,1705)</f>
        <v>0.34087352917056379</v>
      </c>
      <c r="I6713">
        <f>1/(COUNT(SimData5000!$B$9:$B$5008)-1)+$I$6712</f>
        <v>0.34086817363473831</v>
      </c>
      <c r="J6713">
        <f>SMALL(SimData5000!$C$9:$C$5008,1705)</f>
        <v>0.33798503765683563</v>
      </c>
      <c r="K6713">
        <f>1/(COUNT(SimData5000!$C$9:$C$5008)-1)+$K$6712</f>
        <v>0.34086817363473831</v>
      </c>
    </row>
    <row r="6714" spans="8:11">
      <c r="H6714">
        <f>SMALL(SimData5000!$B$9:$B$5008,1706)</f>
        <v>0.34105471374445007</v>
      </c>
      <c r="I6714">
        <f>1/(COUNT(SimData5000!$B$9:$B$5008)-1)+$I$6713</f>
        <v>0.34106821364273993</v>
      </c>
      <c r="J6714">
        <f>SMALL(SimData5000!$C$9:$C$5008,1706)</f>
        <v>0.33811707465611107</v>
      </c>
      <c r="K6714">
        <f>1/(COUNT(SimData5000!$C$9:$C$5008)-1)+$K$6713</f>
        <v>0.34106821364273993</v>
      </c>
    </row>
    <row r="6715" spans="8:11">
      <c r="H6715">
        <f>SMALL(SimData5000!$B$9:$B$5008,1707)</f>
        <v>0.34120982588930282</v>
      </c>
      <c r="I6715">
        <f>1/(COUNT(SimData5000!$B$9:$B$5008)-1)+$I$6714</f>
        <v>0.34126825365074154</v>
      </c>
      <c r="J6715">
        <f>SMALL(SimData5000!$C$9:$C$5008,1707)</f>
        <v>0.33813790483145567</v>
      </c>
      <c r="K6715">
        <f>1/(COUNT(SimData5000!$C$9:$C$5008)-1)+$K$6714</f>
        <v>0.34126825365074154</v>
      </c>
    </row>
    <row r="6716" spans="8:11">
      <c r="H6716">
        <f>SMALL(SimData5000!$B$9:$B$5008,1708)</f>
        <v>0.34152881265714041</v>
      </c>
      <c r="I6716">
        <f>1/(COUNT(SimData5000!$B$9:$B$5008)-1)+$I$6715</f>
        <v>0.34146829365874315</v>
      </c>
      <c r="J6716">
        <f>SMALL(SimData5000!$C$9:$C$5008,1708)</f>
        <v>0.33821471301325801</v>
      </c>
      <c r="K6716">
        <f>1/(COUNT(SimData5000!$C$9:$C$5008)-1)+$K$6715</f>
        <v>0.34146829365874315</v>
      </c>
    </row>
    <row r="6717" spans="8:11">
      <c r="H6717">
        <f>SMALL(SimData5000!$B$9:$B$5008,1709)</f>
        <v>0.34164479075089205</v>
      </c>
      <c r="I6717">
        <f>1/(COUNT(SimData5000!$B$9:$B$5008)-1)+$I$6716</f>
        <v>0.34166833366674476</v>
      </c>
      <c r="J6717">
        <f>SMALL(SimData5000!$C$9:$C$5008,1709)</f>
        <v>0.33825631019138314</v>
      </c>
      <c r="K6717">
        <f>1/(COUNT(SimData5000!$C$9:$C$5008)-1)+$K$6716</f>
        <v>0.34166833366674476</v>
      </c>
    </row>
    <row r="6718" spans="8:11">
      <c r="H6718">
        <f>SMALL(SimData5000!$B$9:$B$5008,1710)</f>
        <v>0.3419873902945284</v>
      </c>
      <c r="I6718">
        <f>1/(COUNT(SimData5000!$B$9:$B$5008)-1)+$I$6717</f>
        <v>0.34186837367474637</v>
      </c>
      <c r="J6718">
        <f>SMALL(SimData5000!$C$9:$C$5008,1710)</f>
        <v>0.33831218274553976</v>
      </c>
      <c r="K6718">
        <f>1/(COUNT(SimData5000!$C$9:$C$5008)-1)+$K$6717</f>
        <v>0.34186837367474637</v>
      </c>
    </row>
    <row r="6719" spans="8:11">
      <c r="H6719">
        <f>SMALL(SimData5000!$B$9:$B$5008,1711)</f>
        <v>0.34211496035547811</v>
      </c>
      <c r="I6719">
        <f>1/(COUNT(SimData5000!$B$9:$B$5008)-1)+$I$6718</f>
        <v>0.34206841368274798</v>
      </c>
      <c r="J6719">
        <f>SMALL(SimData5000!$C$9:$C$5008,1711)</f>
        <v>0.3383829050908389</v>
      </c>
      <c r="K6719">
        <f>1/(COUNT(SimData5000!$C$9:$C$5008)-1)+$K$6718</f>
        <v>0.34206841368274798</v>
      </c>
    </row>
    <row r="6720" spans="8:11">
      <c r="H6720">
        <f>SMALL(SimData5000!$B$9:$B$5008,1712)</f>
        <v>0.3422271098301809</v>
      </c>
      <c r="I6720">
        <f>1/(COUNT(SimData5000!$B$9:$B$5008)-1)+$I$6719</f>
        <v>0.3422684536907496</v>
      </c>
      <c r="J6720">
        <f>SMALL(SimData5000!$C$9:$C$5008,1712)</f>
        <v>0.33873433095777727</v>
      </c>
      <c r="K6720">
        <f>1/(COUNT(SimData5000!$C$9:$C$5008)-1)+$K$6719</f>
        <v>0.3422684536907496</v>
      </c>
    </row>
    <row r="6721" spans="8:11">
      <c r="H6721">
        <f>SMALL(SimData5000!$B$9:$B$5008,1713)</f>
        <v>0.34253943885051169</v>
      </c>
      <c r="I6721">
        <f>1/(COUNT(SimData5000!$B$9:$B$5008)-1)+$I$6720</f>
        <v>0.34246849369875121</v>
      </c>
      <c r="J6721">
        <f>SMALL(SimData5000!$C$9:$C$5008,1713)</f>
        <v>0.33886255708421231</v>
      </c>
      <c r="K6721">
        <f>1/(COUNT(SimData5000!$C$9:$C$5008)-1)+$K$6720</f>
        <v>0.34246849369875121</v>
      </c>
    </row>
    <row r="6722" spans="8:11">
      <c r="H6722">
        <f>SMALL(SimData5000!$B$9:$B$5008,1714)</f>
        <v>0.34279229585993859</v>
      </c>
      <c r="I6722">
        <f>1/(COUNT(SimData5000!$B$9:$B$5008)-1)+$I$6721</f>
        <v>0.34266853370675282</v>
      </c>
      <c r="J6722">
        <f>SMALL(SimData5000!$C$9:$C$5008,1714)</f>
        <v>0.33890946153132973</v>
      </c>
      <c r="K6722">
        <f>1/(COUNT(SimData5000!$C$9:$C$5008)-1)+$K$6721</f>
        <v>0.34266853370675282</v>
      </c>
    </row>
    <row r="6723" spans="8:11">
      <c r="H6723">
        <f>SMALL(SimData5000!$B$9:$B$5008,1715)</f>
        <v>0.34286121341112563</v>
      </c>
      <c r="I6723">
        <f>1/(COUNT(SimData5000!$B$9:$B$5008)-1)+$I$6722</f>
        <v>0.34286857371475443</v>
      </c>
      <c r="J6723">
        <f>SMALL(SimData5000!$C$9:$C$5008,1715)</f>
        <v>0.3390957743549734</v>
      </c>
      <c r="K6723">
        <f>1/(COUNT(SimData5000!$C$9:$C$5008)-1)+$K$6722</f>
        <v>0.34286857371475443</v>
      </c>
    </row>
    <row r="6724" spans="8:11">
      <c r="H6724">
        <f>SMALL(SimData5000!$B$9:$B$5008,1716)</f>
        <v>0.34304525637292427</v>
      </c>
      <c r="I6724">
        <f>1/(COUNT(SimData5000!$B$9:$B$5008)-1)+$I$6723</f>
        <v>0.34306861372275604</v>
      </c>
      <c r="J6724">
        <f>SMALL(SimData5000!$C$9:$C$5008,1716)</f>
        <v>0.33912171397605562</v>
      </c>
      <c r="K6724">
        <f>1/(COUNT(SimData5000!$C$9:$C$5008)-1)+$K$6723</f>
        <v>0.34306861372275604</v>
      </c>
    </row>
    <row r="6725" spans="8:11">
      <c r="H6725">
        <f>SMALL(SimData5000!$B$9:$B$5008,1717)</f>
        <v>0.34326930276869549</v>
      </c>
      <c r="I6725">
        <f>1/(COUNT(SimData5000!$B$9:$B$5008)-1)+$I$6724</f>
        <v>0.34326865373075766</v>
      </c>
      <c r="J6725">
        <f>SMALL(SimData5000!$C$9:$C$5008,1717)</f>
        <v>0.33916401701935683</v>
      </c>
      <c r="K6725">
        <f>1/(COUNT(SimData5000!$C$9:$C$5008)-1)+$K$6724</f>
        <v>0.34326865373075766</v>
      </c>
    </row>
    <row r="6726" spans="8:11">
      <c r="H6726">
        <f>SMALL(SimData5000!$B$9:$B$5008,1718)</f>
        <v>0.34350964253663774</v>
      </c>
      <c r="I6726">
        <f>1/(COUNT(SimData5000!$B$9:$B$5008)-1)+$I$6725</f>
        <v>0.34346869373875927</v>
      </c>
      <c r="J6726">
        <f>SMALL(SimData5000!$C$9:$C$5008,1718)</f>
        <v>0.33942898665281973</v>
      </c>
      <c r="K6726">
        <f>1/(COUNT(SimData5000!$C$9:$C$5008)-1)+$K$6725</f>
        <v>0.34346869373875927</v>
      </c>
    </row>
    <row r="6727" spans="8:11">
      <c r="H6727">
        <f>SMALL(SimData5000!$B$9:$B$5008,1719)</f>
        <v>0.3437398924202984</v>
      </c>
      <c r="I6727">
        <f>1/(COUNT(SimData5000!$B$9:$B$5008)-1)+$I$6726</f>
        <v>0.34366873374676088</v>
      </c>
      <c r="J6727">
        <f>SMALL(SimData5000!$C$9:$C$5008,1719)</f>
        <v>0.33957063399248</v>
      </c>
      <c r="K6727">
        <f>1/(COUNT(SimData5000!$C$9:$C$5008)-1)+$K$6726</f>
        <v>0.34366873374676088</v>
      </c>
    </row>
    <row r="6728" spans="8:11">
      <c r="H6728">
        <f>SMALL(SimData5000!$B$9:$B$5008,1720)</f>
        <v>0.34390337742546184</v>
      </c>
      <c r="I6728">
        <f>1/(COUNT(SimData5000!$B$9:$B$5008)-1)+$I$6727</f>
        <v>0.34386877375476249</v>
      </c>
      <c r="J6728">
        <f>SMALL(SimData5000!$C$9:$C$5008,1720)</f>
        <v>0.3403210011720148</v>
      </c>
      <c r="K6728">
        <f>1/(COUNT(SimData5000!$C$9:$C$5008)-1)+$K$6727</f>
        <v>0.34386877375476249</v>
      </c>
    </row>
    <row r="6729" spans="8:11">
      <c r="H6729">
        <f>SMALL(SimData5000!$B$9:$B$5008,1721)</f>
        <v>0.34406526025977574</v>
      </c>
      <c r="I6729">
        <f>1/(COUNT(SimData5000!$B$9:$B$5008)-1)+$I$6728</f>
        <v>0.3440688137627641</v>
      </c>
      <c r="J6729">
        <f>SMALL(SimData5000!$C$9:$C$5008,1721)</f>
        <v>0.34035137106911861</v>
      </c>
      <c r="K6729">
        <f>1/(COUNT(SimData5000!$C$9:$C$5008)-1)+$K$6728</f>
        <v>0.3440688137627641</v>
      </c>
    </row>
    <row r="6730" spans="8:11">
      <c r="H6730">
        <f>SMALL(SimData5000!$B$9:$B$5008,1722)</f>
        <v>0.34428171164460519</v>
      </c>
      <c r="I6730">
        <f>1/(COUNT(SimData5000!$B$9:$B$5008)-1)+$I$6729</f>
        <v>0.34426885377076571</v>
      </c>
      <c r="J6730">
        <f>SMALL(SimData5000!$C$9:$C$5008,1722)</f>
        <v>0.34063147620054224</v>
      </c>
      <c r="K6730">
        <f>1/(COUNT(SimData5000!$C$9:$C$5008)-1)+$K$6729</f>
        <v>0.34426885377076571</v>
      </c>
    </row>
    <row r="6731" spans="8:11">
      <c r="H6731">
        <f>SMALL(SimData5000!$B$9:$B$5008,1723)</f>
        <v>0.34457877634069389</v>
      </c>
      <c r="I6731">
        <f>1/(COUNT(SimData5000!$B$9:$B$5008)-1)+$I$6730</f>
        <v>0.34446889377876733</v>
      </c>
      <c r="J6731">
        <f>SMALL(SimData5000!$C$9:$C$5008,1723)</f>
        <v>0.34077273199909541</v>
      </c>
      <c r="K6731">
        <f>1/(COUNT(SimData5000!$C$9:$C$5008)-1)+$K$6730</f>
        <v>0.34446889377876733</v>
      </c>
    </row>
    <row r="6732" spans="8:11">
      <c r="H6732">
        <f>SMALL(SimData5000!$B$9:$B$5008,1724)</f>
        <v>0.34467739029034911</v>
      </c>
      <c r="I6732">
        <f>1/(COUNT(SimData5000!$B$9:$B$5008)-1)+$I$6731</f>
        <v>0.34466893378676894</v>
      </c>
      <c r="J6732">
        <f>SMALL(SimData5000!$C$9:$C$5008,1724)</f>
        <v>0.34108743839897215</v>
      </c>
      <c r="K6732">
        <f>1/(COUNT(SimData5000!$C$9:$C$5008)-1)+$K$6731</f>
        <v>0.34466893378676894</v>
      </c>
    </row>
    <row r="6733" spans="8:11">
      <c r="H6733">
        <f>SMALL(SimData5000!$B$9:$B$5008,1725)</f>
        <v>0.34487772137450001</v>
      </c>
      <c r="I6733">
        <f>1/(COUNT(SimData5000!$B$9:$B$5008)-1)+$I$6732</f>
        <v>0.34486897379477055</v>
      </c>
      <c r="J6733">
        <f>SMALL(SimData5000!$C$9:$C$5008,1725)</f>
        <v>0.34116886135871027</v>
      </c>
      <c r="K6733">
        <f>1/(COUNT(SimData5000!$C$9:$C$5008)-1)+$K$6732</f>
        <v>0.34486897379477055</v>
      </c>
    </row>
    <row r="6734" spans="8:11">
      <c r="H6734">
        <f>SMALL(SimData5000!$B$9:$B$5008,1726)</f>
        <v>0.34505541409157575</v>
      </c>
      <c r="I6734">
        <f>1/(COUNT(SimData5000!$B$9:$B$5008)-1)+$I$6733</f>
        <v>0.34506901380277216</v>
      </c>
      <c r="J6734">
        <f>SMALL(SimData5000!$C$9:$C$5008,1726)</f>
        <v>0.34172463686900301</v>
      </c>
      <c r="K6734">
        <f>1/(COUNT(SimData5000!$C$9:$C$5008)-1)+$K$6733</f>
        <v>0.34506901380277216</v>
      </c>
    </row>
    <row r="6735" spans="8:11">
      <c r="H6735">
        <f>SMALL(SimData5000!$B$9:$B$5008,1727)</f>
        <v>0.3453904985183362</v>
      </c>
      <c r="I6735">
        <f>1/(COUNT(SimData5000!$B$9:$B$5008)-1)+$I$6734</f>
        <v>0.34526905381077377</v>
      </c>
      <c r="J6735">
        <f>SMALL(SimData5000!$C$9:$C$5008,1727)</f>
        <v>0.34189944057561661</v>
      </c>
      <c r="K6735">
        <f>1/(COUNT(SimData5000!$C$9:$C$5008)-1)+$K$6734</f>
        <v>0.34526905381077377</v>
      </c>
    </row>
    <row r="6736" spans="8:11">
      <c r="H6736">
        <f>SMALL(SimData5000!$B$9:$B$5008,1728)</f>
        <v>0.34552040452219551</v>
      </c>
      <c r="I6736">
        <f>1/(COUNT(SimData5000!$B$9:$B$5008)-1)+$I$6735</f>
        <v>0.34546909381877539</v>
      </c>
      <c r="J6736">
        <f>SMALL(SimData5000!$C$9:$C$5008,1728)</f>
        <v>0.34237479202693066</v>
      </c>
      <c r="K6736">
        <f>1/(COUNT(SimData5000!$C$9:$C$5008)-1)+$K$6735</f>
        <v>0.34546909381877539</v>
      </c>
    </row>
    <row r="6737" spans="8:11">
      <c r="H6737">
        <f>SMALL(SimData5000!$B$9:$B$5008,1729)</f>
        <v>0.34560447864490668</v>
      </c>
      <c r="I6737">
        <f>1/(COUNT(SimData5000!$B$9:$B$5008)-1)+$I$6736</f>
        <v>0.345669133826777</v>
      </c>
      <c r="J6737">
        <f>SMALL(SimData5000!$C$9:$C$5008,1729)</f>
        <v>0.34242610035198595</v>
      </c>
      <c r="K6737">
        <f>1/(COUNT(SimData5000!$C$9:$C$5008)-1)+$K$6736</f>
        <v>0.345669133826777</v>
      </c>
    </row>
    <row r="6738" spans="8:11">
      <c r="H6738">
        <f>SMALL(SimData5000!$B$9:$B$5008,1730)</f>
        <v>0.34599983264300965</v>
      </c>
      <c r="I6738">
        <f>1/(COUNT(SimData5000!$B$9:$B$5008)-1)+$I$6737</f>
        <v>0.34586917383477861</v>
      </c>
      <c r="J6738">
        <f>SMALL(SimData5000!$C$9:$C$5008,1730)</f>
        <v>0.34245575773547898</v>
      </c>
      <c r="K6738">
        <f>1/(COUNT(SimData5000!$C$9:$C$5008)-1)+$K$6737</f>
        <v>0.34586917383477861</v>
      </c>
    </row>
    <row r="6739" spans="8:11">
      <c r="H6739">
        <f>SMALL(SimData5000!$B$9:$B$5008,1731)</f>
        <v>0.34603623941243539</v>
      </c>
      <c r="I6739">
        <f>1/(COUNT(SimData5000!$B$9:$B$5008)-1)+$I$6738</f>
        <v>0.34606921384278022</v>
      </c>
      <c r="J6739">
        <f>SMALL(SimData5000!$C$9:$C$5008,1731)</f>
        <v>0.34254279197830328</v>
      </c>
      <c r="K6739">
        <f>1/(COUNT(SimData5000!$C$9:$C$5008)-1)+$K$6738</f>
        <v>0.34606921384278022</v>
      </c>
    </row>
    <row r="6740" spans="8:11">
      <c r="H6740">
        <f>SMALL(SimData5000!$B$9:$B$5008,1732)</f>
        <v>0.34633471135379157</v>
      </c>
      <c r="I6740">
        <f>1/(COUNT(SimData5000!$B$9:$B$5008)-1)+$I$6739</f>
        <v>0.34626925385078183</v>
      </c>
      <c r="J6740">
        <f>SMALL(SimData5000!$C$9:$C$5008,1732)</f>
        <v>0.34287731660879217</v>
      </c>
      <c r="K6740">
        <f>1/(COUNT(SimData5000!$C$9:$C$5008)-1)+$K$6739</f>
        <v>0.34626925385078183</v>
      </c>
    </row>
    <row r="6741" spans="8:11">
      <c r="H6741">
        <f>SMALL(SimData5000!$B$9:$B$5008,1733)</f>
        <v>0.34656696133398612</v>
      </c>
      <c r="I6741">
        <f>1/(COUNT(SimData5000!$B$9:$B$5008)-1)+$I$6740</f>
        <v>0.34646929385878344</v>
      </c>
      <c r="J6741">
        <f>SMALL(SimData5000!$C$9:$C$5008,1733)</f>
        <v>0.34300044149586029</v>
      </c>
      <c r="K6741">
        <f>1/(COUNT(SimData5000!$C$9:$C$5008)-1)+$K$6740</f>
        <v>0.34646929385878344</v>
      </c>
    </row>
    <row r="6742" spans="8:11">
      <c r="H6742">
        <f>SMALL(SimData5000!$B$9:$B$5008,1734)</f>
        <v>0.34669036094515826</v>
      </c>
      <c r="I6742">
        <f>1/(COUNT(SimData5000!$B$9:$B$5008)-1)+$I$6741</f>
        <v>0.34666933386678506</v>
      </c>
      <c r="J6742">
        <f>SMALL(SimData5000!$C$9:$C$5008,1734)</f>
        <v>0.34312779811443761</v>
      </c>
      <c r="K6742">
        <f>1/(COUNT(SimData5000!$C$9:$C$5008)-1)+$K$6741</f>
        <v>0.34666933386678506</v>
      </c>
    </row>
    <row r="6743" spans="8:11">
      <c r="H6743">
        <f>SMALL(SimData5000!$B$9:$B$5008,1735)</f>
        <v>0.34687765806198068</v>
      </c>
      <c r="I6743">
        <f>1/(COUNT(SimData5000!$B$9:$B$5008)-1)+$I$6742</f>
        <v>0.34686937387478667</v>
      </c>
      <c r="J6743">
        <f>SMALL(SimData5000!$C$9:$C$5008,1735)</f>
        <v>0.34315223165503994</v>
      </c>
      <c r="K6743">
        <f>1/(COUNT(SimData5000!$C$9:$C$5008)-1)+$K$6742</f>
        <v>0.34686937387478667</v>
      </c>
    </row>
    <row r="6744" spans="8:11">
      <c r="H6744">
        <f>SMALL(SimData5000!$B$9:$B$5008,1736)</f>
        <v>0.34710443416170417</v>
      </c>
      <c r="I6744">
        <f>1/(COUNT(SimData5000!$B$9:$B$5008)-1)+$I$6743</f>
        <v>0.34706941388278828</v>
      </c>
      <c r="J6744">
        <f>SMALL(SimData5000!$C$9:$C$5008,1736)</f>
        <v>0.34317426069083012</v>
      </c>
      <c r="K6744">
        <f>1/(COUNT(SimData5000!$C$9:$C$5008)-1)+$K$6743</f>
        <v>0.34706941388278828</v>
      </c>
    </row>
    <row r="6745" spans="8:11">
      <c r="H6745">
        <f>SMALL(SimData5000!$B$9:$B$5008,1737)</f>
        <v>0.34721617323849729</v>
      </c>
      <c r="I6745">
        <f>1/(COUNT(SimData5000!$B$9:$B$5008)-1)+$I$6744</f>
        <v>0.34726945389078989</v>
      </c>
      <c r="J6745">
        <f>SMALL(SimData5000!$C$9:$C$5008,1737)</f>
        <v>0.34341162355940469</v>
      </c>
      <c r="K6745">
        <f>1/(COUNT(SimData5000!$C$9:$C$5008)-1)+$K$6744</f>
        <v>0.34726945389078989</v>
      </c>
    </row>
    <row r="6746" spans="8:11">
      <c r="H6746">
        <f>SMALL(SimData5000!$B$9:$B$5008,1738)</f>
        <v>0.34746388300174469</v>
      </c>
      <c r="I6746">
        <f>1/(COUNT(SimData5000!$B$9:$B$5008)-1)+$I$6745</f>
        <v>0.3474694938987915</v>
      </c>
      <c r="J6746">
        <f>SMALL(SimData5000!$C$9:$C$5008,1738)</f>
        <v>0.3438234602645025</v>
      </c>
      <c r="K6746">
        <f>1/(COUNT(SimData5000!$C$9:$C$5008)-1)+$K$6745</f>
        <v>0.3474694938987915</v>
      </c>
    </row>
    <row r="6747" spans="8:11">
      <c r="H6747">
        <f>SMALL(SimData5000!$B$9:$B$5008,1739)</f>
        <v>0.34764936483713088</v>
      </c>
      <c r="I6747">
        <f>1/(COUNT(SimData5000!$B$9:$B$5008)-1)+$I$6746</f>
        <v>0.34766953390679312</v>
      </c>
      <c r="J6747">
        <f>SMALL(SimData5000!$C$9:$C$5008,1739)</f>
        <v>0.34390031360544526</v>
      </c>
      <c r="K6747">
        <f>1/(COUNT(SimData5000!$C$9:$C$5008)-1)+$K$6746</f>
        <v>0.34766953390679312</v>
      </c>
    </row>
    <row r="6748" spans="8:11">
      <c r="H6748">
        <f>SMALL(SimData5000!$B$9:$B$5008,1740)</f>
        <v>0.34792983636114044</v>
      </c>
      <c r="I6748">
        <f>1/(COUNT(SimData5000!$B$9:$B$5008)-1)+$I$6747</f>
        <v>0.34786957391479473</v>
      </c>
      <c r="J6748">
        <f>SMALL(SimData5000!$C$9:$C$5008,1740)</f>
        <v>0.34391030637107178</v>
      </c>
      <c r="K6748">
        <f>1/(COUNT(SimData5000!$C$9:$C$5008)-1)+$K$6747</f>
        <v>0.34786957391479473</v>
      </c>
    </row>
    <row r="6749" spans="8:11">
      <c r="H6749">
        <f>SMALL(SimData5000!$B$9:$B$5008,1741)</f>
        <v>0.34807679324049429</v>
      </c>
      <c r="I6749">
        <f>1/(COUNT(SimData5000!$B$9:$B$5008)-1)+$I$6748</f>
        <v>0.34806961392279634</v>
      </c>
      <c r="J6749">
        <f>SMALL(SimData5000!$C$9:$C$5008,1741)</f>
        <v>0.34393213380099041</v>
      </c>
      <c r="K6749">
        <f>1/(COUNT(SimData5000!$C$9:$C$5008)-1)+$K$6748</f>
        <v>0.34806961392279634</v>
      </c>
    </row>
    <row r="6750" spans="8:11">
      <c r="H6750">
        <f>SMALL(SimData5000!$B$9:$B$5008,1742)</f>
        <v>0.34832941601740419</v>
      </c>
      <c r="I6750">
        <f>1/(COUNT(SimData5000!$B$9:$B$5008)-1)+$I$6749</f>
        <v>0.34826965393079795</v>
      </c>
      <c r="J6750">
        <f>SMALL(SimData5000!$C$9:$C$5008,1742)</f>
        <v>0.34429170449402591</v>
      </c>
      <c r="K6750">
        <f>1/(COUNT(SimData5000!$C$9:$C$5008)-1)+$K$6749</f>
        <v>0.34826965393079795</v>
      </c>
    </row>
    <row r="6751" spans="8:11">
      <c r="H6751">
        <f>SMALL(SimData5000!$B$9:$B$5008,1743)</f>
        <v>0.34852800794270072</v>
      </c>
      <c r="I6751">
        <f>1/(COUNT(SimData5000!$B$9:$B$5008)-1)+$I$6750</f>
        <v>0.34846969393879956</v>
      </c>
      <c r="J6751">
        <f>SMALL(SimData5000!$C$9:$C$5008,1743)</f>
        <v>0.34430182267169585</v>
      </c>
      <c r="K6751">
        <f>1/(COUNT(SimData5000!$C$9:$C$5008)-1)+$K$6750</f>
        <v>0.34846969393879956</v>
      </c>
    </row>
    <row r="6752" spans="8:11">
      <c r="H6752">
        <f>SMALL(SimData5000!$B$9:$B$5008,1744)</f>
        <v>0.34863759265854899</v>
      </c>
      <c r="I6752">
        <f>1/(COUNT(SimData5000!$B$9:$B$5008)-1)+$I$6751</f>
        <v>0.34866973394680117</v>
      </c>
      <c r="J6752">
        <f>SMALL(SimData5000!$C$9:$C$5008,1744)</f>
        <v>0.34432842472506309</v>
      </c>
      <c r="K6752">
        <f>1/(COUNT(SimData5000!$C$9:$C$5008)-1)+$K$6751</f>
        <v>0.34866973394680117</v>
      </c>
    </row>
    <row r="6753" spans="8:11">
      <c r="H6753">
        <f>SMALL(SimData5000!$B$9:$B$5008,1745)</f>
        <v>0.34890747464390176</v>
      </c>
      <c r="I6753">
        <f>1/(COUNT(SimData5000!$B$9:$B$5008)-1)+$I$6752</f>
        <v>0.34886977395480279</v>
      </c>
      <c r="J6753">
        <f>SMALL(SimData5000!$C$9:$C$5008,1745)</f>
        <v>0.3446611895242313</v>
      </c>
      <c r="K6753">
        <f>1/(COUNT(SimData5000!$C$9:$C$5008)-1)+$K$6752</f>
        <v>0.34886977395480279</v>
      </c>
    </row>
    <row r="6754" spans="8:11">
      <c r="H6754">
        <f>SMALL(SimData5000!$B$9:$B$5008,1746)</f>
        <v>0.34901504178126691</v>
      </c>
      <c r="I6754">
        <f>1/(COUNT(SimData5000!$B$9:$B$5008)-1)+$I$6753</f>
        <v>0.3490698139628044</v>
      </c>
      <c r="J6754">
        <f>SMALL(SimData5000!$C$9:$C$5008,1746)</f>
        <v>0.3448124053529682</v>
      </c>
      <c r="K6754">
        <f>1/(COUNT(SimData5000!$C$9:$C$5008)-1)+$K$6753</f>
        <v>0.3490698139628044</v>
      </c>
    </row>
    <row r="6755" spans="8:11">
      <c r="H6755">
        <f>SMALL(SimData5000!$B$9:$B$5008,1747)</f>
        <v>0.34939954842980941</v>
      </c>
      <c r="I6755">
        <f>1/(COUNT(SimData5000!$B$9:$B$5008)-1)+$I$6754</f>
        <v>0.34926985397080601</v>
      </c>
      <c r="J6755">
        <f>SMALL(SimData5000!$C$9:$C$5008,1747)</f>
        <v>0.3455997376859159</v>
      </c>
      <c r="K6755">
        <f>1/(COUNT(SimData5000!$C$9:$C$5008)-1)+$K$6754</f>
        <v>0.34926985397080601</v>
      </c>
    </row>
    <row r="6756" spans="8:11">
      <c r="H6756">
        <f>SMALL(SimData5000!$B$9:$B$5008,1748)</f>
        <v>0.34955040744881855</v>
      </c>
      <c r="I6756">
        <f>1/(COUNT(SimData5000!$B$9:$B$5008)-1)+$I$6755</f>
        <v>0.34946989397880762</v>
      </c>
      <c r="J6756">
        <f>SMALL(SimData5000!$C$9:$C$5008,1748)</f>
        <v>0.34560943750693696</v>
      </c>
      <c r="K6756">
        <f>1/(COUNT(SimData5000!$C$9:$C$5008)-1)+$K$6755</f>
        <v>0.34946989397880762</v>
      </c>
    </row>
    <row r="6757" spans="8:11">
      <c r="H6757">
        <f>SMALL(SimData5000!$B$9:$B$5008,1749)</f>
        <v>0.34970138695158559</v>
      </c>
      <c r="I6757">
        <f>1/(COUNT(SimData5000!$B$9:$B$5008)-1)+$I$6756</f>
        <v>0.34966993398680923</v>
      </c>
      <c r="J6757">
        <f>SMALL(SimData5000!$C$9:$C$5008,1749)</f>
        <v>0.34568028430385311</v>
      </c>
      <c r="K6757">
        <f>1/(COUNT(SimData5000!$C$9:$C$5008)-1)+$K$6756</f>
        <v>0.34966993398680923</v>
      </c>
    </row>
    <row r="6758" spans="8:11">
      <c r="H6758">
        <f>SMALL(SimData5000!$B$9:$B$5008,1750)</f>
        <v>0.34993872549006216</v>
      </c>
      <c r="I6758">
        <f>1/(COUNT(SimData5000!$B$9:$B$5008)-1)+$I$6757</f>
        <v>0.34986997399481085</v>
      </c>
      <c r="J6758">
        <f>SMALL(SimData5000!$C$9:$C$5008,1750)</f>
        <v>0.34574031297779584</v>
      </c>
      <c r="K6758">
        <f>1/(COUNT(SimData5000!$C$9:$C$5008)-1)+$K$6757</f>
        <v>0.34986997399481085</v>
      </c>
    </row>
    <row r="6759" spans="8:11">
      <c r="H6759">
        <f>SMALL(SimData5000!$B$9:$B$5008,1751)</f>
        <v>0.35007895655065752</v>
      </c>
      <c r="I6759">
        <f>1/(COUNT(SimData5000!$B$9:$B$5008)-1)+$I$6758</f>
        <v>0.35007001400281246</v>
      </c>
      <c r="J6759">
        <f>SMALL(SimData5000!$C$9:$C$5008,1751)</f>
        <v>0.34583272004419996</v>
      </c>
      <c r="K6759">
        <f>1/(COUNT(SimData5000!$C$9:$C$5008)-1)+$K$6758</f>
        <v>0.35007001400281246</v>
      </c>
    </row>
    <row r="6760" spans="8:11">
      <c r="H6760">
        <f>SMALL(SimData5000!$B$9:$B$5008,1752)</f>
        <v>0.35023141808799269</v>
      </c>
      <c r="I6760">
        <f>1/(COUNT(SimData5000!$B$9:$B$5008)-1)+$I$6759</f>
        <v>0.35027005401081407</v>
      </c>
      <c r="J6760">
        <f>SMALL(SimData5000!$C$9:$C$5008,1752)</f>
        <v>0.34585624168539653</v>
      </c>
      <c r="K6760">
        <f>1/(COUNT(SimData5000!$C$9:$C$5008)-1)+$K$6759</f>
        <v>0.35027005401081407</v>
      </c>
    </row>
    <row r="6761" spans="8:11">
      <c r="H6761">
        <f>SMALL(SimData5000!$B$9:$B$5008,1753)</f>
        <v>0.3504412597995813</v>
      </c>
      <c r="I6761">
        <f>1/(COUNT(SimData5000!$B$9:$B$5008)-1)+$I$6760</f>
        <v>0.35047009401881568</v>
      </c>
      <c r="J6761">
        <f>SMALL(SimData5000!$C$9:$C$5008,1753)</f>
        <v>0.34594987669152033</v>
      </c>
      <c r="K6761">
        <f>1/(COUNT(SimData5000!$C$9:$C$5008)-1)+$K$6760</f>
        <v>0.35047009401881568</v>
      </c>
    </row>
    <row r="6762" spans="8:11">
      <c r="H6762">
        <f>SMALL(SimData5000!$B$9:$B$5008,1754)</f>
        <v>0.35060256665777473</v>
      </c>
      <c r="I6762">
        <f>1/(COUNT(SimData5000!$B$9:$B$5008)-1)+$I$6761</f>
        <v>0.35067013402681729</v>
      </c>
      <c r="J6762">
        <f>SMALL(SimData5000!$C$9:$C$5008,1754)</f>
        <v>0.34609274495869613</v>
      </c>
      <c r="K6762">
        <f>1/(COUNT(SimData5000!$C$9:$C$5008)-1)+$K$6761</f>
        <v>0.35067013402681729</v>
      </c>
    </row>
    <row r="6763" spans="8:11">
      <c r="H6763">
        <f>SMALL(SimData5000!$B$9:$B$5008,1755)</f>
        <v>0.3509444501189386</v>
      </c>
      <c r="I6763">
        <f>1/(COUNT(SimData5000!$B$9:$B$5008)-1)+$I$6762</f>
        <v>0.3508701740348189</v>
      </c>
      <c r="J6763">
        <f>SMALL(SimData5000!$C$9:$C$5008,1755)</f>
        <v>0.34616213432946097</v>
      </c>
      <c r="K6763">
        <f>1/(COUNT(SimData5000!$C$9:$C$5008)-1)+$K$6762</f>
        <v>0.3508701740348189</v>
      </c>
    </row>
    <row r="6764" spans="8:11">
      <c r="H6764">
        <f>SMALL(SimData5000!$B$9:$B$5008,1756)</f>
        <v>0.3510612709617385</v>
      </c>
      <c r="I6764">
        <f>1/(COUNT(SimData5000!$B$9:$B$5008)-1)+$I$6763</f>
        <v>0.35107021404282052</v>
      </c>
      <c r="J6764">
        <f>SMALL(SimData5000!$C$9:$C$5008,1756)</f>
        <v>0.34629666637010814</v>
      </c>
      <c r="K6764">
        <f>1/(COUNT(SimData5000!$C$9:$C$5008)-1)+$K$6763</f>
        <v>0.35107021404282052</v>
      </c>
    </row>
    <row r="6765" spans="8:11">
      <c r="H6765">
        <f>SMALL(SimData5000!$B$9:$B$5008,1757)</f>
        <v>0.35130978038588301</v>
      </c>
      <c r="I6765">
        <f>1/(COUNT(SimData5000!$B$9:$B$5008)-1)+$I$6764</f>
        <v>0.35127025405082213</v>
      </c>
      <c r="J6765">
        <f>SMALL(SimData5000!$C$9:$C$5008,1757)</f>
        <v>0.34647402704467822</v>
      </c>
      <c r="K6765">
        <f>1/(COUNT(SimData5000!$C$9:$C$5008)-1)+$K$6764</f>
        <v>0.35127025405082213</v>
      </c>
    </row>
    <row r="6766" spans="8:11">
      <c r="H6766">
        <f>SMALL(SimData5000!$B$9:$B$5008,1758)</f>
        <v>0.35148403091549035</v>
      </c>
      <c r="I6766">
        <f>1/(COUNT(SimData5000!$B$9:$B$5008)-1)+$I$6765</f>
        <v>0.35147029405882374</v>
      </c>
      <c r="J6766">
        <f>SMALL(SimData5000!$C$9:$C$5008,1758)</f>
        <v>0.34653210458873218</v>
      </c>
      <c r="K6766">
        <f>1/(COUNT(SimData5000!$C$9:$C$5008)-1)+$K$6765</f>
        <v>0.35147029405882374</v>
      </c>
    </row>
    <row r="6767" spans="8:11">
      <c r="H6767">
        <f>SMALL(SimData5000!$B$9:$B$5008,1759)</f>
        <v>0.35162398494887726</v>
      </c>
      <c r="I6767">
        <f>1/(COUNT(SimData5000!$B$9:$B$5008)-1)+$I$6766</f>
        <v>0.35167033406682535</v>
      </c>
      <c r="J6767">
        <f>SMALL(SimData5000!$C$9:$C$5008,1759)</f>
        <v>0.34680162713084428</v>
      </c>
      <c r="K6767">
        <f>1/(COUNT(SimData5000!$C$9:$C$5008)-1)+$K$6766</f>
        <v>0.35167033406682535</v>
      </c>
    </row>
    <row r="6768" spans="8:11">
      <c r="H6768">
        <f>SMALL(SimData5000!$B$9:$B$5008,1760)</f>
        <v>0.351820677118241</v>
      </c>
      <c r="I6768">
        <f>1/(COUNT(SimData5000!$B$9:$B$5008)-1)+$I$6767</f>
        <v>0.35187037407482696</v>
      </c>
      <c r="J6768">
        <f>SMALL(SimData5000!$C$9:$C$5008,1760)</f>
        <v>0.34775204132893123</v>
      </c>
      <c r="K6768">
        <f>1/(COUNT(SimData5000!$C$9:$C$5008)-1)+$K$6767</f>
        <v>0.35187037407482696</v>
      </c>
    </row>
    <row r="6769" spans="8:11">
      <c r="H6769">
        <f>SMALL(SimData5000!$B$9:$B$5008,1761)</f>
        <v>0.35200202602753461</v>
      </c>
      <c r="I6769">
        <f>1/(COUNT(SimData5000!$B$9:$B$5008)-1)+$I$6768</f>
        <v>0.35207041408282858</v>
      </c>
      <c r="J6769">
        <f>SMALL(SimData5000!$C$9:$C$5008,1761)</f>
        <v>0.34802411759028473</v>
      </c>
      <c r="K6769">
        <f>1/(COUNT(SimData5000!$C$9:$C$5008)-1)+$K$6768</f>
        <v>0.35207041408282858</v>
      </c>
    </row>
    <row r="6770" spans="8:11">
      <c r="H6770">
        <f>SMALL(SimData5000!$B$9:$B$5008,1762)</f>
        <v>0.35222729067863601</v>
      </c>
      <c r="I6770">
        <f>1/(COUNT(SimData5000!$B$9:$B$5008)-1)+$I$6769</f>
        <v>0.35227045409083019</v>
      </c>
      <c r="J6770">
        <f>SMALL(SimData5000!$C$9:$C$5008,1762)</f>
        <v>0.34812018805860134</v>
      </c>
      <c r="K6770">
        <f>1/(COUNT(SimData5000!$C$9:$C$5008)-1)+$K$6769</f>
        <v>0.35227045409083019</v>
      </c>
    </row>
    <row r="6771" spans="8:11">
      <c r="H6771">
        <f>SMALL(SimData5000!$B$9:$B$5008,1763)</f>
        <v>0.35247691718597823</v>
      </c>
      <c r="I6771">
        <f>1/(COUNT(SimData5000!$B$9:$B$5008)-1)+$I$6770</f>
        <v>0.3524704940988318</v>
      </c>
      <c r="J6771">
        <f>SMALL(SimData5000!$C$9:$C$5008,1763)</f>
        <v>0.3483894855962717</v>
      </c>
      <c r="K6771">
        <f>1/(COUNT(SimData5000!$C$9:$C$5008)-1)+$K$6770</f>
        <v>0.3524704940988318</v>
      </c>
    </row>
    <row r="6772" spans="8:11">
      <c r="H6772">
        <f>SMALL(SimData5000!$B$9:$B$5008,1764)</f>
        <v>0.35275536856789963</v>
      </c>
      <c r="I6772">
        <f>1/(COUNT(SimData5000!$B$9:$B$5008)-1)+$I$6771</f>
        <v>0.35267053410683341</v>
      </c>
      <c r="J6772">
        <f>SMALL(SimData5000!$C$9:$C$5008,1764)</f>
        <v>0.34886122949501441</v>
      </c>
      <c r="K6772">
        <f>1/(COUNT(SimData5000!$C$9:$C$5008)-1)+$K$6771</f>
        <v>0.35267053410683341</v>
      </c>
    </row>
    <row r="6773" spans="8:11">
      <c r="H6773">
        <f>SMALL(SimData5000!$B$9:$B$5008,1765)</f>
        <v>0.35297648491938055</v>
      </c>
      <c r="I6773">
        <f>1/(COUNT(SimData5000!$B$9:$B$5008)-1)+$I$6772</f>
        <v>0.35287057411483502</v>
      </c>
      <c r="J6773">
        <f>SMALL(SimData5000!$C$9:$C$5008,1765)</f>
        <v>0.3492620882771007</v>
      </c>
      <c r="K6773">
        <f>1/(COUNT(SimData5000!$C$9:$C$5008)-1)+$K$6772</f>
        <v>0.35287057411483502</v>
      </c>
    </row>
    <row r="6774" spans="8:11">
      <c r="H6774">
        <f>SMALL(SimData5000!$B$9:$B$5008,1766)</f>
        <v>0.35312453716516601</v>
      </c>
      <c r="I6774">
        <f>1/(COUNT(SimData5000!$B$9:$B$5008)-1)+$I$6773</f>
        <v>0.35307061412283663</v>
      </c>
      <c r="J6774">
        <f>SMALL(SimData5000!$C$9:$C$5008,1766)</f>
        <v>0.34962182236085937</v>
      </c>
      <c r="K6774">
        <f>1/(COUNT(SimData5000!$C$9:$C$5008)-1)+$K$6773</f>
        <v>0.35307061412283663</v>
      </c>
    </row>
    <row r="6775" spans="8:11">
      <c r="H6775">
        <f>SMALL(SimData5000!$B$9:$B$5008,1767)</f>
        <v>0.35330227635253741</v>
      </c>
      <c r="I6775">
        <f>1/(COUNT(SimData5000!$B$9:$B$5008)-1)+$I$6774</f>
        <v>0.35327065413083825</v>
      </c>
      <c r="J6775">
        <f>SMALL(SimData5000!$C$9:$C$5008,1767)</f>
        <v>0.34972462589032105</v>
      </c>
      <c r="K6775">
        <f>1/(COUNT(SimData5000!$C$9:$C$5008)-1)+$K$6774</f>
        <v>0.35327065413083825</v>
      </c>
    </row>
    <row r="6776" spans="8:11">
      <c r="H6776">
        <f>SMALL(SimData5000!$B$9:$B$5008,1768)</f>
        <v>0.35342867775392456</v>
      </c>
      <c r="I6776">
        <f>1/(COUNT(SimData5000!$B$9:$B$5008)-1)+$I$6775</f>
        <v>0.35347069413883986</v>
      </c>
      <c r="J6776">
        <f>SMALL(SimData5000!$C$9:$C$5008,1768)</f>
        <v>0.35001355967506242</v>
      </c>
      <c r="K6776">
        <f>1/(COUNT(SimData5000!$C$9:$C$5008)-1)+$K$6775</f>
        <v>0.35347069413883986</v>
      </c>
    </row>
    <row r="6777" spans="8:11">
      <c r="H6777">
        <f>SMALL(SimData5000!$B$9:$B$5008,1769)</f>
        <v>0.35377234380547246</v>
      </c>
      <c r="I6777">
        <f>1/(COUNT(SimData5000!$B$9:$B$5008)-1)+$I$6776</f>
        <v>0.35367073414684147</v>
      </c>
      <c r="J6777">
        <f>SMALL(SimData5000!$C$9:$C$5008,1769)</f>
        <v>0.35002074335170619</v>
      </c>
      <c r="K6777">
        <f>1/(COUNT(SimData5000!$C$9:$C$5008)-1)+$K$6776</f>
        <v>0.35367073414684147</v>
      </c>
    </row>
    <row r="6778" spans="8:11">
      <c r="H6778">
        <f>SMALL(SimData5000!$B$9:$B$5008,1770)</f>
        <v>0.35386393338089434</v>
      </c>
      <c r="I6778">
        <f>1/(COUNT(SimData5000!$B$9:$B$5008)-1)+$I$6777</f>
        <v>0.35387077415484308</v>
      </c>
      <c r="J6778">
        <f>SMALL(SimData5000!$C$9:$C$5008,1770)</f>
        <v>0.35027910425742448</v>
      </c>
      <c r="K6778">
        <f>1/(COUNT(SimData5000!$C$9:$C$5008)-1)+$K$6777</f>
        <v>0.35387077415484308</v>
      </c>
    </row>
    <row r="6779" spans="8:11">
      <c r="H6779">
        <f>SMALL(SimData5000!$B$9:$B$5008,1771)</f>
        <v>0.35413305461931344</v>
      </c>
      <c r="I6779">
        <f>1/(COUNT(SimData5000!$B$9:$B$5008)-1)+$I$6778</f>
        <v>0.35407081416284469</v>
      </c>
      <c r="J6779">
        <f>SMALL(SimData5000!$C$9:$C$5008,1771)</f>
        <v>0.35038256115149125</v>
      </c>
      <c r="K6779">
        <f>1/(COUNT(SimData5000!$C$9:$C$5008)-1)+$K$6778</f>
        <v>0.35407081416284469</v>
      </c>
    </row>
    <row r="6780" spans="8:11">
      <c r="H6780">
        <f>SMALL(SimData5000!$B$9:$B$5008,1772)</f>
        <v>0.35433569805983822</v>
      </c>
      <c r="I6780">
        <f>1/(COUNT(SimData5000!$B$9:$B$5008)-1)+$I$6779</f>
        <v>0.35427085417084631</v>
      </c>
      <c r="J6780">
        <f>SMALL(SimData5000!$C$9:$C$5008,1772)</f>
        <v>0.35051066202140646</v>
      </c>
      <c r="K6780">
        <f>1/(COUNT(SimData5000!$C$9:$C$5008)-1)+$K$6779</f>
        <v>0.35427085417084631</v>
      </c>
    </row>
    <row r="6781" spans="8:11">
      <c r="H6781">
        <f>SMALL(SimData5000!$B$9:$B$5008,1773)</f>
        <v>0.35451881074973352</v>
      </c>
      <c r="I6781">
        <f>1/(COUNT(SimData5000!$B$9:$B$5008)-1)+$I$6780</f>
        <v>0.35447089417884792</v>
      </c>
      <c r="J6781">
        <f>SMALL(SimData5000!$C$9:$C$5008,1773)</f>
        <v>0.35083063230285916</v>
      </c>
      <c r="K6781">
        <f>1/(COUNT(SimData5000!$C$9:$C$5008)-1)+$K$6780</f>
        <v>0.35447089417884792</v>
      </c>
    </row>
    <row r="6782" spans="8:11">
      <c r="H6782">
        <f>SMALL(SimData5000!$B$9:$B$5008,1774)</f>
        <v>0.35475026543176502</v>
      </c>
      <c r="I6782">
        <f>1/(COUNT(SimData5000!$B$9:$B$5008)-1)+$I$6781</f>
        <v>0.35467093418684953</v>
      </c>
      <c r="J6782">
        <f>SMALL(SimData5000!$C$9:$C$5008,1774)</f>
        <v>0.35126532414324174</v>
      </c>
      <c r="K6782">
        <f>1/(COUNT(SimData5000!$C$9:$C$5008)-1)+$K$6781</f>
        <v>0.35467093418684953</v>
      </c>
    </row>
    <row r="6783" spans="8:11">
      <c r="H6783">
        <f>SMALL(SimData5000!$B$9:$B$5008,1775)</f>
        <v>0.35483615692575371</v>
      </c>
      <c r="I6783">
        <f>1/(COUNT(SimData5000!$B$9:$B$5008)-1)+$I$6782</f>
        <v>0.35487097419485114</v>
      </c>
      <c r="J6783">
        <f>SMALL(SimData5000!$C$9:$C$5008,1775)</f>
        <v>0.3513833145298122</v>
      </c>
      <c r="K6783">
        <f>1/(COUNT(SimData5000!$C$9:$C$5008)-1)+$K$6782</f>
        <v>0.35487097419485114</v>
      </c>
    </row>
    <row r="6784" spans="8:11">
      <c r="H6784">
        <f>SMALL(SimData5000!$B$9:$B$5008,1776)</f>
        <v>0.35513070574093858</v>
      </c>
      <c r="I6784">
        <f>1/(COUNT(SimData5000!$B$9:$B$5008)-1)+$I$6783</f>
        <v>0.35507101420285275</v>
      </c>
      <c r="J6784">
        <f>SMALL(SimData5000!$C$9:$C$5008,1776)</f>
        <v>0.35157746376444265</v>
      </c>
      <c r="K6784">
        <f>1/(COUNT(SimData5000!$C$9:$C$5008)-1)+$K$6783</f>
        <v>0.35507101420285275</v>
      </c>
    </row>
    <row r="6785" spans="8:11">
      <c r="H6785">
        <f>SMALL(SimData5000!$B$9:$B$5008,1777)</f>
        <v>0.35520027771373286</v>
      </c>
      <c r="I6785">
        <f>1/(COUNT(SimData5000!$B$9:$B$5008)-1)+$I$6784</f>
        <v>0.35527105421085436</v>
      </c>
      <c r="J6785">
        <f>SMALL(SimData5000!$C$9:$C$5008,1777)</f>
        <v>0.35198507987843186</v>
      </c>
      <c r="K6785">
        <f>1/(COUNT(SimData5000!$C$9:$C$5008)-1)+$K$6784</f>
        <v>0.35527105421085436</v>
      </c>
    </row>
    <row r="6786" spans="8:11">
      <c r="H6786">
        <f>SMALL(SimData5000!$B$9:$B$5008,1778)</f>
        <v>0.35555343771990239</v>
      </c>
      <c r="I6786">
        <f>1/(COUNT(SimData5000!$B$9:$B$5008)-1)+$I$6785</f>
        <v>0.35547109421885598</v>
      </c>
      <c r="J6786">
        <f>SMALL(SimData5000!$C$9:$C$5008,1778)</f>
        <v>0.35199272218233091</v>
      </c>
      <c r="K6786">
        <f>1/(COUNT(SimData5000!$C$9:$C$5008)-1)+$K$6785</f>
        <v>0.35547109421885598</v>
      </c>
    </row>
    <row r="6787" spans="8:11">
      <c r="H6787">
        <f>SMALL(SimData5000!$B$9:$B$5008,1779)</f>
        <v>0.35569130403587856</v>
      </c>
      <c r="I6787">
        <f>1/(COUNT(SimData5000!$B$9:$B$5008)-1)+$I$6786</f>
        <v>0.35567113422685759</v>
      </c>
      <c r="J6787">
        <f>SMALL(SimData5000!$C$9:$C$5008,1779)</f>
        <v>0.35214378477212449</v>
      </c>
      <c r="K6787">
        <f>1/(COUNT(SimData5000!$C$9:$C$5008)-1)+$K$6786</f>
        <v>0.35567113422685759</v>
      </c>
    </row>
    <row r="6788" spans="8:11">
      <c r="H6788">
        <f>SMALL(SimData5000!$B$9:$B$5008,1780)</f>
        <v>0.35599524963484036</v>
      </c>
      <c r="I6788">
        <f>1/(COUNT(SimData5000!$B$9:$B$5008)-1)+$I$6787</f>
        <v>0.3558711742348592</v>
      </c>
      <c r="J6788">
        <f>SMALL(SimData5000!$C$9:$C$5008,1780)</f>
        <v>0.35215235627765651</v>
      </c>
      <c r="K6788">
        <f>1/(COUNT(SimData5000!$C$9:$C$5008)-1)+$K$6787</f>
        <v>0.3558711742348592</v>
      </c>
    </row>
    <row r="6789" spans="8:11">
      <c r="H6789">
        <f>SMALL(SimData5000!$B$9:$B$5008,1781)</f>
        <v>0.35605841967818758</v>
      </c>
      <c r="I6789">
        <f>1/(COUNT(SimData5000!$B$9:$B$5008)-1)+$I$6788</f>
        <v>0.35607121424286081</v>
      </c>
      <c r="J6789">
        <f>SMALL(SimData5000!$C$9:$C$5008,1781)</f>
        <v>0.35229415807134501</v>
      </c>
      <c r="K6789">
        <f>1/(COUNT(SimData5000!$C$9:$C$5008)-1)+$K$6788</f>
        <v>0.35607121424286081</v>
      </c>
    </row>
    <row r="6790" spans="8:11">
      <c r="H6790">
        <f>SMALL(SimData5000!$B$9:$B$5008,1782)</f>
        <v>0.35635975396841757</v>
      </c>
      <c r="I6790">
        <f>1/(COUNT(SimData5000!$B$9:$B$5008)-1)+$I$6789</f>
        <v>0.35627125425086242</v>
      </c>
      <c r="J6790">
        <f>SMALL(SimData5000!$C$9:$C$5008,1782)</f>
        <v>0.3523357010244581</v>
      </c>
      <c r="K6790">
        <f>1/(COUNT(SimData5000!$C$9:$C$5008)-1)+$K$6789</f>
        <v>0.35627125425086242</v>
      </c>
    </row>
    <row r="6791" spans="8:11">
      <c r="H6791">
        <f>SMALL(SimData5000!$B$9:$B$5008,1783)</f>
        <v>0.35653120096780622</v>
      </c>
      <c r="I6791">
        <f>1/(COUNT(SimData5000!$B$9:$B$5008)-1)+$I$6790</f>
        <v>0.35647129425886404</v>
      </c>
      <c r="J6791">
        <f>SMALL(SimData5000!$C$9:$C$5008,1783)</f>
        <v>0.35240211949349032</v>
      </c>
      <c r="K6791">
        <f>1/(COUNT(SimData5000!$C$9:$C$5008)-1)+$K$6790</f>
        <v>0.35647129425886404</v>
      </c>
    </row>
    <row r="6792" spans="8:11">
      <c r="H6792">
        <f>SMALL(SimData5000!$B$9:$B$5008,1784)</f>
        <v>0.35664790932793355</v>
      </c>
      <c r="I6792">
        <f>1/(COUNT(SimData5000!$B$9:$B$5008)-1)+$I$6791</f>
        <v>0.35667133426686565</v>
      </c>
      <c r="J6792">
        <f>SMALL(SimData5000!$C$9:$C$5008,1784)</f>
        <v>0.35246572854521219</v>
      </c>
      <c r="K6792">
        <f>1/(COUNT(SimData5000!$C$9:$C$5008)-1)+$K$6791</f>
        <v>0.35667133426686565</v>
      </c>
    </row>
    <row r="6793" spans="8:11">
      <c r="H6793">
        <f>SMALL(SimData5000!$B$9:$B$5008,1785)</f>
        <v>0.35694389210896194</v>
      </c>
      <c r="I6793">
        <f>1/(COUNT(SimData5000!$B$9:$B$5008)-1)+$I$6792</f>
        <v>0.35687137427486726</v>
      </c>
      <c r="J6793">
        <f>SMALL(SimData5000!$C$9:$C$5008,1785)</f>
        <v>0.35251116230938351</v>
      </c>
      <c r="K6793">
        <f>1/(COUNT(SimData5000!$C$9:$C$5008)-1)+$K$6792</f>
        <v>0.35687137427486726</v>
      </c>
    </row>
    <row r="6794" spans="8:11">
      <c r="H6794">
        <f>SMALL(SimData5000!$B$9:$B$5008,1786)</f>
        <v>0.35707949272880318</v>
      </c>
      <c r="I6794">
        <f>1/(COUNT(SimData5000!$B$9:$B$5008)-1)+$I$6793</f>
        <v>0.35707141428286887</v>
      </c>
      <c r="J6794">
        <f>SMALL(SimData5000!$C$9:$C$5008,1786)</f>
        <v>0.35252644517368026</v>
      </c>
      <c r="K6794">
        <f>1/(COUNT(SimData5000!$C$9:$C$5008)-1)+$K$6793</f>
        <v>0.35707141428286887</v>
      </c>
    </row>
    <row r="6795" spans="8:11">
      <c r="H6795">
        <f>SMALL(SimData5000!$B$9:$B$5008,1787)</f>
        <v>0.35720387067124337</v>
      </c>
      <c r="I6795">
        <f>1/(COUNT(SimData5000!$B$9:$B$5008)-1)+$I$6794</f>
        <v>0.35727145429087048</v>
      </c>
      <c r="J6795">
        <f>SMALL(SimData5000!$C$9:$C$5008,1787)</f>
        <v>0.35291069265531405</v>
      </c>
      <c r="K6795">
        <f>1/(COUNT(SimData5000!$C$9:$C$5008)-1)+$K$6794</f>
        <v>0.35727145429087048</v>
      </c>
    </row>
    <row r="6796" spans="8:11">
      <c r="H6796">
        <f>SMALL(SimData5000!$B$9:$B$5008,1788)</f>
        <v>0.35741074373577969</v>
      </c>
      <c r="I6796">
        <f>1/(COUNT(SimData5000!$B$9:$B$5008)-1)+$I$6795</f>
        <v>0.35747149429887209</v>
      </c>
      <c r="J6796">
        <f>SMALL(SimData5000!$C$9:$C$5008,1788)</f>
        <v>0.35309705053532525</v>
      </c>
      <c r="K6796">
        <f>1/(COUNT(SimData5000!$C$9:$C$5008)-1)+$K$6795</f>
        <v>0.35747149429887209</v>
      </c>
    </row>
    <row r="6797" spans="8:11">
      <c r="H6797">
        <f>SMALL(SimData5000!$B$9:$B$5008,1789)</f>
        <v>0.35765766825942735</v>
      </c>
      <c r="I6797">
        <f>1/(COUNT(SimData5000!$B$9:$B$5008)-1)+$I$6796</f>
        <v>0.35767153430687371</v>
      </c>
      <c r="J6797">
        <f>SMALL(SimData5000!$C$9:$C$5008,1789)</f>
        <v>0.35315155429816514</v>
      </c>
      <c r="K6797">
        <f>1/(COUNT(SimData5000!$C$9:$C$5008)-1)+$K$6796</f>
        <v>0.35767153430687371</v>
      </c>
    </row>
    <row r="6798" spans="8:11">
      <c r="H6798">
        <f>SMALL(SimData5000!$B$9:$B$5008,1790)</f>
        <v>0.35792427969540569</v>
      </c>
      <c r="I6798">
        <f>1/(COUNT(SimData5000!$B$9:$B$5008)-1)+$I$6797</f>
        <v>0.35787157431487532</v>
      </c>
      <c r="J6798">
        <f>SMALL(SimData5000!$C$9:$C$5008,1790)</f>
        <v>0.35317429810675094</v>
      </c>
      <c r="K6798">
        <f>1/(COUNT(SimData5000!$C$9:$C$5008)-1)+$K$6797</f>
        <v>0.35787157431487532</v>
      </c>
    </row>
    <row r="6799" spans="8:11">
      <c r="H6799">
        <f>SMALL(SimData5000!$B$9:$B$5008,1791)</f>
        <v>0.35805549273594645</v>
      </c>
      <c r="I6799">
        <f>1/(COUNT(SimData5000!$B$9:$B$5008)-1)+$I$6798</f>
        <v>0.35807161432287693</v>
      </c>
      <c r="J6799">
        <f>SMALL(SimData5000!$C$9:$C$5008,1791)</f>
        <v>0.35356790752211964</v>
      </c>
      <c r="K6799">
        <f>1/(COUNT(SimData5000!$C$9:$C$5008)-1)+$K$6798</f>
        <v>0.35807161432287693</v>
      </c>
    </row>
    <row r="6800" spans="8:11">
      <c r="H6800">
        <f>SMALL(SimData5000!$B$9:$B$5008,1792)</f>
        <v>0.35821774320747185</v>
      </c>
      <c r="I6800">
        <f>1/(COUNT(SimData5000!$B$9:$B$5008)-1)+$I$6799</f>
        <v>0.35827165433087854</v>
      </c>
      <c r="J6800">
        <f>SMALL(SimData5000!$C$9:$C$5008,1792)</f>
        <v>0.35379333833861892</v>
      </c>
      <c r="K6800">
        <f>1/(COUNT(SimData5000!$C$9:$C$5008)-1)+$K$6799</f>
        <v>0.35827165433087854</v>
      </c>
    </row>
    <row r="6801" spans="8:11">
      <c r="H6801">
        <f>SMALL(SimData5000!$B$9:$B$5008,1793)</f>
        <v>0.3585510207941176</v>
      </c>
      <c r="I6801">
        <f>1/(COUNT(SimData5000!$B$9:$B$5008)-1)+$I$6800</f>
        <v>0.35847169433888015</v>
      </c>
      <c r="J6801">
        <f>SMALL(SimData5000!$C$9:$C$5008,1793)</f>
        <v>0.3543106240722409</v>
      </c>
      <c r="K6801">
        <f>1/(COUNT(SimData5000!$C$9:$C$5008)-1)+$K$6800</f>
        <v>0.35847169433888015</v>
      </c>
    </row>
    <row r="6802" spans="8:11">
      <c r="H6802">
        <f>SMALL(SimData5000!$B$9:$B$5008,1794)</f>
        <v>0.35876840990119807</v>
      </c>
      <c r="I6802">
        <f>1/(COUNT(SimData5000!$B$9:$B$5008)-1)+$I$6801</f>
        <v>0.35867173434688177</v>
      </c>
      <c r="J6802">
        <f>SMALL(SimData5000!$C$9:$C$5008,1794)</f>
        <v>0.35502396868469077</v>
      </c>
      <c r="K6802">
        <f>1/(COUNT(SimData5000!$C$9:$C$5008)-1)+$K$6801</f>
        <v>0.35867173434688177</v>
      </c>
    </row>
    <row r="6803" spans="8:11">
      <c r="H6803">
        <f>SMALL(SimData5000!$B$9:$B$5008,1795)</f>
        <v>0.35897227603601578</v>
      </c>
      <c r="I6803">
        <f>1/(COUNT(SimData5000!$B$9:$B$5008)-1)+$I$6802</f>
        <v>0.35887177435488338</v>
      </c>
      <c r="J6803">
        <f>SMALL(SimData5000!$C$9:$C$5008,1795)</f>
        <v>0.35518959279852425</v>
      </c>
      <c r="K6803">
        <f>1/(COUNT(SimData5000!$C$9:$C$5008)-1)+$K$6802</f>
        <v>0.35887177435488338</v>
      </c>
    </row>
    <row r="6804" spans="8:11">
      <c r="H6804">
        <f>SMALL(SimData5000!$B$9:$B$5008,1796)</f>
        <v>0.35910844702453082</v>
      </c>
      <c r="I6804">
        <f>1/(COUNT(SimData5000!$B$9:$B$5008)-1)+$I$6803</f>
        <v>0.35907181436288499</v>
      </c>
      <c r="J6804">
        <f>SMALL(SimData5000!$C$9:$C$5008,1796)</f>
        <v>0.35530564958389732</v>
      </c>
      <c r="K6804">
        <f>1/(COUNT(SimData5000!$C$9:$C$5008)-1)+$K$6803</f>
        <v>0.35907181436288499</v>
      </c>
    </row>
    <row r="6805" spans="8:11">
      <c r="H6805">
        <f>SMALL(SimData5000!$B$9:$B$5008,1797)</f>
        <v>0.35934224694123079</v>
      </c>
      <c r="I6805">
        <f>1/(COUNT(SimData5000!$B$9:$B$5008)-1)+$I$6804</f>
        <v>0.3592718543708866</v>
      </c>
      <c r="J6805">
        <f>SMALL(SimData5000!$C$9:$C$5008,1797)</f>
        <v>0.35553158538459684</v>
      </c>
      <c r="K6805">
        <f>1/(COUNT(SimData5000!$C$9:$C$5008)-1)+$K$6804</f>
        <v>0.3592718543708866</v>
      </c>
    </row>
    <row r="6806" spans="8:11">
      <c r="H6806">
        <f>SMALL(SimData5000!$B$9:$B$5008,1798)</f>
        <v>0.35943558352287758</v>
      </c>
      <c r="I6806">
        <f>1/(COUNT(SimData5000!$B$9:$B$5008)-1)+$I$6805</f>
        <v>0.35947189437888821</v>
      </c>
      <c r="J6806">
        <f>SMALL(SimData5000!$C$9:$C$5008,1798)</f>
        <v>0.35580916866365442</v>
      </c>
      <c r="K6806">
        <f>1/(COUNT(SimData5000!$C$9:$C$5008)-1)+$K$6805</f>
        <v>0.35947189437888821</v>
      </c>
    </row>
    <row r="6807" spans="8:11">
      <c r="H6807">
        <f>SMALL(SimData5000!$B$9:$B$5008,1799)</f>
        <v>0.35976271901739826</v>
      </c>
      <c r="I6807">
        <f>1/(COUNT(SimData5000!$B$9:$B$5008)-1)+$I$6806</f>
        <v>0.35967193438688982</v>
      </c>
      <c r="J6807">
        <f>SMALL(SimData5000!$C$9:$C$5008,1799)</f>
        <v>0.35612546723132255</v>
      </c>
      <c r="K6807">
        <f>1/(COUNT(SimData5000!$C$9:$C$5008)-1)+$K$6806</f>
        <v>0.35967193438688982</v>
      </c>
    </row>
    <row r="6808" spans="8:11">
      <c r="H6808">
        <f>SMALL(SimData5000!$B$9:$B$5008,1800)</f>
        <v>0.35986649384090358</v>
      </c>
      <c r="I6808">
        <f>1/(COUNT(SimData5000!$B$9:$B$5008)-1)+$I$6807</f>
        <v>0.35987197439489144</v>
      </c>
      <c r="J6808">
        <f>SMALL(SimData5000!$C$9:$C$5008,1800)</f>
        <v>0.35620031068901881</v>
      </c>
      <c r="K6808">
        <f>1/(COUNT(SimData5000!$C$9:$C$5008)-1)+$K$6807</f>
        <v>0.35987197439489144</v>
      </c>
    </row>
    <row r="6809" spans="8:11">
      <c r="H6809">
        <f>SMALL(SimData5000!$B$9:$B$5008,1801)</f>
        <v>0.36017563044521389</v>
      </c>
      <c r="I6809">
        <f>1/(COUNT(SimData5000!$B$9:$B$5008)-1)+$I$6808</f>
        <v>0.36007201440289305</v>
      </c>
      <c r="J6809">
        <f>SMALL(SimData5000!$C$9:$C$5008,1801)</f>
        <v>0.35624560777341685</v>
      </c>
      <c r="K6809">
        <f>1/(COUNT(SimData5000!$C$9:$C$5008)-1)+$K$6808</f>
        <v>0.36007201440289305</v>
      </c>
    </row>
    <row r="6810" spans="8:11">
      <c r="H6810">
        <f>SMALL(SimData5000!$B$9:$B$5008,1802)</f>
        <v>0.36024175752271942</v>
      </c>
      <c r="I6810">
        <f>1/(COUNT(SimData5000!$B$9:$B$5008)-1)+$I$6809</f>
        <v>0.36027205441089466</v>
      </c>
      <c r="J6810">
        <f>SMALL(SimData5000!$C$9:$C$5008,1802)</f>
        <v>0.35641077483069239</v>
      </c>
      <c r="K6810">
        <f>1/(COUNT(SimData5000!$C$9:$C$5008)-1)+$K$6809</f>
        <v>0.36027205441089466</v>
      </c>
    </row>
    <row r="6811" spans="8:11">
      <c r="H6811">
        <f>SMALL(SimData5000!$B$9:$B$5008,1803)</f>
        <v>0.36052020413869063</v>
      </c>
      <c r="I6811">
        <f>1/(COUNT(SimData5000!$B$9:$B$5008)-1)+$I$6810</f>
        <v>0.36047209441889627</v>
      </c>
      <c r="J6811">
        <f>SMALL(SimData5000!$C$9:$C$5008,1803)</f>
        <v>0.35669694413263642</v>
      </c>
      <c r="K6811">
        <f>1/(COUNT(SimData5000!$C$9:$C$5008)-1)+$K$6810</f>
        <v>0.36047209441889627</v>
      </c>
    </row>
    <row r="6812" spans="8:11">
      <c r="H6812">
        <f>SMALL(SimData5000!$B$9:$B$5008,1804)</f>
        <v>0.3606292489157592</v>
      </c>
      <c r="I6812">
        <f>1/(COUNT(SimData5000!$B$9:$B$5008)-1)+$I$6811</f>
        <v>0.36067213442689788</v>
      </c>
      <c r="J6812">
        <f>SMALL(SimData5000!$C$9:$C$5008,1804)</f>
        <v>0.35707318934055365</v>
      </c>
      <c r="K6812">
        <f>1/(COUNT(SimData5000!$C$9:$C$5008)-1)+$K$6811</f>
        <v>0.36067213442689788</v>
      </c>
    </row>
    <row r="6813" spans="8:11">
      <c r="H6813">
        <f>SMALL(SimData5000!$B$9:$B$5008,1805)</f>
        <v>0.3608018342339438</v>
      </c>
      <c r="I6813">
        <f>1/(COUNT(SimData5000!$B$9:$B$5008)-1)+$I$6812</f>
        <v>0.3608721744348995</v>
      </c>
      <c r="J6813">
        <f>SMALL(SimData5000!$C$9:$C$5008,1805)</f>
        <v>0.35737141929894278</v>
      </c>
      <c r="K6813">
        <f>1/(COUNT(SimData5000!$C$9:$C$5008)-1)+$K$6812</f>
        <v>0.3608721744348995</v>
      </c>
    </row>
    <row r="6814" spans="8:11">
      <c r="H6814">
        <f>SMALL(SimData5000!$B$9:$B$5008,1806)</f>
        <v>0.36119318527281125</v>
      </c>
      <c r="I6814">
        <f>1/(COUNT(SimData5000!$B$9:$B$5008)-1)+$I$6813</f>
        <v>0.36107221444290111</v>
      </c>
      <c r="J6814">
        <f>SMALL(SimData5000!$C$9:$C$5008,1806)</f>
        <v>0.35740871466350654</v>
      </c>
      <c r="K6814">
        <f>1/(COUNT(SimData5000!$C$9:$C$5008)-1)+$K$6813</f>
        <v>0.36107221444290111</v>
      </c>
    </row>
    <row r="6815" spans="8:11">
      <c r="H6815">
        <f>SMALL(SimData5000!$B$9:$B$5008,1807)</f>
        <v>0.36133033431436173</v>
      </c>
      <c r="I6815">
        <f>1/(COUNT(SimData5000!$B$9:$B$5008)-1)+$I$6814</f>
        <v>0.36127225445090272</v>
      </c>
      <c r="J6815">
        <f>SMALL(SimData5000!$C$9:$C$5008,1807)</f>
        <v>0.35763532078908611</v>
      </c>
      <c r="K6815">
        <f>1/(COUNT(SimData5000!$C$9:$C$5008)-1)+$K$6814</f>
        <v>0.36127225445090272</v>
      </c>
    </row>
    <row r="6816" spans="8:11">
      <c r="H6816">
        <f>SMALL(SimData5000!$B$9:$B$5008,1808)</f>
        <v>0.36145794149419713</v>
      </c>
      <c r="I6816">
        <f>1/(COUNT(SimData5000!$B$9:$B$5008)-1)+$I$6815</f>
        <v>0.36147229445890433</v>
      </c>
      <c r="J6816">
        <f>SMALL(SimData5000!$C$9:$C$5008,1808)</f>
        <v>0.35767604342527193</v>
      </c>
      <c r="K6816">
        <f>1/(COUNT(SimData5000!$C$9:$C$5008)-1)+$K$6815</f>
        <v>0.36147229445890433</v>
      </c>
    </row>
    <row r="6817" spans="8:11">
      <c r="H6817">
        <f>SMALL(SimData5000!$B$9:$B$5008,1809)</f>
        <v>0.36160719574070704</v>
      </c>
      <c r="I6817">
        <f>1/(COUNT(SimData5000!$B$9:$B$5008)-1)+$I$6816</f>
        <v>0.36167233446690594</v>
      </c>
      <c r="J6817">
        <f>SMALL(SimData5000!$C$9:$C$5008,1809)</f>
        <v>0.35781098055485927</v>
      </c>
      <c r="K6817">
        <f>1/(COUNT(SimData5000!$C$9:$C$5008)-1)+$K$6816</f>
        <v>0.36167233446690594</v>
      </c>
    </row>
    <row r="6818" spans="8:11">
      <c r="H6818">
        <f>SMALL(SimData5000!$B$9:$B$5008,1810)</f>
        <v>0.36197324750115473</v>
      </c>
      <c r="I6818">
        <f>1/(COUNT(SimData5000!$B$9:$B$5008)-1)+$I$6817</f>
        <v>0.36187237447490755</v>
      </c>
      <c r="J6818">
        <f>SMALL(SimData5000!$C$9:$C$5008,1810)</f>
        <v>0.35813331734061649</v>
      </c>
      <c r="K6818">
        <f>1/(COUNT(SimData5000!$C$9:$C$5008)-1)+$K$6817</f>
        <v>0.36187237447490755</v>
      </c>
    </row>
    <row r="6819" spans="8:11">
      <c r="H6819">
        <f>SMALL(SimData5000!$B$9:$B$5008,1811)</f>
        <v>0.36201963308654256</v>
      </c>
      <c r="I6819">
        <f>1/(COUNT(SimData5000!$B$9:$B$5008)-1)+$I$6818</f>
        <v>0.36207241448290917</v>
      </c>
      <c r="J6819">
        <f>SMALL(SimData5000!$C$9:$C$5008,1811)</f>
        <v>0.35814428669436893</v>
      </c>
      <c r="K6819">
        <f>1/(COUNT(SimData5000!$C$9:$C$5008)-1)+$K$6818</f>
        <v>0.36207241448290917</v>
      </c>
    </row>
    <row r="6820" spans="8:11">
      <c r="H6820">
        <f>SMALL(SimData5000!$B$9:$B$5008,1812)</f>
        <v>0.36238189269690352</v>
      </c>
      <c r="I6820">
        <f>1/(COUNT(SimData5000!$B$9:$B$5008)-1)+$I$6819</f>
        <v>0.36227245449091078</v>
      </c>
      <c r="J6820">
        <f>SMALL(SimData5000!$C$9:$C$5008,1812)</f>
        <v>0.35833850632934627</v>
      </c>
      <c r="K6820">
        <f>1/(COUNT(SimData5000!$C$9:$C$5008)-1)+$K$6819</f>
        <v>0.36227245449091078</v>
      </c>
    </row>
    <row r="6821" spans="8:11">
      <c r="H6821">
        <f>SMALL(SimData5000!$B$9:$B$5008,1813)</f>
        <v>0.36244019381949683</v>
      </c>
      <c r="I6821">
        <f>1/(COUNT(SimData5000!$B$9:$B$5008)-1)+$I$6820</f>
        <v>0.36247249449891239</v>
      </c>
      <c r="J6821">
        <f>SMALL(SimData5000!$C$9:$C$5008,1813)</f>
        <v>0.3583608568424097</v>
      </c>
      <c r="K6821">
        <f>1/(COUNT(SimData5000!$C$9:$C$5008)-1)+$K$6820</f>
        <v>0.36247249449891239</v>
      </c>
    </row>
    <row r="6822" spans="8:11">
      <c r="H6822">
        <f>SMALL(SimData5000!$B$9:$B$5008,1814)</f>
        <v>0.36270500515902065</v>
      </c>
      <c r="I6822">
        <f>1/(COUNT(SimData5000!$B$9:$B$5008)-1)+$I$6821</f>
        <v>0.362672534506914</v>
      </c>
      <c r="J6822">
        <f>SMALL(SimData5000!$C$9:$C$5008,1814)</f>
        <v>0.3584953469935499</v>
      </c>
      <c r="K6822">
        <f>1/(COUNT(SimData5000!$C$9:$C$5008)-1)+$K$6821</f>
        <v>0.362672534506914</v>
      </c>
    </row>
    <row r="6823" spans="8:11">
      <c r="H6823">
        <f>SMALL(SimData5000!$B$9:$B$5008,1815)</f>
        <v>0.36290580190692701</v>
      </c>
      <c r="I6823">
        <f>1/(COUNT(SimData5000!$B$9:$B$5008)-1)+$I$6822</f>
        <v>0.36287257451491561</v>
      </c>
      <c r="J6823">
        <f>SMALL(SimData5000!$C$9:$C$5008,1815)</f>
        <v>0.35863069463994179</v>
      </c>
      <c r="K6823">
        <f>1/(COUNT(SimData5000!$C$9:$C$5008)-1)+$K$6822</f>
        <v>0.36287257451491561</v>
      </c>
    </row>
    <row r="6824" spans="8:11">
      <c r="H6824">
        <f>SMALL(SimData5000!$B$9:$B$5008,1816)</f>
        <v>0.36311535604435846</v>
      </c>
      <c r="I6824">
        <f>1/(COUNT(SimData5000!$B$9:$B$5008)-1)+$I$6823</f>
        <v>0.36307261452291723</v>
      </c>
      <c r="J6824">
        <f>SMALL(SimData5000!$C$9:$C$5008,1816)</f>
        <v>0.35876566673414345</v>
      </c>
      <c r="K6824">
        <f>1/(COUNT(SimData5000!$C$9:$C$5008)-1)+$K$6823</f>
        <v>0.36307261452291723</v>
      </c>
    </row>
    <row r="6825" spans="8:11">
      <c r="H6825">
        <f>SMALL(SimData5000!$B$9:$B$5008,1817)</f>
        <v>0.36332441235345891</v>
      </c>
      <c r="I6825">
        <f>1/(COUNT(SimData5000!$B$9:$B$5008)-1)+$I$6824</f>
        <v>0.36327265453091884</v>
      </c>
      <c r="J6825">
        <f>SMALL(SimData5000!$C$9:$C$5008,1817)</f>
        <v>0.35878255674469983</v>
      </c>
      <c r="K6825">
        <f>1/(COUNT(SimData5000!$C$9:$C$5008)-1)+$K$6824</f>
        <v>0.36327265453091884</v>
      </c>
    </row>
    <row r="6826" spans="8:11">
      <c r="H6826">
        <f>SMALL(SimData5000!$B$9:$B$5008,1818)</f>
        <v>0.36358350499034475</v>
      </c>
      <c r="I6826">
        <f>1/(COUNT(SimData5000!$B$9:$B$5008)-1)+$I$6825</f>
        <v>0.36347269453892045</v>
      </c>
      <c r="J6826">
        <f>SMALL(SimData5000!$C$9:$C$5008,1818)</f>
        <v>0.35897813874180429</v>
      </c>
      <c r="K6826">
        <f>1/(COUNT(SimData5000!$C$9:$C$5008)-1)+$K$6825</f>
        <v>0.36347269453892045</v>
      </c>
    </row>
    <row r="6827" spans="8:11">
      <c r="H6827">
        <f>SMALL(SimData5000!$B$9:$B$5008,1819)</f>
        <v>0.36370791005238606</v>
      </c>
      <c r="I6827">
        <f>1/(COUNT(SimData5000!$B$9:$B$5008)-1)+$I$6826</f>
        <v>0.36367273454692206</v>
      </c>
      <c r="J6827">
        <f>SMALL(SimData5000!$C$9:$C$5008,1819)</f>
        <v>0.35906551988318824</v>
      </c>
      <c r="K6827">
        <f>1/(COUNT(SimData5000!$C$9:$C$5008)-1)+$K$6826</f>
        <v>0.36367273454692206</v>
      </c>
    </row>
    <row r="6828" spans="8:11">
      <c r="H6828">
        <f>SMALL(SimData5000!$B$9:$B$5008,1820)</f>
        <v>0.3639514364234524</v>
      </c>
      <c r="I6828">
        <f>1/(COUNT(SimData5000!$B$9:$B$5008)-1)+$I$6827</f>
        <v>0.36387277455492367</v>
      </c>
      <c r="J6828">
        <f>SMALL(SimData5000!$C$9:$C$5008,1820)</f>
        <v>0.35948468854985549</v>
      </c>
      <c r="K6828">
        <f>1/(COUNT(SimData5000!$C$9:$C$5008)-1)+$K$6827</f>
        <v>0.36387277455492367</v>
      </c>
    </row>
    <row r="6829" spans="8:11">
      <c r="H6829">
        <f>SMALL(SimData5000!$B$9:$B$5008,1821)</f>
        <v>0.36401798195932478</v>
      </c>
      <c r="I6829">
        <f>1/(COUNT(SimData5000!$B$9:$B$5008)-1)+$I$6828</f>
        <v>0.36407281456292528</v>
      </c>
      <c r="J6829">
        <f>SMALL(SimData5000!$C$9:$C$5008,1821)</f>
        <v>0.36001319200295256</v>
      </c>
      <c r="K6829">
        <f>1/(COUNT(SimData5000!$C$9:$C$5008)-1)+$K$6828</f>
        <v>0.36407281456292528</v>
      </c>
    </row>
    <row r="6830" spans="8:11">
      <c r="H6830">
        <f>SMALL(SimData5000!$B$9:$B$5008,1822)</f>
        <v>0.36423204118475133</v>
      </c>
      <c r="I6830">
        <f>1/(COUNT(SimData5000!$B$9:$B$5008)-1)+$I$6829</f>
        <v>0.3642728545709269</v>
      </c>
      <c r="J6830">
        <f>SMALL(SimData5000!$C$9:$C$5008,1822)</f>
        <v>0.36014608852838137</v>
      </c>
      <c r="K6830">
        <f>1/(COUNT(SimData5000!$C$9:$C$5008)-1)+$K$6829</f>
        <v>0.3642728545709269</v>
      </c>
    </row>
    <row r="6831" spans="8:11">
      <c r="H6831">
        <f>SMALL(SimData5000!$B$9:$B$5008,1823)</f>
        <v>0.36445886165184405</v>
      </c>
      <c r="I6831">
        <f>1/(COUNT(SimData5000!$B$9:$B$5008)-1)+$I$6830</f>
        <v>0.36447289457892851</v>
      </c>
      <c r="J6831">
        <f>SMALL(SimData5000!$C$9:$C$5008,1823)</f>
        <v>0.36019943065457483</v>
      </c>
      <c r="K6831">
        <f>1/(COUNT(SimData5000!$C$9:$C$5008)-1)+$K$6830</f>
        <v>0.36447289457892851</v>
      </c>
    </row>
    <row r="6832" spans="8:11">
      <c r="H6832">
        <f>SMALL(SimData5000!$B$9:$B$5008,1824)</f>
        <v>0.36479323099572053</v>
      </c>
      <c r="I6832">
        <f>1/(COUNT(SimData5000!$B$9:$B$5008)-1)+$I$6831</f>
        <v>0.36467293458693012</v>
      </c>
      <c r="J6832">
        <f>SMALL(SimData5000!$C$9:$C$5008,1824)</f>
        <v>0.36059500956434931</v>
      </c>
      <c r="K6832">
        <f>1/(COUNT(SimData5000!$C$9:$C$5008)-1)+$K$6831</f>
        <v>0.36467293458693012</v>
      </c>
    </row>
    <row r="6833" spans="8:11">
      <c r="H6833">
        <f>SMALL(SimData5000!$B$9:$B$5008,1825)</f>
        <v>0.36498540670564056</v>
      </c>
      <c r="I6833">
        <f>1/(COUNT(SimData5000!$B$9:$B$5008)-1)+$I$6832</f>
        <v>0.36487297459493173</v>
      </c>
      <c r="J6833">
        <f>SMALL(SimData5000!$C$9:$C$5008,1825)</f>
        <v>0.36077678365927568</v>
      </c>
      <c r="K6833">
        <f>1/(COUNT(SimData5000!$C$9:$C$5008)-1)+$K$6832</f>
        <v>0.36487297459493173</v>
      </c>
    </row>
    <row r="6834" spans="8:11">
      <c r="H6834">
        <f>SMALL(SimData5000!$B$9:$B$5008,1826)</f>
        <v>0.36502938304823573</v>
      </c>
      <c r="I6834">
        <f>1/(COUNT(SimData5000!$B$9:$B$5008)-1)+$I$6833</f>
        <v>0.36507301460293334</v>
      </c>
      <c r="J6834">
        <f>SMALL(SimData5000!$C$9:$C$5008,1826)</f>
        <v>0.36077916775411722</v>
      </c>
      <c r="K6834">
        <f>1/(COUNT(SimData5000!$C$9:$C$5008)-1)+$K$6833</f>
        <v>0.36507301460293334</v>
      </c>
    </row>
    <row r="6835" spans="8:11">
      <c r="H6835">
        <f>SMALL(SimData5000!$B$9:$B$5008,1827)</f>
        <v>0.36522126520453518</v>
      </c>
      <c r="I6835">
        <f>1/(COUNT(SimData5000!$B$9:$B$5008)-1)+$I$6834</f>
        <v>0.36527305461093496</v>
      </c>
      <c r="J6835">
        <f>SMALL(SimData5000!$C$9:$C$5008,1827)</f>
        <v>0.36097685382537748</v>
      </c>
      <c r="K6835">
        <f>1/(COUNT(SimData5000!$C$9:$C$5008)-1)+$K$6834</f>
        <v>0.36527305461093496</v>
      </c>
    </row>
    <row r="6836" spans="8:11">
      <c r="H6836">
        <f>SMALL(SimData5000!$B$9:$B$5008,1828)</f>
        <v>0.3654747743956453</v>
      </c>
      <c r="I6836">
        <f>1/(COUNT(SimData5000!$B$9:$B$5008)-1)+$I$6835</f>
        <v>0.36547309461893657</v>
      </c>
      <c r="J6836">
        <f>SMALL(SimData5000!$C$9:$C$5008,1828)</f>
        <v>0.36114647195608995</v>
      </c>
      <c r="K6836">
        <f>1/(COUNT(SimData5000!$C$9:$C$5008)-1)+$K$6835</f>
        <v>0.36547309461893657</v>
      </c>
    </row>
    <row r="6837" spans="8:11">
      <c r="H6837">
        <f>SMALL(SimData5000!$B$9:$B$5008,1829)</f>
        <v>0.36573221937821532</v>
      </c>
      <c r="I6837">
        <f>1/(COUNT(SimData5000!$B$9:$B$5008)-1)+$I$6836</f>
        <v>0.36567313462693818</v>
      </c>
      <c r="J6837">
        <f>SMALL(SimData5000!$C$9:$C$5008,1829)</f>
        <v>0.36125675622133713</v>
      </c>
      <c r="K6837">
        <f>1/(COUNT(SimData5000!$C$9:$C$5008)-1)+$K$6836</f>
        <v>0.36567313462693818</v>
      </c>
    </row>
    <row r="6838" spans="8:11">
      <c r="H6838">
        <f>SMALL(SimData5000!$B$9:$B$5008,1830)</f>
        <v>0.36583550535743953</v>
      </c>
      <c r="I6838">
        <f>1/(COUNT(SimData5000!$B$9:$B$5008)-1)+$I$6837</f>
        <v>0.36587317463493979</v>
      </c>
      <c r="J6838">
        <f>SMALL(SimData5000!$C$9:$C$5008,1830)</f>
        <v>0.36210469271463808</v>
      </c>
      <c r="K6838">
        <f>1/(COUNT(SimData5000!$C$9:$C$5008)-1)+$K$6837</f>
        <v>0.36587317463493979</v>
      </c>
    </row>
    <row r="6839" spans="8:11">
      <c r="H6839">
        <f>SMALL(SimData5000!$B$9:$B$5008,1831)</f>
        <v>0.36601115922704597</v>
      </c>
      <c r="I6839">
        <f>1/(COUNT(SimData5000!$B$9:$B$5008)-1)+$I$6838</f>
        <v>0.3660732146429414</v>
      </c>
      <c r="J6839">
        <f>SMALL(SimData5000!$C$9:$C$5008,1831)</f>
        <v>0.36213345974283584</v>
      </c>
      <c r="K6839">
        <f>1/(COUNT(SimData5000!$C$9:$C$5008)-1)+$K$6838</f>
        <v>0.3660732146429414</v>
      </c>
    </row>
    <row r="6840" spans="8:11">
      <c r="H6840">
        <f>SMALL(SimData5000!$B$9:$B$5008,1832)</f>
        <v>0.36622020980217962</v>
      </c>
      <c r="I6840">
        <f>1/(COUNT(SimData5000!$B$9:$B$5008)-1)+$I$6839</f>
        <v>0.36627325465094301</v>
      </c>
      <c r="J6840">
        <f>SMALL(SimData5000!$C$9:$C$5008,1832)</f>
        <v>0.36217330345607479</v>
      </c>
      <c r="K6840">
        <f>1/(COUNT(SimData5000!$C$9:$C$5008)-1)+$K$6839</f>
        <v>0.36627325465094301</v>
      </c>
    </row>
    <row r="6841" spans="8:11">
      <c r="H6841">
        <f>SMALL(SimData5000!$B$9:$B$5008,1833)</f>
        <v>0.36656028219637471</v>
      </c>
      <c r="I6841">
        <f>1/(COUNT(SimData5000!$B$9:$B$5008)-1)+$I$6840</f>
        <v>0.36647329465894463</v>
      </c>
      <c r="J6841">
        <f>SMALL(SimData5000!$C$9:$C$5008,1833)</f>
        <v>0.36229787991396734</v>
      </c>
      <c r="K6841">
        <f>1/(COUNT(SimData5000!$C$9:$C$5008)-1)+$K$6840</f>
        <v>0.36647329465894463</v>
      </c>
    </row>
    <row r="6842" spans="8:11">
      <c r="H6842">
        <f>SMALL(SimData5000!$B$9:$B$5008,1834)</f>
        <v>0.36678142704451022</v>
      </c>
      <c r="I6842">
        <f>1/(COUNT(SimData5000!$B$9:$B$5008)-1)+$I$6841</f>
        <v>0.36667333466694624</v>
      </c>
      <c r="J6842">
        <f>SMALL(SimData5000!$C$9:$C$5008,1834)</f>
        <v>0.36271910469076829</v>
      </c>
      <c r="K6842">
        <f>1/(COUNT(SimData5000!$C$9:$C$5008)-1)+$K$6841</f>
        <v>0.36667333466694624</v>
      </c>
    </row>
    <row r="6843" spans="8:11">
      <c r="H6843">
        <f>SMALL(SimData5000!$B$9:$B$5008,1835)</f>
        <v>0.36699898187229385</v>
      </c>
      <c r="I6843">
        <f>1/(COUNT(SimData5000!$B$9:$B$5008)-1)+$I$6842</f>
        <v>0.36687337467494785</v>
      </c>
      <c r="J6843">
        <f>SMALL(SimData5000!$C$9:$C$5008,1835)</f>
        <v>0.36311947438116476</v>
      </c>
      <c r="K6843">
        <f>1/(COUNT(SimData5000!$C$9:$C$5008)-1)+$K$6842</f>
        <v>0.36687337467494785</v>
      </c>
    </row>
    <row r="6844" spans="8:11">
      <c r="H6844">
        <f>SMALL(SimData5000!$B$9:$B$5008,1836)</f>
        <v>0.36716748285851619</v>
      </c>
      <c r="I6844">
        <f>1/(COUNT(SimData5000!$B$9:$B$5008)-1)+$I$6843</f>
        <v>0.36707341468294946</v>
      </c>
      <c r="J6844">
        <f>SMALL(SimData5000!$C$9:$C$5008,1836)</f>
        <v>0.36312629517669848</v>
      </c>
      <c r="K6844">
        <f>1/(COUNT(SimData5000!$C$9:$C$5008)-1)+$K$6843</f>
        <v>0.36707341468294946</v>
      </c>
    </row>
    <row r="6845" spans="8:11">
      <c r="H6845">
        <f>SMALL(SimData5000!$B$9:$B$5008,1837)</f>
        <v>0.36722264072117922</v>
      </c>
      <c r="I6845">
        <f>1/(COUNT(SimData5000!$B$9:$B$5008)-1)+$I$6844</f>
        <v>0.36727345469095107</v>
      </c>
      <c r="J6845">
        <f>SMALL(SimData5000!$C$9:$C$5008,1837)</f>
        <v>0.36381068991886423</v>
      </c>
      <c r="K6845">
        <f>1/(COUNT(SimData5000!$C$9:$C$5008)-1)+$K$6844</f>
        <v>0.36727345469095107</v>
      </c>
    </row>
    <row r="6846" spans="8:11">
      <c r="H6846">
        <f>SMALL(SimData5000!$B$9:$B$5008,1838)</f>
        <v>0.3674875754202454</v>
      </c>
      <c r="I6846">
        <f>1/(COUNT(SimData5000!$B$9:$B$5008)-1)+$I$6845</f>
        <v>0.36747349469895269</v>
      </c>
      <c r="J6846">
        <f>SMALL(SimData5000!$C$9:$C$5008,1838)</f>
        <v>0.36395489188362262</v>
      </c>
      <c r="K6846">
        <f>1/(COUNT(SimData5000!$C$9:$C$5008)-1)+$K$6845</f>
        <v>0.36747349469895269</v>
      </c>
    </row>
    <row r="6847" spans="8:11">
      <c r="H6847">
        <f>SMALL(SimData5000!$B$9:$B$5008,1839)</f>
        <v>0.3676246939177682</v>
      </c>
      <c r="I6847">
        <f>1/(COUNT(SimData5000!$B$9:$B$5008)-1)+$I$6846</f>
        <v>0.3676735347069543</v>
      </c>
      <c r="J6847">
        <f>SMALL(SimData5000!$C$9:$C$5008,1839)</f>
        <v>0.36421682889795193</v>
      </c>
      <c r="K6847">
        <f>1/(COUNT(SimData5000!$C$9:$C$5008)-1)+$K$6846</f>
        <v>0.3676735347069543</v>
      </c>
    </row>
    <row r="6848" spans="8:11">
      <c r="H6848">
        <f>SMALL(SimData5000!$B$9:$B$5008,1840)</f>
        <v>0.36793647572871685</v>
      </c>
      <c r="I6848">
        <f>1/(COUNT(SimData5000!$B$9:$B$5008)-1)+$I$6847</f>
        <v>0.36787357471495591</v>
      </c>
      <c r="J6848">
        <f>SMALL(SimData5000!$C$9:$C$5008,1840)</f>
        <v>0.36427251781424275</v>
      </c>
      <c r="K6848">
        <f>1/(COUNT(SimData5000!$C$9:$C$5008)-1)+$K$6847</f>
        <v>0.36787357471495591</v>
      </c>
    </row>
    <row r="6849" spans="8:11">
      <c r="H6849">
        <f>SMALL(SimData5000!$B$9:$B$5008,1841)</f>
        <v>0.36808382456965832</v>
      </c>
      <c r="I6849">
        <f>1/(COUNT(SimData5000!$B$9:$B$5008)-1)+$I$6848</f>
        <v>0.36807361472295752</v>
      </c>
      <c r="J6849">
        <f>SMALL(SimData5000!$C$9:$C$5008,1841)</f>
        <v>0.36436411815157044</v>
      </c>
      <c r="K6849">
        <f>1/(COUNT(SimData5000!$C$9:$C$5008)-1)+$K$6848</f>
        <v>0.36807361472295752</v>
      </c>
    </row>
    <row r="6850" spans="8:11">
      <c r="H6850">
        <f>SMALL(SimData5000!$B$9:$B$5008,1842)</f>
        <v>0.36823241378297855</v>
      </c>
      <c r="I6850">
        <f>1/(COUNT(SimData5000!$B$9:$B$5008)-1)+$I$6849</f>
        <v>0.36827365473095913</v>
      </c>
      <c r="J6850">
        <f>SMALL(SimData5000!$C$9:$C$5008,1842)</f>
        <v>0.36443064735158259</v>
      </c>
      <c r="K6850">
        <f>1/(COUNT(SimData5000!$C$9:$C$5008)-1)+$K$6849</f>
        <v>0.36827365473095913</v>
      </c>
    </row>
    <row r="6851" spans="8:11">
      <c r="H6851">
        <f>SMALL(SimData5000!$B$9:$B$5008,1843)</f>
        <v>0.368595792916323</v>
      </c>
      <c r="I6851">
        <f>1/(COUNT(SimData5000!$B$9:$B$5008)-1)+$I$6850</f>
        <v>0.36847369473896074</v>
      </c>
      <c r="J6851">
        <f>SMALL(SimData5000!$C$9:$C$5008,1843)</f>
        <v>0.36448420089166689</v>
      </c>
      <c r="K6851">
        <f>1/(COUNT(SimData5000!$C$9:$C$5008)-1)+$K$6850</f>
        <v>0.36847369473896074</v>
      </c>
    </row>
    <row r="6852" spans="8:11">
      <c r="H6852">
        <f>SMALL(SimData5000!$B$9:$B$5008,1844)</f>
        <v>0.36875689152175489</v>
      </c>
      <c r="I6852">
        <f>1/(COUNT(SimData5000!$B$9:$B$5008)-1)+$I$6851</f>
        <v>0.36867373474696236</v>
      </c>
      <c r="J6852">
        <f>SMALL(SimData5000!$C$9:$C$5008,1844)</f>
        <v>0.364541526980247</v>
      </c>
      <c r="K6852">
        <f>1/(COUNT(SimData5000!$C$9:$C$5008)-1)+$K$6851</f>
        <v>0.36867373474696236</v>
      </c>
    </row>
    <row r="6853" spans="8:11">
      <c r="H6853">
        <f>SMALL(SimData5000!$B$9:$B$5008,1845)</f>
        <v>0.36890693300448052</v>
      </c>
      <c r="I6853">
        <f>1/(COUNT(SimData5000!$B$9:$B$5008)-1)+$I$6852</f>
        <v>0.36887377475496397</v>
      </c>
      <c r="J6853">
        <f>SMALL(SimData5000!$C$9:$C$5008,1845)</f>
        <v>0.36467022247688874</v>
      </c>
      <c r="K6853">
        <f>1/(COUNT(SimData5000!$C$9:$C$5008)-1)+$K$6852</f>
        <v>0.36887377475496397</v>
      </c>
    </row>
    <row r="6854" spans="8:11">
      <c r="H6854">
        <f>SMALL(SimData5000!$B$9:$B$5008,1846)</f>
        <v>0.3691053270583286</v>
      </c>
      <c r="I6854">
        <f>1/(COUNT(SimData5000!$B$9:$B$5008)-1)+$I$6853</f>
        <v>0.36907381476296558</v>
      </c>
      <c r="J6854">
        <f>SMALL(SimData5000!$C$9:$C$5008,1846)</f>
        <v>0.36468837929805886</v>
      </c>
      <c r="K6854">
        <f>1/(COUNT(SimData5000!$C$9:$C$5008)-1)+$K$6853</f>
        <v>0.36907381476296558</v>
      </c>
    </row>
    <row r="6855" spans="8:11">
      <c r="H6855">
        <f>SMALL(SimData5000!$B$9:$B$5008,1847)</f>
        <v>0.36928892142015718</v>
      </c>
      <c r="I6855">
        <f>1/(COUNT(SimData5000!$B$9:$B$5008)-1)+$I$6854</f>
        <v>0.36927385477096719</v>
      </c>
      <c r="J6855">
        <f>SMALL(SimData5000!$C$9:$C$5008,1847)</f>
        <v>0.36490852901897597</v>
      </c>
      <c r="K6855">
        <f>1/(COUNT(SimData5000!$C$9:$C$5008)-1)+$K$6854</f>
        <v>0.36927385477096719</v>
      </c>
    </row>
    <row r="6856" spans="8:11">
      <c r="H6856">
        <f>SMALL(SimData5000!$B$9:$B$5008,1848)</f>
        <v>0.36946659347383926</v>
      </c>
      <c r="I6856">
        <f>1/(COUNT(SimData5000!$B$9:$B$5008)-1)+$I$6855</f>
        <v>0.3694738947789688</v>
      </c>
      <c r="J6856">
        <f>SMALL(SimData5000!$C$9:$C$5008,1848)</f>
        <v>0.36493593569866789</v>
      </c>
      <c r="K6856">
        <f>1/(COUNT(SimData5000!$C$9:$C$5008)-1)+$K$6855</f>
        <v>0.3694738947789688</v>
      </c>
    </row>
    <row r="6857" spans="8:11">
      <c r="H6857">
        <f>SMALL(SimData5000!$B$9:$B$5008,1849)</f>
        <v>0.36977997055626005</v>
      </c>
      <c r="I6857">
        <f>1/(COUNT(SimData5000!$B$9:$B$5008)-1)+$I$6856</f>
        <v>0.36967393478697042</v>
      </c>
      <c r="J6857">
        <f>SMALL(SimData5000!$C$9:$C$5008,1849)</f>
        <v>0.36495086968079704</v>
      </c>
      <c r="K6857">
        <f>1/(COUNT(SimData5000!$C$9:$C$5008)-1)+$K$6856</f>
        <v>0.36967393478697042</v>
      </c>
    </row>
    <row r="6858" spans="8:11">
      <c r="H6858">
        <f>SMALL(SimData5000!$B$9:$B$5008,1850)</f>
        <v>0.36986873005616216</v>
      </c>
      <c r="I6858">
        <f>1/(COUNT(SimData5000!$B$9:$B$5008)-1)+$I$6857</f>
        <v>0.36987397479497203</v>
      </c>
      <c r="J6858">
        <f>SMALL(SimData5000!$C$9:$C$5008,1850)</f>
        <v>0.36514351181085658</v>
      </c>
      <c r="K6858">
        <f>1/(COUNT(SimData5000!$C$9:$C$5008)-1)+$K$6857</f>
        <v>0.36987397479497203</v>
      </c>
    </row>
    <row r="6859" spans="8:11">
      <c r="H6859">
        <f>SMALL(SimData5000!$B$9:$B$5008,1851)</f>
        <v>0.37013107528745454</v>
      </c>
      <c r="I6859">
        <f>1/(COUNT(SimData5000!$B$9:$B$5008)-1)+$I$6858</f>
        <v>0.37007401480297364</v>
      </c>
      <c r="J6859">
        <f>SMALL(SimData5000!$C$9:$C$5008,1851)</f>
        <v>0.36566962177494133</v>
      </c>
      <c r="K6859">
        <f>1/(COUNT(SimData5000!$C$9:$C$5008)-1)+$K$6858</f>
        <v>0.37007401480297364</v>
      </c>
    </row>
    <row r="6860" spans="8:11">
      <c r="H6860">
        <f>SMALL(SimData5000!$B$9:$B$5008,1852)</f>
        <v>0.37023345493195425</v>
      </c>
      <c r="I6860">
        <f>1/(COUNT(SimData5000!$B$9:$B$5008)-1)+$I$6859</f>
        <v>0.37027405481097525</v>
      </c>
      <c r="J6860">
        <f>SMALL(SimData5000!$C$9:$C$5008,1852)</f>
        <v>0.36587801873247372</v>
      </c>
      <c r="K6860">
        <f>1/(COUNT(SimData5000!$C$9:$C$5008)-1)+$K$6859</f>
        <v>0.37027405481097525</v>
      </c>
    </row>
    <row r="6861" spans="8:11">
      <c r="H6861">
        <f>SMALL(SimData5000!$B$9:$B$5008,1853)</f>
        <v>0.37057345827528587</v>
      </c>
      <c r="I6861">
        <f>1/(COUNT(SimData5000!$B$9:$B$5008)-1)+$I$6860</f>
        <v>0.37047409481897686</v>
      </c>
      <c r="J6861">
        <f>SMALL(SimData5000!$C$9:$C$5008,1853)</f>
        <v>0.36640065638857777</v>
      </c>
      <c r="K6861">
        <f>1/(COUNT(SimData5000!$C$9:$C$5008)-1)+$K$6860</f>
        <v>0.37047409481897686</v>
      </c>
    </row>
    <row r="6862" spans="8:11">
      <c r="H6862">
        <f>SMALL(SimData5000!$B$9:$B$5008,1854)</f>
        <v>0.37077665779911367</v>
      </c>
      <c r="I6862">
        <f>1/(COUNT(SimData5000!$B$9:$B$5008)-1)+$I$6861</f>
        <v>0.37067413482697847</v>
      </c>
      <c r="J6862">
        <f>SMALL(SimData5000!$C$9:$C$5008,1854)</f>
        <v>0.36725874970943551</v>
      </c>
      <c r="K6862">
        <f>1/(COUNT(SimData5000!$C$9:$C$5008)-1)+$K$6861</f>
        <v>0.37067413482697847</v>
      </c>
    </row>
    <row r="6863" spans="8:11">
      <c r="H6863">
        <f>SMALL(SimData5000!$B$9:$B$5008,1855)</f>
        <v>0.37099469408290336</v>
      </c>
      <c r="I6863">
        <f>1/(COUNT(SimData5000!$B$9:$B$5008)-1)+$I$6862</f>
        <v>0.37087417483498009</v>
      </c>
      <c r="J6863">
        <f>SMALL(SimData5000!$C$9:$C$5008,1855)</f>
        <v>0.36745283666277828</v>
      </c>
      <c r="K6863">
        <f>1/(COUNT(SimData5000!$C$9:$C$5008)-1)+$K$6862</f>
        <v>0.37087417483498009</v>
      </c>
    </row>
    <row r="6864" spans="8:11">
      <c r="H6864">
        <f>SMALL(SimData5000!$B$9:$B$5008,1856)</f>
        <v>0.3710834856927589</v>
      </c>
      <c r="I6864">
        <f>1/(COUNT(SimData5000!$B$9:$B$5008)-1)+$I$6863</f>
        <v>0.3710742148429817</v>
      </c>
      <c r="J6864">
        <f>SMALL(SimData5000!$C$9:$C$5008,1856)</f>
        <v>0.36786568837942468</v>
      </c>
      <c r="K6864">
        <f>1/(COUNT(SimData5000!$C$9:$C$5008)-1)+$K$6863</f>
        <v>0.3710742148429817</v>
      </c>
    </row>
    <row r="6865" spans="8:11">
      <c r="H6865">
        <f>SMALL(SimData5000!$B$9:$B$5008,1857)</f>
        <v>0.37127483251785737</v>
      </c>
      <c r="I6865">
        <f>1/(COUNT(SimData5000!$B$9:$B$5008)-1)+$I$6864</f>
        <v>0.37127425485098331</v>
      </c>
      <c r="J6865">
        <f>SMALL(SimData5000!$C$9:$C$5008,1857)</f>
        <v>0.36793742698046117</v>
      </c>
      <c r="K6865">
        <f>1/(COUNT(SimData5000!$C$9:$C$5008)-1)+$K$6864</f>
        <v>0.37127425485098331</v>
      </c>
    </row>
    <row r="6866" spans="8:11">
      <c r="H6866">
        <f>SMALL(SimData5000!$B$9:$B$5008,1858)</f>
        <v>0.37147929367224669</v>
      </c>
      <c r="I6866">
        <f>1/(COUNT(SimData5000!$B$9:$B$5008)-1)+$I$6865</f>
        <v>0.37147429485898492</v>
      </c>
      <c r="J6866">
        <f>SMALL(SimData5000!$C$9:$C$5008,1858)</f>
        <v>0.36799975314443145</v>
      </c>
      <c r="K6866">
        <f>1/(COUNT(SimData5000!$C$9:$C$5008)-1)+$K$6865</f>
        <v>0.37147429485898492</v>
      </c>
    </row>
    <row r="6867" spans="8:11">
      <c r="H6867">
        <f>SMALL(SimData5000!$B$9:$B$5008,1859)</f>
        <v>0.37162249953202497</v>
      </c>
      <c r="I6867">
        <f>1/(COUNT(SimData5000!$B$9:$B$5008)-1)+$I$6866</f>
        <v>0.37167433486698653</v>
      </c>
      <c r="J6867">
        <f>SMALL(SimData5000!$C$9:$C$5008,1859)</f>
        <v>0.36831424766569398</v>
      </c>
      <c r="K6867">
        <f>1/(COUNT(SimData5000!$C$9:$C$5008)-1)+$K$6866</f>
        <v>0.37167433486698653</v>
      </c>
    </row>
    <row r="6868" spans="8:11">
      <c r="H6868">
        <f>SMALL(SimData5000!$B$9:$B$5008,1860)</f>
        <v>0.37183493634574927</v>
      </c>
      <c r="I6868">
        <f>1/(COUNT(SimData5000!$B$9:$B$5008)-1)+$I$6867</f>
        <v>0.37187437487498815</v>
      </c>
      <c r="J6868">
        <f>SMALL(SimData5000!$C$9:$C$5008,1860)</f>
        <v>0.36866933758484777</v>
      </c>
      <c r="K6868">
        <f>1/(COUNT(SimData5000!$C$9:$C$5008)-1)+$K$6867</f>
        <v>0.37187437487498815</v>
      </c>
    </row>
    <row r="6869" spans="8:11">
      <c r="H6869">
        <f>SMALL(SimData5000!$B$9:$B$5008,1861)</f>
        <v>0.37202056201282435</v>
      </c>
      <c r="I6869">
        <f>1/(COUNT(SimData5000!$B$9:$B$5008)-1)+$I$6868</f>
        <v>0.37207441488298976</v>
      </c>
      <c r="J6869">
        <f>SMALL(SimData5000!$C$9:$C$5008,1861)</f>
        <v>0.36923597670465824</v>
      </c>
      <c r="K6869">
        <f>1/(COUNT(SimData5000!$C$9:$C$5008)-1)+$K$6868</f>
        <v>0.37207441488298976</v>
      </c>
    </row>
    <row r="6870" spans="8:11">
      <c r="H6870">
        <f>SMALL(SimData5000!$B$9:$B$5008,1862)</f>
        <v>0.37239453714135906</v>
      </c>
      <c r="I6870">
        <f>1/(COUNT(SimData5000!$B$9:$B$5008)-1)+$I$6869</f>
        <v>0.37227445489099137</v>
      </c>
      <c r="J6870">
        <f>SMALL(SimData5000!$C$9:$C$5008,1862)</f>
        <v>0.36932170452200808</v>
      </c>
      <c r="K6870">
        <f>1/(COUNT(SimData5000!$C$9:$C$5008)-1)+$K$6869</f>
        <v>0.37227445489099137</v>
      </c>
    </row>
    <row r="6871" spans="8:11">
      <c r="H6871">
        <f>SMALL(SimData5000!$B$9:$B$5008,1863)</f>
        <v>0.37256039569744848</v>
      </c>
      <c r="I6871">
        <f>1/(COUNT(SimData5000!$B$9:$B$5008)-1)+$I$6870</f>
        <v>0.37247449489899298</v>
      </c>
      <c r="J6871">
        <f>SMALL(SimData5000!$C$9:$C$5008,1863)</f>
        <v>0.36935858817014378</v>
      </c>
      <c r="K6871">
        <f>1/(COUNT(SimData5000!$C$9:$C$5008)-1)+$K$6870</f>
        <v>0.37247449489899298</v>
      </c>
    </row>
    <row r="6872" spans="8:11">
      <c r="H6872">
        <f>SMALL(SimData5000!$B$9:$B$5008,1864)</f>
        <v>0.37279529246403725</v>
      </c>
      <c r="I6872">
        <f>1/(COUNT(SimData5000!$B$9:$B$5008)-1)+$I$6871</f>
        <v>0.37267453490699459</v>
      </c>
      <c r="J6872">
        <f>SMALL(SimData5000!$C$9:$C$5008,1864)</f>
        <v>0.3698733905730478</v>
      </c>
      <c r="K6872">
        <f>1/(COUNT(SimData5000!$C$9:$C$5008)-1)+$K$6871</f>
        <v>0.37267453490699459</v>
      </c>
    </row>
    <row r="6873" spans="8:11">
      <c r="H6873">
        <f>SMALL(SimData5000!$B$9:$B$5008,1865)</f>
        <v>0.37282239613808282</v>
      </c>
      <c r="I6873">
        <f>1/(COUNT(SimData5000!$B$9:$B$5008)-1)+$I$6872</f>
        <v>0.3728745749149962</v>
      </c>
      <c r="J6873">
        <f>SMALL(SimData5000!$C$9:$C$5008,1865)</f>
        <v>0.36998798776403419</v>
      </c>
      <c r="K6873">
        <f>1/(COUNT(SimData5000!$C$9:$C$5008)-1)+$K$6872</f>
        <v>0.3728745749149962</v>
      </c>
    </row>
    <row r="6874" spans="8:11">
      <c r="H6874">
        <f>SMALL(SimData5000!$B$9:$B$5008,1866)</f>
        <v>0.37310901539295654</v>
      </c>
      <c r="I6874">
        <f>1/(COUNT(SimData5000!$B$9:$B$5008)-1)+$I$6873</f>
        <v>0.37307461492299782</v>
      </c>
      <c r="J6874">
        <f>SMALL(SimData5000!$C$9:$C$5008,1866)</f>
        <v>0.37092569932428887</v>
      </c>
      <c r="K6874">
        <f>1/(COUNT(SimData5000!$C$9:$C$5008)-1)+$K$6873</f>
        <v>0.37307461492299782</v>
      </c>
    </row>
    <row r="6875" spans="8:11">
      <c r="H6875">
        <f>SMALL(SimData5000!$B$9:$B$5008,1867)</f>
        <v>0.37334622887227364</v>
      </c>
      <c r="I6875">
        <f>1/(COUNT(SimData5000!$B$9:$B$5008)-1)+$I$6874</f>
        <v>0.37327465493099943</v>
      </c>
      <c r="J6875">
        <f>SMALL(SimData5000!$C$9:$C$5008,1867)</f>
        <v>0.37104501249177702</v>
      </c>
      <c r="K6875">
        <f>1/(COUNT(SimData5000!$C$9:$C$5008)-1)+$K$6874</f>
        <v>0.37327465493099943</v>
      </c>
    </row>
    <row r="6876" spans="8:11">
      <c r="H6876">
        <f>SMALL(SimData5000!$B$9:$B$5008,1868)</f>
        <v>0.3734235833624433</v>
      </c>
      <c r="I6876">
        <f>1/(COUNT(SimData5000!$B$9:$B$5008)-1)+$I$6875</f>
        <v>0.37347469493900104</v>
      </c>
      <c r="J6876">
        <f>SMALL(SimData5000!$C$9:$C$5008,1868)</f>
        <v>0.37110271846904652</v>
      </c>
      <c r="K6876">
        <f>1/(COUNT(SimData5000!$C$9:$C$5008)-1)+$K$6875</f>
        <v>0.37347469493900104</v>
      </c>
    </row>
    <row r="6877" spans="8:11">
      <c r="H6877">
        <f>SMALL(SimData5000!$B$9:$B$5008,1869)</f>
        <v>0.3736578700404749</v>
      </c>
      <c r="I6877">
        <f>1/(COUNT(SimData5000!$B$9:$B$5008)-1)+$I$6876</f>
        <v>0.37367473494700265</v>
      </c>
      <c r="J6877">
        <f>SMALL(SimData5000!$C$9:$C$5008,1869)</f>
        <v>0.37161121663484664</v>
      </c>
      <c r="K6877">
        <f>1/(COUNT(SimData5000!$C$9:$C$5008)-1)+$K$6876</f>
        <v>0.37367473494700265</v>
      </c>
    </row>
    <row r="6878" spans="8:11">
      <c r="H6878">
        <f>SMALL(SimData5000!$B$9:$B$5008,1870)</f>
        <v>0.37386208866067744</v>
      </c>
      <c r="I6878">
        <f>1/(COUNT(SimData5000!$B$9:$B$5008)-1)+$I$6877</f>
        <v>0.37387477495500426</v>
      </c>
      <c r="J6878">
        <f>SMALL(SimData5000!$C$9:$C$5008,1870)</f>
        <v>0.37203998065524502</v>
      </c>
      <c r="K6878">
        <f>1/(COUNT(SimData5000!$C$9:$C$5008)-1)+$K$6877</f>
        <v>0.37387477495500426</v>
      </c>
    </row>
    <row r="6879" spans="8:11">
      <c r="H6879">
        <f>SMALL(SimData5000!$B$9:$B$5008,1871)</f>
        <v>0.37400257344516052</v>
      </c>
      <c r="I6879">
        <f>1/(COUNT(SimData5000!$B$9:$B$5008)-1)+$I$6878</f>
        <v>0.37407481496300587</v>
      </c>
      <c r="J6879">
        <f>SMALL(SimData5000!$C$9:$C$5008,1871)</f>
        <v>0.37204797453887295</v>
      </c>
      <c r="K6879">
        <f>1/(COUNT(SimData5000!$C$9:$C$5008)-1)+$K$6878</f>
        <v>0.37407481496300587</v>
      </c>
    </row>
    <row r="6880" spans="8:11">
      <c r="H6880">
        <f>SMALL(SimData5000!$B$9:$B$5008,1872)</f>
        <v>0.37435462059191305</v>
      </c>
      <c r="I6880">
        <f>1/(COUNT(SimData5000!$B$9:$B$5008)-1)+$I$6879</f>
        <v>0.37427485497100749</v>
      </c>
      <c r="J6880">
        <f>SMALL(SimData5000!$C$9:$C$5008,1872)</f>
        <v>0.37272814350035333</v>
      </c>
      <c r="K6880">
        <f>1/(COUNT(SimData5000!$C$9:$C$5008)-1)+$K$6879</f>
        <v>0.37427485497100749</v>
      </c>
    </row>
    <row r="6881" spans="8:11">
      <c r="H6881">
        <f>SMALL(SimData5000!$B$9:$B$5008,1873)</f>
        <v>0.37459659206201246</v>
      </c>
      <c r="I6881">
        <f>1/(COUNT(SimData5000!$B$9:$B$5008)-1)+$I$6880</f>
        <v>0.3744748949790091</v>
      </c>
      <c r="J6881">
        <f>SMALL(SimData5000!$C$9:$C$5008,1873)</f>
        <v>0.37352499437292863</v>
      </c>
      <c r="K6881">
        <f>1/(COUNT(SimData5000!$C$9:$C$5008)-1)+$K$6880</f>
        <v>0.3744748949790091</v>
      </c>
    </row>
    <row r="6882" spans="8:11">
      <c r="H6882">
        <f>SMALL(SimData5000!$B$9:$B$5008,1874)</f>
        <v>0.37466880491000337</v>
      </c>
      <c r="I6882">
        <f>1/(COUNT(SimData5000!$B$9:$B$5008)-1)+$I$6881</f>
        <v>0.37467493498701071</v>
      </c>
      <c r="J6882">
        <f>SMALL(SimData5000!$C$9:$C$5008,1874)</f>
        <v>0.37352895570532496</v>
      </c>
      <c r="K6882">
        <f>1/(COUNT(SimData5000!$C$9:$C$5008)-1)+$K$6881</f>
        <v>0.37467493498701071</v>
      </c>
    </row>
    <row r="6883" spans="8:11">
      <c r="H6883">
        <f>SMALL(SimData5000!$B$9:$B$5008,1875)</f>
        <v>0.37485546204798281</v>
      </c>
      <c r="I6883">
        <f>1/(COUNT(SimData5000!$B$9:$B$5008)-1)+$I$6882</f>
        <v>0.37487497499501232</v>
      </c>
      <c r="J6883">
        <f>SMALL(SimData5000!$C$9:$C$5008,1875)</f>
        <v>0.37353124698529427</v>
      </c>
      <c r="K6883">
        <f>1/(COUNT(SimData5000!$C$9:$C$5008)-1)+$K$6882</f>
        <v>0.37487497499501232</v>
      </c>
    </row>
    <row r="6884" spans="8:11">
      <c r="H6884">
        <f>SMALL(SimData5000!$B$9:$B$5008,1876)</f>
        <v>0.37519181664166779</v>
      </c>
      <c r="I6884">
        <f>1/(COUNT(SimData5000!$B$9:$B$5008)-1)+$I$6883</f>
        <v>0.37507501500301393</v>
      </c>
      <c r="J6884">
        <f>SMALL(SimData5000!$C$9:$C$5008,1876)</f>
        <v>0.37414669721692917</v>
      </c>
      <c r="K6884">
        <f>1/(COUNT(SimData5000!$C$9:$C$5008)-1)+$K$6883</f>
        <v>0.37507501500301393</v>
      </c>
    </row>
    <row r="6885" spans="8:11">
      <c r="H6885">
        <f>SMALL(SimData5000!$B$9:$B$5008,1877)</f>
        <v>0.3752758810534319</v>
      </c>
      <c r="I6885">
        <f>1/(COUNT(SimData5000!$B$9:$B$5008)-1)+$I$6884</f>
        <v>0.37527505501101555</v>
      </c>
      <c r="J6885">
        <f>SMALL(SimData5000!$C$9:$C$5008,1877)</f>
        <v>0.37462874911125255</v>
      </c>
      <c r="K6885">
        <f>1/(COUNT(SimData5000!$C$9:$C$5008)-1)+$K$6884</f>
        <v>0.37527505501101555</v>
      </c>
    </row>
    <row r="6886" spans="8:11">
      <c r="H6886">
        <f>SMALL(SimData5000!$B$9:$B$5008,1878)</f>
        <v>0.37557750091789699</v>
      </c>
      <c r="I6886">
        <f>1/(COUNT(SimData5000!$B$9:$B$5008)-1)+$I$6885</f>
        <v>0.37547509501901716</v>
      </c>
      <c r="J6886">
        <f>SMALL(SimData5000!$C$9:$C$5008,1878)</f>
        <v>0.37501592847820575</v>
      </c>
      <c r="K6886">
        <f>1/(COUNT(SimData5000!$C$9:$C$5008)-1)+$K$6885</f>
        <v>0.37547509501901716</v>
      </c>
    </row>
    <row r="6887" spans="8:11">
      <c r="H6887">
        <f>SMALL(SimData5000!$B$9:$B$5008,1879)</f>
        <v>0.37578775572040762</v>
      </c>
      <c r="I6887">
        <f>1/(COUNT(SimData5000!$B$9:$B$5008)-1)+$I$6886</f>
        <v>0.37567513502701877</v>
      </c>
      <c r="J6887">
        <f>SMALL(SimData5000!$C$9:$C$5008,1879)</f>
        <v>0.37519056802921114</v>
      </c>
      <c r="K6887">
        <f>1/(COUNT(SimData5000!$C$9:$C$5008)-1)+$K$6886</f>
        <v>0.37567513502701877</v>
      </c>
    </row>
    <row r="6888" spans="8:11">
      <c r="H6888">
        <f>SMALL(SimData5000!$B$9:$B$5008,1880)</f>
        <v>0.3759599625814613</v>
      </c>
      <c r="I6888">
        <f>1/(COUNT(SimData5000!$B$9:$B$5008)-1)+$I$6887</f>
        <v>0.37587517503502038</v>
      </c>
      <c r="J6888">
        <f>SMALL(SimData5000!$C$9:$C$5008,1880)</f>
        <v>0.37537857721963519</v>
      </c>
      <c r="K6888">
        <f>1/(COUNT(SimData5000!$C$9:$C$5008)-1)+$K$6887</f>
        <v>0.37587517503502038</v>
      </c>
    </row>
    <row r="6889" spans="8:11">
      <c r="H6889">
        <f>SMALL(SimData5000!$B$9:$B$5008,1881)</f>
        <v>0.37608003913487309</v>
      </c>
      <c r="I6889">
        <f>1/(COUNT(SimData5000!$B$9:$B$5008)-1)+$I$6888</f>
        <v>0.37607521504302199</v>
      </c>
      <c r="J6889">
        <f>SMALL(SimData5000!$C$9:$C$5008,1881)</f>
        <v>0.37538585017227888</v>
      </c>
      <c r="K6889">
        <f>1/(COUNT(SimData5000!$C$9:$C$5008)-1)+$K$6888</f>
        <v>0.37607521504302199</v>
      </c>
    </row>
    <row r="6890" spans="8:11">
      <c r="H6890">
        <f>SMALL(SimData5000!$B$9:$B$5008,1882)</f>
        <v>0.37625766069406125</v>
      </c>
      <c r="I6890">
        <f>1/(COUNT(SimData5000!$B$9:$B$5008)-1)+$I$6889</f>
        <v>0.3762752550510236</v>
      </c>
      <c r="J6890">
        <f>SMALL(SimData5000!$C$9:$C$5008,1882)</f>
        <v>0.37549657079671306</v>
      </c>
      <c r="K6890">
        <f>1/(COUNT(SimData5000!$C$9:$C$5008)-1)+$K$6889</f>
        <v>0.3762752550510236</v>
      </c>
    </row>
    <row r="6891" spans="8:11">
      <c r="H6891">
        <f>SMALL(SimData5000!$B$9:$B$5008,1883)</f>
        <v>0.37647380905367289</v>
      </c>
      <c r="I6891">
        <f>1/(COUNT(SimData5000!$B$9:$B$5008)-1)+$I$6890</f>
        <v>0.37647529505902522</v>
      </c>
      <c r="J6891">
        <f>SMALL(SimData5000!$C$9:$C$5008,1883)</f>
        <v>0.37580322274334321</v>
      </c>
      <c r="K6891">
        <f>1/(COUNT(SimData5000!$C$9:$C$5008)-1)+$K$6890</f>
        <v>0.37647529505902522</v>
      </c>
    </row>
    <row r="6892" spans="8:11">
      <c r="H6892">
        <f>SMALL(SimData5000!$B$9:$B$5008,1884)</f>
        <v>0.37665671403637541</v>
      </c>
      <c r="I6892">
        <f>1/(COUNT(SimData5000!$B$9:$B$5008)-1)+$I$6891</f>
        <v>0.37667533506702683</v>
      </c>
      <c r="J6892">
        <f>SMALL(SimData5000!$C$9:$C$5008,1884)</f>
        <v>0.37606580848023441</v>
      </c>
      <c r="K6892">
        <f>1/(COUNT(SimData5000!$C$9:$C$5008)-1)+$K$6891</f>
        <v>0.37667533506702683</v>
      </c>
    </row>
    <row r="6893" spans="8:11">
      <c r="H6893">
        <f>SMALL(SimData5000!$B$9:$B$5008,1885)</f>
        <v>0.37697666896166671</v>
      </c>
      <c r="I6893">
        <f>1/(COUNT(SimData5000!$B$9:$B$5008)-1)+$I$6892</f>
        <v>0.37687537507502844</v>
      </c>
      <c r="J6893">
        <f>SMALL(SimData5000!$C$9:$C$5008,1885)</f>
        <v>0.37617807288734184</v>
      </c>
      <c r="K6893">
        <f>1/(COUNT(SimData5000!$C$9:$C$5008)-1)+$K$6892</f>
        <v>0.37687537507502844</v>
      </c>
    </row>
    <row r="6894" spans="8:11">
      <c r="H6894">
        <f>SMALL(SimData5000!$B$9:$B$5008,1886)</f>
        <v>0.37708216852575593</v>
      </c>
      <c r="I6894">
        <f>1/(COUNT(SimData5000!$B$9:$B$5008)-1)+$I$6893</f>
        <v>0.37707541508303005</v>
      </c>
      <c r="J6894">
        <f>SMALL(SimData5000!$C$9:$C$5008,1886)</f>
        <v>0.37632587427651742</v>
      </c>
      <c r="K6894">
        <f>1/(COUNT(SimData5000!$C$9:$C$5008)-1)+$K$6893</f>
        <v>0.37707541508303005</v>
      </c>
    </row>
    <row r="6895" spans="8:11">
      <c r="H6895">
        <f>SMALL(SimData5000!$B$9:$B$5008,1887)</f>
        <v>0.37738166441265064</v>
      </c>
      <c r="I6895">
        <f>1/(COUNT(SimData5000!$B$9:$B$5008)-1)+$I$6894</f>
        <v>0.37727545509103166</v>
      </c>
      <c r="J6895">
        <f>SMALL(SimData5000!$C$9:$C$5008,1887)</f>
        <v>0.37651247181111103</v>
      </c>
      <c r="K6895">
        <f>1/(COUNT(SimData5000!$C$9:$C$5008)-1)+$K$6894</f>
        <v>0.37727545509103166</v>
      </c>
    </row>
    <row r="6896" spans="8:11">
      <c r="H6896">
        <f>SMALL(SimData5000!$B$9:$B$5008,1888)</f>
        <v>0.3774317653489373</v>
      </c>
      <c r="I6896">
        <f>1/(COUNT(SimData5000!$B$9:$B$5008)-1)+$I$6895</f>
        <v>0.37747549509903328</v>
      </c>
      <c r="J6896">
        <f>SMALL(SimData5000!$C$9:$C$5008,1888)</f>
        <v>0.37668558976201894</v>
      </c>
      <c r="K6896">
        <f>1/(COUNT(SimData5000!$C$9:$C$5008)-1)+$K$6895</f>
        <v>0.37747549509903328</v>
      </c>
    </row>
    <row r="6897" spans="8:11">
      <c r="H6897">
        <f>SMALL(SimData5000!$B$9:$B$5008,1889)</f>
        <v>0.37763844437432442</v>
      </c>
      <c r="I6897">
        <f>1/(COUNT(SimData5000!$B$9:$B$5008)-1)+$I$6896</f>
        <v>0.37767553510703489</v>
      </c>
      <c r="J6897">
        <f>SMALL(SimData5000!$C$9:$C$5008,1889)</f>
        <v>0.37669705761072692</v>
      </c>
      <c r="K6897">
        <f>1/(COUNT(SimData5000!$C$9:$C$5008)-1)+$K$6896</f>
        <v>0.37767553510703489</v>
      </c>
    </row>
    <row r="6898" spans="8:11">
      <c r="H6898">
        <f>SMALL(SimData5000!$B$9:$B$5008,1890)</f>
        <v>0.37790665744890145</v>
      </c>
      <c r="I6898">
        <f>1/(COUNT(SimData5000!$B$9:$B$5008)-1)+$I$6897</f>
        <v>0.3778755751150365</v>
      </c>
      <c r="J6898">
        <f>SMALL(SimData5000!$C$9:$C$5008,1890)</f>
        <v>0.37672183146059979</v>
      </c>
      <c r="K6898">
        <f>1/(COUNT(SimData5000!$C$9:$C$5008)-1)+$K$6897</f>
        <v>0.3778755751150365</v>
      </c>
    </row>
    <row r="6899" spans="8:11">
      <c r="H6899">
        <f>SMALL(SimData5000!$B$9:$B$5008,1891)</f>
        <v>0.37812926751778675</v>
      </c>
      <c r="I6899">
        <f>1/(COUNT(SimData5000!$B$9:$B$5008)-1)+$I$6898</f>
        <v>0.37807561512303811</v>
      </c>
      <c r="J6899">
        <f>SMALL(SimData5000!$C$9:$C$5008,1891)</f>
        <v>0.37683618477876735</v>
      </c>
      <c r="K6899">
        <f>1/(COUNT(SimData5000!$C$9:$C$5008)-1)+$K$6898</f>
        <v>0.37807561512303811</v>
      </c>
    </row>
    <row r="6900" spans="8:11">
      <c r="H6900">
        <f>SMALL(SimData5000!$B$9:$B$5008,1892)</f>
        <v>0.3783552953947697</v>
      </c>
      <c r="I6900">
        <f>1/(COUNT(SimData5000!$B$9:$B$5008)-1)+$I$6899</f>
        <v>0.37827565513103972</v>
      </c>
      <c r="J6900">
        <f>SMALL(SimData5000!$C$9:$C$5008,1892)</f>
        <v>0.3775564677798684</v>
      </c>
      <c r="K6900">
        <f>1/(COUNT(SimData5000!$C$9:$C$5008)-1)+$K$6899</f>
        <v>0.37827565513103972</v>
      </c>
    </row>
    <row r="6901" spans="8:11">
      <c r="H6901">
        <f>SMALL(SimData5000!$B$9:$B$5008,1893)</f>
        <v>0.37847809315218545</v>
      </c>
      <c r="I6901">
        <f>1/(COUNT(SimData5000!$B$9:$B$5008)-1)+$I$6900</f>
        <v>0.37847569513904133</v>
      </c>
      <c r="J6901">
        <f>SMALL(SimData5000!$C$9:$C$5008,1893)</f>
        <v>0.37755959164132946</v>
      </c>
      <c r="K6901">
        <f>1/(COUNT(SimData5000!$C$9:$C$5008)-1)+$K$6900</f>
        <v>0.37847569513904133</v>
      </c>
    </row>
    <row r="6902" spans="8:11">
      <c r="H6902">
        <f>SMALL(SimData5000!$B$9:$B$5008,1894)</f>
        <v>0.37873574695380768</v>
      </c>
      <c r="I6902">
        <f>1/(COUNT(SimData5000!$B$9:$B$5008)-1)+$I$6901</f>
        <v>0.37867573514704295</v>
      </c>
      <c r="J6902">
        <f>SMALL(SimData5000!$C$9:$C$5008,1894)</f>
        <v>0.37756938057827938</v>
      </c>
      <c r="K6902">
        <f>1/(COUNT(SimData5000!$C$9:$C$5008)-1)+$K$6901</f>
        <v>0.37867573514704295</v>
      </c>
    </row>
    <row r="6903" spans="8:11">
      <c r="H6903">
        <f>SMALL(SimData5000!$B$9:$B$5008,1895)</f>
        <v>0.37881756344428696</v>
      </c>
      <c r="I6903">
        <f>1/(COUNT(SimData5000!$B$9:$B$5008)-1)+$I$6902</f>
        <v>0.37887577515504456</v>
      </c>
      <c r="J6903">
        <f>SMALL(SimData5000!$C$9:$C$5008,1895)</f>
        <v>0.37787607383870636</v>
      </c>
      <c r="K6903">
        <f>1/(COUNT(SimData5000!$C$9:$C$5008)-1)+$K$6902</f>
        <v>0.37887577515504456</v>
      </c>
    </row>
    <row r="6904" spans="8:11">
      <c r="H6904">
        <f>SMALL(SimData5000!$B$9:$B$5008,1896)</f>
        <v>0.37916448195156743</v>
      </c>
      <c r="I6904">
        <f>1/(COUNT(SimData5000!$B$9:$B$5008)-1)+$I$6903</f>
        <v>0.37907581516304617</v>
      </c>
      <c r="J6904">
        <f>SMALL(SimData5000!$C$9:$C$5008,1896)</f>
        <v>0.37798723808919021</v>
      </c>
      <c r="K6904">
        <f>1/(COUNT(SimData5000!$C$9:$C$5008)-1)+$K$6903</f>
        <v>0.37907581516304617</v>
      </c>
    </row>
    <row r="6905" spans="8:11">
      <c r="H6905">
        <f>SMALL(SimData5000!$B$9:$B$5008,1897)</f>
        <v>0.3793721455948828</v>
      </c>
      <c r="I6905">
        <f>1/(COUNT(SimData5000!$B$9:$B$5008)-1)+$I$6904</f>
        <v>0.37927585517104778</v>
      </c>
      <c r="J6905">
        <f>SMALL(SimData5000!$C$9:$C$5008,1897)</f>
        <v>0.37814045070899738</v>
      </c>
      <c r="K6905">
        <f>1/(COUNT(SimData5000!$C$9:$C$5008)-1)+$K$6904</f>
        <v>0.37927585517104778</v>
      </c>
    </row>
    <row r="6906" spans="8:11">
      <c r="H6906">
        <f>SMALL(SimData5000!$B$9:$B$5008,1898)</f>
        <v>0.37940297643090665</v>
      </c>
      <c r="I6906">
        <f>1/(COUNT(SimData5000!$B$9:$B$5008)-1)+$I$6905</f>
        <v>0.37947589517904939</v>
      </c>
      <c r="J6906">
        <f>SMALL(SimData5000!$C$9:$C$5008,1898)</f>
        <v>0.37824137621464615</v>
      </c>
      <c r="K6906">
        <f>1/(COUNT(SimData5000!$C$9:$C$5008)-1)+$K$6905</f>
        <v>0.37947589517904939</v>
      </c>
    </row>
    <row r="6907" spans="8:11">
      <c r="H6907">
        <f>SMALL(SimData5000!$B$9:$B$5008,1899)</f>
        <v>0.37979522270541527</v>
      </c>
      <c r="I6907">
        <f>1/(COUNT(SimData5000!$B$9:$B$5008)-1)+$I$6906</f>
        <v>0.37967593518705101</v>
      </c>
      <c r="J6907">
        <f>SMALL(SimData5000!$C$9:$C$5008,1899)</f>
        <v>0.37833667347422306</v>
      </c>
      <c r="K6907">
        <f>1/(COUNT(SimData5000!$C$9:$C$5008)-1)+$K$6906</f>
        <v>0.37967593518705101</v>
      </c>
    </row>
    <row r="6908" spans="8:11">
      <c r="H6908">
        <f>SMALL(SimData5000!$B$9:$B$5008,1900)</f>
        <v>0.37995212105828152</v>
      </c>
      <c r="I6908">
        <f>1/(COUNT(SimData5000!$B$9:$B$5008)-1)+$I$6907</f>
        <v>0.37987597519505262</v>
      </c>
      <c r="J6908">
        <f>SMALL(SimData5000!$C$9:$C$5008,1900)</f>
        <v>0.37835747037843248</v>
      </c>
      <c r="K6908">
        <f>1/(COUNT(SimData5000!$C$9:$C$5008)-1)+$K$6907</f>
        <v>0.37987597519505262</v>
      </c>
    </row>
    <row r="6909" spans="8:11">
      <c r="H6909">
        <f>SMALL(SimData5000!$B$9:$B$5008,1901)</f>
        <v>0.38019201872758379</v>
      </c>
      <c r="I6909">
        <f>1/(COUNT(SimData5000!$B$9:$B$5008)-1)+$I$6908</f>
        <v>0.38007601520305423</v>
      </c>
      <c r="J6909">
        <f>SMALL(SimData5000!$C$9:$C$5008,1901)</f>
        <v>0.37856884831856519</v>
      </c>
      <c r="K6909">
        <f>1/(COUNT(SimData5000!$C$9:$C$5008)-1)+$K$6908</f>
        <v>0.38007601520305423</v>
      </c>
    </row>
    <row r="6910" spans="8:11">
      <c r="H6910">
        <f>SMALL(SimData5000!$B$9:$B$5008,1902)</f>
        <v>0.38024436308384041</v>
      </c>
      <c r="I6910">
        <f>1/(COUNT(SimData5000!$B$9:$B$5008)-1)+$I$6909</f>
        <v>0.38027605521105584</v>
      </c>
      <c r="J6910">
        <f>SMALL(SimData5000!$C$9:$C$5008,1902)</f>
        <v>0.37875914037431357</v>
      </c>
      <c r="K6910">
        <f>1/(COUNT(SimData5000!$C$9:$C$5008)-1)+$K$6909</f>
        <v>0.38027605521105584</v>
      </c>
    </row>
    <row r="6911" spans="8:11">
      <c r="H6911">
        <f>SMALL(SimData5000!$B$9:$B$5008,1903)</f>
        <v>0.38044855615730599</v>
      </c>
      <c r="I6911">
        <f>1/(COUNT(SimData5000!$B$9:$B$5008)-1)+$I$6910</f>
        <v>0.38047609521905745</v>
      </c>
      <c r="J6911">
        <f>SMALL(SimData5000!$C$9:$C$5008,1903)</f>
        <v>0.37886462407368526</v>
      </c>
      <c r="K6911">
        <f>1/(COUNT(SimData5000!$C$9:$C$5008)-1)+$K$6910</f>
        <v>0.38047609521905745</v>
      </c>
    </row>
    <row r="6912" spans="8:11">
      <c r="H6912">
        <f>SMALL(SimData5000!$B$9:$B$5008,1904)</f>
        <v>0.380741895973017</v>
      </c>
      <c r="I6912">
        <f>1/(COUNT(SimData5000!$B$9:$B$5008)-1)+$I$6911</f>
        <v>0.38067613522705906</v>
      </c>
      <c r="J6912">
        <f>SMALL(SimData5000!$C$9:$C$5008,1904)</f>
        <v>0.37889228900348826</v>
      </c>
      <c r="K6912">
        <f>1/(COUNT(SimData5000!$C$9:$C$5008)-1)+$K$6911</f>
        <v>0.38067613522705906</v>
      </c>
    </row>
    <row r="6913" spans="8:11">
      <c r="H6913">
        <f>SMALL(SimData5000!$B$9:$B$5008,1905)</f>
        <v>0.38084115915900124</v>
      </c>
      <c r="I6913">
        <f>1/(COUNT(SimData5000!$B$9:$B$5008)-1)+$I$6912</f>
        <v>0.38087617523506068</v>
      </c>
      <c r="J6913">
        <f>SMALL(SimData5000!$C$9:$C$5008,1905)</f>
        <v>0.37896295388873114</v>
      </c>
      <c r="K6913">
        <f>1/(COUNT(SimData5000!$C$9:$C$5008)-1)+$K$6912</f>
        <v>0.38087617523506068</v>
      </c>
    </row>
    <row r="6914" spans="8:11">
      <c r="H6914">
        <f>SMALL(SimData5000!$B$9:$B$5008,1906)</f>
        <v>0.38110645638259744</v>
      </c>
      <c r="I6914">
        <f>1/(COUNT(SimData5000!$B$9:$B$5008)-1)+$I$6913</f>
        <v>0.38107621524306229</v>
      </c>
      <c r="J6914">
        <f>SMALL(SimData5000!$C$9:$C$5008,1906)</f>
        <v>0.37906122094500461</v>
      </c>
      <c r="K6914">
        <f>1/(COUNT(SimData5000!$C$9:$C$5008)-1)+$K$6913</f>
        <v>0.38107621524306229</v>
      </c>
    </row>
    <row r="6915" spans="8:11">
      <c r="H6915">
        <f>SMALL(SimData5000!$B$9:$B$5008,1907)</f>
        <v>0.38132110299149552</v>
      </c>
      <c r="I6915">
        <f>1/(COUNT(SimData5000!$B$9:$B$5008)-1)+$I$6914</f>
        <v>0.3812762552510639</v>
      </c>
      <c r="J6915">
        <f>SMALL(SimData5000!$C$9:$C$5008,1907)</f>
        <v>0.37941752833921782</v>
      </c>
      <c r="K6915">
        <f>1/(COUNT(SimData5000!$C$9:$C$5008)-1)+$K$6914</f>
        <v>0.3812762552510639</v>
      </c>
    </row>
    <row r="6916" spans="8:11">
      <c r="H6916">
        <f>SMALL(SimData5000!$B$9:$B$5008,1908)</f>
        <v>0.38141786602656769</v>
      </c>
      <c r="I6916">
        <f>1/(COUNT(SimData5000!$B$9:$B$5008)-1)+$I$6915</f>
        <v>0.38147629525906551</v>
      </c>
      <c r="J6916">
        <f>SMALL(SimData5000!$C$9:$C$5008,1908)</f>
        <v>0.37988920044699626</v>
      </c>
      <c r="K6916">
        <f>1/(COUNT(SimData5000!$C$9:$C$5008)-1)+$K$6915</f>
        <v>0.38147629525906551</v>
      </c>
    </row>
    <row r="6917" spans="8:11">
      <c r="H6917">
        <f>SMALL(SimData5000!$B$9:$B$5008,1909)</f>
        <v>0.38177336218510138</v>
      </c>
      <c r="I6917">
        <f>1/(COUNT(SimData5000!$B$9:$B$5008)-1)+$I$6916</f>
        <v>0.38167633526706712</v>
      </c>
      <c r="J6917">
        <f>SMALL(SimData5000!$C$9:$C$5008,1909)</f>
        <v>0.38007077595375449</v>
      </c>
      <c r="K6917">
        <f>1/(COUNT(SimData5000!$C$9:$C$5008)-1)+$K$6916</f>
        <v>0.38167633526706712</v>
      </c>
    </row>
    <row r="6918" spans="8:11">
      <c r="H6918">
        <f>SMALL(SimData5000!$B$9:$B$5008,1910)</f>
        <v>0.38181505844258123</v>
      </c>
      <c r="I6918">
        <f>1/(COUNT(SimData5000!$B$9:$B$5008)-1)+$I$6917</f>
        <v>0.38187637527506874</v>
      </c>
      <c r="J6918">
        <f>SMALL(SimData5000!$C$9:$C$5008,1910)</f>
        <v>0.38083027453831164</v>
      </c>
      <c r="K6918">
        <f>1/(COUNT(SimData5000!$C$9:$C$5008)-1)+$K$6917</f>
        <v>0.38187637527506874</v>
      </c>
    </row>
    <row r="6919" spans="8:11">
      <c r="H6919">
        <f>SMALL(SimData5000!$B$9:$B$5008,1911)</f>
        <v>0.38217578672198016</v>
      </c>
      <c r="I6919">
        <f>1/(COUNT(SimData5000!$B$9:$B$5008)-1)+$I$6918</f>
        <v>0.38207641528307035</v>
      </c>
      <c r="J6919">
        <f>SMALL(SimData5000!$C$9:$C$5008,1911)</f>
        <v>0.38093879103236361</v>
      </c>
      <c r="K6919">
        <f>1/(COUNT(SimData5000!$C$9:$C$5008)-1)+$K$6918</f>
        <v>0.38207641528307035</v>
      </c>
    </row>
    <row r="6920" spans="8:11">
      <c r="H6920">
        <f>SMALL(SimData5000!$B$9:$B$5008,1912)</f>
        <v>0.38233219246369138</v>
      </c>
      <c r="I6920">
        <f>1/(COUNT(SimData5000!$B$9:$B$5008)-1)+$I$6919</f>
        <v>0.38227645529107196</v>
      </c>
      <c r="J6920">
        <f>SMALL(SimData5000!$C$9:$C$5008,1912)</f>
        <v>0.38128086334018008</v>
      </c>
      <c r="K6920">
        <f>1/(COUNT(SimData5000!$C$9:$C$5008)-1)+$K$6919</f>
        <v>0.38227645529107196</v>
      </c>
    </row>
    <row r="6921" spans="8:11">
      <c r="H6921">
        <f>SMALL(SimData5000!$B$9:$B$5008,1913)</f>
        <v>0.38256849092682094</v>
      </c>
      <c r="I6921">
        <f>1/(COUNT(SimData5000!$B$9:$B$5008)-1)+$I$6920</f>
        <v>0.38247649529907357</v>
      </c>
      <c r="J6921">
        <f>SMALL(SimData5000!$C$9:$C$5008,1913)</f>
        <v>0.38133956725232565</v>
      </c>
      <c r="K6921">
        <f>1/(COUNT(SimData5000!$C$9:$C$5008)-1)+$K$6920</f>
        <v>0.38247649529907357</v>
      </c>
    </row>
    <row r="6922" spans="8:11">
      <c r="H6922">
        <f>SMALL(SimData5000!$B$9:$B$5008,1914)</f>
        <v>0.3826876466033719</v>
      </c>
      <c r="I6922">
        <f>1/(COUNT(SimData5000!$B$9:$B$5008)-1)+$I$6921</f>
        <v>0.38267653530707518</v>
      </c>
      <c r="J6922">
        <f>SMALL(SimData5000!$C$9:$C$5008,1914)</f>
        <v>0.38134026852094394</v>
      </c>
      <c r="K6922">
        <f>1/(COUNT(SimData5000!$C$9:$C$5008)-1)+$K$6921</f>
        <v>0.38267653530707518</v>
      </c>
    </row>
    <row r="6923" spans="8:11">
      <c r="H6923">
        <f>SMALL(SimData5000!$B$9:$B$5008,1915)</f>
        <v>0.38292861025415559</v>
      </c>
      <c r="I6923">
        <f>1/(COUNT(SimData5000!$B$9:$B$5008)-1)+$I$6922</f>
        <v>0.38287657531507679</v>
      </c>
      <c r="J6923">
        <f>SMALL(SimData5000!$C$9:$C$5008,1915)</f>
        <v>0.38142683402475086</v>
      </c>
      <c r="K6923">
        <f>1/(COUNT(SimData5000!$C$9:$C$5008)-1)+$K$6922</f>
        <v>0.38287657531507679</v>
      </c>
    </row>
    <row r="6924" spans="8:11">
      <c r="H6924">
        <f>SMALL(SimData5000!$B$9:$B$5008,1916)</f>
        <v>0.38308768308765434</v>
      </c>
      <c r="I6924">
        <f>1/(COUNT(SimData5000!$B$9:$B$5008)-1)+$I$6923</f>
        <v>0.38307661532307841</v>
      </c>
      <c r="J6924">
        <f>SMALL(SimData5000!$C$9:$C$5008,1916)</f>
        <v>0.38166385958174942</v>
      </c>
      <c r="K6924">
        <f>1/(COUNT(SimData5000!$C$9:$C$5008)-1)+$K$6923</f>
        <v>0.38307661532307841</v>
      </c>
    </row>
    <row r="6925" spans="8:11">
      <c r="H6925">
        <f>SMALL(SimData5000!$B$9:$B$5008,1917)</f>
        <v>0.38332276096016232</v>
      </c>
      <c r="I6925">
        <f>1/(COUNT(SimData5000!$B$9:$B$5008)-1)+$I$6924</f>
        <v>0.38327665533108002</v>
      </c>
      <c r="J6925">
        <f>SMALL(SimData5000!$C$9:$C$5008,1917)</f>
        <v>0.38206588713728706</v>
      </c>
      <c r="K6925">
        <f>1/(COUNT(SimData5000!$C$9:$C$5008)-1)+$K$6924</f>
        <v>0.38327665533108002</v>
      </c>
    </row>
    <row r="6926" spans="8:11">
      <c r="H6926">
        <f>SMALL(SimData5000!$B$9:$B$5008,1918)</f>
        <v>0.38348994765819283</v>
      </c>
      <c r="I6926">
        <f>1/(COUNT(SimData5000!$B$9:$B$5008)-1)+$I$6925</f>
        <v>0.38347669533908163</v>
      </c>
      <c r="J6926">
        <f>SMALL(SimData5000!$C$9:$C$5008,1918)</f>
        <v>0.38211944171644063</v>
      </c>
      <c r="K6926">
        <f>1/(COUNT(SimData5000!$C$9:$C$5008)-1)+$K$6925</f>
        <v>0.38347669533908163</v>
      </c>
    </row>
    <row r="6927" spans="8:11">
      <c r="H6927">
        <f>SMALL(SimData5000!$B$9:$B$5008,1919)</f>
        <v>0.38374543239016679</v>
      </c>
      <c r="I6927">
        <f>1/(COUNT(SimData5000!$B$9:$B$5008)-1)+$I$6926</f>
        <v>0.38367673534708324</v>
      </c>
      <c r="J6927">
        <f>SMALL(SimData5000!$C$9:$C$5008,1919)</f>
        <v>0.38234444546469604</v>
      </c>
      <c r="K6927">
        <f>1/(COUNT(SimData5000!$C$9:$C$5008)-1)+$K$6926</f>
        <v>0.38367673534708324</v>
      </c>
    </row>
    <row r="6928" spans="8:11">
      <c r="H6928">
        <f>SMALL(SimData5000!$B$9:$B$5008,1920)</f>
        <v>0.3839207680397948</v>
      </c>
      <c r="I6928">
        <f>1/(COUNT(SimData5000!$B$9:$B$5008)-1)+$I$6927</f>
        <v>0.38387677535508485</v>
      </c>
      <c r="J6928">
        <f>SMALL(SimData5000!$C$9:$C$5008,1920)</f>
        <v>0.38247195815529267</v>
      </c>
      <c r="K6928">
        <f>1/(COUNT(SimData5000!$C$9:$C$5008)-1)+$K$6927</f>
        <v>0.38387677535508485</v>
      </c>
    </row>
    <row r="6929" spans="8:11">
      <c r="H6929">
        <f>SMALL(SimData5000!$B$9:$B$5008,1921)</f>
        <v>0.38413789454860098</v>
      </c>
      <c r="I6929">
        <f>1/(COUNT(SimData5000!$B$9:$B$5008)-1)+$I$6928</f>
        <v>0.38407681536308647</v>
      </c>
      <c r="J6929">
        <f>SMALL(SimData5000!$C$9:$C$5008,1921)</f>
        <v>0.38260286112927133</v>
      </c>
      <c r="K6929">
        <f>1/(COUNT(SimData5000!$C$9:$C$5008)-1)+$K$6928</f>
        <v>0.38407681536308647</v>
      </c>
    </row>
    <row r="6930" spans="8:11">
      <c r="H6930">
        <f>SMALL(SimData5000!$B$9:$B$5008,1922)</f>
        <v>0.38429207165229412</v>
      </c>
      <c r="I6930">
        <f>1/(COUNT(SimData5000!$B$9:$B$5008)-1)+$I$6929</f>
        <v>0.38427685537108808</v>
      </c>
      <c r="J6930">
        <f>SMALL(SimData5000!$C$9:$C$5008,1922)</f>
        <v>0.38264232407891541</v>
      </c>
      <c r="K6930">
        <f>1/(COUNT(SimData5000!$C$9:$C$5008)-1)+$K$6929</f>
        <v>0.38427685537108808</v>
      </c>
    </row>
    <row r="6931" spans="8:11">
      <c r="H6931">
        <f>SMALL(SimData5000!$B$9:$B$5008,1923)</f>
        <v>0.38443319480466498</v>
      </c>
      <c r="I6931">
        <f>1/(COUNT(SimData5000!$B$9:$B$5008)-1)+$I$6930</f>
        <v>0.38447689537908969</v>
      </c>
      <c r="J6931">
        <f>SMALL(SimData5000!$C$9:$C$5008,1923)</f>
        <v>0.38292049787833093</v>
      </c>
      <c r="K6931">
        <f>1/(COUNT(SimData5000!$C$9:$C$5008)-1)+$K$6930</f>
        <v>0.38447689537908969</v>
      </c>
    </row>
    <row r="6932" spans="8:11">
      <c r="H6932">
        <f>SMALL(SimData5000!$B$9:$B$5008,1924)</f>
        <v>0.38479474067413127</v>
      </c>
      <c r="I6932">
        <f>1/(COUNT(SimData5000!$B$9:$B$5008)-1)+$I$6931</f>
        <v>0.3846769353870913</v>
      </c>
      <c r="J6932">
        <f>SMALL(SimData5000!$C$9:$C$5008,1924)</f>
        <v>0.38303282935157767</v>
      </c>
      <c r="K6932">
        <f>1/(COUNT(SimData5000!$C$9:$C$5008)-1)+$K$6931</f>
        <v>0.3846769353870913</v>
      </c>
    </row>
    <row r="6933" spans="8:11">
      <c r="H6933">
        <f>SMALL(SimData5000!$B$9:$B$5008,1925)</f>
        <v>0.38496979413669785</v>
      </c>
      <c r="I6933">
        <f>1/(COUNT(SimData5000!$B$9:$B$5008)-1)+$I$6932</f>
        <v>0.38487697539509291</v>
      </c>
      <c r="J6933">
        <f>SMALL(SimData5000!$C$9:$C$5008,1925)</f>
        <v>0.38323895315534173</v>
      </c>
      <c r="K6933">
        <f>1/(COUNT(SimData5000!$C$9:$C$5008)-1)+$K$6932</f>
        <v>0.38487697539509291</v>
      </c>
    </row>
    <row r="6934" spans="8:11">
      <c r="H6934">
        <f>SMALL(SimData5000!$B$9:$B$5008,1926)</f>
        <v>0.38507632028848782</v>
      </c>
      <c r="I6934">
        <f>1/(COUNT(SimData5000!$B$9:$B$5008)-1)+$I$6933</f>
        <v>0.38507701540309452</v>
      </c>
      <c r="J6934">
        <f>SMALL(SimData5000!$C$9:$C$5008,1926)</f>
        <v>0.3834436610359262</v>
      </c>
      <c r="K6934">
        <f>1/(COUNT(SimData5000!$C$9:$C$5008)-1)+$K$6933</f>
        <v>0.38507701540309452</v>
      </c>
    </row>
    <row r="6935" spans="8:11">
      <c r="H6935">
        <f>SMALL(SimData5000!$B$9:$B$5008,1927)</f>
        <v>0.38539611151288172</v>
      </c>
      <c r="I6935">
        <f>1/(COUNT(SimData5000!$B$9:$B$5008)-1)+$I$6934</f>
        <v>0.38527705541109614</v>
      </c>
      <c r="J6935">
        <f>SMALL(SimData5000!$C$9:$C$5008,1927)</f>
        <v>0.38355640984264028</v>
      </c>
      <c r="K6935">
        <f>1/(COUNT(SimData5000!$C$9:$C$5008)-1)+$K$6934</f>
        <v>0.38527705541109614</v>
      </c>
    </row>
    <row r="6936" spans="8:11">
      <c r="H6936">
        <f>SMALL(SimData5000!$B$9:$B$5008,1928)</f>
        <v>0.38554120892932203</v>
      </c>
      <c r="I6936">
        <f>1/(COUNT(SimData5000!$B$9:$B$5008)-1)+$I$6935</f>
        <v>0.38547709541909775</v>
      </c>
      <c r="J6936">
        <f>SMALL(SimData5000!$C$9:$C$5008,1928)</f>
        <v>0.3836730372704551</v>
      </c>
      <c r="K6936">
        <f>1/(COUNT(SimData5000!$C$9:$C$5008)-1)+$K$6935</f>
        <v>0.38547709541909775</v>
      </c>
    </row>
    <row r="6937" spans="8:11">
      <c r="H6937">
        <f>SMALL(SimData5000!$B$9:$B$5008,1929)</f>
        <v>0.38564465402621884</v>
      </c>
      <c r="I6937">
        <f>1/(COUNT(SimData5000!$B$9:$B$5008)-1)+$I$6936</f>
        <v>0.38567713542709936</v>
      </c>
      <c r="J6937">
        <f>SMALL(SimData5000!$C$9:$C$5008,1929)</f>
        <v>0.38375905102384422</v>
      </c>
      <c r="K6937">
        <f>1/(COUNT(SimData5000!$C$9:$C$5008)-1)+$K$6936</f>
        <v>0.38567713542709936</v>
      </c>
    </row>
    <row r="6938" spans="8:11">
      <c r="H6938">
        <f>SMALL(SimData5000!$B$9:$B$5008,1930)</f>
        <v>0.38593596426866389</v>
      </c>
      <c r="I6938">
        <f>1/(COUNT(SimData5000!$B$9:$B$5008)-1)+$I$6937</f>
        <v>0.38587717543510097</v>
      </c>
      <c r="J6938">
        <f>SMALL(SimData5000!$C$9:$C$5008,1930)</f>
        <v>0.38419909870572155</v>
      </c>
      <c r="K6938">
        <f>1/(COUNT(SimData5000!$C$9:$C$5008)-1)+$K$6937</f>
        <v>0.38587717543510097</v>
      </c>
    </row>
    <row r="6939" spans="8:11">
      <c r="H6939">
        <f>SMALL(SimData5000!$B$9:$B$5008,1931)</f>
        <v>0.3861245834684755</v>
      </c>
      <c r="I6939">
        <f>1/(COUNT(SimData5000!$B$9:$B$5008)-1)+$I$6938</f>
        <v>0.38607721544310258</v>
      </c>
      <c r="J6939">
        <f>SMALL(SimData5000!$C$9:$C$5008,1931)</f>
        <v>0.38441867474011815</v>
      </c>
      <c r="K6939">
        <f>1/(COUNT(SimData5000!$C$9:$C$5008)-1)+$K$6938</f>
        <v>0.38607721544310258</v>
      </c>
    </row>
    <row r="6940" spans="8:11">
      <c r="H6940">
        <f>SMALL(SimData5000!$B$9:$B$5008,1932)</f>
        <v>0.38623701725467974</v>
      </c>
      <c r="I6940">
        <f>1/(COUNT(SimData5000!$B$9:$B$5008)-1)+$I$6939</f>
        <v>0.3862772554511042</v>
      </c>
      <c r="J6940">
        <f>SMALL(SimData5000!$C$9:$C$5008,1932)</f>
        <v>0.38447484530843212</v>
      </c>
      <c r="K6940">
        <f>1/(COUNT(SimData5000!$C$9:$C$5008)-1)+$K$6939</f>
        <v>0.3862772554511042</v>
      </c>
    </row>
    <row r="6941" spans="8:11">
      <c r="H6941">
        <f>SMALL(SimData5000!$B$9:$B$5008,1933)</f>
        <v>0.38649935704104121</v>
      </c>
      <c r="I6941">
        <f>1/(COUNT(SimData5000!$B$9:$B$5008)-1)+$I$6940</f>
        <v>0.38647729545910581</v>
      </c>
      <c r="J6941">
        <f>SMALL(SimData5000!$C$9:$C$5008,1933)</f>
        <v>0.38462467085264507</v>
      </c>
      <c r="K6941">
        <f>1/(COUNT(SimData5000!$C$9:$C$5008)-1)+$K$6940</f>
        <v>0.38647729545910581</v>
      </c>
    </row>
    <row r="6942" spans="8:11">
      <c r="H6942">
        <f>SMALL(SimData5000!$B$9:$B$5008,1934)</f>
        <v>0.3866741726022852</v>
      </c>
      <c r="I6942">
        <f>1/(COUNT(SimData5000!$B$9:$B$5008)-1)+$I$6941</f>
        <v>0.38667733546710742</v>
      </c>
      <c r="J6942">
        <f>SMALL(SimData5000!$C$9:$C$5008,1934)</f>
        <v>0.38499798879456648</v>
      </c>
      <c r="K6942">
        <f>1/(COUNT(SimData5000!$C$9:$C$5008)-1)+$K$6941</f>
        <v>0.38667733546710742</v>
      </c>
    </row>
    <row r="6943" spans="8:11">
      <c r="H6943">
        <f>SMALL(SimData5000!$B$9:$B$5008,1935)</f>
        <v>0.38691803596590596</v>
      </c>
      <c r="I6943">
        <f>1/(COUNT(SimData5000!$B$9:$B$5008)-1)+$I$6942</f>
        <v>0.38687737547510903</v>
      </c>
      <c r="J6943">
        <f>SMALL(SimData5000!$C$9:$C$5008,1935)</f>
        <v>0.38509435163814487</v>
      </c>
      <c r="K6943">
        <f>1/(COUNT(SimData5000!$C$9:$C$5008)-1)+$K$6942</f>
        <v>0.38687737547510903</v>
      </c>
    </row>
    <row r="6944" spans="8:11">
      <c r="H6944">
        <f>SMALL(SimData5000!$B$9:$B$5008,1936)</f>
        <v>0.38700740381754178</v>
      </c>
      <c r="I6944">
        <f>1/(COUNT(SimData5000!$B$9:$B$5008)-1)+$I$6943</f>
        <v>0.38707741548311064</v>
      </c>
      <c r="J6944">
        <f>SMALL(SimData5000!$C$9:$C$5008,1936)</f>
        <v>0.38519863219426043</v>
      </c>
      <c r="K6944">
        <f>1/(COUNT(SimData5000!$C$9:$C$5008)-1)+$K$6943</f>
        <v>0.38707741548311064</v>
      </c>
    </row>
    <row r="6945" spans="8:11">
      <c r="H6945">
        <f>SMALL(SimData5000!$B$9:$B$5008,1937)</f>
        <v>0.38738773888018629</v>
      </c>
      <c r="I6945">
        <f>1/(COUNT(SimData5000!$B$9:$B$5008)-1)+$I$6944</f>
        <v>0.38727745549111225</v>
      </c>
      <c r="J6945">
        <f>SMALL(SimData5000!$C$9:$C$5008,1937)</f>
        <v>0.38530104324854619</v>
      </c>
      <c r="K6945">
        <f>1/(COUNT(SimData5000!$C$9:$C$5008)-1)+$K$6944</f>
        <v>0.38727745549111225</v>
      </c>
    </row>
    <row r="6946" spans="8:11">
      <c r="H6946">
        <f>SMALL(SimData5000!$B$9:$B$5008,1938)</f>
        <v>0.38745146689900467</v>
      </c>
      <c r="I6946">
        <f>1/(COUNT(SimData5000!$B$9:$B$5008)-1)+$I$6945</f>
        <v>0.38747749549911387</v>
      </c>
      <c r="J6946">
        <f>SMALL(SimData5000!$C$9:$C$5008,1938)</f>
        <v>0.38531305722790421</v>
      </c>
      <c r="K6946">
        <f>1/(COUNT(SimData5000!$C$9:$C$5008)-1)+$K$6945</f>
        <v>0.38747749549911387</v>
      </c>
    </row>
    <row r="6947" spans="8:11">
      <c r="H6947">
        <f>SMALL(SimData5000!$B$9:$B$5008,1939)</f>
        <v>0.38766283467311013</v>
      </c>
      <c r="I6947">
        <f>1/(COUNT(SimData5000!$B$9:$B$5008)-1)+$I$6946</f>
        <v>0.38767753550711548</v>
      </c>
      <c r="J6947">
        <f>SMALL(SimData5000!$C$9:$C$5008,1939)</f>
        <v>0.38531520650303719</v>
      </c>
      <c r="K6947">
        <f>1/(COUNT(SimData5000!$C$9:$C$5008)-1)+$K$6946</f>
        <v>0.38767753550711548</v>
      </c>
    </row>
    <row r="6948" spans="8:11">
      <c r="H6948">
        <f>SMALL(SimData5000!$B$9:$B$5008,1940)</f>
        <v>0.38797968707461367</v>
      </c>
      <c r="I6948">
        <f>1/(COUNT(SimData5000!$B$9:$B$5008)-1)+$I$6947</f>
        <v>0.38787757551511709</v>
      </c>
      <c r="J6948">
        <f>SMALL(SimData5000!$C$9:$C$5008,1940)</f>
        <v>0.385410257017611</v>
      </c>
      <c r="K6948">
        <f>1/(COUNT(SimData5000!$C$9:$C$5008)-1)+$K$6947</f>
        <v>0.38787757551511709</v>
      </c>
    </row>
    <row r="6949" spans="8:11">
      <c r="H6949">
        <f>SMALL(SimData5000!$B$9:$B$5008,1941)</f>
        <v>0.38801320751416807</v>
      </c>
      <c r="I6949">
        <f>1/(COUNT(SimData5000!$B$9:$B$5008)-1)+$I$6948</f>
        <v>0.3880776155231187</v>
      </c>
      <c r="J6949">
        <f>SMALL(SimData5000!$C$9:$C$5008,1941)</f>
        <v>0.38545227734721266</v>
      </c>
      <c r="K6949">
        <f>1/(COUNT(SimData5000!$C$9:$C$5008)-1)+$K$6948</f>
        <v>0.3880776155231187</v>
      </c>
    </row>
    <row r="6950" spans="8:11">
      <c r="H6950">
        <f>SMALL(SimData5000!$B$9:$B$5008,1942)</f>
        <v>0.38834085289364234</v>
      </c>
      <c r="I6950">
        <f>1/(COUNT(SimData5000!$B$9:$B$5008)-1)+$I$6949</f>
        <v>0.38827765553112031</v>
      </c>
      <c r="J6950">
        <f>SMALL(SimData5000!$C$9:$C$5008,1942)</f>
        <v>0.38546632426550786</v>
      </c>
      <c r="K6950">
        <f>1/(COUNT(SimData5000!$C$9:$C$5008)-1)+$K$6949</f>
        <v>0.38827765553112031</v>
      </c>
    </row>
    <row r="6951" spans="8:11">
      <c r="H6951">
        <f>SMALL(SimData5000!$B$9:$B$5008,1943)</f>
        <v>0.38845690540668015</v>
      </c>
      <c r="I6951">
        <f>1/(COUNT(SimData5000!$B$9:$B$5008)-1)+$I$6950</f>
        <v>0.38847769553912193</v>
      </c>
      <c r="J6951">
        <f>SMALL(SimData5000!$C$9:$C$5008,1943)</f>
        <v>0.38554178944013984</v>
      </c>
      <c r="K6951">
        <f>1/(COUNT(SimData5000!$C$9:$C$5008)-1)+$K$6950</f>
        <v>0.38847769553912193</v>
      </c>
    </row>
    <row r="6952" spans="8:11">
      <c r="H6952">
        <f>SMALL(SimData5000!$B$9:$B$5008,1944)</f>
        <v>0.38866608182561257</v>
      </c>
      <c r="I6952">
        <f>1/(COUNT(SimData5000!$B$9:$B$5008)-1)+$I$6951</f>
        <v>0.38867773554712354</v>
      </c>
      <c r="J6952">
        <f>SMALL(SimData5000!$C$9:$C$5008,1944)</f>
        <v>0.38554261714853055</v>
      </c>
      <c r="K6952">
        <f>1/(COUNT(SimData5000!$C$9:$C$5008)-1)+$K$6951</f>
        <v>0.38867773554712354</v>
      </c>
    </row>
    <row r="6953" spans="8:11">
      <c r="H6953">
        <f>SMALL(SimData5000!$B$9:$B$5008,1945)</f>
        <v>0.38881416423456144</v>
      </c>
      <c r="I6953">
        <f>1/(COUNT(SimData5000!$B$9:$B$5008)-1)+$I$6952</f>
        <v>0.38887777555512515</v>
      </c>
      <c r="J6953">
        <f>SMALL(SimData5000!$C$9:$C$5008,1945)</f>
        <v>0.38568531126657035</v>
      </c>
      <c r="K6953">
        <f>1/(COUNT(SimData5000!$C$9:$C$5008)-1)+$K$6952</f>
        <v>0.38887777555512515</v>
      </c>
    </row>
    <row r="6954" spans="8:11">
      <c r="H6954">
        <f>SMALL(SimData5000!$B$9:$B$5008,1946)</f>
        <v>0.38900372951557016</v>
      </c>
      <c r="I6954">
        <f>1/(COUNT(SimData5000!$B$9:$B$5008)-1)+$I$6953</f>
        <v>0.38907781556312676</v>
      </c>
      <c r="J6954">
        <f>SMALL(SimData5000!$C$9:$C$5008,1946)</f>
        <v>0.3857454067638173</v>
      </c>
      <c r="K6954">
        <f>1/(COUNT(SimData5000!$C$9:$C$5008)-1)+$K$6953</f>
        <v>0.38907781556312676</v>
      </c>
    </row>
    <row r="6955" spans="8:11">
      <c r="H6955">
        <f>SMALL(SimData5000!$B$9:$B$5008,1947)</f>
        <v>0.38920697090281337</v>
      </c>
      <c r="I6955">
        <f>1/(COUNT(SimData5000!$B$9:$B$5008)-1)+$I$6954</f>
        <v>0.38927785557112837</v>
      </c>
      <c r="J6955">
        <f>SMALL(SimData5000!$C$9:$C$5008,1947)</f>
        <v>0.38575995535029506</v>
      </c>
      <c r="K6955">
        <f>1/(COUNT(SimData5000!$C$9:$C$5008)-1)+$K$6954</f>
        <v>0.38927785557112837</v>
      </c>
    </row>
    <row r="6956" spans="8:11">
      <c r="H6956">
        <f>SMALL(SimData5000!$B$9:$B$5008,1948)</f>
        <v>0.38959378334772626</v>
      </c>
      <c r="I6956">
        <f>1/(COUNT(SimData5000!$B$9:$B$5008)-1)+$I$6955</f>
        <v>0.38947789557912998</v>
      </c>
      <c r="J6956">
        <f>SMALL(SimData5000!$C$9:$C$5008,1948)</f>
        <v>0.38591124132744881</v>
      </c>
      <c r="K6956">
        <f>1/(COUNT(SimData5000!$C$9:$C$5008)-1)+$K$6955</f>
        <v>0.38947789557912998</v>
      </c>
    </row>
    <row r="6957" spans="8:11">
      <c r="H6957">
        <f>SMALL(SimData5000!$B$9:$B$5008,1949)</f>
        <v>0.38973659458834131</v>
      </c>
      <c r="I6957">
        <f>1/(COUNT(SimData5000!$B$9:$B$5008)-1)+$I$6956</f>
        <v>0.3896779355871316</v>
      </c>
      <c r="J6957">
        <f>SMALL(SimData5000!$C$9:$C$5008,1949)</f>
        <v>0.3859376447444447</v>
      </c>
      <c r="K6957">
        <f>1/(COUNT(SimData5000!$C$9:$C$5008)-1)+$K$6956</f>
        <v>0.3896779355871316</v>
      </c>
    </row>
    <row r="6958" spans="8:11">
      <c r="H6958">
        <f>SMALL(SimData5000!$B$9:$B$5008,1950)</f>
        <v>0.38988463157235753</v>
      </c>
      <c r="I6958">
        <f>1/(COUNT(SimData5000!$B$9:$B$5008)-1)+$I$6957</f>
        <v>0.38987797559513321</v>
      </c>
      <c r="J6958">
        <f>SMALL(SimData5000!$C$9:$C$5008,1950)</f>
        <v>0.38616979878955249</v>
      </c>
      <c r="K6958">
        <f>1/(COUNT(SimData5000!$C$9:$C$5008)-1)+$K$6957</f>
        <v>0.38987797559513321</v>
      </c>
    </row>
    <row r="6959" spans="8:11">
      <c r="H6959">
        <f>SMALL(SimData5000!$B$9:$B$5008,1951)</f>
        <v>0.39001030404996367</v>
      </c>
      <c r="I6959">
        <f>1/(COUNT(SimData5000!$B$9:$B$5008)-1)+$I$6958</f>
        <v>0.39007801560313482</v>
      </c>
      <c r="J6959">
        <f>SMALL(SimData5000!$C$9:$C$5008,1951)</f>
        <v>0.38635116381374246</v>
      </c>
      <c r="K6959">
        <f>1/(COUNT(SimData5000!$C$9:$C$5008)-1)+$K$6958</f>
        <v>0.39007801560313482</v>
      </c>
    </row>
    <row r="6960" spans="8:11">
      <c r="H6960">
        <f>SMALL(SimData5000!$B$9:$B$5008,1952)</f>
        <v>0.3902076377992536</v>
      </c>
      <c r="I6960">
        <f>1/(COUNT(SimData5000!$B$9:$B$5008)-1)+$I$6959</f>
        <v>0.39027805561113643</v>
      </c>
      <c r="J6960">
        <f>SMALL(SimData5000!$C$9:$C$5008,1952)</f>
        <v>0.38635524272649491</v>
      </c>
      <c r="K6960">
        <f>1/(COUNT(SimData5000!$C$9:$C$5008)-1)+$K$6959</f>
        <v>0.39027805561113643</v>
      </c>
    </row>
    <row r="6961" spans="8:11">
      <c r="H6961">
        <f>SMALL(SimData5000!$B$9:$B$5008,1953)</f>
        <v>0.39049898970944319</v>
      </c>
      <c r="I6961">
        <f>1/(COUNT(SimData5000!$B$9:$B$5008)-1)+$I$6960</f>
        <v>0.39047809561913804</v>
      </c>
      <c r="J6961">
        <f>SMALL(SimData5000!$C$9:$C$5008,1953)</f>
        <v>0.38642448597238399</v>
      </c>
      <c r="K6961">
        <f>1/(COUNT(SimData5000!$C$9:$C$5008)-1)+$K$6960</f>
        <v>0.39047809561913804</v>
      </c>
    </row>
    <row r="6962" spans="8:11">
      <c r="H6962">
        <f>SMALL(SimData5000!$B$9:$B$5008,1954)</f>
        <v>0.39072665392577799</v>
      </c>
      <c r="I6962">
        <f>1/(COUNT(SimData5000!$B$9:$B$5008)-1)+$I$6961</f>
        <v>0.39067813562713966</v>
      </c>
      <c r="J6962">
        <f>SMALL(SimData5000!$C$9:$C$5008,1954)</f>
        <v>0.38650105819669989</v>
      </c>
      <c r="K6962">
        <f>1/(COUNT(SimData5000!$C$9:$C$5008)-1)+$K$6961</f>
        <v>0.39067813562713966</v>
      </c>
    </row>
    <row r="6963" spans="8:11">
      <c r="H6963">
        <f>SMALL(SimData5000!$B$9:$B$5008,1955)</f>
        <v>0.39099335254016176</v>
      </c>
      <c r="I6963">
        <f>1/(COUNT(SimData5000!$B$9:$B$5008)-1)+$I$6962</f>
        <v>0.39087817563514127</v>
      </c>
      <c r="J6963">
        <f>SMALL(SimData5000!$C$9:$C$5008,1955)</f>
        <v>0.38661130756736384</v>
      </c>
      <c r="K6963">
        <f>1/(COUNT(SimData5000!$C$9:$C$5008)-1)+$K$6962</f>
        <v>0.39087817563514127</v>
      </c>
    </row>
    <row r="6964" spans="8:11">
      <c r="H6964">
        <f>SMALL(SimData5000!$B$9:$B$5008,1956)</f>
        <v>0.39110581063244165</v>
      </c>
      <c r="I6964">
        <f>1/(COUNT(SimData5000!$B$9:$B$5008)-1)+$I$6963</f>
        <v>0.39107821564314288</v>
      </c>
      <c r="J6964">
        <f>SMALL(SimData5000!$C$9:$C$5008,1956)</f>
        <v>0.38667112548955629</v>
      </c>
      <c r="K6964">
        <f>1/(COUNT(SimData5000!$C$9:$C$5008)-1)+$K$6963</f>
        <v>0.39107821564314288</v>
      </c>
    </row>
    <row r="6965" spans="8:11">
      <c r="H6965">
        <f>SMALL(SimData5000!$B$9:$B$5008,1957)</f>
        <v>0.39134901218869467</v>
      </c>
      <c r="I6965">
        <f>1/(COUNT(SimData5000!$B$9:$B$5008)-1)+$I$6964</f>
        <v>0.39127825565114449</v>
      </c>
      <c r="J6965">
        <f>SMALL(SimData5000!$C$9:$C$5008,1957)</f>
        <v>0.38672921129091264</v>
      </c>
      <c r="K6965">
        <f>1/(COUNT(SimData5000!$C$9:$C$5008)-1)+$K$6964</f>
        <v>0.39127825565114449</v>
      </c>
    </row>
    <row r="6966" spans="8:11">
      <c r="H6966">
        <f>SMALL(SimData5000!$B$9:$B$5008,1958)</f>
        <v>0.39142715678755824</v>
      </c>
      <c r="I6966">
        <f>1/(COUNT(SimData5000!$B$9:$B$5008)-1)+$I$6965</f>
        <v>0.3914782956591461</v>
      </c>
      <c r="J6966">
        <f>SMALL(SimData5000!$C$9:$C$5008,1958)</f>
        <v>0.38690781937839347</v>
      </c>
      <c r="K6966">
        <f>1/(COUNT(SimData5000!$C$9:$C$5008)-1)+$K$6965</f>
        <v>0.3914782956591461</v>
      </c>
    </row>
    <row r="6967" spans="8:11">
      <c r="H6967">
        <f>SMALL(SimData5000!$B$9:$B$5008,1959)</f>
        <v>0.39170661273917806</v>
      </c>
      <c r="I6967">
        <f>1/(COUNT(SimData5000!$B$9:$B$5008)-1)+$I$6966</f>
        <v>0.39167833566714771</v>
      </c>
      <c r="J6967">
        <f>SMALL(SimData5000!$C$9:$C$5008,1959)</f>
        <v>0.38702194106008392</v>
      </c>
      <c r="K6967">
        <f>1/(COUNT(SimData5000!$C$9:$C$5008)-1)+$K$6966</f>
        <v>0.39167833566714771</v>
      </c>
    </row>
    <row r="6968" spans="8:11">
      <c r="H6968">
        <f>SMALL(SimData5000!$B$9:$B$5008,1960)</f>
        <v>0.39182486879504863</v>
      </c>
      <c r="I6968">
        <f>1/(COUNT(SimData5000!$B$9:$B$5008)-1)+$I$6967</f>
        <v>0.39187837567514933</v>
      </c>
      <c r="J6968">
        <f>SMALL(SimData5000!$C$9:$C$5008,1960)</f>
        <v>0.38710871917464829</v>
      </c>
      <c r="K6968">
        <f>1/(COUNT(SimData5000!$C$9:$C$5008)-1)+$K$6967</f>
        <v>0.39187837567514933</v>
      </c>
    </row>
    <row r="6969" spans="8:11">
      <c r="H6969">
        <f>SMALL(SimData5000!$B$9:$B$5008,1961)</f>
        <v>0.392068021874099</v>
      </c>
      <c r="I6969">
        <f>1/(COUNT(SimData5000!$B$9:$B$5008)-1)+$I$6968</f>
        <v>0.39207841568315094</v>
      </c>
      <c r="J6969">
        <f>SMALL(SimData5000!$C$9:$C$5008,1961)</f>
        <v>0.38713146280133515</v>
      </c>
      <c r="K6969">
        <f>1/(COUNT(SimData5000!$C$9:$C$5008)-1)+$K$6968</f>
        <v>0.39207841568315094</v>
      </c>
    </row>
    <row r="6970" spans="8:11">
      <c r="H6970">
        <f>SMALL(SimData5000!$B$9:$B$5008,1962)</f>
        <v>0.39225164670503038</v>
      </c>
      <c r="I6970">
        <f>1/(COUNT(SimData5000!$B$9:$B$5008)-1)+$I$6969</f>
        <v>0.39227845569115255</v>
      </c>
      <c r="J6970">
        <f>SMALL(SimData5000!$C$9:$C$5008,1962)</f>
        <v>0.38818120993710181</v>
      </c>
      <c r="K6970">
        <f>1/(COUNT(SimData5000!$C$9:$C$5008)-1)+$K$6969</f>
        <v>0.39227845569115255</v>
      </c>
    </row>
    <row r="6971" spans="8:11">
      <c r="H6971">
        <f>SMALL(SimData5000!$B$9:$B$5008,1963)</f>
        <v>0.39256547314984852</v>
      </c>
      <c r="I6971">
        <f>1/(COUNT(SimData5000!$B$9:$B$5008)-1)+$I$6970</f>
        <v>0.39247849569915416</v>
      </c>
      <c r="J6971">
        <f>SMALL(SimData5000!$C$9:$C$5008,1963)</f>
        <v>0.38853137858495757</v>
      </c>
      <c r="K6971">
        <f>1/(COUNT(SimData5000!$C$9:$C$5008)-1)+$K$6970</f>
        <v>0.39247849569915416</v>
      </c>
    </row>
    <row r="6972" spans="8:11">
      <c r="H6972">
        <f>SMALL(SimData5000!$B$9:$B$5008,1964)</f>
        <v>0.3926769216239166</v>
      </c>
      <c r="I6972">
        <f>1/(COUNT(SimData5000!$B$9:$B$5008)-1)+$I$6971</f>
        <v>0.39267853570715577</v>
      </c>
      <c r="J6972">
        <f>SMALL(SimData5000!$C$9:$C$5008,1964)</f>
        <v>0.38904194708084106</v>
      </c>
      <c r="K6972">
        <f>1/(COUNT(SimData5000!$C$9:$C$5008)-1)+$K$6971</f>
        <v>0.39267853570715577</v>
      </c>
    </row>
    <row r="6973" spans="8:11">
      <c r="H6973">
        <f>SMALL(SimData5000!$B$9:$B$5008,1965)</f>
        <v>0.39282110168822598</v>
      </c>
      <c r="I6973">
        <f>1/(COUNT(SimData5000!$B$9:$B$5008)-1)+$I$6972</f>
        <v>0.39287857571515739</v>
      </c>
      <c r="J6973">
        <f>SMALL(SimData5000!$C$9:$C$5008,1965)</f>
        <v>0.38944157762944087</v>
      </c>
      <c r="K6973">
        <f>1/(COUNT(SimData5000!$C$9:$C$5008)-1)+$K$6972</f>
        <v>0.39287857571515739</v>
      </c>
    </row>
    <row r="6974" spans="8:11">
      <c r="H6974">
        <f>SMALL(SimData5000!$B$9:$B$5008,1966)</f>
        <v>0.39311559596911905</v>
      </c>
      <c r="I6974">
        <f>1/(COUNT(SimData5000!$B$9:$B$5008)-1)+$I$6973</f>
        <v>0.393078615723159</v>
      </c>
      <c r="J6974">
        <f>SMALL(SimData5000!$C$9:$C$5008,1966)</f>
        <v>0.38985032294294797</v>
      </c>
      <c r="K6974">
        <f>1/(COUNT(SimData5000!$C$9:$C$5008)-1)+$K$6973</f>
        <v>0.393078615723159</v>
      </c>
    </row>
    <row r="6975" spans="8:11">
      <c r="H6975">
        <f>SMALL(SimData5000!$B$9:$B$5008,1967)</f>
        <v>0.39322017697948497</v>
      </c>
      <c r="I6975">
        <f>1/(COUNT(SimData5000!$B$9:$B$5008)-1)+$I$6974</f>
        <v>0.39327865573116061</v>
      </c>
      <c r="J6975">
        <f>SMALL(SimData5000!$C$9:$C$5008,1967)</f>
        <v>0.38994743013608968</v>
      </c>
      <c r="K6975">
        <f>1/(COUNT(SimData5000!$C$9:$C$5008)-1)+$K$6974</f>
        <v>0.39327865573116061</v>
      </c>
    </row>
    <row r="6976" spans="8:11">
      <c r="H6976">
        <f>SMALL(SimData5000!$B$9:$B$5008,1968)</f>
        <v>0.39358208030242986</v>
      </c>
      <c r="I6976">
        <f>1/(COUNT(SimData5000!$B$9:$B$5008)-1)+$I$6975</f>
        <v>0.39347869573916222</v>
      </c>
      <c r="J6976">
        <f>SMALL(SimData5000!$C$9:$C$5008,1968)</f>
        <v>0.38995535570666107</v>
      </c>
      <c r="K6976">
        <f>1/(COUNT(SimData5000!$C$9:$C$5008)-1)+$K$6975</f>
        <v>0.39347869573916222</v>
      </c>
    </row>
    <row r="6977" spans="8:11">
      <c r="H6977">
        <f>SMALL(SimData5000!$B$9:$B$5008,1969)</f>
        <v>0.39376299783204755</v>
      </c>
      <c r="I6977">
        <f>1/(COUNT(SimData5000!$B$9:$B$5008)-1)+$I$6976</f>
        <v>0.39367873574716383</v>
      </c>
      <c r="J6977">
        <f>SMALL(SimData5000!$C$9:$C$5008,1969)</f>
        <v>0.39048382011060312</v>
      </c>
      <c r="K6977">
        <f>1/(COUNT(SimData5000!$C$9:$C$5008)-1)+$K$6976</f>
        <v>0.39367873574716383</v>
      </c>
    </row>
    <row r="6978" spans="8:11">
      <c r="H6978">
        <f>SMALL(SimData5000!$B$9:$B$5008,1970)</f>
        <v>0.3939473827542615</v>
      </c>
      <c r="I6978">
        <f>1/(COUNT(SimData5000!$B$9:$B$5008)-1)+$I$6977</f>
        <v>0.39387877575516544</v>
      </c>
      <c r="J6978">
        <f>SMALL(SimData5000!$C$9:$C$5008,1970)</f>
        <v>0.39050780437537469</v>
      </c>
      <c r="K6978">
        <f>1/(COUNT(SimData5000!$C$9:$C$5008)-1)+$K$6977</f>
        <v>0.39387877575516544</v>
      </c>
    </row>
    <row r="6979" spans="8:11">
      <c r="H6979">
        <f>SMALL(SimData5000!$B$9:$B$5008,1971)</f>
        <v>0.39413026013996694</v>
      </c>
      <c r="I6979">
        <f>1/(COUNT(SimData5000!$B$9:$B$5008)-1)+$I$6978</f>
        <v>0.39407881576316706</v>
      </c>
      <c r="J6979">
        <f>SMALL(SimData5000!$C$9:$C$5008,1971)</f>
        <v>0.39064398837672343</v>
      </c>
      <c r="K6979">
        <f>1/(COUNT(SimData5000!$C$9:$C$5008)-1)+$K$6978</f>
        <v>0.39407881576316706</v>
      </c>
    </row>
    <row r="6980" spans="8:11">
      <c r="H6980">
        <f>SMALL(SimData5000!$B$9:$B$5008,1972)</f>
        <v>0.39429575700003089</v>
      </c>
      <c r="I6980">
        <f>1/(COUNT(SimData5000!$B$9:$B$5008)-1)+$I$6979</f>
        <v>0.39427885577116867</v>
      </c>
      <c r="J6980">
        <f>SMALL(SimData5000!$C$9:$C$5008,1972)</f>
        <v>0.3907043240224084</v>
      </c>
      <c r="K6980">
        <f>1/(COUNT(SimData5000!$C$9:$C$5008)-1)+$K$6979</f>
        <v>0.39427885577116867</v>
      </c>
    </row>
    <row r="6981" spans="8:11">
      <c r="H6981">
        <f>SMALL(SimData5000!$B$9:$B$5008,1973)</f>
        <v>0.39452192740578246</v>
      </c>
      <c r="I6981">
        <f>1/(COUNT(SimData5000!$B$9:$B$5008)-1)+$I$6980</f>
        <v>0.39447889577917028</v>
      </c>
      <c r="J6981">
        <f>SMALL(SimData5000!$C$9:$C$5008,1973)</f>
        <v>0.39094343559372646</v>
      </c>
      <c r="K6981">
        <f>1/(COUNT(SimData5000!$C$9:$C$5008)-1)+$K$6980</f>
        <v>0.39447889577917028</v>
      </c>
    </row>
    <row r="6982" spans="8:11">
      <c r="H6982">
        <f>SMALL(SimData5000!$B$9:$B$5008,1974)</f>
        <v>0.39478234798200018</v>
      </c>
      <c r="I6982">
        <f>1/(COUNT(SimData5000!$B$9:$B$5008)-1)+$I$6981</f>
        <v>0.39467893578717189</v>
      </c>
      <c r="J6982">
        <f>SMALL(SimData5000!$C$9:$C$5008,1974)</f>
        <v>0.39107721056279843</v>
      </c>
      <c r="K6982">
        <f>1/(COUNT(SimData5000!$C$9:$C$5008)-1)+$K$6981</f>
        <v>0.39467893578717189</v>
      </c>
    </row>
    <row r="6983" spans="8:11">
      <c r="H6983">
        <f>SMALL(SimData5000!$B$9:$B$5008,1975)</f>
        <v>0.3948461968870941</v>
      </c>
      <c r="I6983">
        <f>1/(COUNT(SimData5000!$B$9:$B$5008)-1)+$I$6982</f>
        <v>0.3948789757951735</v>
      </c>
      <c r="J6983">
        <f>SMALL(SimData5000!$C$9:$C$5008,1975)</f>
        <v>0.39131871136032714</v>
      </c>
      <c r="K6983">
        <f>1/(COUNT(SimData5000!$C$9:$C$5008)-1)+$K$6982</f>
        <v>0.3948789757951735</v>
      </c>
    </row>
    <row r="6984" spans="8:11">
      <c r="H6984">
        <f>SMALL(SimData5000!$B$9:$B$5008,1976)</f>
        <v>0.39505888122130622</v>
      </c>
      <c r="I6984">
        <f>1/(COUNT(SimData5000!$B$9:$B$5008)-1)+$I$6983</f>
        <v>0.39507901580317512</v>
      </c>
      <c r="J6984">
        <f>SMALL(SimData5000!$C$9:$C$5008,1976)</f>
        <v>0.39146574418919045</v>
      </c>
      <c r="K6984">
        <f>1/(COUNT(SimData5000!$C$9:$C$5008)-1)+$K$6983</f>
        <v>0.39507901580317512</v>
      </c>
    </row>
    <row r="6985" spans="8:11">
      <c r="H6985">
        <f>SMALL(SimData5000!$B$9:$B$5008,1977)</f>
        <v>0.39522658309913861</v>
      </c>
      <c r="I6985">
        <f>1/(COUNT(SimData5000!$B$9:$B$5008)-1)+$I$6984</f>
        <v>0.39527905581117673</v>
      </c>
      <c r="J6985">
        <f>SMALL(SimData5000!$C$9:$C$5008,1977)</f>
        <v>0.39226555155528331</v>
      </c>
      <c r="K6985">
        <f>1/(COUNT(SimData5000!$C$9:$C$5008)-1)+$K$6984</f>
        <v>0.39527905581117673</v>
      </c>
    </row>
    <row r="6986" spans="8:11">
      <c r="H6986">
        <f>SMALL(SimData5000!$B$9:$B$5008,1978)</f>
        <v>0.39553502440632671</v>
      </c>
      <c r="I6986">
        <f>1/(COUNT(SimData5000!$B$9:$B$5008)-1)+$I$6985</f>
        <v>0.39547909581917834</v>
      </c>
      <c r="J6986">
        <f>SMALL(SimData5000!$C$9:$C$5008,1978)</f>
        <v>0.39244898583547183</v>
      </c>
      <c r="K6986">
        <f>1/(COUNT(SimData5000!$C$9:$C$5008)-1)+$K$6985</f>
        <v>0.39547909581917834</v>
      </c>
    </row>
    <row r="6987" spans="8:11">
      <c r="H6987">
        <f>SMALL(SimData5000!$B$9:$B$5008,1979)</f>
        <v>0.39564305685265988</v>
      </c>
      <c r="I6987">
        <f>1/(COUNT(SimData5000!$B$9:$B$5008)-1)+$I$6986</f>
        <v>0.39567913582717995</v>
      </c>
      <c r="J6987">
        <f>SMALL(SimData5000!$C$9:$C$5008,1979)</f>
        <v>0.39250665849613142</v>
      </c>
      <c r="K6987">
        <f>1/(COUNT(SimData5000!$C$9:$C$5008)-1)+$K$6986</f>
        <v>0.39567913582717995</v>
      </c>
    </row>
    <row r="6988" spans="8:11">
      <c r="H6988">
        <f>SMALL(SimData5000!$B$9:$B$5008,1980)</f>
        <v>0.39593220028377424</v>
      </c>
      <c r="I6988">
        <f>1/(COUNT(SimData5000!$B$9:$B$5008)-1)+$I$6987</f>
        <v>0.39587917583518156</v>
      </c>
      <c r="J6988">
        <f>SMALL(SimData5000!$C$9:$C$5008,1980)</f>
        <v>0.39260403259868326</v>
      </c>
      <c r="K6988">
        <f>1/(COUNT(SimData5000!$C$9:$C$5008)-1)+$K$6987</f>
        <v>0.39587917583518156</v>
      </c>
    </row>
    <row r="6989" spans="8:11">
      <c r="H6989">
        <f>SMALL(SimData5000!$B$9:$B$5008,1981)</f>
        <v>0.39603330763127503</v>
      </c>
      <c r="I6989">
        <f>1/(COUNT(SimData5000!$B$9:$B$5008)-1)+$I$6988</f>
        <v>0.39607921584318317</v>
      </c>
      <c r="J6989">
        <f>SMALL(SimData5000!$C$9:$C$5008,1981)</f>
        <v>0.39264714182083349</v>
      </c>
      <c r="K6989">
        <f>1/(COUNT(SimData5000!$C$9:$C$5008)-1)+$K$6988</f>
        <v>0.39607921584318317</v>
      </c>
    </row>
    <row r="6990" spans="8:11">
      <c r="H6990">
        <f>SMALL(SimData5000!$B$9:$B$5008,1982)</f>
        <v>0.39627641889515247</v>
      </c>
      <c r="I6990">
        <f>1/(COUNT(SimData5000!$B$9:$B$5008)-1)+$I$6989</f>
        <v>0.39627925585118479</v>
      </c>
      <c r="J6990">
        <f>SMALL(SimData5000!$C$9:$C$5008,1982)</f>
        <v>0.39313438233511988</v>
      </c>
      <c r="K6990">
        <f>1/(COUNT(SimData5000!$C$9:$C$5008)-1)+$K$6989</f>
        <v>0.39627925585118479</v>
      </c>
    </row>
    <row r="6991" spans="8:11">
      <c r="H6991">
        <f>SMALL(SimData5000!$B$9:$B$5008,1983)</f>
        <v>0.39657022811695242</v>
      </c>
      <c r="I6991">
        <f>1/(COUNT(SimData5000!$B$9:$B$5008)-1)+$I$6990</f>
        <v>0.3964792958591864</v>
      </c>
      <c r="J6991">
        <f>SMALL(SimData5000!$C$9:$C$5008,1983)</f>
        <v>0.39325525259391725</v>
      </c>
      <c r="K6991">
        <f>1/(COUNT(SimData5000!$C$9:$C$5008)-1)+$K$6990</f>
        <v>0.3964792958591864</v>
      </c>
    </row>
    <row r="6992" spans="8:11">
      <c r="H6992">
        <f>SMALL(SimData5000!$B$9:$B$5008,1984)</f>
        <v>0.39675457072084641</v>
      </c>
      <c r="I6992">
        <f>1/(COUNT(SimData5000!$B$9:$B$5008)-1)+$I$6991</f>
        <v>0.39667933586718801</v>
      </c>
      <c r="J6992">
        <f>SMALL(SimData5000!$C$9:$C$5008,1984)</f>
        <v>0.39341233619961713</v>
      </c>
      <c r="K6992">
        <f>1/(COUNT(SimData5000!$C$9:$C$5008)-1)+$K$6991</f>
        <v>0.39667933586718801</v>
      </c>
    </row>
    <row r="6993" spans="8:11">
      <c r="H6993">
        <f>SMALL(SimData5000!$B$9:$B$5008,1985)</f>
        <v>0.3969870749965746</v>
      </c>
      <c r="I6993">
        <f>1/(COUNT(SimData5000!$B$9:$B$5008)-1)+$I$6992</f>
        <v>0.39687937587518962</v>
      </c>
      <c r="J6993">
        <f>SMALL(SimData5000!$C$9:$C$5008,1985)</f>
        <v>0.39364813606334792</v>
      </c>
      <c r="K6993">
        <f>1/(COUNT(SimData5000!$C$9:$C$5008)-1)+$K$6992</f>
        <v>0.39687937587518962</v>
      </c>
    </row>
    <row r="6994" spans="8:11">
      <c r="H6994">
        <f>SMALL(SimData5000!$B$9:$B$5008,1986)</f>
        <v>0.39714744700168897</v>
      </c>
      <c r="I6994">
        <f>1/(COUNT(SimData5000!$B$9:$B$5008)-1)+$I$6993</f>
        <v>0.39707941588319123</v>
      </c>
      <c r="J6994">
        <f>SMALL(SimData5000!$C$9:$C$5008,1986)</f>
        <v>0.39397932584961382</v>
      </c>
      <c r="K6994">
        <f>1/(COUNT(SimData5000!$C$9:$C$5008)-1)+$K$6993</f>
        <v>0.39707941588319123</v>
      </c>
    </row>
    <row r="6995" spans="8:11">
      <c r="H6995">
        <f>SMALL(SimData5000!$B$9:$B$5008,1987)</f>
        <v>0.39737250010235525</v>
      </c>
      <c r="I6995">
        <f>1/(COUNT(SimData5000!$B$9:$B$5008)-1)+$I$6994</f>
        <v>0.39727945589119285</v>
      </c>
      <c r="J6995">
        <f>SMALL(SimData5000!$C$9:$C$5008,1987)</f>
        <v>0.39413483594125864</v>
      </c>
      <c r="K6995">
        <f>1/(COUNT(SimData5000!$C$9:$C$5008)-1)+$K$6994</f>
        <v>0.39727945589119285</v>
      </c>
    </row>
    <row r="6996" spans="8:11">
      <c r="H6996">
        <f>SMALL(SimData5000!$B$9:$B$5008,1988)</f>
        <v>0.39751686559843757</v>
      </c>
      <c r="I6996">
        <f>1/(COUNT(SimData5000!$B$9:$B$5008)-1)+$I$6995</f>
        <v>0.39747949589919446</v>
      </c>
      <c r="J6996">
        <f>SMALL(SimData5000!$C$9:$C$5008,1988)</f>
        <v>0.39436055444184603</v>
      </c>
      <c r="K6996">
        <f>1/(COUNT(SimData5000!$C$9:$C$5008)-1)+$K$6995</f>
        <v>0.39747949589919446</v>
      </c>
    </row>
    <row r="6997" spans="8:11">
      <c r="H6997">
        <f>SMALL(SimData5000!$B$9:$B$5008,1989)</f>
        <v>0.39763385552364255</v>
      </c>
      <c r="I6997">
        <f>1/(COUNT(SimData5000!$B$9:$B$5008)-1)+$I$6996</f>
        <v>0.39767953590719607</v>
      </c>
      <c r="J6997">
        <f>SMALL(SimData5000!$C$9:$C$5008,1989)</f>
        <v>0.39437742317932134</v>
      </c>
      <c r="K6997">
        <f>1/(COUNT(SimData5000!$C$9:$C$5008)-1)+$K$6996</f>
        <v>0.39767953590719607</v>
      </c>
    </row>
    <row r="6998" spans="8:11">
      <c r="H6998">
        <f>SMALL(SimData5000!$B$9:$B$5008,1990)</f>
        <v>0.39798554932833313</v>
      </c>
      <c r="I6998">
        <f>1/(COUNT(SimData5000!$B$9:$B$5008)-1)+$I$6997</f>
        <v>0.39787957591519768</v>
      </c>
      <c r="J6998">
        <f>SMALL(SimData5000!$C$9:$C$5008,1990)</f>
        <v>0.39440650333744998</v>
      </c>
      <c r="K6998">
        <f>1/(COUNT(SimData5000!$C$9:$C$5008)-1)+$K$6997</f>
        <v>0.39787957591519768</v>
      </c>
    </row>
    <row r="6999" spans="8:11">
      <c r="H6999">
        <f>SMALL(SimData5000!$B$9:$B$5008,1991)</f>
        <v>0.39802073579184261</v>
      </c>
      <c r="I6999">
        <f>1/(COUNT(SimData5000!$B$9:$B$5008)-1)+$I$6998</f>
        <v>0.39807961592319929</v>
      </c>
      <c r="J6999">
        <f>SMALL(SimData5000!$C$9:$C$5008,1991)</f>
        <v>0.39464206443062722</v>
      </c>
      <c r="K6999">
        <f>1/(COUNT(SimData5000!$C$9:$C$5008)-1)+$K$6998</f>
        <v>0.39807961592319929</v>
      </c>
    </row>
    <row r="7000" spans="8:11">
      <c r="H7000">
        <f>SMALL(SimData5000!$B$9:$B$5008,1992)</f>
        <v>0.39820320294750927</v>
      </c>
      <c r="I7000">
        <f>1/(COUNT(SimData5000!$B$9:$B$5008)-1)+$I$6999</f>
        <v>0.3982796559312009</v>
      </c>
      <c r="J7000">
        <f>SMALL(SimData5000!$C$9:$C$5008,1992)</f>
        <v>0.39469571607696707</v>
      </c>
      <c r="K7000">
        <f>1/(COUNT(SimData5000!$C$9:$C$5008)-1)+$K$6999</f>
        <v>0.3982796559312009</v>
      </c>
    </row>
    <row r="7001" spans="8:11">
      <c r="H7001">
        <f>SMALL(SimData5000!$B$9:$B$5008,1993)</f>
        <v>0.39843189786216987</v>
      </c>
      <c r="I7001">
        <f>1/(COUNT(SimData5000!$B$9:$B$5008)-1)+$I$7000</f>
        <v>0.39847969593920252</v>
      </c>
      <c r="J7001">
        <f>SMALL(SimData5000!$C$9:$C$5008,1993)</f>
        <v>0.39475698440855922</v>
      </c>
      <c r="K7001">
        <f>1/(COUNT(SimData5000!$C$9:$C$5008)-1)+$K$7000</f>
        <v>0.39847969593920252</v>
      </c>
    </row>
    <row r="7002" spans="8:11">
      <c r="H7002">
        <f>SMALL(SimData5000!$B$9:$B$5008,1994)</f>
        <v>0.39871590403633095</v>
      </c>
      <c r="I7002">
        <f>1/(COUNT(SimData5000!$B$9:$B$5008)-1)+$I$7001</f>
        <v>0.39867973594720413</v>
      </c>
      <c r="J7002">
        <f>SMALL(SimData5000!$C$9:$C$5008,1994)</f>
        <v>0.39488150566012337</v>
      </c>
      <c r="K7002">
        <f>1/(COUNT(SimData5000!$C$9:$C$5008)-1)+$K$7001</f>
        <v>0.39867973594720413</v>
      </c>
    </row>
    <row r="7003" spans="8:11">
      <c r="H7003">
        <f>SMALL(SimData5000!$B$9:$B$5008,1995)</f>
        <v>0.39886346244762266</v>
      </c>
      <c r="I7003">
        <f>1/(COUNT(SimData5000!$B$9:$B$5008)-1)+$I$7002</f>
        <v>0.39887977595520574</v>
      </c>
      <c r="J7003">
        <f>SMALL(SimData5000!$C$9:$C$5008,1995)</f>
        <v>0.39516278071005217</v>
      </c>
      <c r="K7003">
        <f>1/(COUNT(SimData5000!$C$9:$C$5008)-1)+$K$7002</f>
        <v>0.39887977595520574</v>
      </c>
    </row>
    <row r="7004" spans="8:11">
      <c r="H7004">
        <f>SMALL(SimData5000!$B$9:$B$5008,1996)</f>
        <v>0.39911442393872759</v>
      </c>
      <c r="I7004">
        <f>1/(COUNT(SimData5000!$B$9:$B$5008)-1)+$I$7003</f>
        <v>0.39907981596320735</v>
      </c>
      <c r="J7004">
        <f>SMALL(SimData5000!$C$9:$C$5008,1996)</f>
        <v>0.39521842410886165</v>
      </c>
      <c r="K7004">
        <f>1/(COUNT(SimData5000!$C$9:$C$5008)-1)+$K$7003</f>
        <v>0.39907981596320735</v>
      </c>
    </row>
    <row r="7005" spans="8:11">
      <c r="H7005">
        <f>SMALL(SimData5000!$B$9:$B$5008,1997)</f>
        <v>0.399344191675853</v>
      </c>
      <c r="I7005">
        <f>1/(COUNT(SimData5000!$B$9:$B$5008)-1)+$I$7004</f>
        <v>0.39927985597120896</v>
      </c>
      <c r="J7005">
        <f>SMALL(SimData5000!$C$9:$C$5008,1997)</f>
        <v>0.39521928272461082</v>
      </c>
      <c r="K7005">
        <f>1/(COUNT(SimData5000!$C$9:$C$5008)-1)+$K$7004</f>
        <v>0.39927985597120896</v>
      </c>
    </row>
    <row r="7006" spans="8:11">
      <c r="H7006">
        <f>SMALL(SimData5000!$B$9:$B$5008,1998)</f>
        <v>0.39942157807364631</v>
      </c>
      <c r="I7006">
        <f>1/(COUNT(SimData5000!$B$9:$B$5008)-1)+$I$7005</f>
        <v>0.39947989597921058</v>
      </c>
      <c r="J7006">
        <f>SMALL(SimData5000!$C$9:$C$5008,1998)</f>
        <v>0.39565324738759955</v>
      </c>
      <c r="K7006">
        <f>1/(COUNT(SimData5000!$C$9:$C$5008)-1)+$K$7005</f>
        <v>0.39947989597921058</v>
      </c>
    </row>
    <row r="7007" spans="8:11">
      <c r="H7007">
        <f>SMALL(SimData5000!$B$9:$B$5008,1999)</f>
        <v>0.39961687528817375</v>
      </c>
      <c r="I7007">
        <f>1/(COUNT(SimData5000!$B$9:$B$5008)-1)+$I$7006</f>
        <v>0.39967993598721219</v>
      </c>
      <c r="J7007">
        <f>SMALL(SimData5000!$C$9:$C$5008,1999)</f>
        <v>0.39578807393627358</v>
      </c>
      <c r="K7007">
        <f>1/(COUNT(SimData5000!$C$9:$C$5008)-1)+$K$7006</f>
        <v>0.39967993598721219</v>
      </c>
    </row>
    <row r="7008" spans="8:11">
      <c r="H7008">
        <f>SMALL(SimData5000!$B$9:$B$5008,2000)</f>
        <v>0.39992675700665609</v>
      </c>
      <c r="I7008">
        <f>1/(COUNT(SimData5000!$B$9:$B$5008)-1)+$I$7007</f>
        <v>0.3998799759952138</v>
      </c>
      <c r="J7008">
        <f>SMALL(SimData5000!$C$9:$C$5008,2000)</f>
        <v>0.39594919490355096</v>
      </c>
      <c r="K7008">
        <f>1/(COUNT(SimData5000!$C$9:$C$5008)-1)+$K$7007</f>
        <v>0.3998799759952138</v>
      </c>
    </row>
    <row r="7009" spans="8:11">
      <c r="H7009">
        <f>SMALL(SimData5000!$B$9:$B$5008,2001)</f>
        <v>0.40010247901293972</v>
      </c>
      <c r="I7009">
        <f>1/(COUNT(SimData5000!$B$9:$B$5008)-1)+$I$7008</f>
        <v>0.40008001600321541</v>
      </c>
      <c r="J7009">
        <f>SMALL(SimData5000!$C$9:$C$5008,2001)</f>
        <v>0.39598547429068276</v>
      </c>
      <c r="K7009">
        <f>1/(COUNT(SimData5000!$C$9:$C$5008)-1)+$K$7008</f>
        <v>0.40008001600321541</v>
      </c>
    </row>
    <row r="7010" spans="8:11">
      <c r="H7010">
        <f>SMALL(SimData5000!$B$9:$B$5008,2002)</f>
        <v>0.40039166492731115</v>
      </c>
      <c r="I7010">
        <f>1/(COUNT(SimData5000!$B$9:$B$5008)-1)+$I$7009</f>
        <v>0.40028005601121702</v>
      </c>
      <c r="J7010">
        <f>SMALL(SimData5000!$C$9:$C$5008,2002)</f>
        <v>0.396238736297164</v>
      </c>
      <c r="K7010">
        <f>1/(COUNT(SimData5000!$C$9:$C$5008)-1)+$K$7009</f>
        <v>0.40028005601121702</v>
      </c>
    </row>
    <row r="7011" spans="8:11">
      <c r="H7011">
        <f>SMALL(SimData5000!$B$9:$B$5008,2003)</f>
        <v>0.40042782944427519</v>
      </c>
      <c r="I7011">
        <f>1/(COUNT(SimData5000!$B$9:$B$5008)-1)+$I$7010</f>
        <v>0.40048009601921863</v>
      </c>
      <c r="J7011">
        <f>SMALL(SimData5000!$C$9:$C$5008,2003)</f>
        <v>0.39628221651582862</v>
      </c>
      <c r="K7011">
        <f>1/(COUNT(SimData5000!$C$9:$C$5008)-1)+$K$7010</f>
        <v>0.40048009601921863</v>
      </c>
    </row>
    <row r="7012" spans="8:11">
      <c r="H7012">
        <f>SMALL(SimData5000!$B$9:$B$5008,2004)</f>
        <v>0.4007375860127475</v>
      </c>
      <c r="I7012">
        <f>1/(COUNT(SimData5000!$B$9:$B$5008)-1)+$I$7011</f>
        <v>0.40068013602722025</v>
      </c>
      <c r="J7012">
        <f>SMALL(SimData5000!$C$9:$C$5008,2004)</f>
        <v>0.39670507393293519</v>
      </c>
      <c r="K7012">
        <f>1/(COUNT(SimData5000!$C$9:$C$5008)-1)+$K$7011</f>
        <v>0.40068013602722025</v>
      </c>
    </row>
    <row r="7013" spans="8:11">
      <c r="H7013">
        <f>SMALL(SimData5000!$B$9:$B$5008,2005)</f>
        <v>0.40091313723463406</v>
      </c>
      <c r="I7013">
        <f>1/(COUNT(SimData5000!$B$9:$B$5008)-1)+$I$7012</f>
        <v>0.40088017603522186</v>
      </c>
      <c r="J7013">
        <f>SMALL(SimData5000!$C$9:$C$5008,2005)</f>
        <v>0.39688305018353276</v>
      </c>
      <c r="K7013">
        <f>1/(COUNT(SimData5000!$C$9:$C$5008)-1)+$K$7012</f>
        <v>0.40088017603522186</v>
      </c>
    </row>
    <row r="7014" spans="8:11">
      <c r="H7014">
        <f>SMALL(SimData5000!$B$9:$B$5008,2006)</f>
        <v>0.4011828023211525</v>
      </c>
      <c r="I7014">
        <f>1/(COUNT(SimData5000!$B$9:$B$5008)-1)+$I$7013</f>
        <v>0.40108021604322347</v>
      </c>
      <c r="J7014">
        <f>SMALL(SimData5000!$C$9:$C$5008,2006)</f>
        <v>0.39699626835135859</v>
      </c>
      <c r="K7014">
        <f>1/(COUNT(SimData5000!$C$9:$C$5008)-1)+$K$7013</f>
        <v>0.40108021604322347</v>
      </c>
    </row>
    <row r="7015" spans="8:11">
      <c r="H7015">
        <f>SMALL(SimData5000!$B$9:$B$5008,2007)</f>
        <v>0.4012909791534513</v>
      </c>
      <c r="I7015">
        <f>1/(COUNT(SimData5000!$B$9:$B$5008)-1)+$I$7014</f>
        <v>0.40128025605122508</v>
      </c>
      <c r="J7015">
        <f>SMALL(SimData5000!$C$9:$C$5008,2007)</f>
        <v>0.39727254951321811</v>
      </c>
      <c r="K7015">
        <f>1/(COUNT(SimData5000!$C$9:$C$5008)-1)+$K$7014</f>
        <v>0.40128025605122508</v>
      </c>
    </row>
    <row r="7016" spans="8:11">
      <c r="H7016">
        <f>SMALL(SimData5000!$B$9:$B$5008,2008)</f>
        <v>0.40147395599858698</v>
      </c>
      <c r="I7016">
        <f>1/(COUNT(SimData5000!$B$9:$B$5008)-1)+$I$7015</f>
        <v>0.40148029605922669</v>
      </c>
      <c r="J7016">
        <f>SMALL(SimData5000!$C$9:$C$5008,2008)</f>
        <v>0.39737675127526018</v>
      </c>
      <c r="K7016">
        <f>1/(COUNT(SimData5000!$C$9:$C$5008)-1)+$K$7015</f>
        <v>0.40148029605922669</v>
      </c>
    </row>
    <row r="7017" spans="8:11">
      <c r="H7017">
        <f>SMALL(SimData5000!$B$9:$B$5008,2009)</f>
        <v>0.40163825093205979</v>
      </c>
      <c r="I7017">
        <f>1/(COUNT(SimData5000!$B$9:$B$5008)-1)+$I$7016</f>
        <v>0.40168033606722831</v>
      </c>
      <c r="J7017">
        <f>SMALL(SimData5000!$C$9:$C$5008,2009)</f>
        <v>0.39755937536210695</v>
      </c>
      <c r="K7017">
        <f>1/(COUNT(SimData5000!$C$9:$C$5008)-1)+$K$7016</f>
        <v>0.40168033606722831</v>
      </c>
    </row>
    <row r="7018" spans="8:11">
      <c r="H7018">
        <f>SMALL(SimData5000!$B$9:$B$5008,2010)</f>
        <v>0.40181069932044733</v>
      </c>
      <c r="I7018">
        <f>1/(COUNT(SimData5000!$B$9:$B$5008)-1)+$I$7017</f>
        <v>0.40188037607522992</v>
      </c>
      <c r="J7018">
        <f>SMALL(SimData5000!$C$9:$C$5008,2010)</f>
        <v>0.39776462017380254</v>
      </c>
      <c r="K7018">
        <f>1/(COUNT(SimData5000!$C$9:$C$5008)-1)+$K$7017</f>
        <v>0.40188037607522992</v>
      </c>
    </row>
    <row r="7019" spans="8:11">
      <c r="H7019">
        <f>SMALL(SimData5000!$B$9:$B$5008,2011)</f>
        <v>0.40207691972713849</v>
      </c>
      <c r="I7019">
        <f>1/(COUNT(SimData5000!$B$9:$B$5008)-1)+$I$7018</f>
        <v>0.40208041608323153</v>
      </c>
      <c r="J7019">
        <f>SMALL(SimData5000!$C$9:$C$5008,2011)</f>
        <v>0.39779037337029877</v>
      </c>
      <c r="K7019">
        <f>1/(COUNT(SimData5000!$C$9:$C$5008)-1)+$K$7018</f>
        <v>0.40208041608323153</v>
      </c>
    </row>
    <row r="7020" spans="8:11">
      <c r="H7020">
        <f>SMALL(SimData5000!$B$9:$B$5008,2012)</f>
        <v>0.40233741561424397</v>
      </c>
      <c r="I7020">
        <f>1/(COUNT(SimData5000!$B$9:$B$5008)-1)+$I$7019</f>
        <v>0.40228045609123314</v>
      </c>
      <c r="J7020">
        <f>SMALL(SimData5000!$C$9:$C$5008,2012)</f>
        <v>0.39780002142379089</v>
      </c>
      <c r="K7020">
        <f>1/(COUNT(SimData5000!$C$9:$C$5008)-1)+$K$7019</f>
        <v>0.40228045609123314</v>
      </c>
    </row>
    <row r="7021" spans="8:11">
      <c r="H7021">
        <f>SMALL(SimData5000!$B$9:$B$5008,2013)</f>
        <v>0.40241654494577472</v>
      </c>
      <c r="I7021">
        <f>1/(COUNT(SimData5000!$B$9:$B$5008)-1)+$I$7020</f>
        <v>0.40248049609923475</v>
      </c>
      <c r="J7021">
        <f>SMALL(SimData5000!$C$9:$C$5008,2013)</f>
        <v>0.39790411016110738</v>
      </c>
      <c r="K7021">
        <f>1/(COUNT(SimData5000!$C$9:$C$5008)-1)+$K$7020</f>
        <v>0.40248049609923475</v>
      </c>
    </row>
    <row r="7022" spans="8:11">
      <c r="H7022">
        <f>SMALL(SimData5000!$B$9:$B$5008,2014)</f>
        <v>0.40268853451416092</v>
      </c>
      <c r="I7022">
        <f>1/(COUNT(SimData5000!$B$9:$B$5008)-1)+$I$7021</f>
        <v>0.40268053610723636</v>
      </c>
      <c r="J7022">
        <f>SMALL(SimData5000!$C$9:$C$5008,2014)</f>
        <v>0.39829320345779706</v>
      </c>
      <c r="K7022">
        <f>1/(COUNT(SimData5000!$C$9:$C$5008)-1)+$K$7021</f>
        <v>0.40268053610723636</v>
      </c>
    </row>
    <row r="7023" spans="8:11">
      <c r="H7023">
        <f>SMALL(SimData5000!$B$9:$B$5008,2015)</f>
        <v>0.40299649294167678</v>
      </c>
      <c r="I7023">
        <f>1/(COUNT(SimData5000!$B$9:$B$5008)-1)+$I$7022</f>
        <v>0.40288057611523798</v>
      </c>
      <c r="J7023">
        <f>SMALL(SimData5000!$C$9:$C$5008,2015)</f>
        <v>0.3984859409620185</v>
      </c>
      <c r="K7023">
        <f>1/(COUNT(SimData5000!$C$9:$C$5008)-1)+$K$7022</f>
        <v>0.40288057611523798</v>
      </c>
    </row>
    <row r="7024" spans="8:11">
      <c r="H7024">
        <f>SMALL(SimData5000!$B$9:$B$5008,2016)</f>
        <v>0.40315289344018163</v>
      </c>
      <c r="I7024">
        <f>1/(COUNT(SimData5000!$B$9:$B$5008)-1)+$I$7023</f>
        <v>0.40308061612323959</v>
      </c>
      <c r="J7024">
        <f>SMALL(SimData5000!$C$9:$C$5008,2016)</f>
        <v>0.39864900143220439</v>
      </c>
      <c r="K7024">
        <f>1/(COUNT(SimData5000!$C$9:$C$5008)-1)+$K$7023</f>
        <v>0.40308061612323959</v>
      </c>
    </row>
    <row r="7025" spans="8:11">
      <c r="H7025">
        <f>SMALL(SimData5000!$B$9:$B$5008,2017)</f>
        <v>0.40327641489316624</v>
      </c>
      <c r="I7025">
        <f>1/(COUNT(SimData5000!$B$9:$B$5008)-1)+$I$7024</f>
        <v>0.4032806561312412</v>
      </c>
      <c r="J7025">
        <f>SMALL(SimData5000!$C$9:$C$5008,2017)</f>
        <v>0.39889011810282682</v>
      </c>
      <c r="K7025">
        <f>1/(COUNT(SimData5000!$C$9:$C$5008)-1)+$K$7024</f>
        <v>0.4032806561312412</v>
      </c>
    </row>
    <row r="7026" spans="8:11">
      <c r="H7026">
        <f>SMALL(SimData5000!$B$9:$B$5008,2018)</f>
        <v>0.40357514745285156</v>
      </c>
      <c r="I7026">
        <f>1/(COUNT(SimData5000!$B$9:$B$5008)-1)+$I$7025</f>
        <v>0.40348069613924281</v>
      </c>
      <c r="J7026">
        <f>SMALL(SimData5000!$C$9:$C$5008,2018)</f>
        <v>0.39926863811479052</v>
      </c>
      <c r="K7026">
        <f>1/(COUNT(SimData5000!$C$9:$C$5008)-1)+$K$7025</f>
        <v>0.40348069613924281</v>
      </c>
    </row>
    <row r="7027" spans="8:11">
      <c r="H7027">
        <f>SMALL(SimData5000!$B$9:$B$5008,2019)</f>
        <v>0.40370571318816062</v>
      </c>
      <c r="I7027">
        <f>1/(COUNT(SimData5000!$B$9:$B$5008)-1)+$I$7026</f>
        <v>0.40368073614724442</v>
      </c>
      <c r="J7027">
        <f>SMALL(SimData5000!$C$9:$C$5008,2019)</f>
        <v>0.39949595315556508</v>
      </c>
      <c r="K7027">
        <f>1/(COUNT(SimData5000!$C$9:$C$5008)-1)+$K$7026</f>
        <v>0.40368073614724442</v>
      </c>
    </row>
    <row r="7028" spans="8:11">
      <c r="H7028">
        <f>SMALL(SimData5000!$B$9:$B$5008,2020)</f>
        <v>0.40396955158979853</v>
      </c>
      <c r="I7028">
        <f>1/(COUNT(SimData5000!$B$9:$B$5008)-1)+$I$7027</f>
        <v>0.40388077615524604</v>
      </c>
      <c r="J7028">
        <f>SMALL(SimData5000!$C$9:$C$5008,2020)</f>
        <v>0.39949985026126456</v>
      </c>
      <c r="K7028">
        <f>1/(COUNT(SimData5000!$C$9:$C$5008)-1)+$K$7027</f>
        <v>0.40388077615524604</v>
      </c>
    </row>
    <row r="7029" spans="8:11">
      <c r="H7029">
        <f>SMALL(SimData5000!$B$9:$B$5008,2021)</f>
        <v>0.4041877284852759</v>
      </c>
      <c r="I7029">
        <f>1/(COUNT(SimData5000!$B$9:$B$5008)-1)+$I$7028</f>
        <v>0.40408081616324765</v>
      </c>
      <c r="J7029">
        <f>SMALL(SimData5000!$C$9:$C$5008,2021)</f>
        <v>0.39992006053216755</v>
      </c>
      <c r="K7029">
        <f>1/(COUNT(SimData5000!$C$9:$C$5008)-1)+$K$7028</f>
        <v>0.40408081616324765</v>
      </c>
    </row>
    <row r="7030" spans="8:11">
      <c r="H7030">
        <f>SMALL(SimData5000!$B$9:$B$5008,2022)</f>
        <v>0.4043344099094473</v>
      </c>
      <c r="I7030">
        <f>1/(COUNT(SimData5000!$B$9:$B$5008)-1)+$I$7029</f>
        <v>0.40428085617124926</v>
      </c>
      <c r="J7030">
        <f>SMALL(SimData5000!$C$9:$C$5008,2022)</f>
        <v>0.39996005770444754</v>
      </c>
      <c r="K7030">
        <f>1/(COUNT(SimData5000!$C$9:$C$5008)-1)+$K$7029</f>
        <v>0.40428085617124926</v>
      </c>
    </row>
    <row r="7031" spans="8:11">
      <c r="H7031">
        <f>SMALL(SimData5000!$B$9:$B$5008,2023)</f>
        <v>0.40455002142152519</v>
      </c>
      <c r="I7031">
        <f>1/(COUNT(SimData5000!$B$9:$B$5008)-1)+$I$7030</f>
        <v>0.40448089617925087</v>
      </c>
      <c r="J7031">
        <f>SMALL(SimData5000!$C$9:$C$5008,2023)</f>
        <v>0.40007879413496994</v>
      </c>
      <c r="K7031">
        <f>1/(COUNT(SimData5000!$C$9:$C$5008)-1)+$K$7030</f>
        <v>0.40448089617925087</v>
      </c>
    </row>
    <row r="7032" spans="8:11">
      <c r="H7032">
        <f>SMALL(SimData5000!$B$9:$B$5008,2024)</f>
        <v>0.40468225567412613</v>
      </c>
      <c r="I7032">
        <f>1/(COUNT(SimData5000!$B$9:$B$5008)-1)+$I$7031</f>
        <v>0.40468093618725248</v>
      </c>
      <c r="J7032">
        <f>SMALL(SimData5000!$C$9:$C$5008,2024)</f>
        <v>0.40027777719569713</v>
      </c>
      <c r="K7032">
        <f>1/(COUNT(SimData5000!$C$9:$C$5008)-1)+$K$7031</f>
        <v>0.40468093618725248</v>
      </c>
    </row>
    <row r="7033" spans="8:11">
      <c r="H7033">
        <f>SMALL(SimData5000!$B$9:$B$5008,2025)</f>
        <v>0.40485791797369208</v>
      </c>
      <c r="I7033">
        <f>1/(COUNT(SimData5000!$B$9:$B$5008)-1)+$I$7032</f>
        <v>0.40488097619525409</v>
      </c>
      <c r="J7033">
        <f>SMALL(SimData5000!$C$9:$C$5008,2025)</f>
        <v>0.40037313627999538</v>
      </c>
      <c r="K7033">
        <f>1/(COUNT(SimData5000!$C$9:$C$5008)-1)+$K$7032</f>
        <v>0.40488097619525409</v>
      </c>
    </row>
    <row r="7034" spans="8:11">
      <c r="H7034">
        <f>SMALL(SimData5000!$B$9:$B$5008,2026)</f>
        <v>0.40504662061036723</v>
      </c>
      <c r="I7034">
        <f>1/(COUNT(SimData5000!$B$9:$B$5008)-1)+$I$7033</f>
        <v>0.40508101620325571</v>
      </c>
      <c r="J7034">
        <f>SMALL(SimData5000!$C$9:$C$5008,2026)</f>
        <v>0.4004280215340259</v>
      </c>
      <c r="K7034">
        <f>1/(COUNT(SimData5000!$C$9:$C$5008)-1)+$K$7033</f>
        <v>0.40508101620325571</v>
      </c>
    </row>
    <row r="7035" spans="8:11">
      <c r="H7035">
        <f>SMALL(SimData5000!$B$9:$B$5008,2027)</f>
        <v>0.40536367450579153</v>
      </c>
      <c r="I7035">
        <f>1/(COUNT(SimData5000!$B$9:$B$5008)-1)+$I$7034</f>
        <v>0.40528105621125732</v>
      </c>
      <c r="J7035">
        <f>SMALL(SimData5000!$C$9:$C$5008,2027)</f>
        <v>0.40048352193934988</v>
      </c>
      <c r="K7035">
        <f>1/(COUNT(SimData5000!$C$9:$C$5008)-1)+$K$7034</f>
        <v>0.40528105621125732</v>
      </c>
    </row>
    <row r="7036" spans="8:11">
      <c r="H7036">
        <f>SMALL(SimData5000!$B$9:$B$5008,2028)</f>
        <v>0.40557613552607974</v>
      </c>
      <c r="I7036">
        <f>1/(COUNT(SimData5000!$B$9:$B$5008)-1)+$I$7035</f>
        <v>0.40548109621925893</v>
      </c>
      <c r="J7036">
        <f>SMALL(SimData5000!$C$9:$C$5008,2028)</f>
        <v>0.40052960680259275</v>
      </c>
      <c r="K7036">
        <f>1/(COUNT(SimData5000!$C$9:$C$5008)-1)+$K$7035</f>
        <v>0.40548109621925893</v>
      </c>
    </row>
    <row r="7037" spans="8:11">
      <c r="H7037">
        <f>SMALL(SimData5000!$B$9:$B$5008,2029)</f>
        <v>0.40560988217224597</v>
      </c>
      <c r="I7037">
        <f>1/(COUNT(SimData5000!$B$9:$B$5008)-1)+$I$7036</f>
        <v>0.40568113622726054</v>
      </c>
      <c r="J7037">
        <f>SMALL(SimData5000!$C$9:$C$5008,2029)</f>
        <v>0.40082042462836398</v>
      </c>
      <c r="K7037">
        <f>1/(COUNT(SimData5000!$C$9:$C$5008)-1)+$K$7036</f>
        <v>0.40568113622726054</v>
      </c>
    </row>
    <row r="7038" spans="8:11">
      <c r="H7038">
        <f>SMALL(SimData5000!$B$9:$B$5008,2030)</f>
        <v>0.40599532412513983</v>
      </c>
      <c r="I7038">
        <f>1/(COUNT(SimData5000!$B$9:$B$5008)-1)+$I$7037</f>
        <v>0.40588117623526215</v>
      </c>
      <c r="J7038">
        <f>SMALL(SimData5000!$C$9:$C$5008,2030)</f>
        <v>0.40090076376873185</v>
      </c>
      <c r="K7038">
        <f>1/(COUNT(SimData5000!$C$9:$C$5008)-1)+$K$7037</f>
        <v>0.40588117623526215</v>
      </c>
    </row>
    <row r="7039" spans="8:11">
      <c r="H7039">
        <f>SMALL(SimData5000!$B$9:$B$5008,2031)</f>
        <v>0.40610181357974695</v>
      </c>
      <c r="I7039">
        <f>1/(COUNT(SimData5000!$B$9:$B$5008)-1)+$I$7038</f>
        <v>0.40608121624326377</v>
      </c>
      <c r="J7039">
        <f>SMALL(SimData5000!$C$9:$C$5008,2031)</f>
        <v>0.40108596407480945</v>
      </c>
      <c r="K7039">
        <f>1/(COUNT(SimData5000!$C$9:$C$5008)-1)+$K$7038</f>
        <v>0.40608121624326377</v>
      </c>
    </row>
    <row r="7040" spans="8:11">
      <c r="H7040">
        <f>SMALL(SimData5000!$B$9:$B$5008,2032)</f>
        <v>0.40623114791755355</v>
      </c>
      <c r="I7040">
        <f>1/(COUNT(SimData5000!$B$9:$B$5008)-1)+$I$7039</f>
        <v>0.40628125625126538</v>
      </c>
      <c r="J7040">
        <f>SMALL(SimData5000!$C$9:$C$5008,2032)</f>
        <v>0.401227755302898</v>
      </c>
      <c r="K7040">
        <f>1/(COUNT(SimData5000!$C$9:$C$5008)-1)+$K$7039</f>
        <v>0.40628125625126538</v>
      </c>
    </row>
    <row r="7041" spans="8:11">
      <c r="H7041">
        <f>SMALL(SimData5000!$B$9:$B$5008,2033)</f>
        <v>0.4065315139562663</v>
      </c>
      <c r="I7041">
        <f>1/(COUNT(SimData5000!$B$9:$B$5008)-1)+$I$7040</f>
        <v>0.40648129625926699</v>
      </c>
      <c r="J7041">
        <f>SMALL(SimData5000!$C$9:$C$5008,2033)</f>
        <v>0.40133916878949094</v>
      </c>
      <c r="K7041">
        <f>1/(COUNT(SimData5000!$C$9:$C$5008)-1)+$K$7040</f>
        <v>0.40648129625926699</v>
      </c>
    </row>
    <row r="7042" spans="8:11">
      <c r="H7042">
        <f>SMALL(SimData5000!$B$9:$B$5008,2034)</f>
        <v>0.4066268537478584</v>
      </c>
      <c r="I7042">
        <f>1/(COUNT(SimData5000!$B$9:$B$5008)-1)+$I$7041</f>
        <v>0.4066813362672686</v>
      </c>
      <c r="J7042">
        <f>SMALL(SimData5000!$C$9:$C$5008,2034)</f>
        <v>0.40152558600675547</v>
      </c>
      <c r="K7042">
        <f>1/(COUNT(SimData5000!$C$9:$C$5008)-1)+$K$7041</f>
        <v>0.4066813362672686</v>
      </c>
    </row>
    <row r="7043" spans="8:11">
      <c r="H7043">
        <f>SMALL(SimData5000!$B$9:$B$5008,2035)</f>
        <v>0.40699828568575863</v>
      </c>
      <c r="I7043">
        <f>1/(COUNT(SimData5000!$B$9:$B$5008)-1)+$I$7042</f>
        <v>0.40688137627527021</v>
      </c>
      <c r="J7043">
        <f>SMALL(SimData5000!$C$9:$C$5008,2035)</f>
        <v>0.40184835994659807</v>
      </c>
      <c r="K7043">
        <f>1/(COUNT(SimData5000!$C$9:$C$5008)-1)+$K$7042</f>
        <v>0.40688137627527021</v>
      </c>
    </row>
    <row r="7044" spans="8:11">
      <c r="H7044">
        <f>SMALL(SimData5000!$B$9:$B$5008,2036)</f>
        <v>0.40705106112883682</v>
      </c>
      <c r="I7044">
        <f>1/(COUNT(SimData5000!$B$9:$B$5008)-1)+$I$7043</f>
        <v>0.40708141628327182</v>
      </c>
      <c r="J7044">
        <f>SMALL(SimData5000!$C$9:$C$5008,2036)</f>
        <v>0.40193579732294893</v>
      </c>
      <c r="K7044">
        <f>1/(COUNT(SimData5000!$C$9:$C$5008)-1)+$K$7043</f>
        <v>0.40708141628327182</v>
      </c>
    </row>
    <row r="7045" spans="8:11">
      <c r="H7045">
        <f>SMALL(SimData5000!$B$9:$B$5008,2037)</f>
        <v>0.40728680387760668</v>
      </c>
      <c r="I7045">
        <f>1/(COUNT(SimData5000!$B$9:$B$5008)-1)+$I$7044</f>
        <v>0.40728145629127344</v>
      </c>
      <c r="J7045">
        <f>SMALL(SimData5000!$C$9:$C$5008,2037)</f>
        <v>0.4019693766204</v>
      </c>
      <c r="K7045">
        <f>1/(COUNT(SimData5000!$C$9:$C$5008)-1)+$K$7044</f>
        <v>0.40728145629127344</v>
      </c>
    </row>
    <row r="7046" spans="8:11">
      <c r="H7046">
        <f>SMALL(SimData5000!$B$9:$B$5008,2038)</f>
        <v>0.40752443554781481</v>
      </c>
      <c r="I7046">
        <f>1/(COUNT(SimData5000!$B$9:$B$5008)-1)+$I$7045</f>
        <v>0.40748149629927505</v>
      </c>
      <c r="J7046">
        <f>SMALL(SimData5000!$C$9:$C$5008,2038)</f>
        <v>0.40213160037001217</v>
      </c>
      <c r="K7046">
        <f>1/(COUNT(SimData5000!$C$9:$C$5008)-1)+$K$7045</f>
        <v>0.40748149629927505</v>
      </c>
    </row>
    <row r="7047" spans="8:11">
      <c r="H7047">
        <f>SMALL(SimData5000!$B$9:$B$5008,2039)</f>
        <v>0.40765472886125897</v>
      </c>
      <c r="I7047">
        <f>1/(COUNT(SimData5000!$B$9:$B$5008)-1)+$I$7046</f>
        <v>0.40768153630727666</v>
      </c>
      <c r="J7047">
        <f>SMALL(SimData5000!$C$9:$C$5008,2039)</f>
        <v>0.40292724534356239</v>
      </c>
      <c r="K7047">
        <f>1/(COUNT(SimData5000!$C$9:$C$5008)-1)+$K$7046</f>
        <v>0.40768153630727666</v>
      </c>
    </row>
    <row r="7048" spans="8:11">
      <c r="H7048">
        <f>SMALL(SimData5000!$B$9:$B$5008,2040)</f>
        <v>0.40781474663322204</v>
      </c>
      <c r="I7048">
        <f>1/(COUNT(SimData5000!$B$9:$B$5008)-1)+$I$7047</f>
        <v>0.40788157631527827</v>
      </c>
      <c r="J7048">
        <f>SMALL(SimData5000!$C$9:$C$5008,2040)</f>
        <v>0.40297510695017991</v>
      </c>
      <c r="K7048">
        <f>1/(COUNT(SimData5000!$C$9:$C$5008)-1)+$K$7047</f>
        <v>0.40788157631527827</v>
      </c>
    </row>
    <row r="7049" spans="8:11">
      <c r="H7049">
        <f>SMALL(SimData5000!$B$9:$B$5008,2041)</f>
        <v>0.40815665338732227</v>
      </c>
      <c r="I7049">
        <f>1/(COUNT(SimData5000!$B$9:$B$5008)-1)+$I$7048</f>
        <v>0.40808161632327988</v>
      </c>
      <c r="J7049">
        <f>SMALL(SimData5000!$C$9:$C$5008,2041)</f>
        <v>0.40320354485993448</v>
      </c>
      <c r="K7049">
        <f>1/(COUNT(SimData5000!$C$9:$C$5008)-1)+$K$7048</f>
        <v>0.40808161632327988</v>
      </c>
    </row>
    <row r="7050" spans="8:11">
      <c r="H7050">
        <f>SMALL(SimData5000!$B$9:$B$5008,2042)</f>
        <v>0.4082183648498306</v>
      </c>
      <c r="I7050">
        <f>1/(COUNT(SimData5000!$B$9:$B$5008)-1)+$I$7049</f>
        <v>0.4082816563312815</v>
      </c>
      <c r="J7050">
        <f>SMALL(SimData5000!$C$9:$C$5008,2042)</f>
        <v>0.40321172623498569</v>
      </c>
      <c r="K7050">
        <f>1/(COUNT(SimData5000!$C$9:$C$5008)-1)+$K$7049</f>
        <v>0.4082816563312815</v>
      </c>
    </row>
    <row r="7051" spans="8:11">
      <c r="H7051">
        <f>SMALL(SimData5000!$B$9:$B$5008,2043)</f>
        <v>0.40850129698535925</v>
      </c>
      <c r="I7051">
        <f>1/(COUNT(SimData5000!$B$9:$B$5008)-1)+$I$7050</f>
        <v>0.40848169633928311</v>
      </c>
      <c r="J7051">
        <f>SMALL(SimData5000!$C$9:$C$5008,2043)</f>
        <v>0.40384067061495443</v>
      </c>
      <c r="K7051">
        <f>1/(COUNT(SimData5000!$C$9:$C$5008)-1)+$K$7050</f>
        <v>0.40848169633928311</v>
      </c>
    </row>
    <row r="7052" spans="8:11">
      <c r="H7052">
        <f>SMALL(SimData5000!$B$9:$B$5008,2044)</f>
        <v>0.40869292705182286</v>
      </c>
      <c r="I7052">
        <f>1/(COUNT(SimData5000!$B$9:$B$5008)-1)+$I$7051</f>
        <v>0.40868173634728472</v>
      </c>
      <c r="J7052">
        <f>SMALL(SimData5000!$C$9:$C$5008,2044)</f>
        <v>0.40386875515014253</v>
      </c>
      <c r="K7052">
        <f>1/(COUNT(SimData5000!$C$9:$C$5008)-1)+$K$7051</f>
        <v>0.40868173634728472</v>
      </c>
    </row>
    <row r="7053" spans="8:11">
      <c r="H7053">
        <f>SMALL(SimData5000!$B$9:$B$5008,2045)</f>
        <v>0.40897785389441482</v>
      </c>
      <c r="I7053">
        <f>1/(COUNT(SimData5000!$B$9:$B$5008)-1)+$I$7052</f>
        <v>0.40888177635528633</v>
      </c>
      <c r="J7053">
        <f>SMALL(SimData5000!$C$9:$C$5008,2045)</f>
        <v>0.40394142894638208</v>
      </c>
      <c r="K7053">
        <f>1/(COUNT(SimData5000!$C$9:$C$5008)-1)+$K$7052</f>
        <v>0.40888177635528633</v>
      </c>
    </row>
    <row r="7054" spans="8:11">
      <c r="H7054">
        <f>SMALL(SimData5000!$B$9:$B$5008,2046)</f>
        <v>0.40915859638167512</v>
      </c>
      <c r="I7054">
        <f>1/(COUNT(SimData5000!$B$9:$B$5008)-1)+$I$7053</f>
        <v>0.40908181636328794</v>
      </c>
      <c r="J7054">
        <f>SMALL(SimData5000!$C$9:$C$5008,2046)</f>
        <v>0.40397858859705593</v>
      </c>
      <c r="K7054">
        <f>1/(COUNT(SimData5000!$C$9:$C$5008)-1)+$K$7053</f>
        <v>0.40908181636328794</v>
      </c>
    </row>
    <row r="7055" spans="8:11">
      <c r="H7055">
        <f>SMALL(SimData5000!$B$9:$B$5008,2047)</f>
        <v>0.40928251767383944</v>
      </c>
      <c r="I7055">
        <f>1/(COUNT(SimData5000!$B$9:$B$5008)-1)+$I$7054</f>
        <v>0.40928185637128955</v>
      </c>
      <c r="J7055">
        <f>SMALL(SimData5000!$C$9:$C$5008,2047)</f>
        <v>0.40414877558396256</v>
      </c>
      <c r="K7055">
        <f>1/(COUNT(SimData5000!$C$9:$C$5008)-1)+$K$7054</f>
        <v>0.40928185637128955</v>
      </c>
    </row>
    <row r="7056" spans="8:11">
      <c r="H7056">
        <f>SMALL(SimData5000!$B$9:$B$5008,2048)</f>
        <v>0.40957913763792703</v>
      </c>
      <c r="I7056">
        <f>1/(COUNT(SimData5000!$B$9:$B$5008)-1)+$I$7055</f>
        <v>0.40948189637929117</v>
      </c>
      <c r="J7056">
        <f>SMALL(SimData5000!$C$9:$C$5008,2048)</f>
        <v>0.40437229250983364</v>
      </c>
      <c r="K7056">
        <f>1/(COUNT(SimData5000!$C$9:$C$5008)-1)+$K$7055</f>
        <v>0.40948189637929117</v>
      </c>
    </row>
    <row r="7057" spans="8:11">
      <c r="H7057">
        <f>SMALL(SimData5000!$B$9:$B$5008,2049)</f>
        <v>0.40967612109325735</v>
      </c>
      <c r="I7057">
        <f>1/(COUNT(SimData5000!$B$9:$B$5008)-1)+$I$7056</f>
        <v>0.40968193638729278</v>
      </c>
      <c r="J7057">
        <f>SMALL(SimData5000!$C$9:$C$5008,2049)</f>
        <v>0.40440958147974015</v>
      </c>
      <c r="K7057">
        <f>1/(COUNT(SimData5000!$C$9:$C$5008)-1)+$K$7056</f>
        <v>0.40968193638729278</v>
      </c>
    </row>
    <row r="7058" spans="8:11">
      <c r="H7058">
        <f>SMALL(SimData5000!$B$9:$B$5008,2050)</f>
        <v>0.40996665122466319</v>
      </c>
      <c r="I7058">
        <f>1/(COUNT(SimData5000!$B$9:$B$5008)-1)+$I$7057</f>
        <v>0.40988197639529439</v>
      </c>
      <c r="J7058">
        <f>SMALL(SimData5000!$C$9:$C$5008,2050)</f>
        <v>0.40449573373916792</v>
      </c>
      <c r="K7058">
        <f>1/(COUNT(SimData5000!$C$9:$C$5008)-1)+$K$7057</f>
        <v>0.40988197639529439</v>
      </c>
    </row>
    <row r="7059" spans="8:11">
      <c r="H7059">
        <f>SMALL(SimData5000!$B$9:$B$5008,2051)</f>
        <v>0.4100643295792547</v>
      </c>
      <c r="I7059">
        <f>1/(COUNT(SimData5000!$B$9:$B$5008)-1)+$I$7058</f>
        <v>0.410082016403296</v>
      </c>
      <c r="J7059">
        <f>SMALL(SimData5000!$C$9:$C$5008,2051)</f>
        <v>0.40465897685407981</v>
      </c>
      <c r="K7059">
        <f>1/(COUNT(SimData5000!$C$9:$C$5008)-1)+$K$7058</f>
        <v>0.410082016403296</v>
      </c>
    </row>
    <row r="7060" spans="8:11">
      <c r="H7060">
        <f>SMALL(SimData5000!$B$9:$B$5008,2052)</f>
        <v>0.41026958384408374</v>
      </c>
      <c r="I7060">
        <f>1/(COUNT(SimData5000!$B$9:$B$5008)-1)+$I$7059</f>
        <v>0.41028205641129761</v>
      </c>
      <c r="J7060">
        <f>SMALL(SimData5000!$C$9:$C$5008,2052)</f>
        <v>0.40488871933030168</v>
      </c>
      <c r="K7060">
        <f>1/(COUNT(SimData5000!$C$9:$C$5008)-1)+$K$7059</f>
        <v>0.41028205641129761</v>
      </c>
    </row>
    <row r="7061" spans="8:11">
      <c r="H7061">
        <f>SMALL(SimData5000!$B$9:$B$5008,2053)</f>
        <v>0.41041377335824392</v>
      </c>
      <c r="I7061">
        <f>1/(COUNT(SimData5000!$B$9:$B$5008)-1)+$I$7060</f>
        <v>0.41048209641929922</v>
      </c>
      <c r="J7061">
        <f>SMALL(SimData5000!$C$9:$C$5008,2053)</f>
        <v>0.40500223538219871</v>
      </c>
      <c r="K7061">
        <f>1/(COUNT(SimData5000!$C$9:$C$5008)-1)+$K$7060</f>
        <v>0.41048209641929922</v>
      </c>
    </row>
    <row r="7062" spans="8:11">
      <c r="H7062">
        <f>SMALL(SimData5000!$B$9:$B$5008,2054)</f>
        <v>0.41069728293830932</v>
      </c>
      <c r="I7062">
        <f>1/(COUNT(SimData5000!$B$9:$B$5008)-1)+$I$7061</f>
        <v>0.41068213642730084</v>
      </c>
      <c r="J7062">
        <f>SMALL(SimData5000!$C$9:$C$5008,2054)</f>
        <v>0.40526212622262392</v>
      </c>
      <c r="K7062">
        <f>1/(COUNT(SimData5000!$C$9:$C$5008)-1)+$K$7061</f>
        <v>0.41068213642730084</v>
      </c>
    </row>
    <row r="7063" spans="8:11">
      <c r="H7063">
        <f>SMALL(SimData5000!$B$9:$B$5008,2055)</f>
        <v>0.410890036295189</v>
      </c>
      <c r="I7063">
        <f>1/(COUNT(SimData5000!$B$9:$B$5008)-1)+$I$7062</f>
        <v>0.41088217643530245</v>
      </c>
      <c r="J7063">
        <f>SMALL(SimData5000!$C$9:$C$5008,2055)</f>
        <v>0.40561392242398142</v>
      </c>
      <c r="K7063">
        <f>1/(COUNT(SimData5000!$C$9:$C$5008)-1)+$K$7062</f>
        <v>0.41088217643530245</v>
      </c>
    </row>
    <row r="7064" spans="8:11">
      <c r="H7064">
        <f>SMALL(SimData5000!$B$9:$B$5008,2056)</f>
        <v>0.41117190390489339</v>
      </c>
      <c r="I7064">
        <f>1/(COUNT(SimData5000!$B$9:$B$5008)-1)+$I$7063</f>
        <v>0.41108221644330406</v>
      </c>
      <c r="J7064">
        <f>SMALL(SimData5000!$C$9:$C$5008,2056)</f>
        <v>0.40565114138098579</v>
      </c>
      <c r="K7064">
        <f>1/(COUNT(SimData5000!$C$9:$C$5008)-1)+$K$7063</f>
        <v>0.41108221644330406</v>
      </c>
    </row>
    <row r="7065" spans="8:11">
      <c r="H7065">
        <f>SMALL(SimData5000!$B$9:$B$5008,2057)</f>
        <v>0.41130516966858532</v>
      </c>
      <c r="I7065">
        <f>1/(COUNT(SimData5000!$B$9:$B$5008)-1)+$I$7064</f>
        <v>0.41128225645130567</v>
      </c>
      <c r="J7065">
        <f>SMALL(SimData5000!$C$9:$C$5008,2057)</f>
        <v>0.40575259650995577</v>
      </c>
      <c r="K7065">
        <f>1/(COUNT(SimData5000!$C$9:$C$5008)-1)+$K$7064</f>
        <v>0.41128225645130567</v>
      </c>
    </row>
    <row r="7066" spans="8:11">
      <c r="H7066">
        <f>SMALL(SimData5000!$B$9:$B$5008,2058)</f>
        <v>0.41153774588334791</v>
      </c>
      <c r="I7066">
        <f>1/(COUNT(SimData5000!$B$9:$B$5008)-1)+$I$7065</f>
        <v>0.41148229645930728</v>
      </c>
      <c r="J7066">
        <f>SMALL(SimData5000!$C$9:$C$5008,2058)</f>
        <v>0.40576839232926432</v>
      </c>
      <c r="K7066">
        <f>1/(COUNT(SimData5000!$C$9:$C$5008)-1)+$K$7065</f>
        <v>0.41148229645930728</v>
      </c>
    </row>
    <row r="7067" spans="8:11">
      <c r="H7067">
        <f>SMALL(SimData5000!$B$9:$B$5008,2059)</f>
        <v>0.41175513913555889</v>
      </c>
      <c r="I7067">
        <f>1/(COUNT(SimData5000!$B$9:$B$5008)-1)+$I$7066</f>
        <v>0.4116823364673089</v>
      </c>
      <c r="J7067">
        <f>SMALL(SimData5000!$C$9:$C$5008,2059)</f>
        <v>0.40591004729049018</v>
      </c>
      <c r="K7067">
        <f>1/(COUNT(SimData5000!$C$9:$C$5008)-1)+$K$7066</f>
        <v>0.4116823364673089</v>
      </c>
    </row>
    <row r="7068" spans="8:11">
      <c r="H7068">
        <f>SMALL(SimData5000!$B$9:$B$5008,2060)</f>
        <v>0.4119634308370676</v>
      </c>
      <c r="I7068">
        <f>1/(COUNT(SimData5000!$B$9:$B$5008)-1)+$I$7067</f>
        <v>0.41188237647531051</v>
      </c>
      <c r="J7068">
        <f>SMALL(SimData5000!$C$9:$C$5008,2060)</f>
        <v>0.40604161824285256</v>
      </c>
      <c r="K7068">
        <f>1/(COUNT(SimData5000!$C$9:$C$5008)-1)+$K$7067</f>
        <v>0.41188237647531051</v>
      </c>
    </row>
    <row r="7069" spans="8:11">
      <c r="H7069">
        <f>SMALL(SimData5000!$B$9:$B$5008,2061)</f>
        <v>0.41218242796686999</v>
      </c>
      <c r="I7069">
        <f>1/(COUNT(SimData5000!$B$9:$B$5008)-1)+$I$7068</f>
        <v>0.41208241648331212</v>
      </c>
      <c r="J7069">
        <f>SMALL(SimData5000!$C$9:$C$5008,2061)</f>
        <v>0.40673662940298527</v>
      </c>
      <c r="K7069">
        <f>1/(COUNT(SimData5000!$C$9:$C$5008)-1)+$K$7068</f>
        <v>0.41208241648331212</v>
      </c>
    </row>
    <row r="7070" spans="8:11">
      <c r="H7070">
        <f>SMALL(SimData5000!$B$9:$B$5008,2062)</f>
        <v>0.41228788376061432</v>
      </c>
      <c r="I7070">
        <f>1/(COUNT(SimData5000!$B$9:$B$5008)-1)+$I$7069</f>
        <v>0.41228245649131373</v>
      </c>
      <c r="J7070">
        <f>SMALL(SimData5000!$C$9:$C$5008,2062)</f>
        <v>0.4068197490505554</v>
      </c>
      <c r="K7070">
        <f>1/(COUNT(SimData5000!$C$9:$C$5008)-1)+$K$7069</f>
        <v>0.41228245649131373</v>
      </c>
    </row>
    <row r="7071" spans="8:11">
      <c r="H7071">
        <f>SMALL(SimData5000!$B$9:$B$5008,2063)</f>
        <v>0.41257696327054338</v>
      </c>
      <c r="I7071">
        <f>1/(COUNT(SimData5000!$B$9:$B$5008)-1)+$I$7070</f>
        <v>0.41248249649931534</v>
      </c>
      <c r="J7071">
        <f>SMALL(SimData5000!$C$9:$C$5008,2063)</f>
        <v>0.40729948166972463</v>
      </c>
      <c r="K7071">
        <f>1/(COUNT(SimData5000!$C$9:$C$5008)-1)+$K$7070</f>
        <v>0.41248249649931534</v>
      </c>
    </row>
    <row r="7072" spans="8:11">
      <c r="H7072">
        <f>SMALL(SimData5000!$B$9:$B$5008,2064)</f>
        <v>0.41276208122390373</v>
      </c>
      <c r="I7072">
        <f>1/(COUNT(SimData5000!$B$9:$B$5008)-1)+$I$7071</f>
        <v>0.41268253650731695</v>
      </c>
      <c r="J7072">
        <f>SMALL(SimData5000!$C$9:$C$5008,2064)</f>
        <v>0.40752552690264565</v>
      </c>
      <c r="K7072">
        <f>1/(COUNT(SimData5000!$C$9:$C$5008)-1)+$K$7071</f>
        <v>0.41268253650731695</v>
      </c>
    </row>
    <row r="7073" spans="8:11">
      <c r="H7073">
        <f>SMALL(SimData5000!$B$9:$B$5008,2065)</f>
        <v>0.41284047511030003</v>
      </c>
      <c r="I7073">
        <f>1/(COUNT(SimData5000!$B$9:$B$5008)-1)+$I$7072</f>
        <v>0.41288257651531857</v>
      </c>
      <c r="J7073">
        <f>SMALL(SimData5000!$C$9:$C$5008,2065)</f>
        <v>0.40761976091653196</v>
      </c>
      <c r="K7073">
        <f>1/(COUNT(SimData5000!$C$9:$C$5008)-1)+$K$7072</f>
        <v>0.41288257651531857</v>
      </c>
    </row>
    <row r="7074" spans="8:11">
      <c r="H7074">
        <f>SMALL(SimData5000!$B$9:$B$5008,2066)</f>
        <v>0.41302957333420165</v>
      </c>
      <c r="I7074">
        <f>1/(COUNT(SimData5000!$B$9:$B$5008)-1)+$I$7073</f>
        <v>0.41308261652332018</v>
      </c>
      <c r="J7074">
        <f>SMALL(SimData5000!$C$9:$C$5008,2066)</f>
        <v>0.40783237423875107</v>
      </c>
      <c r="K7074">
        <f>1/(COUNT(SimData5000!$C$9:$C$5008)-1)+$K$7073</f>
        <v>0.41308261652332018</v>
      </c>
    </row>
    <row r="7075" spans="8:11">
      <c r="H7075">
        <f>SMALL(SimData5000!$B$9:$B$5008,2067)</f>
        <v>0.41328724707669745</v>
      </c>
      <c r="I7075">
        <f>1/(COUNT(SimData5000!$B$9:$B$5008)-1)+$I$7074</f>
        <v>0.41328265653132179</v>
      </c>
      <c r="J7075">
        <f>SMALL(SimData5000!$C$9:$C$5008,2067)</f>
        <v>0.40790118500626704</v>
      </c>
      <c r="K7075">
        <f>1/(COUNT(SimData5000!$C$9:$C$5008)-1)+$K$7074</f>
        <v>0.41328265653132179</v>
      </c>
    </row>
    <row r="7076" spans="8:11">
      <c r="H7076">
        <f>SMALL(SimData5000!$B$9:$B$5008,2068)</f>
        <v>0.41353720208367734</v>
      </c>
      <c r="I7076">
        <f>1/(COUNT(SimData5000!$B$9:$B$5008)-1)+$I$7075</f>
        <v>0.4134826965393234</v>
      </c>
      <c r="J7076">
        <f>SMALL(SimData5000!$C$9:$C$5008,2068)</f>
        <v>0.40822616949026269</v>
      </c>
      <c r="K7076">
        <f>1/(COUNT(SimData5000!$C$9:$C$5008)-1)+$K$7075</f>
        <v>0.4134826965393234</v>
      </c>
    </row>
    <row r="7077" spans="8:11">
      <c r="H7077">
        <f>SMALL(SimData5000!$B$9:$B$5008,2069)</f>
        <v>0.41374069590925722</v>
      </c>
      <c r="I7077">
        <f>1/(COUNT(SimData5000!$B$9:$B$5008)-1)+$I$7076</f>
        <v>0.41368273654732501</v>
      </c>
      <c r="J7077">
        <f>SMALL(SimData5000!$C$9:$C$5008,2069)</f>
        <v>0.40853438426256616</v>
      </c>
      <c r="K7077">
        <f>1/(COUNT(SimData5000!$C$9:$C$5008)-1)+$K$7076</f>
        <v>0.41368273654732501</v>
      </c>
    </row>
    <row r="7078" spans="8:11">
      <c r="H7078">
        <f>SMALL(SimData5000!$B$9:$B$5008,2070)</f>
        <v>0.41392290096434836</v>
      </c>
      <c r="I7078">
        <f>1/(COUNT(SimData5000!$B$9:$B$5008)-1)+$I$7077</f>
        <v>0.41388277655532663</v>
      </c>
      <c r="J7078">
        <f>SMALL(SimData5000!$C$9:$C$5008,2070)</f>
        <v>0.40862794794247748</v>
      </c>
      <c r="K7078">
        <f>1/(COUNT(SimData5000!$C$9:$C$5008)-1)+$K$7077</f>
        <v>0.41388277655532663</v>
      </c>
    </row>
    <row r="7079" spans="8:11">
      <c r="H7079">
        <f>SMALL(SimData5000!$B$9:$B$5008,2071)</f>
        <v>0.41407557116785909</v>
      </c>
      <c r="I7079">
        <f>1/(COUNT(SimData5000!$B$9:$B$5008)-1)+$I$7078</f>
        <v>0.41408281656332824</v>
      </c>
      <c r="J7079">
        <f>SMALL(SimData5000!$C$9:$C$5008,2071)</f>
        <v>0.40913112848102173</v>
      </c>
      <c r="K7079">
        <f>1/(COUNT(SimData5000!$C$9:$C$5008)-1)+$K$7078</f>
        <v>0.41408281656332824</v>
      </c>
    </row>
    <row r="7080" spans="8:11">
      <c r="H7080">
        <f>SMALL(SimData5000!$B$9:$B$5008,2072)</f>
        <v>0.41424164336678615</v>
      </c>
      <c r="I7080">
        <f>1/(COUNT(SimData5000!$B$9:$B$5008)-1)+$I$7079</f>
        <v>0.41428285657132985</v>
      </c>
      <c r="J7080">
        <f>SMALL(SimData5000!$C$9:$C$5008,2072)</f>
        <v>0.40957319589506369</v>
      </c>
      <c r="K7080">
        <f>1/(COUNT(SimData5000!$C$9:$C$5008)-1)+$K$7079</f>
        <v>0.41428285657132985</v>
      </c>
    </row>
    <row r="7081" spans="8:11">
      <c r="H7081">
        <f>SMALL(SimData5000!$B$9:$B$5008,2073)</f>
        <v>0.41453435658061283</v>
      </c>
      <c r="I7081">
        <f>1/(COUNT(SimData5000!$B$9:$B$5008)-1)+$I$7080</f>
        <v>0.41448289657933146</v>
      </c>
      <c r="J7081">
        <f>SMALL(SimData5000!$C$9:$C$5008,2073)</f>
        <v>0.40973825852051959</v>
      </c>
      <c r="K7081">
        <f>1/(COUNT(SimData5000!$C$9:$C$5008)-1)+$K$7080</f>
        <v>0.41448289657933146</v>
      </c>
    </row>
    <row r="7082" spans="8:11">
      <c r="H7082">
        <f>SMALL(SimData5000!$B$9:$B$5008,2074)</f>
        <v>0.41474491574953892</v>
      </c>
      <c r="I7082">
        <f>1/(COUNT(SimData5000!$B$9:$B$5008)-1)+$I$7081</f>
        <v>0.41468293658733307</v>
      </c>
      <c r="J7082">
        <f>SMALL(SimData5000!$C$9:$C$5008,2074)</f>
        <v>0.41007651775635168</v>
      </c>
      <c r="K7082">
        <f>1/(COUNT(SimData5000!$C$9:$C$5008)-1)+$K$7081</f>
        <v>0.41468293658733307</v>
      </c>
    </row>
    <row r="7083" spans="8:11">
      <c r="H7083">
        <f>SMALL(SimData5000!$B$9:$B$5008,2075)</f>
        <v>0.41487463430442723</v>
      </c>
      <c r="I7083">
        <f>1/(COUNT(SimData5000!$B$9:$B$5008)-1)+$I$7082</f>
        <v>0.41488297659533468</v>
      </c>
      <c r="J7083">
        <f>SMALL(SimData5000!$C$9:$C$5008,2075)</f>
        <v>0.41048683049939427</v>
      </c>
      <c r="K7083">
        <f>1/(COUNT(SimData5000!$C$9:$C$5008)-1)+$K$7082</f>
        <v>0.41488297659533468</v>
      </c>
    </row>
    <row r="7084" spans="8:11">
      <c r="H7084">
        <f>SMALL(SimData5000!$B$9:$B$5008,2076)</f>
        <v>0.41503535619420828</v>
      </c>
      <c r="I7084">
        <f>1/(COUNT(SimData5000!$B$9:$B$5008)-1)+$I$7083</f>
        <v>0.4150830166033363</v>
      </c>
      <c r="J7084">
        <f>SMALL(SimData5000!$C$9:$C$5008,2076)</f>
        <v>0.41118752448164742</v>
      </c>
      <c r="K7084">
        <f>1/(COUNT(SimData5000!$C$9:$C$5008)-1)+$K$7083</f>
        <v>0.4150830166033363</v>
      </c>
    </row>
    <row r="7085" spans="8:11">
      <c r="H7085">
        <f>SMALL(SimData5000!$B$9:$B$5008,2077)</f>
        <v>0.41535826882719018</v>
      </c>
      <c r="I7085">
        <f>1/(COUNT(SimData5000!$B$9:$B$5008)-1)+$I$7084</f>
        <v>0.41528305661133791</v>
      </c>
      <c r="J7085">
        <f>SMALL(SimData5000!$C$9:$C$5008,2077)</f>
        <v>0.41138351651443372</v>
      </c>
      <c r="K7085">
        <f>1/(COUNT(SimData5000!$C$9:$C$5008)-1)+$K$7084</f>
        <v>0.41528305661133791</v>
      </c>
    </row>
    <row r="7086" spans="8:11">
      <c r="H7086">
        <f>SMALL(SimData5000!$B$9:$B$5008,2078)</f>
        <v>0.41555554024576102</v>
      </c>
      <c r="I7086">
        <f>1/(COUNT(SimData5000!$B$9:$B$5008)-1)+$I$7085</f>
        <v>0.41548309661933952</v>
      </c>
      <c r="J7086">
        <f>SMALL(SimData5000!$C$9:$C$5008,2078)</f>
        <v>0.41154959702816996</v>
      </c>
      <c r="K7086">
        <f>1/(COUNT(SimData5000!$C$9:$C$5008)-1)+$K$7085</f>
        <v>0.41548309661933952</v>
      </c>
    </row>
    <row r="7087" spans="8:11">
      <c r="H7087">
        <f>SMALL(SimData5000!$B$9:$B$5008,2079)</f>
        <v>0.41561666423734667</v>
      </c>
      <c r="I7087">
        <f>1/(COUNT(SimData5000!$B$9:$B$5008)-1)+$I$7086</f>
        <v>0.41568313662734113</v>
      </c>
      <c r="J7087">
        <f>SMALL(SimData5000!$C$9:$C$5008,2079)</f>
        <v>0.41155327067463077</v>
      </c>
      <c r="K7087">
        <f>1/(COUNT(SimData5000!$C$9:$C$5008)-1)+$K$7086</f>
        <v>0.41568313662734113</v>
      </c>
    </row>
    <row r="7088" spans="8:11">
      <c r="H7088">
        <f>SMALL(SimData5000!$B$9:$B$5008,2080)</f>
        <v>0.41581552312379133</v>
      </c>
      <c r="I7088">
        <f>1/(COUNT(SimData5000!$B$9:$B$5008)-1)+$I$7087</f>
        <v>0.41588317663534274</v>
      </c>
      <c r="J7088">
        <f>SMALL(SimData5000!$C$9:$C$5008,2080)</f>
        <v>0.41162904933116806</v>
      </c>
      <c r="K7088">
        <f>1/(COUNT(SimData5000!$C$9:$C$5008)-1)+$K$7087</f>
        <v>0.41588317663534274</v>
      </c>
    </row>
    <row r="7089" spans="8:11">
      <c r="H7089">
        <f>SMALL(SimData5000!$B$9:$B$5008,2081)</f>
        <v>0.41600731803062546</v>
      </c>
      <c r="I7089">
        <f>1/(COUNT(SimData5000!$B$9:$B$5008)-1)+$I$7088</f>
        <v>0.41608321664334436</v>
      </c>
      <c r="J7089">
        <f>SMALL(SimData5000!$C$9:$C$5008,2081)</f>
        <v>0.41176942124639027</v>
      </c>
      <c r="K7089">
        <f>1/(COUNT(SimData5000!$C$9:$C$5008)-1)+$K$7088</f>
        <v>0.41608321664334436</v>
      </c>
    </row>
    <row r="7090" spans="8:11">
      <c r="H7090">
        <f>SMALL(SimData5000!$B$9:$B$5008,2082)</f>
        <v>0.41631697617567071</v>
      </c>
      <c r="I7090">
        <f>1/(COUNT(SimData5000!$B$9:$B$5008)-1)+$I$7089</f>
        <v>0.41628325665134597</v>
      </c>
      <c r="J7090">
        <f>SMALL(SimData5000!$C$9:$C$5008,2082)</f>
        <v>0.41188943344423024</v>
      </c>
      <c r="K7090">
        <f>1/(COUNT(SimData5000!$C$9:$C$5008)-1)+$K$7089</f>
        <v>0.41628325665134597</v>
      </c>
    </row>
    <row r="7091" spans="8:11">
      <c r="H7091">
        <f>SMALL(SimData5000!$B$9:$B$5008,2083)</f>
        <v>0.41653917900480775</v>
      </c>
      <c r="I7091">
        <f>1/(COUNT(SimData5000!$B$9:$B$5008)-1)+$I$7090</f>
        <v>0.41648329665934758</v>
      </c>
      <c r="J7091">
        <f>SMALL(SimData5000!$C$9:$C$5008,2083)</f>
        <v>0.41226920289591362</v>
      </c>
      <c r="K7091">
        <f>1/(COUNT(SimData5000!$C$9:$C$5008)-1)+$K$7090</f>
        <v>0.41648329665934758</v>
      </c>
    </row>
    <row r="7092" spans="8:11">
      <c r="H7092">
        <f>SMALL(SimData5000!$B$9:$B$5008,2084)</f>
        <v>0.41674064054781118</v>
      </c>
      <c r="I7092">
        <f>1/(COUNT(SimData5000!$B$9:$B$5008)-1)+$I$7091</f>
        <v>0.41668333666734919</v>
      </c>
      <c r="J7092">
        <f>SMALL(SimData5000!$C$9:$C$5008,2084)</f>
        <v>0.41242056726241572</v>
      </c>
      <c r="K7092">
        <f>1/(COUNT(SimData5000!$C$9:$C$5008)-1)+$K$7091</f>
        <v>0.41668333666734919</v>
      </c>
    </row>
    <row r="7093" spans="8:11">
      <c r="H7093">
        <f>SMALL(SimData5000!$B$9:$B$5008,2085)</f>
        <v>0.416876273573068</v>
      </c>
      <c r="I7093">
        <f>1/(COUNT(SimData5000!$B$9:$B$5008)-1)+$I$7092</f>
        <v>0.4168833766753508</v>
      </c>
      <c r="J7093">
        <f>SMALL(SimData5000!$C$9:$C$5008,2085)</f>
        <v>0.41244319979432476</v>
      </c>
      <c r="K7093">
        <f>1/(COUNT(SimData5000!$C$9:$C$5008)-1)+$K$7092</f>
        <v>0.4168833766753508</v>
      </c>
    </row>
    <row r="7094" spans="8:11">
      <c r="H7094">
        <f>SMALL(SimData5000!$B$9:$B$5008,2086)</f>
        <v>0.41702061192458978</v>
      </c>
      <c r="I7094">
        <f>1/(COUNT(SimData5000!$B$9:$B$5008)-1)+$I$7093</f>
        <v>0.41708341668335241</v>
      </c>
      <c r="J7094">
        <f>SMALL(SimData5000!$C$9:$C$5008,2086)</f>
        <v>0.41246884601787315</v>
      </c>
      <c r="K7094">
        <f>1/(COUNT(SimData5000!$C$9:$C$5008)-1)+$K$7093</f>
        <v>0.41708341668335241</v>
      </c>
    </row>
    <row r="7095" spans="8:11">
      <c r="H7095">
        <f>SMALL(SimData5000!$B$9:$B$5008,2087)</f>
        <v>0.41733110812165103</v>
      </c>
      <c r="I7095">
        <f>1/(COUNT(SimData5000!$B$9:$B$5008)-1)+$I$7094</f>
        <v>0.41728345669135403</v>
      </c>
      <c r="J7095">
        <f>SMALL(SimData5000!$C$9:$C$5008,2087)</f>
        <v>0.41272415482399083</v>
      </c>
      <c r="K7095">
        <f>1/(COUNT(SimData5000!$C$9:$C$5008)-1)+$K$7094</f>
        <v>0.41728345669135403</v>
      </c>
    </row>
    <row r="7096" spans="8:11">
      <c r="H7096">
        <f>SMALL(SimData5000!$B$9:$B$5008,2088)</f>
        <v>0.41751343361845084</v>
      </c>
      <c r="I7096">
        <f>1/(COUNT(SimData5000!$B$9:$B$5008)-1)+$I$7095</f>
        <v>0.41748349669935564</v>
      </c>
      <c r="J7096">
        <f>SMALL(SimData5000!$C$9:$C$5008,2088)</f>
        <v>0.41300603279250936</v>
      </c>
      <c r="K7096">
        <f>1/(COUNT(SimData5000!$C$9:$C$5008)-1)+$K$7095</f>
        <v>0.41748349669935564</v>
      </c>
    </row>
    <row r="7097" spans="8:11">
      <c r="H7097">
        <f>SMALL(SimData5000!$B$9:$B$5008,2089)</f>
        <v>0.41764693582394319</v>
      </c>
      <c r="I7097">
        <f>1/(COUNT(SimData5000!$B$9:$B$5008)-1)+$I$7096</f>
        <v>0.41768353670735725</v>
      </c>
      <c r="J7097">
        <f>SMALL(SimData5000!$C$9:$C$5008,2089)</f>
        <v>0.41327215616729518</v>
      </c>
      <c r="K7097">
        <f>1/(COUNT(SimData5000!$C$9:$C$5008)-1)+$K$7096</f>
        <v>0.41768353670735725</v>
      </c>
    </row>
    <row r="7098" spans="8:11">
      <c r="H7098">
        <f>SMALL(SimData5000!$B$9:$B$5008,2090)</f>
        <v>0.41792040247705775</v>
      </c>
      <c r="I7098">
        <f>1/(COUNT(SimData5000!$B$9:$B$5008)-1)+$I$7097</f>
        <v>0.41788357671535886</v>
      </c>
      <c r="J7098">
        <f>SMALL(SimData5000!$C$9:$C$5008,2090)</f>
        <v>0.41354141883675766</v>
      </c>
      <c r="K7098">
        <f>1/(COUNT(SimData5000!$C$9:$C$5008)-1)+$K$7097</f>
        <v>0.41788357671535886</v>
      </c>
    </row>
    <row r="7099" spans="8:11">
      <c r="H7099">
        <f>SMALL(SimData5000!$B$9:$B$5008,2091)</f>
        <v>0.41805805031714455</v>
      </c>
      <c r="I7099">
        <f>1/(COUNT(SimData5000!$B$9:$B$5008)-1)+$I$7098</f>
        <v>0.41808361672336047</v>
      </c>
      <c r="J7099">
        <f>SMALL(SimData5000!$C$9:$C$5008,2091)</f>
        <v>0.41400734015223861</v>
      </c>
      <c r="K7099">
        <f>1/(COUNT(SimData5000!$C$9:$C$5008)-1)+$K$7098</f>
        <v>0.41808361672336047</v>
      </c>
    </row>
    <row r="7100" spans="8:11">
      <c r="H7100">
        <f>SMALL(SimData5000!$B$9:$B$5008,2092)</f>
        <v>0.41832155600369941</v>
      </c>
      <c r="I7100">
        <f>1/(COUNT(SimData5000!$B$9:$B$5008)-1)+$I$7099</f>
        <v>0.41828365673136209</v>
      </c>
      <c r="J7100">
        <f>SMALL(SimData5000!$C$9:$C$5008,2092)</f>
        <v>0.41421934950722061</v>
      </c>
      <c r="K7100">
        <f>1/(COUNT(SimData5000!$C$9:$C$5008)-1)+$K$7099</f>
        <v>0.41828365673136209</v>
      </c>
    </row>
    <row r="7101" spans="8:11">
      <c r="H7101">
        <f>SMALL(SimData5000!$B$9:$B$5008,2093)</f>
        <v>0.41845289017158854</v>
      </c>
      <c r="I7101">
        <f>1/(COUNT(SimData5000!$B$9:$B$5008)-1)+$I$7100</f>
        <v>0.4184836967393637</v>
      </c>
      <c r="J7101">
        <f>SMALL(SimData5000!$C$9:$C$5008,2093)</f>
        <v>0.41461381007320597</v>
      </c>
      <c r="K7101">
        <f>1/(COUNT(SimData5000!$C$9:$C$5008)-1)+$K$7100</f>
        <v>0.4184836967393637</v>
      </c>
    </row>
    <row r="7102" spans="8:11">
      <c r="H7102">
        <f>SMALL(SimData5000!$B$9:$B$5008,2094)</f>
        <v>0.41871648797609762</v>
      </c>
      <c r="I7102">
        <f>1/(COUNT(SimData5000!$B$9:$B$5008)-1)+$I$7101</f>
        <v>0.41868373674736531</v>
      </c>
      <c r="J7102">
        <f>SMALL(SimData5000!$C$9:$C$5008,2094)</f>
        <v>0.41483287985465722</v>
      </c>
      <c r="K7102">
        <f>1/(COUNT(SimData5000!$C$9:$C$5008)-1)+$K$7101</f>
        <v>0.41868373674736531</v>
      </c>
    </row>
    <row r="7103" spans="8:11">
      <c r="H7103">
        <f>SMALL(SimData5000!$B$9:$B$5008,2095)</f>
        <v>0.4189608798527068</v>
      </c>
      <c r="I7103">
        <f>1/(COUNT(SimData5000!$B$9:$B$5008)-1)+$I$7102</f>
        <v>0.41888377675536692</v>
      </c>
      <c r="J7103">
        <f>SMALL(SimData5000!$C$9:$C$5008,2095)</f>
        <v>0.41489820587139548</v>
      </c>
      <c r="K7103">
        <f>1/(COUNT(SimData5000!$C$9:$C$5008)-1)+$K$7102</f>
        <v>0.41888377675536692</v>
      </c>
    </row>
    <row r="7104" spans="8:11">
      <c r="H7104">
        <f>SMALL(SimData5000!$B$9:$B$5008,2096)</f>
        <v>0.41908043701804254</v>
      </c>
      <c r="I7104">
        <f>1/(COUNT(SimData5000!$B$9:$B$5008)-1)+$I$7103</f>
        <v>0.41908381676336853</v>
      </c>
      <c r="J7104">
        <f>SMALL(SimData5000!$C$9:$C$5008,2096)</f>
        <v>0.41517303467389866</v>
      </c>
      <c r="K7104">
        <f>1/(COUNT(SimData5000!$C$9:$C$5008)-1)+$K$7103</f>
        <v>0.41908381676336853</v>
      </c>
    </row>
    <row r="7105" spans="8:11">
      <c r="H7105">
        <f>SMALL(SimData5000!$B$9:$B$5008,2097)</f>
        <v>0.4193710004417624</v>
      </c>
      <c r="I7105">
        <f>1/(COUNT(SimData5000!$B$9:$B$5008)-1)+$I$7104</f>
        <v>0.41928385677137014</v>
      </c>
      <c r="J7105">
        <f>SMALL(SimData5000!$C$9:$C$5008,2097)</f>
        <v>0.41526893096306594</v>
      </c>
      <c r="K7105">
        <f>1/(COUNT(SimData5000!$C$9:$C$5008)-1)+$K$7104</f>
        <v>0.41928385677137014</v>
      </c>
    </row>
    <row r="7106" spans="8:11">
      <c r="H7106">
        <f>SMALL(SimData5000!$B$9:$B$5008,2098)</f>
        <v>0.419501953075198</v>
      </c>
      <c r="I7106">
        <f>1/(COUNT(SimData5000!$B$9:$B$5008)-1)+$I$7105</f>
        <v>0.41948389677937176</v>
      </c>
      <c r="J7106">
        <f>SMALL(SimData5000!$C$9:$C$5008,2098)</f>
        <v>0.41567818363455444</v>
      </c>
      <c r="K7106">
        <f>1/(COUNT(SimData5000!$C$9:$C$5008)-1)+$K$7105</f>
        <v>0.41948389677937176</v>
      </c>
    </row>
    <row r="7107" spans="8:11">
      <c r="H7107">
        <f>SMALL(SimData5000!$B$9:$B$5008,2099)</f>
        <v>0.41964830621230614</v>
      </c>
      <c r="I7107">
        <f>1/(COUNT(SimData5000!$B$9:$B$5008)-1)+$I$7106</f>
        <v>0.41968393678737337</v>
      </c>
      <c r="J7107">
        <f>SMALL(SimData5000!$C$9:$C$5008,2099)</f>
        <v>0.41583908946904558</v>
      </c>
      <c r="K7107">
        <f>1/(COUNT(SimData5000!$C$9:$C$5008)-1)+$K$7106</f>
        <v>0.41968393678737337</v>
      </c>
    </row>
    <row r="7108" spans="8:11">
      <c r="H7108">
        <f>SMALL(SimData5000!$B$9:$B$5008,2100)</f>
        <v>0.41980397780598233</v>
      </c>
      <c r="I7108">
        <f>1/(COUNT(SimData5000!$B$9:$B$5008)-1)+$I$7107</f>
        <v>0.41988397679537498</v>
      </c>
      <c r="J7108">
        <f>SMALL(SimData5000!$C$9:$C$5008,2100)</f>
        <v>0.41609333872840182</v>
      </c>
      <c r="K7108">
        <f>1/(COUNT(SimData5000!$C$9:$C$5008)-1)+$K$7107</f>
        <v>0.41988397679537498</v>
      </c>
    </row>
    <row r="7109" spans="8:11">
      <c r="H7109">
        <f>SMALL(SimData5000!$B$9:$B$5008,2101)</f>
        <v>0.42007947747741808</v>
      </c>
      <c r="I7109">
        <f>1/(COUNT(SimData5000!$B$9:$B$5008)-1)+$I$7108</f>
        <v>0.42008401680337659</v>
      </c>
      <c r="J7109">
        <f>SMALL(SimData5000!$C$9:$C$5008,2101)</f>
        <v>0.41629538849429082</v>
      </c>
      <c r="K7109">
        <f>1/(COUNT(SimData5000!$C$9:$C$5008)-1)+$K$7108</f>
        <v>0.42008401680337659</v>
      </c>
    </row>
    <row r="7110" spans="8:11">
      <c r="H7110">
        <f>SMALL(SimData5000!$B$9:$B$5008,2102)</f>
        <v>0.42025664301949012</v>
      </c>
      <c r="I7110">
        <f>1/(COUNT(SimData5000!$B$9:$B$5008)-1)+$I$7109</f>
        <v>0.4202840568113782</v>
      </c>
      <c r="J7110">
        <f>SMALL(SimData5000!$C$9:$C$5008,2102)</f>
        <v>0.41638677515857125</v>
      </c>
      <c r="K7110">
        <f>1/(COUNT(SimData5000!$C$9:$C$5008)-1)+$K$7109</f>
        <v>0.4202840568113782</v>
      </c>
    </row>
    <row r="7111" spans="8:11">
      <c r="H7111">
        <f>SMALL(SimData5000!$B$9:$B$5008,2103)</f>
        <v>0.42055705722141012</v>
      </c>
      <c r="I7111">
        <f>1/(COUNT(SimData5000!$B$9:$B$5008)-1)+$I$7110</f>
        <v>0.42048409681937982</v>
      </c>
      <c r="J7111">
        <f>SMALL(SimData5000!$C$9:$C$5008,2103)</f>
        <v>0.41657988087717968</v>
      </c>
      <c r="K7111">
        <f>1/(COUNT(SimData5000!$C$9:$C$5008)-1)+$K$7110</f>
        <v>0.42048409681937982</v>
      </c>
    </row>
    <row r="7112" spans="8:11">
      <c r="H7112">
        <f>SMALL(SimData5000!$B$9:$B$5008,2104)</f>
        <v>0.42068158004197331</v>
      </c>
      <c r="I7112">
        <f>1/(COUNT(SimData5000!$B$9:$B$5008)-1)+$I$7111</f>
        <v>0.42068413682738143</v>
      </c>
      <c r="J7112">
        <f>SMALL(SimData5000!$C$9:$C$5008,2104)</f>
        <v>0.41689034285536763</v>
      </c>
      <c r="K7112">
        <f>1/(COUNT(SimData5000!$C$9:$C$5008)-1)+$K$7111</f>
        <v>0.42068413682738143</v>
      </c>
    </row>
    <row r="7113" spans="8:11">
      <c r="H7113">
        <f>SMALL(SimData5000!$B$9:$B$5008,2105)</f>
        <v>0.42087968725694336</v>
      </c>
      <c r="I7113">
        <f>1/(COUNT(SimData5000!$B$9:$B$5008)-1)+$I$7112</f>
        <v>0.42088417683538304</v>
      </c>
      <c r="J7113">
        <f>SMALL(SimData5000!$C$9:$C$5008,2105)</f>
        <v>0.41693591056355217</v>
      </c>
      <c r="K7113">
        <f>1/(COUNT(SimData5000!$C$9:$C$5008)-1)+$K$7112</f>
        <v>0.42088417683538304</v>
      </c>
    </row>
    <row r="7114" spans="8:11">
      <c r="H7114">
        <f>SMALL(SimData5000!$B$9:$B$5008,2106)</f>
        <v>0.42100523343565993</v>
      </c>
      <c r="I7114">
        <f>1/(COUNT(SimData5000!$B$9:$B$5008)-1)+$I$7113</f>
        <v>0.42108421684338465</v>
      </c>
      <c r="J7114">
        <f>SMALL(SimData5000!$C$9:$C$5008,2106)</f>
        <v>0.41742944062298193</v>
      </c>
      <c r="K7114">
        <f>1/(COUNT(SimData5000!$C$9:$C$5008)-1)+$K$7113</f>
        <v>0.42108421684338465</v>
      </c>
    </row>
    <row r="7115" spans="8:11">
      <c r="H7115">
        <f>SMALL(SimData5000!$B$9:$B$5008,2107)</f>
        <v>0.42122511847471467</v>
      </c>
      <c r="I7115">
        <f>1/(COUNT(SimData5000!$B$9:$B$5008)-1)+$I$7114</f>
        <v>0.42128425685138626</v>
      </c>
      <c r="J7115">
        <f>SMALL(SimData5000!$C$9:$C$5008,2107)</f>
        <v>0.41755267899679893</v>
      </c>
      <c r="K7115">
        <f>1/(COUNT(SimData5000!$C$9:$C$5008)-1)+$K$7114</f>
        <v>0.42128425685138626</v>
      </c>
    </row>
    <row r="7116" spans="8:11">
      <c r="H7116">
        <f>SMALL(SimData5000!$B$9:$B$5008,2108)</f>
        <v>0.42140799075951979</v>
      </c>
      <c r="I7116">
        <f>1/(COUNT(SimData5000!$B$9:$B$5008)-1)+$I$7115</f>
        <v>0.42148429685938787</v>
      </c>
      <c r="J7116">
        <f>SMALL(SimData5000!$C$9:$C$5008,2108)</f>
        <v>0.41758156874948327</v>
      </c>
      <c r="K7116">
        <f>1/(COUNT(SimData5000!$C$9:$C$5008)-1)+$K$7115</f>
        <v>0.42148429685938787</v>
      </c>
    </row>
    <row r="7117" spans="8:11">
      <c r="H7117">
        <f>SMALL(SimData5000!$B$9:$B$5008,2109)</f>
        <v>0.42165273078117815</v>
      </c>
      <c r="I7117">
        <f>1/(COUNT(SimData5000!$B$9:$B$5008)-1)+$I$7116</f>
        <v>0.42168433686738949</v>
      </c>
      <c r="J7117">
        <f>SMALL(SimData5000!$C$9:$C$5008,2109)</f>
        <v>0.41819167787343758</v>
      </c>
      <c r="K7117">
        <f>1/(COUNT(SimData5000!$C$9:$C$5008)-1)+$K$7116</f>
        <v>0.42168433686738949</v>
      </c>
    </row>
    <row r="7118" spans="8:11">
      <c r="H7118">
        <f>SMALL(SimData5000!$B$9:$B$5008,2110)</f>
        <v>0.42183490599171136</v>
      </c>
      <c r="I7118">
        <f>1/(COUNT(SimData5000!$B$9:$B$5008)-1)+$I$7117</f>
        <v>0.4218843768753911</v>
      </c>
      <c r="J7118">
        <f>SMALL(SimData5000!$C$9:$C$5008,2110)</f>
        <v>0.41821345713105984</v>
      </c>
      <c r="K7118">
        <f>1/(COUNT(SimData5000!$C$9:$C$5008)-1)+$K$7117</f>
        <v>0.4218843768753911</v>
      </c>
    </row>
    <row r="7119" spans="8:11">
      <c r="H7119">
        <f>SMALL(SimData5000!$B$9:$B$5008,2111)</f>
        <v>0.42215673975780527</v>
      </c>
      <c r="I7119">
        <f>1/(COUNT(SimData5000!$B$9:$B$5008)-1)+$I$7118</f>
        <v>0.42208441688339271</v>
      </c>
      <c r="J7119">
        <f>SMALL(SimData5000!$C$9:$C$5008,2111)</f>
        <v>0.41824258455562813</v>
      </c>
      <c r="K7119">
        <f>1/(COUNT(SimData5000!$C$9:$C$5008)-1)+$K$7118</f>
        <v>0.42208441688339271</v>
      </c>
    </row>
    <row r="7120" spans="8:11">
      <c r="H7120">
        <f>SMALL(SimData5000!$B$9:$B$5008,2112)</f>
        <v>0.42228192009811338</v>
      </c>
      <c r="I7120">
        <f>1/(COUNT(SimData5000!$B$9:$B$5008)-1)+$I$7119</f>
        <v>0.42228445689139432</v>
      </c>
      <c r="J7120">
        <f>SMALL(SimData5000!$C$9:$C$5008,2112)</f>
        <v>0.41833667698665522</v>
      </c>
      <c r="K7120">
        <f>1/(COUNT(SimData5000!$C$9:$C$5008)-1)+$K$7119</f>
        <v>0.42228445689139432</v>
      </c>
    </row>
    <row r="7121" spans="8:11">
      <c r="H7121">
        <f>SMALL(SimData5000!$B$9:$B$5008,2113)</f>
        <v>0.42246063680543111</v>
      </c>
      <c r="I7121">
        <f>1/(COUNT(SimData5000!$B$9:$B$5008)-1)+$I$7120</f>
        <v>0.42248449689939593</v>
      </c>
      <c r="J7121">
        <f>SMALL(SimData5000!$C$9:$C$5008,2113)</f>
        <v>0.41861546029758756</v>
      </c>
      <c r="K7121">
        <f>1/(COUNT(SimData5000!$C$9:$C$5008)-1)+$K$7120</f>
        <v>0.42248449689939593</v>
      </c>
    </row>
    <row r="7122" spans="8:11">
      <c r="H7122">
        <f>SMALL(SimData5000!$B$9:$B$5008,2114)</f>
        <v>0.42273011505639413</v>
      </c>
      <c r="I7122">
        <f>1/(COUNT(SimData5000!$B$9:$B$5008)-1)+$I$7121</f>
        <v>0.42268453690739755</v>
      </c>
      <c r="J7122">
        <f>SMALL(SimData5000!$C$9:$C$5008,2114)</f>
        <v>0.41906723135980428</v>
      </c>
      <c r="K7122">
        <f>1/(COUNT(SimData5000!$C$9:$C$5008)-1)+$K$7121</f>
        <v>0.42268453690739755</v>
      </c>
    </row>
    <row r="7123" spans="8:11">
      <c r="H7123">
        <f>SMALL(SimData5000!$B$9:$B$5008,2115)</f>
        <v>0.42296101068886016</v>
      </c>
      <c r="I7123">
        <f>1/(COUNT(SimData5000!$B$9:$B$5008)-1)+$I$7122</f>
        <v>0.42288457691539916</v>
      </c>
      <c r="J7123">
        <f>SMALL(SimData5000!$C$9:$C$5008,2115)</f>
        <v>0.41915224767399195</v>
      </c>
      <c r="K7123">
        <f>1/(COUNT(SimData5000!$C$9:$C$5008)-1)+$K$7122</f>
        <v>0.42288457691539916</v>
      </c>
    </row>
    <row r="7124" spans="8:11">
      <c r="H7124">
        <f>SMALL(SimData5000!$B$9:$B$5008,2116)</f>
        <v>0.42310519890214898</v>
      </c>
      <c r="I7124">
        <f>1/(COUNT(SimData5000!$B$9:$B$5008)-1)+$I$7123</f>
        <v>0.42308461692340077</v>
      </c>
      <c r="J7124">
        <f>SMALL(SimData5000!$C$9:$C$5008,2116)</f>
        <v>0.41923637167110428</v>
      </c>
      <c r="K7124">
        <f>1/(COUNT(SimData5000!$C$9:$C$5008)-1)+$K$7123</f>
        <v>0.42308461692340077</v>
      </c>
    </row>
    <row r="7125" spans="8:11">
      <c r="H7125">
        <f>SMALL(SimData5000!$B$9:$B$5008,2117)</f>
        <v>0.42333083967378615</v>
      </c>
      <c r="I7125">
        <f>1/(COUNT(SimData5000!$B$9:$B$5008)-1)+$I$7124</f>
        <v>0.42328465693140238</v>
      </c>
      <c r="J7125">
        <f>SMALL(SimData5000!$C$9:$C$5008,2117)</f>
        <v>0.41952599081923836</v>
      </c>
      <c r="K7125">
        <f>1/(COUNT(SimData5000!$C$9:$C$5008)-1)+$K$7124</f>
        <v>0.42328465693140238</v>
      </c>
    </row>
    <row r="7126" spans="8:11">
      <c r="H7126">
        <f>SMALL(SimData5000!$B$9:$B$5008,2118)</f>
        <v>0.42357820578184402</v>
      </c>
      <c r="I7126">
        <f>1/(COUNT(SimData5000!$B$9:$B$5008)-1)+$I$7125</f>
        <v>0.42348469693940399</v>
      </c>
      <c r="J7126">
        <f>SMALL(SimData5000!$C$9:$C$5008,2118)</f>
        <v>0.41959248144030425</v>
      </c>
      <c r="K7126">
        <f>1/(COUNT(SimData5000!$C$9:$C$5008)-1)+$K$7125</f>
        <v>0.42348469693940399</v>
      </c>
    </row>
    <row r="7127" spans="8:11">
      <c r="H7127">
        <f>SMALL(SimData5000!$B$9:$B$5008,2119)</f>
        <v>0.42373492498885251</v>
      </c>
      <c r="I7127">
        <f>1/(COUNT(SimData5000!$B$9:$B$5008)-1)+$I$7126</f>
        <v>0.4236847369474056</v>
      </c>
      <c r="J7127">
        <f>SMALL(SimData5000!$C$9:$C$5008,2119)</f>
        <v>0.41975814696797897</v>
      </c>
      <c r="K7127">
        <f>1/(COUNT(SimData5000!$C$9:$C$5008)-1)+$K$7126</f>
        <v>0.4236847369474056</v>
      </c>
    </row>
    <row r="7128" spans="8:11">
      <c r="H7128">
        <f>SMALL(SimData5000!$B$9:$B$5008,2120)</f>
        <v>0.42383833908164836</v>
      </c>
      <c r="I7128">
        <f>1/(COUNT(SimData5000!$B$9:$B$5008)-1)+$I$7127</f>
        <v>0.42388477695540722</v>
      </c>
      <c r="J7128">
        <f>SMALL(SimData5000!$C$9:$C$5008,2120)</f>
        <v>0.41988770829630084</v>
      </c>
      <c r="K7128">
        <f>1/(COUNT(SimData5000!$C$9:$C$5008)-1)+$K$7127</f>
        <v>0.42388477695540722</v>
      </c>
    </row>
    <row r="7129" spans="8:11">
      <c r="H7129">
        <f>SMALL(SimData5000!$B$9:$B$5008,2121)</f>
        <v>0.4241541952765906</v>
      </c>
      <c r="I7129">
        <f>1/(COUNT(SimData5000!$B$9:$B$5008)-1)+$I$7128</f>
        <v>0.42408481696340883</v>
      </c>
      <c r="J7129">
        <f>SMALL(SimData5000!$C$9:$C$5008,2121)</f>
        <v>0.41989515826571733</v>
      </c>
      <c r="K7129">
        <f>1/(COUNT(SimData5000!$C$9:$C$5008)-1)+$K$7128</f>
        <v>0.42408481696340883</v>
      </c>
    </row>
    <row r="7130" spans="8:11">
      <c r="H7130">
        <f>SMALL(SimData5000!$B$9:$B$5008,2122)</f>
        <v>0.4243923220558074</v>
      </c>
      <c r="I7130">
        <f>1/(COUNT(SimData5000!$B$9:$B$5008)-1)+$I$7129</f>
        <v>0.42428485697141044</v>
      </c>
      <c r="J7130">
        <f>SMALL(SimData5000!$C$9:$C$5008,2122)</f>
        <v>0.41992389367078431</v>
      </c>
      <c r="K7130">
        <f>1/(COUNT(SimData5000!$C$9:$C$5008)-1)+$K$7129</f>
        <v>0.42428485697141044</v>
      </c>
    </row>
    <row r="7131" spans="8:11">
      <c r="H7131">
        <f>SMALL(SimData5000!$B$9:$B$5008,2123)</f>
        <v>0.42447793329844208</v>
      </c>
      <c r="I7131">
        <f>1/(COUNT(SimData5000!$B$9:$B$5008)-1)+$I$7130</f>
        <v>0.42448489697941205</v>
      </c>
      <c r="J7131">
        <f>SMALL(SimData5000!$C$9:$C$5008,2123)</f>
        <v>0.42011680360610626</v>
      </c>
      <c r="K7131">
        <f>1/(COUNT(SimData5000!$C$9:$C$5008)-1)+$K$7130</f>
        <v>0.42448489697941205</v>
      </c>
    </row>
    <row r="7132" spans="8:11">
      <c r="H7132">
        <f>SMALL(SimData5000!$B$9:$B$5008,2124)</f>
        <v>0.42469270036395002</v>
      </c>
      <c r="I7132">
        <f>1/(COUNT(SimData5000!$B$9:$B$5008)-1)+$I$7131</f>
        <v>0.42468493698741366</v>
      </c>
      <c r="J7132">
        <f>SMALL(SimData5000!$C$9:$C$5008,2124)</f>
        <v>0.4205525239385679</v>
      </c>
      <c r="K7132">
        <f>1/(COUNT(SimData5000!$C$9:$C$5008)-1)+$K$7131</f>
        <v>0.42468493698741366</v>
      </c>
    </row>
    <row r="7133" spans="8:11">
      <c r="H7133">
        <f>SMALL(SimData5000!$B$9:$B$5008,2125)</f>
        <v>0.42486500527236259</v>
      </c>
      <c r="I7133">
        <f>1/(COUNT(SimData5000!$B$9:$B$5008)-1)+$I$7132</f>
        <v>0.42488497699541528</v>
      </c>
      <c r="J7133">
        <f>SMALL(SimData5000!$C$9:$C$5008,2125)</f>
        <v>0.42071196769393282</v>
      </c>
      <c r="K7133">
        <f>1/(COUNT(SimData5000!$C$9:$C$5008)-1)+$K$7132</f>
        <v>0.42488497699541528</v>
      </c>
    </row>
    <row r="7134" spans="8:11">
      <c r="H7134">
        <f>SMALL(SimData5000!$B$9:$B$5008,2126)</f>
        <v>0.42518293211510938</v>
      </c>
      <c r="I7134">
        <f>1/(COUNT(SimData5000!$B$9:$B$5008)-1)+$I$7133</f>
        <v>0.42508501700341689</v>
      </c>
      <c r="J7134">
        <f>SMALL(SimData5000!$C$9:$C$5008,2126)</f>
        <v>0.42099061199587595</v>
      </c>
      <c r="K7134">
        <f>1/(COUNT(SimData5000!$C$9:$C$5008)-1)+$K$7133</f>
        <v>0.42508501700341689</v>
      </c>
    </row>
    <row r="7135" spans="8:11">
      <c r="H7135">
        <f>SMALL(SimData5000!$B$9:$B$5008,2127)</f>
        <v>0.42520340880774976</v>
      </c>
      <c r="I7135">
        <f>1/(COUNT(SimData5000!$B$9:$B$5008)-1)+$I$7134</f>
        <v>0.4252850570114185</v>
      </c>
      <c r="J7135">
        <f>SMALL(SimData5000!$C$9:$C$5008,2127)</f>
        <v>0.42128584912097722</v>
      </c>
      <c r="K7135">
        <f>1/(COUNT(SimData5000!$C$9:$C$5008)-1)+$K$7134</f>
        <v>0.4252850570114185</v>
      </c>
    </row>
    <row r="7136" spans="8:11">
      <c r="H7136">
        <f>SMALL(SimData5000!$B$9:$B$5008,2128)</f>
        <v>0.42545528539066563</v>
      </c>
      <c r="I7136">
        <f>1/(COUNT(SimData5000!$B$9:$B$5008)-1)+$I$7135</f>
        <v>0.42548509701942011</v>
      </c>
      <c r="J7136">
        <f>SMALL(SimData5000!$C$9:$C$5008,2128)</f>
        <v>0.42145142781828326</v>
      </c>
      <c r="K7136">
        <f>1/(COUNT(SimData5000!$C$9:$C$5008)-1)+$K$7135</f>
        <v>0.42548509701942011</v>
      </c>
    </row>
    <row r="7137" spans="8:11">
      <c r="H7137">
        <f>SMALL(SimData5000!$B$9:$B$5008,2129)</f>
        <v>0.42565803433867594</v>
      </c>
      <c r="I7137">
        <f>1/(COUNT(SimData5000!$B$9:$B$5008)-1)+$I$7136</f>
        <v>0.42568513702742172</v>
      </c>
      <c r="J7137">
        <f>SMALL(SimData5000!$C$9:$C$5008,2129)</f>
        <v>0.42179242764177616</v>
      </c>
      <c r="K7137">
        <f>1/(COUNT(SimData5000!$C$9:$C$5008)-1)+$K$7136</f>
        <v>0.42568513702742172</v>
      </c>
    </row>
    <row r="7138" spans="8:11">
      <c r="H7138">
        <f>SMALL(SimData5000!$B$9:$B$5008,2130)</f>
        <v>0.42590254099008223</v>
      </c>
      <c r="I7138">
        <f>1/(COUNT(SimData5000!$B$9:$B$5008)-1)+$I$7137</f>
        <v>0.42588517703542333</v>
      </c>
      <c r="J7138">
        <f>SMALL(SimData5000!$C$9:$C$5008,2130)</f>
        <v>0.42252139659377974</v>
      </c>
      <c r="K7138">
        <f>1/(COUNT(SimData5000!$C$9:$C$5008)-1)+$K$7137</f>
        <v>0.42588517703542333</v>
      </c>
    </row>
    <row r="7139" spans="8:11">
      <c r="H7139">
        <f>SMALL(SimData5000!$B$9:$B$5008,2131)</f>
        <v>0.42616674896841095</v>
      </c>
      <c r="I7139">
        <f>1/(COUNT(SimData5000!$B$9:$B$5008)-1)+$I$7138</f>
        <v>0.42608521704342495</v>
      </c>
      <c r="J7139">
        <f>SMALL(SimData5000!$C$9:$C$5008,2131)</f>
        <v>0.42282699529994261</v>
      </c>
      <c r="K7139">
        <f>1/(COUNT(SimData5000!$C$9:$C$5008)-1)+$K$7138</f>
        <v>0.42608521704342495</v>
      </c>
    </row>
    <row r="7140" spans="8:11">
      <c r="H7140">
        <f>SMALL(SimData5000!$B$9:$B$5008,2132)</f>
        <v>0.42630911308762359</v>
      </c>
      <c r="I7140">
        <f>1/(COUNT(SimData5000!$B$9:$B$5008)-1)+$I$7139</f>
        <v>0.42628525705142656</v>
      </c>
      <c r="J7140">
        <f>SMALL(SimData5000!$C$9:$C$5008,2132)</f>
        <v>0.42301640968980792</v>
      </c>
      <c r="K7140">
        <f>1/(COUNT(SimData5000!$C$9:$C$5008)-1)+$K$7139</f>
        <v>0.42628525705142656</v>
      </c>
    </row>
    <row r="7141" spans="8:11">
      <c r="H7141">
        <f>SMALL(SimData5000!$B$9:$B$5008,2133)</f>
        <v>0.42640825290847761</v>
      </c>
      <c r="I7141">
        <f>1/(COUNT(SimData5000!$B$9:$B$5008)-1)+$I$7140</f>
        <v>0.42648529705942817</v>
      </c>
      <c r="J7141">
        <f>SMALL(SimData5000!$C$9:$C$5008,2133)</f>
        <v>0.42321874797744385</v>
      </c>
      <c r="K7141">
        <f>1/(COUNT(SimData5000!$C$9:$C$5008)-1)+$K$7140</f>
        <v>0.42648529705942817</v>
      </c>
    </row>
    <row r="7142" spans="8:11">
      <c r="H7142">
        <f>SMALL(SimData5000!$B$9:$B$5008,2134)</f>
        <v>0.42666613571962014</v>
      </c>
      <c r="I7142">
        <f>1/(COUNT(SimData5000!$B$9:$B$5008)-1)+$I$7141</f>
        <v>0.42668533706742978</v>
      </c>
      <c r="J7142">
        <f>SMALL(SimData5000!$C$9:$C$5008,2134)</f>
        <v>0.42372903177874832</v>
      </c>
      <c r="K7142">
        <f>1/(COUNT(SimData5000!$C$9:$C$5008)-1)+$K$7141</f>
        <v>0.42668533706742978</v>
      </c>
    </row>
    <row r="7143" spans="8:11">
      <c r="H7143">
        <f>SMALL(SimData5000!$B$9:$B$5008,2135)</f>
        <v>0.42680966967172218</v>
      </c>
      <c r="I7143">
        <f>1/(COUNT(SimData5000!$B$9:$B$5008)-1)+$I$7142</f>
        <v>0.42688537707543139</v>
      </c>
      <c r="J7143">
        <f>SMALL(SimData5000!$C$9:$C$5008,2135)</f>
        <v>0.42384742321701196</v>
      </c>
      <c r="K7143">
        <f>1/(COUNT(SimData5000!$C$9:$C$5008)-1)+$K$7142</f>
        <v>0.42688537707543139</v>
      </c>
    </row>
    <row r="7144" spans="8:11">
      <c r="H7144">
        <f>SMALL(SimData5000!$B$9:$B$5008,2136)</f>
        <v>0.42714390831085475</v>
      </c>
      <c r="I7144">
        <f>1/(COUNT(SimData5000!$B$9:$B$5008)-1)+$I$7143</f>
        <v>0.42708541708343301</v>
      </c>
      <c r="J7144">
        <f>SMALL(SimData5000!$C$9:$C$5008,2136)</f>
        <v>0.42398238082932949</v>
      </c>
      <c r="K7144">
        <f>1/(COUNT(SimData5000!$C$9:$C$5008)-1)+$K$7143</f>
        <v>0.42708541708343301</v>
      </c>
    </row>
    <row r="7145" spans="8:11">
      <c r="H7145">
        <f>SMALL(SimData5000!$B$9:$B$5008,2137)</f>
        <v>0.42729431971295134</v>
      </c>
      <c r="I7145">
        <f>1/(COUNT(SimData5000!$B$9:$B$5008)-1)+$I$7144</f>
        <v>0.42728545709143462</v>
      </c>
      <c r="J7145">
        <f>SMALL(SimData5000!$C$9:$C$5008,2137)</f>
        <v>0.42401143858114665</v>
      </c>
      <c r="K7145">
        <f>1/(COUNT(SimData5000!$C$9:$C$5008)-1)+$K$7144</f>
        <v>0.42728545709143462</v>
      </c>
    </row>
    <row r="7146" spans="8:11">
      <c r="H7146">
        <f>SMALL(SimData5000!$B$9:$B$5008,2138)</f>
        <v>0.42758017454980407</v>
      </c>
      <c r="I7146">
        <f>1/(COUNT(SimData5000!$B$9:$B$5008)-1)+$I$7145</f>
        <v>0.42748549709943623</v>
      </c>
      <c r="J7146">
        <f>SMALL(SimData5000!$C$9:$C$5008,2138)</f>
        <v>0.42403009833287797</v>
      </c>
      <c r="K7146">
        <f>1/(COUNT(SimData5000!$C$9:$C$5008)-1)+$K$7145</f>
        <v>0.42748549709943623</v>
      </c>
    </row>
    <row r="7147" spans="8:11">
      <c r="H7147">
        <f>SMALL(SimData5000!$B$9:$B$5008,2139)</f>
        <v>0.42773717294669178</v>
      </c>
      <c r="I7147">
        <f>1/(COUNT(SimData5000!$B$9:$B$5008)-1)+$I$7146</f>
        <v>0.42768553710743784</v>
      </c>
      <c r="J7147">
        <f>SMALL(SimData5000!$C$9:$C$5008,2139)</f>
        <v>0.42443184725108818</v>
      </c>
      <c r="K7147">
        <f>1/(COUNT(SimData5000!$C$9:$C$5008)-1)+$K$7146</f>
        <v>0.42768553710743784</v>
      </c>
    </row>
    <row r="7148" spans="8:11">
      <c r="H7148">
        <f>SMALL(SimData5000!$B$9:$B$5008,2140)</f>
        <v>0.42785386252111146</v>
      </c>
      <c r="I7148">
        <f>1/(COUNT(SimData5000!$B$9:$B$5008)-1)+$I$7147</f>
        <v>0.42788557711543945</v>
      </c>
      <c r="J7148">
        <f>SMALL(SimData5000!$C$9:$C$5008,2140)</f>
        <v>0.42487689108838822</v>
      </c>
      <c r="K7148">
        <f>1/(COUNT(SimData5000!$C$9:$C$5008)-1)+$K$7147</f>
        <v>0.42788557711543945</v>
      </c>
    </row>
    <row r="7149" spans="8:11">
      <c r="H7149">
        <f>SMALL(SimData5000!$B$9:$B$5008,2141)</f>
        <v>0.42810229373027159</v>
      </c>
      <c r="I7149">
        <f>1/(COUNT(SimData5000!$B$9:$B$5008)-1)+$I$7148</f>
        <v>0.42808561712344106</v>
      </c>
      <c r="J7149">
        <f>SMALL(SimData5000!$C$9:$C$5008,2141)</f>
        <v>0.42494971669020742</v>
      </c>
      <c r="K7149">
        <f>1/(COUNT(SimData5000!$C$9:$C$5008)-1)+$K$7148</f>
        <v>0.42808561712344106</v>
      </c>
    </row>
    <row r="7150" spans="8:11">
      <c r="H7150">
        <f>SMALL(SimData5000!$B$9:$B$5008,2142)</f>
        <v>0.42833894653272325</v>
      </c>
      <c r="I7150">
        <f>1/(COUNT(SimData5000!$B$9:$B$5008)-1)+$I$7149</f>
        <v>0.42828565713144268</v>
      </c>
      <c r="J7150">
        <f>SMALL(SimData5000!$C$9:$C$5008,2142)</f>
        <v>0.42495068546577386</v>
      </c>
      <c r="K7150">
        <f>1/(COUNT(SimData5000!$C$9:$C$5008)-1)+$K$7149</f>
        <v>0.42828565713144268</v>
      </c>
    </row>
    <row r="7151" spans="8:11">
      <c r="H7151">
        <f>SMALL(SimData5000!$B$9:$B$5008,2143)</f>
        <v>0.4284050076210883</v>
      </c>
      <c r="I7151">
        <f>1/(COUNT(SimData5000!$B$9:$B$5008)-1)+$I$7150</f>
        <v>0.42848569713944429</v>
      </c>
      <c r="J7151">
        <f>SMALL(SimData5000!$C$9:$C$5008,2143)</f>
        <v>0.42535537319054129</v>
      </c>
      <c r="K7151">
        <f>1/(COUNT(SimData5000!$C$9:$C$5008)-1)+$K$7150</f>
        <v>0.42848569713944429</v>
      </c>
    </row>
    <row r="7152" spans="8:11">
      <c r="H7152">
        <f>SMALL(SimData5000!$B$9:$B$5008,2144)</f>
        <v>0.42867231506567266</v>
      </c>
      <c r="I7152">
        <f>1/(COUNT(SimData5000!$B$9:$B$5008)-1)+$I$7151</f>
        <v>0.4286857371474459</v>
      </c>
      <c r="J7152">
        <f>SMALL(SimData5000!$C$9:$C$5008,2144)</f>
        <v>0.42558090364309464</v>
      </c>
      <c r="K7152">
        <f>1/(COUNT(SimData5000!$C$9:$C$5008)-1)+$K$7151</f>
        <v>0.4286857371474459</v>
      </c>
    </row>
    <row r="7153" spans="8:11">
      <c r="H7153">
        <f>SMALL(SimData5000!$B$9:$B$5008,2145)</f>
        <v>0.42893290004654155</v>
      </c>
      <c r="I7153">
        <f>1/(COUNT(SimData5000!$B$9:$B$5008)-1)+$I$7152</f>
        <v>0.42888577715544751</v>
      </c>
      <c r="J7153">
        <f>SMALL(SimData5000!$C$9:$C$5008,2145)</f>
        <v>0.42604951495559362</v>
      </c>
      <c r="K7153">
        <f>1/(COUNT(SimData5000!$C$9:$C$5008)-1)+$K$7152</f>
        <v>0.42888577715544751</v>
      </c>
    </row>
    <row r="7154" spans="8:11">
      <c r="H7154">
        <f>SMALL(SimData5000!$B$9:$B$5008,2146)</f>
        <v>0.4291295107855298</v>
      </c>
      <c r="I7154">
        <f>1/(COUNT(SimData5000!$B$9:$B$5008)-1)+$I$7153</f>
        <v>0.42908581716344912</v>
      </c>
      <c r="J7154">
        <f>SMALL(SimData5000!$C$9:$C$5008,2146)</f>
        <v>0.4261914469570911</v>
      </c>
      <c r="K7154">
        <f>1/(COUNT(SimData5000!$C$9:$C$5008)-1)+$K$7153</f>
        <v>0.42908581716344912</v>
      </c>
    </row>
    <row r="7155" spans="8:11">
      <c r="H7155">
        <f>SMALL(SimData5000!$B$9:$B$5008,2147)</f>
        <v>0.42938816011026226</v>
      </c>
      <c r="I7155">
        <f>1/(COUNT(SimData5000!$B$9:$B$5008)-1)+$I$7154</f>
        <v>0.42928585717145074</v>
      </c>
      <c r="J7155">
        <f>SMALL(SimData5000!$C$9:$C$5008,2147)</f>
        <v>0.42621111098378606</v>
      </c>
      <c r="K7155">
        <f>1/(COUNT(SimData5000!$C$9:$C$5008)-1)+$K$7154</f>
        <v>0.42928585717145074</v>
      </c>
    </row>
    <row r="7156" spans="8:11">
      <c r="H7156">
        <f>SMALL(SimData5000!$B$9:$B$5008,2148)</f>
        <v>0.42946070463519093</v>
      </c>
      <c r="I7156">
        <f>1/(COUNT(SimData5000!$B$9:$B$5008)-1)+$I$7155</f>
        <v>0.42948589717945235</v>
      </c>
      <c r="J7156">
        <f>SMALL(SimData5000!$C$9:$C$5008,2148)</f>
        <v>0.42624018530295871</v>
      </c>
      <c r="K7156">
        <f>1/(COUNT(SimData5000!$C$9:$C$5008)-1)+$K$7155</f>
        <v>0.42948589717945235</v>
      </c>
    </row>
    <row r="7157" spans="8:11">
      <c r="H7157">
        <f>SMALL(SimData5000!$B$9:$B$5008,2149)</f>
        <v>0.42963579835324456</v>
      </c>
      <c r="I7157">
        <f>1/(COUNT(SimData5000!$B$9:$B$5008)-1)+$I$7156</f>
        <v>0.42968593718745396</v>
      </c>
      <c r="J7157">
        <f>SMALL(SimData5000!$C$9:$C$5008,2149)</f>
        <v>0.42624603942749673</v>
      </c>
      <c r="K7157">
        <f>1/(COUNT(SimData5000!$C$9:$C$5008)-1)+$K$7156</f>
        <v>0.42968593718745396</v>
      </c>
    </row>
    <row r="7158" spans="8:11">
      <c r="H7158">
        <f>SMALL(SimData5000!$B$9:$B$5008,2150)</f>
        <v>0.42996500927334763</v>
      </c>
      <c r="I7158">
        <f>1/(COUNT(SimData5000!$B$9:$B$5008)-1)+$I$7157</f>
        <v>0.42988597719545557</v>
      </c>
      <c r="J7158">
        <f>SMALL(SimData5000!$C$9:$C$5008,2150)</f>
        <v>0.4262619332093891</v>
      </c>
      <c r="K7158">
        <f>1/(COUNT(SimData5000!$C$9:$C$5008)-1)+$K$7157</f>
        <v>0.42988597719545557</v>
      </c>
    </row>
    <row r="7159" spans="8:11">
      <c r="H7159">
        <f>SMALL(SimData5000!$B$9:$B$5008,2151)</f>
        <v>0.43015473878140437</v>
      </c>
      <c r="I7159">
        <f>1/(COUNT(SimData5000!$B$9:$B$5008)-1)+$I$7158</f>
        <v>0.43008601720345718</v>
      </c>
      <c r="J7159">
        <f>SMALL(SimData5000!$C$9:$C$5008,2151)</f>
        <v>0.42634535196884826</v>
      </c>
      <c r="K7159">
        <f>1/(COUNT(SimData5000!$C$9:$C$5008)-1)+$K$7158</f>
        <v>0.43008601720345718</v>
      </c>
    </row>
    <row r="7160" spans="8:11">
      <c r="H7160">
        <f>SMALL(SimData5000!$B$9:$B$5008,2152)</f>
        <v>0.43030755484246358</v>
      </c>
      <c r="I7160">
        <f>1/(COUNT(SimData5000!$B$9:$B$5008)-1)+$I$7159</f>
        <v>0.43028605721145879</v>
      </c>
      <c r="J7160">
        <f>SMALL(SimData5000!$C$9:$C$5008,2152)</f>
        <v>0.42636520352425578</v>
      </c>
      <c r="K7160">
        <f>1/(COUNT(SimData5000!$C$9:$C$5008)-1)+$K$7159</f>
        <v>0.43028605721145879</v>
      </c>
    </row>
    <row r="7161" spans="8:11">
      <c r="H7161">
        <f>SMALL(SimData5000!$B$9:$B$5008,2153)</f>
        <v>0.43047483004324022</v>
      </c>
      <c r="I7161">
        <f>1/(COUNT(SimData5000!$B$9:$B$5008)-1)+$I$7160</f>
        <v>0.43048609721946041</v>
      </c>
      <c r="J7161">
        <f>SMALL(SimData5000!$C$9:$C$5008,2153)</f>
        <v>0.42663105533029011</v>
      </c>
      <c r="K7161">
        <f>1/(COUNT(SimData5000!$C$9:$C$5008)-1)+$K$7160</f>
        <v>0.43048609721946041</v>
      </c>
    </row>
    <row r="7162" spans="8:11">
      <c r="H7162">
        <f>SMALL(SimData5000!$B$9:$B$5008,2154)</f>
        <v>0.43073521786456348</v>
      </c>
      <c r="I7162">
        <f>1/(COUNT(SimData5000!$B$9:$B$5008)-1)+$I$7161</f>
        <v>0.43068613722746202</v>
      </c>
      <c r="J7162">
        <f>SMALL(SimData5000!$C$9:$C$5008,2154)</f>
        <v>0.42690638492786093</v>
      </c>
      <c r="K7162">
        <f>1/(COUNT(SimData5000!$C$9:$C$5008)-1)+$K$7161</f>
        <v>0.43068613722746202</v>
      </c>
    </row>
    <row r="7163" spans="8:11">
      <c r="H7163">
        <f>SMALL(SimData5000!$B$9:$B$5008,2155)</f>
        <v>0.43099248694726094</v>
      </c>
      <c r="I7163">
        <f>1/(COUNT(SimData5000!$B$9:$B$5008)-1)+$I$7162</f>
        <v>0.43088617723546363</v>
      </c>
      <c r="J7163">
        <f>SMALL(SimData5000!$C$9:$C$5008,2155)</f>
        <v>0.42695933617233095</v>
      </c>
      <c r="K7163">
        <f>1/(COUNT(SimData5000!$C$9:$C$5008)-1)+$K$7162</f>
        <v>0.43088617723546363</v>
      </c>
    </row>
    <row r="7164" spans="8:11">
      <c r="H7164">
        <f>SMALL(SimData5000!$B$9:$B$5008,2156)</f>
        <v>0.4310269666025478</v>
      </c>
      <c r="I7164">
        <f>1/(COUNT(SimData5000!$B$9:$B$5008)-1)+$I$7163</f>
        <v>0.43108621724346524</v>
      </c>
      <c r="J7164">
        <f>SMALL(SimData5000!$C$9:$C$5008,2156)</f>
        <v>0.42728392668414017</v>
      </c>
      <c r="K7164">
        <f>1/(COUNT(SimData5000!$C$9:$C$5008)-1)+$K$7163</f>
        <v>0.43108621724346524</v>
      </c>
    </row>
    <row r="7165" spans="8:11">
      <c r="H7165">
        <f>SMALL(SimData5000!$B$9:$B$5008,2157)</f>
        <v>0.4312788540996329</v>
      </c>
      <c r="I7165">
        <f>1/(COUNT(SimData5000!$B$9:$B$5008)-1)+$I$7164</f>
        <v>0.43128625725146685</v>
      </c>
      <c r="J7165">
        <f>SMALL(SimData5000!$C$9:$C$5008,2157)</f>
        <v>0.42735259416713234</v>
      </c>
      <c r="K7165">
        <f>1/(COUNT(SimData5000!$C$9:$C$5008)-1)+$K$7164</f>
        <v>0.43128625725146685</v>
      </c>
    </row>
    <row r="7166" spans="8:11">
      <c r="H7166">
        <f>SMALL(SimData5000!$B$9:$B$5008,2158)</f>
        <v>0.43156695424736635</v>
      </c>
      <c r="I7166">
        <f>1/(COUNT(SimData5000!$B$9:$B$5008)-1)+$I$7165</f>
        <v>0.43148629725946847</v>
      </c>
      <c r="J7166">
        <f>SMALL(SimData5000!$C$9:$C$5008,2158)</f>
        <v>0.42768216058902908</v>
      </c>
      <c r="K7166">
        <f>1/(COUNT(SimData5000!$C$9:$C$5008)-1)+$K$7165</f>
        <v>0.43148629725946847</v>
      </c>
    </row>
    <row r="7167" spans="8:11">
      <c r="H7167">
        <f>SMALL(SimData5000!$B$9:$B$5008,2159)</f>
        <v>0.43162341042054431</v>
      </c>
      <c r="I7167">
        <f>1/(COUNT(SimData5000!$B$9:$B$5008)-1)+$I$7166</f>
        <v>0.43168633726747008</v>
      </c>
      <c r="J7167">
        <f>SMALL(SimData5000!$C$9:$C$5008,2159)</f>
        <v>0.42835471891339694</v>
      </c>
      <c r="K7167">
        <f>1/(COUNT(SimData5000!$C$9:$C$5008)-1)+$K$7166</f>
        <v>0.43168633726747008</v>
      </c>
    </row>
    <row r="7168" spans="8:11">
      <c r="H7168">
        <f>SMALL(SimData5000!$B$9:$B$5008,2160)</f>
        <v>0.43186901246459902</v>
      </c>
      <c r="I7168">
        <f>1/(COUNT(SimData5000!$B$9:$B$5008)-1)+$I$7167</f>
        <v>0.43188637727547169</v>
      </c>
      <c r="J7168">
        <f>SMALL(SimData5000!$C$9:$C$5008,2160)</f>
        <v>0.42845846198451909</v>
      </c>
      <c r="K7168">
        <f>1/(COUNT(SimData5000!$C$9:$C$5008)-1)+$K$7167</f>
        <v>0.43188637727547169</v>
      </c>
    </row>
    <row r="7169" spans="8:11">
      <c r="H7169">
        <f>SMALL(SimData5000!$B$9:$B$5008,2161)</f>
        <v>0.43209686209016873</v>
      </c>
      <c r="I7169">
        <f>1/(COUNT(SimData5000!$B$9:$B$5008)-1)+$I$7168</f>
        <v>0.4320864172834733</v>
      </c>
      <c r="J7169">
        <f>SMALL(SimData5000!$C$9:$C$5008,2161)</f>
        <v>0.4285320012104421</v>
      </c>
      <c r="K7169">
        <f>1/(COUNT(SimData5000!$C$9:$C$5008)-1)+$K$7168</f>
        <v>0.4320864172834733</v>
      </c>
    </row>
    <row r="7170" spans="8:11">
      <c r="H7170">
        <f>SMALL(SimData5000!$B$9:$B$5008,2162)</f>
        <v>0.43231331765631059</v>
      </c>
      <c r="I7170">
        <f>1/(COUNT(SimData5000!$B$9:$B$5008)-1)+$I$7169</f>
        <v>0.43228645729147491</v>
      </c>
      <c r="J7170">
        <f>SMALL(SimData5000!$C$9:$C$5008,2162)</f>
        <v>0.42945748051170085</v>
      </c>
      <c r="K7170">
        <f>1/(COUNT(SimData5000!$C$9:$C$5008)-1)+$K$7169</f>
        <v>0.43228645729147491</v>
      </c>
    </row>
    <row r="7171" spans="8:11">
      <c r="H7171">
        <f>SMALL(SimData5000!$B$9:$B$5008,2163)</f>
        <v>0.43256504389219108</v>
      </c>
      <c r="I7171">
        <f>1/(COUNT(SimData5000!$B$9:$B$5008)-1)+$I$7170</f>
        <v>0.43248649729947652</v>
      </c>
      <c r="J7171">
        <f>SMALL(SimData5000!$C$9:$C$5008,2163)</f>
        <v>0.42954781184562307</v>
      </c>
      <c r="K7171">
        <f>1/(COUNT(SimData5000!$C$9:$C$5008)-1)+$K$7170</f>
        <v>0.43248649729947652</v>
      </c>
    </row>
    <row r="7172" spans="8:11">
      <c r="H7172">
        <f>SMALL(SimData5000!$B$9:$B$5008,2164)</f>
        <v>0.43260403957595206</v>
      </c>
      <c r="I7172">
        <f>1/(COUNT(SimData5000!$B$9:$B$5008)-1)+$I$7171</f>
        <v>0.43268653730747814</v>
      </c>
      <c r="J7172">
        <f>SMALL(SimData5000!$C$9:$C$5008,2164)</f>
        <v>0.42959225282629632</v>
      </c>
      <c r="K7172">
        <f>1/(COUNT(SimData5000!$C$9:$C$5008)-1)+$K$7171</f>
        <v>0.43268653730747814</v>
      </c>
    </row>
    <row r="7173" spans="8:11">
      <c r="H7173">
        <f>SMALL(SimData5000!$B$9:$B$5008,2165)</f>
        <v>0.43283275068710392</v>
      </c>
      <c r="I7173">
        <f>1/(COUNT(SimData5000!$B$9:$B$5008)-1)+$I$7172</f>
        <v>0.43288657731547975</v>
      </c>
      <c r="J7173">
        <f>SMALL(SimData5000!$C$9:$C$5008,2165)</f>
        <v>0.42962996191999991</v>
      </c>
      <c r="K7173">
        <f>1/(COUNT(SimData5000!$C$9:$C$5008)-1)+$K$7172</f>
        <v>0.43288657731547975</v>
      </c>
    </row>
    <row r="7174" spans="8:11">
      <c r="H7174">
        <f>SMALL(SimData5000!$B$9:$B$5008,2166)</f>
        <v>0.4330728382683528</v>
      </c>
      <c r="I7174">
        <f>1/(COUNT(SimData5000!$B$9:$B$5008)-1)+$I$7173</f>
        <v>0.43308661732348136</v>
      </c>
      <c r="J7174">
        <f>SMALL(SimData5000!$C$9:$C$5008,2166)</f>
        <v>0.42965068931607675</v>
      </c>
      <c r="K7174">
        <f>1/(COUNT(SimData5000!$C$9:$C$5008)-1)+$K$7173</f>
        <v>0.43308661732348136</v>
      </c>
    </row>
    <row r="7175" spans="8:11">
      <c r="H7175">
        <f>SMALL(SimData5000!$B$9:$B$5008,2167)</f>
        <v>0.43324632143798436</v>
      </c>
      <c r="I7175">
        <f>1/(COUNT(SimData5000!$B$9:$B$5008)-1)+$I$7174</f>
        <v>0.43328665733148297</v>
      </c>
      <c r="J7175">
        <f>SMALL(SimData5000!$C$9:$C$5008,2167)</f>
        <v>0.42973252257706918</v>
      </c>
      <c r="K7175">
        <f>1/(COUNT(SimData5000!$C$9:$C$5008)-1)+$K$7174</f>
        <v>0.43328665733148297</v>
      </c>
    </row>
    <row r="7176" spans="8:11">
      <c r="H7176">
        <f>SMALL(SimData5000!$B$9:$B$5008,2168)</f>
        <v>0.43358475369782762</v>
      </c>
      <c r="I7176">
        <f>1/(COUNT(SimData5000!$B$9:$B$5008)-1)+$I$7175</f>
        <v>0.43348669733948458</v>
      </c>
      <c r="J7176">
        <f>SMALL(SimData5000!$C$9:$C$5008,2168)</f>
        <v>0.42976755628751562</v>
      </c>
      <c r="K7176">
        <f>1/(COUNT(SimData5000!$C$9:$C$5008)-1)+$K$7175</f>
        <v>0.43348669733948458</v>
      </c>
    </row>
    <row r="7177" spans="8:11">
      <c r="H7177">
        <f>SMALL(SimData5000!$B$9:$B$5008,2169)</f>
        <v>0.43371494238220965</v>
      </c>
      <c r="I7177">
        <f>1/(COUNT(SimData5000!$B$9:$B$5008)-1)+$I$7176</f>
        <v>0.4336867373474862</v>
      </c>
      <c r="J7177">
        <f>SMALL(SimData5000!$C$9:$C$5008,2169)</f>
        <v>0.43012524991900136</v>
      </c>
      <c r="K7177">
        <f>1/(COUNT(SimData5000!$C$9:$C$5008)-1)+$K$7176</f>
        <v>0.4336867373474862</v>
      </c>
    </row>
    <row r="7178" spans="8:11">
      <c r="H7178">
        <f>SMALL(SimData5000!$B$9:$B$5008,2170)</f>
        <v>0.43391334010402516</v>
      </c>
      <c r="I7178">
        <f>1/(COUNT(SimData5000!$B$9:$B$5008)-1)+$I$7177</f>
        <v>0.43388677735548781</v>
      </c>
      <c r="J7178">
        <f>SMALL(SimData5000!$C$9:$C$5008,2170)</f>
        <v>0.43024615930244181</v>
      </c>
      <c r="K7178">
        <f>1/(COUNT(SimData5000!$C$9:$C$5008)-1)+$K$7177</f>
        <v>0.43388677735548781</v>
      </c>
    </row>
    <row r="7179" spans="8:11">
      <c r="H7179">
        <f>SMALL(SimData5000!$B$9:$B$5008,2171)</f>
        <v>0.4340941995734568</v>
      </c>
      <c r="I7179">
        <f>1/(COUNT(SimData5000!$B$9:$B$5008)-1)+$I$7178</f>
        <v>0.43408681736348942</v>
      </c>
      <c r="J7179">
        <f>SMALL(SimData5000!$C$9:$C$5008,2171)</f>
        <v>0.43040005897910305</v>
      </c>
      <c r="K7179">
        <f>1/(COUNT(SimData5000!$C$9:$C$5008)-1)+$K$7178</f>
        <v>0.43408681736348942</v>
      </c>
    </row>
    <row r="7180" spans="8:11">
      <c r="H7180">
        <f>SMALL(SimData5000!$B$9:$B$5008,2172)</f>
        <v>0.43436350246401589</v>
      </c>
      <c r="I7180">
        <f>1/(COUNT(SimData5000!$B$9:$B$5008)-1)+$I$7179</f>
        <v>0.43428685737149103</v>
      </c>
      <c r="J7180">
        <f>SMALL(SimData5000!$C$9:$C$5008,2172)</f>
        <v>0.43057164310994267</v>
      </c>
      <c r="K7180">
        <f>1/(COUNT(SimData5000!$C$9:$C$5008)-1)+$K$7179</f>
        <v>0.43428685737149103</v>
      </c>
    </row>
    <row r="7181" spans="8:11">
      <c r="H7181">
        <f>SMALL(SimData5000!$B$9:$B$5008,2173)</f>
        <v>0.43455807621617759</v>
      </c>
      <c r="I7181">
        <f>1/(COUNT(SimData5000!$B$9:$B$5008)-1)+$I$7180</f>
        <v>0.43448689737949264</v>
      </c>
      <c r="J7181">
        <f>SMALL(SimData5000!$C$9:$C$5008,2173)</f>
        <v>0.43066884106610814</v>
      </c>
      <c r="K7181">
        <f>1/(COUNT(SimData5000!$C$9:$C$5008)-1)+$K$7180</f>
        <v>0.43448689737949264</v>
      </c>
    </row>
    <row r="7182" spans="8:11">
      <c r="H7182">
        <f>SMALL(SimData5000!$B$9:$B$5008,2174)</f>
        <v>0.43474959819595088</v>
      </c>
      <c r="I7182">
        <f>1/(COUNT(SimData5000!$B$9:$B$5008)-1)+$I$7181</f>
        <v>0.43468693738749425</v>
      </c>
      <c r="J7182">
        <f>SMALL(SimData5000!$C$9:$C$5008,2174)</f>
        <v>0.43072894708893728</v>
      </c>
      <c r="K7182">
        <f>1/(COUNT(SimData5000!$C$9:$C$5008)-1)+$K$7181</f>
        <v>0.43468693738749425</v>
      </c>
    </row>
    <row r="7183" spans="8:11">
      <c r="H7183">
        <f>SMALL(SimData5000!$B$9:$B$5008,2175)</f>
        <v>0.43490295130179801</v>
      </c>
      <c r="I7183">
        <f>1/(COUNT(SimData5000!$B$9:$B$5008)-1)+$I$7182</f>
        <v>0.43488697739549587</v>
      </c>
      <c r="J7183">
        <f>SMALL(SimData5000!$C$9:$C$5008,2175)</f>
        <v>0.43085564675493515</v>
      </c>
      <c r="K7183">
        <f>1/(COUNT(SimData5000!$C$9:$C$5008)-1)+$K$7182</f>
        <v>0.43488697739549587</v>
      </c>
    </row>
    <row r="7184" spans="8:11">
      <c r="H7184">
        <f>SMALL(SimData5000!$B$9:$B$5008,2176)</f>
        <v>0.435002922061552</v>
      </c>
      <c r="I7184">
        <f>1/(COUNT(SimData5000!$B$9:$B$5008)-1)+$I$7183</f>
        <v>0.43508701740349748</v>
      </c>
      <c r="J7184">
        <f>SMALL(SimData5000!$C$9:$C$5008,2176)</f>
        <v>0.43112879481941491</v>
      </c>
      <c r="K7184">
        <f>1/(COUNT(SimData5000!$C$9:$C$5008)-1)+$K$7183</f>
        <v>0.43508701740349748</v>
      </c>
    </row>
    <row r="7185" spans="8:11">
      <c r="H7185">
        <f>SMALL(SimData5000!$B$9:$B$5008,2177)</f>
        <v>0.43525412954852316</v>
      </c>
      <c r="I7185">
        <f>1/(COUNT(SimData5000!$B$9:$B$5008)-1)+$I$7184</f>
        <v>0.43528705741149909</v>
      </c>
      <c r="J7185">
        <f>SMALL(SimData5000!$C$9:$C$5008,2177)</f>
        <v>0.43136133139341837</v>
      </c>
      <c r="K7185">
        <f>1/(COUNT(SimData5000!$C$9:$C$5008)-1)+$K$7184</f>
        <v>0.43528705741149909</v>
      </c>
    </row>
    <row r="7186" spans="8:11">
      <c r="H7186">
        <f>SMALL(SimData5000!$B$9:$B$5008,2178)</f>
        <v>0.43551571429346586</v>
      </c>
      <c r="I7186">
        <f>1/(COUNT(SimData5000!$B$9:$B$5008)-1)+$I$7185</f>
        <v>0.4354870974195007</v>
      </c>
      <c r="J7186">
        <f>SMALL(SimData5000!$C$9:$C$5008,2178)</f>
        <v>0.43143684675305849</v>
      </c>
      <c r="K7186">
        <f>1/(COUNT(SimData5000!$C$9:$C$5008)-1)+$K$7185</f>
        <v>0.4354870974195007</v>
      </c>
    </row>
    <row r="7187" spans="8:11">
      <c r="H7187">
        <f>SMALL(SimData5000!$B$9:$B$5008,2179)</f>
        <v>0.43577044110334717</v>
      </c>
      <c r="I7187">
        <f>1/(COUNT(SimData5000!$B$9:$B$5008)-1)+$I$7186</f>
        <v>0.43568713742750231</v>
      </c>
      <c r="J7187">
        <f>SMALL(SimData5000!$C$9:$C$5008,2179)</f>
        <v>0.43159288076185476</v>
      </c>
      <c r="K7187">
        <f>1/(COUNT(SimData5000!$C$9:$C$5008)-1)+$K$7186</f>
        <v>0.43568713742750231</v>
      </c>
    </row>
    <row r="7188" spans="8:11">
      <c r="H7188">
        <f>SMALL(SimData5000!$B$9:$B$5008,2180)</f>
        <v>0.43593520004482361</v>
      </c>
      <c r="I7188">
        <f>1/(COUNT(SimData5000!$B$9:$B$5008)-1)+$I$7187</f>
        <v>0.43588717743550393</v>
      </c>
      <c r="J7188">
        <f>SMALL(SimData5000!$C$9:$C$5008,2180)</f>
        <v>0.43177177222696628</v>
      </c>
      <c r="K7188">
        <f>1/(COUNT(SimData5000!$C$9:$C$5008)-1)+$K$7187</f>
        <v>0.43588717743550393</v>
      </c>
    </row>
    <row r="7189" spans="8:11">
      <c r="H7189">
        <f>SMALL(SimData5000!$B$9:$B$5008,2181)</f>
        <v>0.43612937238806143</v>
      </c>
      <c r="I7189">
        <f>1/(COUNT(SimData5000!$B$9:$B$5008)-1)+$I$7188</f>
        <v>0.43608721744350554</v>
      </c>
      <c r="J7189">
        <f>SMALL(SimData5000!$C$9:$C$5008,2181)</f>
        <v>0.43189373831501143</v>
      </c>
      <c r="K7189">
        <f>1/(COUNT(SimData5000!$C$9:$C$5008)-1)+$K$7188</f>
        <v>0.43608721744350554</v>
      </c>
    </row>
    <row r="7190" spans="8:11">
      <c r="H7190">
        <f>SMALL(SimData5000!$B$9:$B$5008,2182)</f>
        <v>0.4363683831300047</v>
      </c>
      <c r="I7190">
        <f>1/(COUNT(SimData5000!$B$9:$B$5008)-1)+$I$7189</f>
        <v>0.43628725745150715</v>
      </c>
      <c r="J7190">
        <f>SMALL(SimData5000!$C$9:$C$5008,2182)</f>
        <v>0.43213629109959584</v>
      </c>
      <c r="K7190">
        <f>1/(COUNT(SimData5000!$C$9:$C$5008)-1)+$K$7189</f>
        <v>0.43628725745150715</v>
      </c>
    </row>
    <row r="7191" spans="8:11">
      <c r="H7191">
        <f>SMALL(SimData5000!$B$9:$B$5008,2183)</f>
        <v>0.43641668965090458</v>
      </c>
      <c r="I7191">
        <f>1/(COUNT(SimData5000!$B$9:$B$5008)-1)+$I$7190</f>
        <v>0.43648729745950876</v>
      </c>
      <c r="J7191">
        <f>SMALL(SimData5000!$C$9:$C$5008,2183)</f>
        <v>0.43231089728215011</v>
      </c>
      <c r="K7191">
        <f>1/(COUNT(SimData5000!$C$9:$C$5008)-1)+$K$7190</f>
        <v>0.43648729745950876</v>
      </c>
    </row>
    <row r="7192" spans="8:11">
      <c r="H7192">
        <f>SMALL(SimData5000!$B$9:$B$5008,2184)</f>
        <v>0.43668933878356814</v>
      </c>
      <c r="I7192">
        <f>1/(COUNT(SimData5000!$B$9:$B$5008)-1)+$I$7191</f>
        <v>0.43668733746751037</v>
      </c>
      <c r="J7192">
        <f>SMALL(SimData5000!$C$9:$C$5008,2184)</f>
        <v>0.43237442531153647</v>
      </c>
      <c r="K7192">
        <f>1/(COUNT(SimData5000!$C$9:$C$5008)-1)+$K$7191</f>
        <v>0.43668733746751037</v>
      </c>
    </row>
    <row r="7193" spans="8:11">
      <c r="H7193">
        <f>SMALL(SimData5000!$B$9:$B$5008,2185)</f>
        <v>0.43692898246173956</v>
      </c>
      <c r="I7193">
        <f>1/(COUNT(SimData5000!$B$9:$B$5008)-1)+$I$7192</f>
        <v>0.43688737747551198</v>
      </c>
      <c r="J7193">
        <f>SMALL(SimData5000!$C$9:$C$5008,2185)</f>
        <v>0.43239987048855255</v>
      </c>
      <c r="K7193">
        <f>1/(COUNT(SimData5000!$C$9:$C$5008)-1)+$K$7192</f>
        <v>0.43688737747551198</v>
      </c>
    </row>
    <row r="7194" spans="8:11">
      <c r="H7194">
        <f>SMALL(SimData5000!$B$9:$B$5008,2186)</f>
        <v>0.4371141019434468</v>
      </c>
      <c r="I7194">
        <f>1/(COUNT(SimData5000!$B$9:$B$5008)-1)+$I$7193</f>
        <v>0.4370874174835136</v>
      </c>
      <c r="J7194">
        <f>SMALL(SimData5000!$C$9:$C$5008,2186)</f>
        <v>0.43245587453748158</v>
      </c>
      <c r="K7194">
        <f>1/(COUNT(SimData5000!$C$9:$C$5008)-1)+$K$7193</f>
        <v>0.4370874174835136</v>
      </c>
    </row>
    <row r="7195" spans="8:11">
      <c r="H7195">
        <f>SMALL(SimData5000!$B$9:$B$5008,2187)</f>
        <v>0.43732982531826237</v>
      </c>
      <c r="I7195">
        <f>1/(COUNT(SimData5000!$B$9:$B$5008)-1)+$I$7194</f>
        <v>0.43728745749151521</v>
      </c>
      <c r="J7195">
        <f>SMALL(SimData5000!$C$9:$C$5008,2187)</f>
        <v>0.43273462697106879</v>
      </c>
      <c r="K7195">
        <f>1/(COUNT(SimData5000!$C$9:$C$5008)-1)+$K$7194</f>
        <v>0.43728745749151521</v>
      </c>
    </row>
    <row r="7196" spans="8:11">
      <c r="H7196">
        <f>SMALL(SimData5000!$B$9:$B$5008,2188)</f>
        <v>0.43757610671398606</v>
      </c>
      <c r="I7196">
        <f>1/(COUNT(SimData5000!$B$9:$B$5008)-1)+$I$7195</f>
        <v>0.43748749749951682</v>
      </c>
      <c r="J7196">
        <f>SMALL(SimData5000!$C$9:$C$5008,2188)</f>
        <v>0.43274582754656876</v>
      </c>
      <c r="K7196">
        <f>1/(COUNT(SimData5000!$C$9:$C$5008)-1)+$K$7195</f>
        <v>0.43748749749951682</v>
      </c>
    </row>
    <row r="7197" spans="8:11">
      <c r="H7197">
        <f>SMALL(SimData5000!$B$9:$B$5008,2189)</f>
        <v>0.43763216484683382</v>
      </c>
      <c r="I7197">
        <f>1/(COUNT(SimData5000!$B$9:$B$5008)-1)+$I$7196</f>
        <v>0.43768753750751843</v>
      </c>
      <c r="J7197">
        <f>SMALL(SimData5000!$C$9:$C$5008,2189)</f>
        <v>0.43298300888727681</v>
      </c>
      <c r="K7197">
        <f>1/(COUNT(SimData5000!$C$9:$C$5008)-1)+$K$7196</f>
        <v>0.43768753750751843</v>
      </c>
    </row>
    <row r="7198" spans="8:11">
      <c r="H7198">
        <f>SMALL(SimData5000!$B$9:$B$5008,2190)</f>
        <v>0.4379730667895575</v>
      </c>
      <c r="I7198">
        <f>1/(COUNT(SimData5000!$B$9:$B$5008)-1)+$I$7197</f>
        <v>0.43788757751552004</v>
      </c>
      <c r="J7198">
        <f>SMALL(SimData5000!$C$9:$C$5008,2190)</f>
        <v>0.4331845092410731</v>
      </c>
      <c r="K7198">
        <f>1/(COUNT(SimData5000!$C$9:$C$5008)-1)+$K$7197</f>
        <v>0.43788757751552004</v>
      </c>
    </row>
    <row r="7199" spans="8:11">
      <c r="H7199">
        <f>SMALL(SimData5000!$B$9:$B$5008,2191)</f>
        <v>0.43816379879339684</v>
      </c>
      <c r="I7199">
        <f>1/(COUNT(SimData5000!$B$9:$B$5008)-1)+$I$7198</f>
        <v>0.43808761752352166</v>
      </c>
      <c r="J7199">
        <f>SMALL(SimData5000!$C$9:$C$5008,2191)</f>
        <v>0.43321410422413464</v>
      </c>
      <c r="K7199">
        <f>1/(COUNT(SimData5000!$C$9:$C$5008)-1)+$K$7198</f>
        <v>0.43808761752352166</v>
      </c>
    </row>
    <row r="7200" spans="8:11">
      <c r="H7200">
        <f>SMALL(SimData5000!$B$9:$B$5008,2192)</f>
        <v>0.43823096509581216</v>
      </c>
      <c r="I7200">
        <f>1/(COUNT(SimData5000!$B$9:$B$5008)-1)+$I$7199</f>
        <v>0.43828765753152327</v>
      </c>
      <c r="J7200">
        <f>SMALL(SimData5000!$C$9:$C$5008,2192)</f>
        <v>0.43327893689911434</v>
      </c>
      <c r="K7200">
        <f>1/(COUNT(SimData5000!$C$9:$C$5008)-1)+$K$7199</f>
        <v>0.43828765753152327</v>
      </c>
    </row>
    <row r="7201" spans="8:11">
      <c r="H7201">
        <f>SMALL(SimData5000!$B$9:$B$5008,2193)</f>
        <v>0.43847098907317761</v>
      </c>
      <c r="I7201">
        <f>1/(COUNT(SimData5000!$B$9:$B$5008)-1)+$I$7200</f>
        <v>0.43848769753952488</v>
      </c>
      <c r="J7201">
        <f>SMALL(SimData5000!$C$9:$C$5008,2193)</f>
        <v>0.433340561852674</v>
      </c>
      <c r="K7201">
        <f>1/(COUNT(SimData5000!$C$9:$C$5008)-1)+$K$7200</f>
        <v>0.43848769753952488</v>
      </c>
    </row>
    <row r="7202" spans="8:11">
      <c r="H7202">
        <f>SMALL(SimData5000!$B$9:$B$5008,2194)</f>
        <v>0.43866253781697306</v>
      </c>
      <c r="I7202">
        <f>1/(COUNT(SimData5000!$B$9:$B$5008)-1)+$I$7201</f>
        <v>0.43868773754752649</v>
      </c>
      <c r="J7202">
        <f>SMALL(SimData5000!$C$9:$C$5008,2194)</f>
        <v>0.43335751260383404</v>
      </c>
      <c r="K7202">
        <f>1/(COUNT(SimData5000!$C$9:$C$5008)-1)+$K$7201</f>
        <v>0.43868773754752649</v>
      </c>
    </row>
    <row r="7203" spans="8:11">
      <c r="H7203">
        <f>SMALL(SimData5000!$B$9:$B$5008,2195)</f>
        <v>0.43889710776049112</v>
      </c>
      <c r="I7203">
        <f>1/(COUNT(SimData5000!$B$9:$B$5008)-1)+$I$7202</f>
        <v>0.4388877775555281</v>
      </c>
      <c r="J7203">
        <f>SMALL(SimData5000!$C$9:$C$5008,2195)</f>
        <v>0.4336418273342133</v>
      </c>
      <c r="K7203">
        <f>1/(COUNT(SimData5000!$C$9:$C$5008)-1)+$K$7202</f>
        <v>0.4388877775555281</v>
      </c>
    </row>
    <row r="7204" spans="8:11">
      <c r="H7204">
        <f>SMALL(SimData5000!$B$9:$B$5008,2196)</f>
        <v>0.43912027347384031</v>
      </c>
      <c r="I7204">
        <f>1/(COUNT(SimData5000!$B$9:$B$5008)-1)+$I$7203</f>
        <v>0.43908781756352971</v>
      </c>
      <c r="J7204">
        <f>SMALL(SimData5000!$C$9:$C$5008,2196)</f>
        <v>0.43377297682036442</v>
      </c>
      <c r="K7204">
        <f>1/(COUNT(SimData5000!$C$9:$C$5008)-1)+$K$7203</f>
        <v>0.43908781756352971</v>
      </c>
    </row>
    <row r="7205" spans="8:11">
      <c r="H7205">
        <f>SMALL(SimData5000!$B$9:$B$5008,2197)</f>
        <v>0.43925028113188463</v>
      </c>
      <c r="I7205">
        <f>1/(COUNT(SimData5000!$B$9:$B$5008)-1)+$I$7204</f>
        <v>0.43928785757153133</v>
      </c>
      <c r="J7205">
        <f>SMALL(SimData5000!$C$9:$C$5008,2197)</f>
        <v>0.4339633507461258</v>
      </c>
      <c r="K7205">
        <f>1/(COUNT(SimData5000!$C$9:$C$5008)-1)+$K$7204</f>
        <v>0.43928785757153133</v>
      </c>
    </row>
    <row r="7206" spans="8:11">
      <c r="H7206">
        <f>SMALL(SimData5000!$B$9:$B$5008,2198)</f>
        <v>0.4394361006313553</v>
      </c>
      <c r="I7206">
        <f>1/(COUNT(SimData5000!$B$9:$B$5008)-1)+$I$7205</f>
        <v>0.43948789757953294</v>
      </c>
      <c r="J7206">
        <f>SMALL(SimData5000!$C$9:$C$5008,2198)</f>
        <v>0.43432954465060902</v>
      </c>
      <c r="K7206">
        <f>1/(COUNT(SimData5000!$C$9:$C$5008)-1)+$K$7205</f>
        <v>0.43948789757953294</v>
      </c>
    </row>
    <row r="7207" spans="8:11">
      <c r="H7207">
        <f>SMALL(SimData5000!$B$9:$B$5008,2199)</f>
        <v>0.439623624058958</v>
      </c>
      <c r="I7207">
        <f>1/(COUNT(SimData5000!$B$9:$B$5008)-1)+$I$7206</f>
        <v>0.43968793758753455</v>
      </c>
      <c r="J7207">
        <f>SMALL(SimData5000!$C$9:$C$5008,2199)</f>
        <v>0.43480691754211875</v>
      </c>
      <c r="K7207">
        <f>1/(COUNT(SimData5000!$C$9:$C$5008)-1)+$K$7206</f>
        <v>0.43968793758753455</v>
      </c>
    </row>
    <row r="7208" spans="8:11">
      <c r="H7208">
        <f>SMALL(SimData5000!$B$9:$B$5008,2200)</f>
        <v>0.43997477769543758</v>
      </c>
      <c r="I7208">
        <f>1/(COUNT(SimData5000!$B$9:$B$5008)-1)+$I$7207</f>
        <v>0.43988797759553616</v>
      </c>
      <c r="J7208">
        <f>SMALL(SimData5000!$C$9:$C$5008,2200)</f>
        <v>0.43500889715323865</v>
      </c>
      <c r="K7208">
        <f>1/(COUNT(SimData5000!$C$9:$C$5008)-1)+$K$7207</f>
        <v>0.43988797759553616</v>
      </c>
    </row>
    <row r="7209" spans="8:11">
      <c r="H7209">
        <f>SMALL(SimData5000!$B$9:$B$5008,2201)</f>
        <v>0.44010665988188857</v>
      </c>
      <c r="I7209">
        <f>1/(COUNT(SimData5000!$B$9:$B$5008)-1)+$I$7208</f>
        <v>0.44008801760353777</v>
      </c>
      <c r="J7209">
        <f>SMALL(SimData5000!$C$9:$C$5008,2201)</f>
        <v>0.43526682631181757</v>
      </c>
      <c r="K7209">
        <f>1/(COUNT(SimData5000!$C$9:$C$5008)-1)+$K$7208</f>
        <v>0.44008801760353777</v>
      </c>
    </row>
    <row r="7210" spans="8:11">
      <c r="H7210">
        <f>SMALL(SimData5000!$B$9:$B$5008,2202)</f>
        <v>0.44023893725994023</v>
      </c>
      <c r="I7210">
        <f>1/(COUNT(SimData5000!$B$9:$B$5008)-1)+$I$7209</f>
        <v>0.44028805761153939</v>
      </c>
      <c r="J7210">
        <f>SMALL(SimData5000!$C$9:$C$5008,2202)</f>
        <v>0.43550548260373034</v>
      </c>
      <c r="K7210">
        <f>1/(COUNT(SimData5000!$C$9:$C$5008)-1)+$K$7209</f>
        <v>0.44028805761153939</v>
      </c>
    </row>
    <row r="7211" spans="8:11">
      <c r="H7211">
        <f>SMALL(SimData5000!$B$9:$B$5008,2203)</f>
        <v>0.44059384314501515</v>
      </c>
      <c r="I7211">
        <f>1/(COUNT(SimData5000!$B$9:$B$5008)-1)+$I$7210</f>
        <v>0.440488097619541</v>
      </c>
      <c r="J7211">
        <f>SMALL(SimData5000!$C$9:$C$5008,2203)</f>
        <v>0.435557690450878</v>
      </c>
      <c r="K7211">
        <f>1/(COUNT(SimData5000!$C$9:$C$5008)-1)+$K$7210</f>
        <v>0.440488097619541</v>
      </c>
    </row>
    <row r="7212" spans="8:11">
      <c r="H7212">
        <f>SMALL(SimData5000!$B$9:$B$5008,2204)</f>
        <v>0.4406963323841096</v>
      </c>
      <c r="I7212">
        <f>1/(COUNT(SimData5000!$B$9:$B$5008)-1)+$I$7211</f>
        <v>0.44068813762754261</v>
      </c>
      <c r="J7212">
        <f>SMALL(SimData5000!$C$9:$C$5008,2204)</f>
        <v>0.43591770429611643</v>
      </c>
      <c r="K7212">
        <f>1/(COUNT(SimData5000!$C$9:$C$5008)-1)+$K$7211</f>
        <v>0.44068813762754261</v>
      </c>
    </row>
    <row r="7213" spans="8:11">
      <c r="H7213">
        <f>SMALL(SimData5000!$B$9:$B$5008,2205)</f>
        <v>0.44098859807369034</v>
      </c>
      <c r="I7213">
        <f>1/(COUNT(SimData5000!$B$9:$B$5008)-1)+$I$7212</f>
        <v>0.44088817763554422</v>
      </c>
      <c r="J7213">
        <f>SMALL(SimData5000!$C$9:$C$5008,2205)</f>
        <v>0.43600680765212019</v>
      </c>
      <c r="K7213">
        <f>1/(COUNT(SimData5000!$C$9:$C$5008)-1)+$K$7212</f>
        <v>0.44088817763554422</v>
      </c>
    </row>
    <row r="7214" spans="8:11">
      <c r="H7214">
        <f>SMALL(SimData5000!$B$9:$B$5008,2206)</f>
        <v>0.441098929121508</v>
      </c>
      <c r="I7214">
        <f>1/(COUNT(SimData5000!$B$9:$B$5008)-1)+$I$7213</f>
        <v>0.44108821764354583</v>
      </c>
      <c r="J7214">
        <f>SMALL(SimData5000!$C$9:$C$5008,2206)</f>
        <v>0.43611356058863748</v>
      </c>
      <c r="K7214">
        <f>1/(COUNT(SimData5000!$C$9:$C$5008)-1)+$K$7213</f>
        <v>0.44108821764354583</v>
      </c>
    </row>
    <row r="7215" spans="8:11">
      <c r="H7215">
        <f>SMALL(SimData5000!$B$9:$B$5008,2207)</f>
        <v>0.44126388515156323</v>
      </c>
      <c r="I7215">
        <f>1/(COUNT(SimData5000!$B$9:$B$5008)-1)+$I$7214</f>
        <v>0.44128825765154744</v>
      </c>
      <c r="J7215">
        <f>SMALL(SimData5000!$C$9:$C$5008,2207)</f>
        <v>0.43627805490905303</v>
      </c>
      <c r="K7215">
        <f>1/(COUNT(SimData5000!$C$9:$C$5008)-1)+$K$7214</f>
        <v>0.44128825765154744</v>
      </c>
    </row>
    <row r="7216" spans="8:11">
      <c r="H7216">
        <f>SMALL(SimData5000!$B$9:$B$5008,2208)</f>
        <v>0.44141242949115406</v>
      </c>
      <c r="I7216">
        <f>1/(COUNT(SimData5000!$B$9:$B$5008)-1)+$I$7215</f>
        <v>0.44148829765954906</v>
      </c>
      <c r="J7216">
        <f>SMALL(SimData5000!$C$9:$C$5008,2208)</f>
        <v>0.43638636995456181</v>
      </c>
      <c r="K7216">
        <f>1/(COUNT(SimData5000!$C$9:$C$5008)-1)+$K$7215</f>
        <v>0.44148829765954906</v>
      </c>
    </row>
    <row r="7217" spans="8:11">
      <c r="H7217">
        <f>SMALL(SimData5000!$B$9:$B$5008,2209)</f>
        <v>0.44172785895418554</v>
      </c>
      <c r="I7217">
        <f>1/(COUNT(SimData5000!$B$9:$B$5008)-1)+$I$7216</f>
        <v>0.44168833766755067</v>
      </c>
      <c r="J7217">
        <f>SMALL(SimData5000!$C$9:$C$5008,2209)</f>
        <v>0.43670255594042828</v>
      </c>
      <c r="K7217">
        <f>1/(COUNT(SimData5000!$C$9:$C$5008)-1)+$K$7216</f>
        <v>0.44168833766755067</v>
      </c>
    </row>
    <row r="7218" spans="8:11">
      <c r="H7218">
        <f>SMALL(SimData5000!$B$9:$B$5008,2210)</f>
        <v>0.4419775985450432</v>
      </c>
      <c r="I7218">
        <f>1/(COUNT(SimData5000!$B$9:$B$5008)-1)+$I$7217</f>
        <v>0.44188837767555228</v>
      </c>
      <c r="J7218">
        <f>SMALL(SimData5000!$C$9:$C$5008,2210)</f>
        <v>0.43701778608192399</v>
      </c>
      <c r="K7218">
        <f>1/(COUNT(SimData5000!$C$9:$C$5008)-1)+$K$7217</f>
        <v>0.44188837767555228</v>
      </c>
    </row>
    <row r="7219" spans="8:11">
      <c r="H7219">
        <f>SMALL(SimData5000!$B$9:$B$5008,2211)</f>
        <v>0.44214406630078895</v>
      </c>
      <c r="I7219">
        <f>1/(COUNT(SimData5000!$B$9:$B$5008)-1)+$I$7218</f>
        <v>0.44208841768355389</v>
      </c>
      <c r="J7219">
        <f>SMALL(SimData5000!$C$9:$C$5008,2211)</f>
        <v>0.43714993615412823</v>
      </c>
      <c r="K7219">
        <f>1/(COUNT(SimData5000!$C$9:$C$5008)-1)+$K$7218</f>
        <v>0.44208841768355389</v>
      </c>
    </row>
    <row r="7220" spans="8:11">
      <c r="H7220">
        <f>SMALL(SimData5000!$B$9:$B$5008,2212)</f>
        <v>0.44233743038231915</v>
      </c>
      <c r="I7220">
        <f>1/(COUNT(SimData5000!$B$9:$B$5008)-1)+$I$7219</f>
        <v>0.4422884576915555</v>
      </c>
      <c r="J7220">
        <f>SMALL(SimData5000!$C$9:$C$5008,2212)</f>
        <v>0.43717128346270329</v>
      </c>
      <c r="K7220">
        <f>1/(COUNT(SimData5000!$C$9:$C$5008)-1)+$K$7219</f>
        <v>0.4422884576915555</v>
      </c>
    </row>
    <row r="7221" spans="8:11">
      <c r="H7221">
        <f>SMALL(SimData5000!$B$9:$B$5008,2213)</f>
        <v>0.44257137710819289</v>
      </c>
      <c r="I7221">
        <f>1/(COUNT(SimData5000!$B$9:$B$5008)-1)+$I$7220</f>
        <v>0.44248849769955712</v>
      </c>
      <c r="J7221">
        <f>SMALL(SimData5000!$C$9:$C$5008,2213)</f>
        <v>0.43723678880087391</v>
      </c>
      <c r="K7221">
        <f>1/(COUNT(SimData5000!$C$9:$C$5008)-1)+$K$7220</f>
        <v>0.44248849769955712</v>
      </c>
    </row>
    <row r="7222" spans="8:11">
      <c r="H7222">
        <f>SMALL(SimData5000!$B$9:$B$5008,2214)</f>
        <v>0.44268757628465244</v>
      </c>
      <c r="I7222">
        <f>1/(COUNT(SimData5000!$B$9:$B$5008)-1)+$I$7221</f>
        <v>0.44268853770755873</v>
      </c>
      <c r="J7222">
        <f>SMALL(SimData5000!$C$9:$C$5008,2214)</f>
        <v>0.43737850619891105</v>
      </c>
      <c r="K7222">
        <f>1/(COUNT(SimData5000!$C$9:$C$5008)-1)+$K$7221</f>
        <v>0.44268853770755873</v>
      </c>
    </row>
    <row r="7223" spans="8:11">
      <c r="H7223">
        <f>SMALL(SimData5000!$B$9:$B$5008,2215)</f>
        <v>0.44292875442810564</v>
      </c>
      <c r="I7223">
        <f>1/(COUNT(SimData5000!$B$9:$B$5008)-1)+$I$7222</f>
        <v>0.44288857771556034</v>
      </c>
      <c r="J7223">
        <f>SMALL(SimData5000!$C$9:$C$5008,2215)</f>
        <v>0.4375663819591864</v>
      </c>
      <c r="K7223">
        <f>1/(COUNT(SimData5000!$C$9:$C$5008)-1)+$K$7222</f>
        <v>0.44288857771556034</v>
      </c>
    </row>
    <row r="7224" spans="8:11">
      <c r="H7224">
        <f>SMALL(SimData5000!$B$9:$B$5008,2216)</f>
        <v>0.4431546119285642</v>
      </c>
      <c r="I7224">
        <f>1/(COUNT(SimData5000!$B$9:$B$5008)-1)+$I$7223</f>
        <v>0.44308861772356195</v>
      </c>
      <c r="J7224">
        <f>SMALL(SimData5000!$C$9:$C$5008,2216)</f>
        <v>0.43757981794442458</v>
      </c>
      <c r="K7224">
        <f>1/(COUNT(SimData5000!$C$9:$C$5008)-1)+$K$7223</f>
        <v>0.44308861772356195</v>
      </c>
    </row>
    <row r="7225" spans="8:11">
      <c r="H7225">
        <f>SMALL(SimData5000!$B$9:$B$5008,2217)</f>
        <v>0.44330362218313468</v>
      </c>
      <c r="I7225">
        <f>1/(COUNT(SimData5000!$B$9:$B$5008)-1)+$I$7224</f>
        <v>0.44328865773156356</v>
      </c>
      <c r="J7225">
        <f>SMALL(SimData5000!$C$9:$C$5008,2217)</f>
        <v>0.43777127330758958</v>
      </c>
      <c r="K7225">
        <f>1/(COUNT(SimData5000!$C$9:$C$5008)-1)+$K$7224</f>
        <v>0.44328865773156356</v>
      </c>
    </row>
    <row r="7226" spans="8:11">
      <c r="H7226">
        <f>SMALL(SimData5000!$B$9:$B$5008,2218)</f>
        <v>0.44352659317709658</v>
      </c>
      <c r="I7226">
        <f>1/(COUNT(SimData5000!$B$9:$B$5008)-1)+$I$7225</f>
        <v>0.44348869773956517</v>
      </c>
      <c r="J7226">
        <f>SMALL(SimData5000!$C$9:$C$5008,2218)</f>
        <v>0.43814068421579577</v>
      </c>
      <c r="K7226">
        <f>1/(COUNT(SimData5000!$C$9:$C$5008)-1)+$K$7225</f>
        <v>0.44348869773956517</v>
      </c>
    </row>
    <row r="7227" spans="8:11">
      <c r="H7227">
        <f>SMALL(SimData5000!$B$9:$B$5008,2219)</f>
        <v>0.44362992083072433</v>
      </c>
      <c r="I7227">
        <f>1/(COUNT(SimData5000!$B$9:$B$5008)-1)+$I$7226</f>
        <v>0.44368873774756679</v>
      </c>
      <c r="J7227">
        <f>SMALL(SimData5000!$C$9:$C$5008,2219)</f>
        <v>0.43817168833265896</v>
      </c>
      <c r="K7227">
        <f>1/(COUNT(SimData5000!$C$9:$C$5008)-1)+$K$7226</f>
        <v>0.44368873774756679</v>
      </c>
    </row>
    <row r="7228" spans="8:11">
      <c r="H7228">
        <f>SMALL(SimData5000!$B$9:$B$5008,2220)</f>
        <v>0.44389758052106426</v>
      </c>
      <c r="I7228">
        <f>1/(COUNT(SimData5000!$B$9:$B$5008)-1)+$I$7227</f>
        <v>0.4438887777555684</v>
      </c>
      <c r="J7228">
        <f>SMALL(SimData5000!$C$9:$C$5008,2220)</f>
        <v>0.43819835657723161</v>
      </c>
      <c r="K7228">
        <f>1/(COUNT(SimData5000!$C$9:$C$5008)-1)+$K$7227</f>
        <v>0.4438887777555684</v>
      </c>
    </row>
    <row r="7229" spans="8:11">
      <c r="H7229">
        <f>SMALL(SimData5000!$B$9:$B$5008,2221)</f>
        <v>0.44417857852638198</v>
      </c>
      <c r="I7229">
        <f>1/(COUNT(SimData5000!$B$9:$B$5008)-1)+$I$7228</f>
        <v>0.44408881776357001</v>
      </c>
      <c r="J7229">
        <f>SMALL(SimData5000!$C$9:$C$5008,2221)</f>
        <v>0.43847906953851634</v>
      </c>
      <c r="K7229">
        <f>1/(COUNT(SimData5000!$C$9:$C$5008)-1)+$K$7228</f>
        <v>0.44408881776357001</v>
      </c>
    </row>
    <row r="7230" spans="8:11">
      <c r="H7230">
        <f>SMALL(SimData5000!$B$9:$B$5008,2222)</f>
        <v>0.44429988498135936</v>
      </c>
      <c r="I7230">
        <f>1/(COUNT(SimData5000!$B$9:$B$5008)-1)+$I$7229</f>
        <v>0.44428885777157162</v>
      </c>
      <c r="J7230">
        <f>SMALL(SimData5000!$C$9:$C$5008,2222)</f>
        <v>0.43857562137372952</v>
      </c>
      <c r="K7230">
        <f>1/(COUNT(SimData5000!$C$9:$C$5008)-1)+$K$7229</f>
        <v>0.44428885777157162</v>
      </c>
    </row>
    <row r="7231" spans="8:11">
      <c r="H7231">
        <f>SMALL(SimData5000!$B$9:$B$5008,2223)</f>
        <v>0.44452875539542386</v>
      </c>
      <c r="I7231">
        <f>1/(COUNT(SimData5000!$B$9:$B$5008)-1)+$I$7230</f>
        <v>0.44448889777957323</v>
      </c>
      <c r="J7231">
        <f>SMALL(SimData5000!$C$9:$C$5008,2223)</f>
        <v>0.43864450343971839</v>
      </c>
      <c r="K7231">
        <f>1/(COUNT(SimData5000!$C$9:$C$5008)-1)+$K$7230</f>
        <v>0.44448889777957323</v>
      </c>
    </row>
    <row r="7232" spans="8:11">
      <c r="H7232">
        <f>SMALL(SimData5000!$B$9:$B$5008,2224)</f>
        <v>0.44462068026867246</v>
      </c>
      <c r="I7232">
        <f>1/(COUNT(SimData5000!$B$9:$B$5008)-1)+$I$7231</f>
        <v>0.44468893778757485</v>
      </c>
      <c r="J7232">
        <f>SMALL(SimData5000!$C$9:$C$5008,2224)</f>
        <v>0.43872479630863381</v>
      </c>
      <c r="K7232">
        <f>1/(COUNT(SimData5000!$C$9:$C$5008)-1)+$K$7231</f>
        <v>0.44468893778757485</v>
      </c>
    </row>
    <row r="7233" spans="8:11">
      <c r="H7233">
        <f>SMALL(SimData5000!$B$9:$B$5008,2225)</f>
        <v>0.44493360959522743</v>
      </c>
      <c r="I7233">
        <f>1/(COUNT(SimData5000!$B$9:$B$5008)-1)+$I$7232</f>
        <v>0.44488897779557646</v>
      </c>
      <c r="J7233">
        <f>SMALL(SimData5000!$C$9:$C$5008,2225)</f>
        <v>0.43878129539100996</v>
      </c>
      <c r="K7233">
        <f>1/(COUNT(SimData5000!$C$9:$C$5008)-1)+$K$7232</f>
        <v>0.44488897779557646</v>
      </c>
    </row>
    <row r="7234" spans="8:11">
      <c r="H7234">
        <f>SMALL(SimData5000!$B$9:$B$5008,2226)</f>
        <v>0.44509087100613187</v>
      </c>
      <c r="I7234">
        <f>1/(COUNT(SimData5000!$B$9:$B$5008)-1)+$I$7233</f>
        <v>0.44508901780357807</v>
      </c>
      <c r="J7234">
        <f>SMALL(SimData5000!$C$9:$C$5008,2226)</f>
        <v>0.43882203272733022</v>
      </c>
      <c r="K7234">
        <f>1/(COUNT(SimData5000!$C$9:$C$5008)-1)+$K$7233</f>
        <v>0.44508901780357807</v>
      </c>
    </row>
    <row r="7235" spans="8:11">
      <c r="H7235">
        <f>SMALL(SimData5000!$B$9:$B$5008,2227)</f>
        <v>0.4453558028870625</v>
      </c>
      <c r="I7235">
        <f>1/(COUNT(SimData5000!$B$9:$B$5008)-1)+$I$7234</f>
        <v>0.44528905781157968</v>
      </c>
      <c r="J7235">
        <f>SMALL(SimData5000!$C$9:$C$5008,2227)</f>
        <v>0.4389141152478544</v>
      </c>
      <c r="K7235">
        <f>1/(COUNT(SimData5000!$C$9:$C$5008)-1)+$K$7234</f>
        <v>0.44528905781157968</v>
      </c>
    </row>
    <row r="7236" spans="8:11">
      <c r="H7236">
        <f>SMALL(SimData5000!$B$9:$B$5008,2228)</f>
        <v>0.44552635141311359</v>
      </c>
      <c r="I7236">
        <f>1/(COUNT(SimData5000!$B$9:$B$5008)-1)+$I$7235</f>
        <v>0.44548909781958129</v>
      </c>
      <c r="J7236">
        <f>SMALL(SimData5000!$C$9:$C$5008,2228)</f>
        <v>0.43928493320345297</v>
      </c>
      <c r="K7236">
        <f>1/(COUNT(SimData5000!$C$9:$C$5008)-1)+$K$7235</f>
        <v>0.44548909781958129</v>
      </c>
    </row>
    <row r="7237" spans="8:11">
      <c r="H7237">
        <f>SMALL(SimData5000!$B$9:$B$5008,2229)</f>
        <v>0.44564566776823383</v>
      </c>
      <c r="I7237">
        <f>1/(COUNT(SimData5000!$B$9:$B$5008)-1)+$I$7236</f>
        <v>0.4456891378275829</v>
      </c>
      <c r="J7237">
        <f>SMALL(SimData5000!$C$9:$C$5008,2229)</f>
        <v>0.43929596690850303</v>
      </c>
      <c r="K7237">
        <f>1/(COUNT(SimData5000!$C$9:$C$5008)-1)+$K$7236</f>
        <v>0.4456891378275829</v>
      </c>
    </row>
    <row r="7238" spans="8:11">
      <c r="H7238">
        <f>SMALL(SimData5000!$B$9:$B$5008,2230)</f>
        <v>0.4459573981651006</v>
      </c>
      <c r="I7238">
        <f>1/(COUNT(SimData5000!$B$9:$B$5008)-1)+$I$7237</f>
        <v>0.44588917783558452</v>
      </c>
      <c r="J7238">
        <f>SMALL(SimData5000!$C$9:$C$5008,2230)</f>
        <v>0.43932963505358202</v>
      </c>
      <c r="K7238">
        <f>1/(COUNT(SimData5000!$C$9:$C$5008)-1)+$K$7237</f>
        <v>0.44588917783558452</v>
      </c>
    </row>
    <row r="7239" spans="8:11">
      <c r="H7239">
        <f>SMALL(SimData5000!$B$9:$B$5008,2231)</f>
        <v>0.44607151577129761</v>
      </c>
      <c r="I7239">
        <f>1/(COUNT(SimData5000!$B$9:$B$5008)-1)+$I$7238</f>
        <v>0.44608921784358613</v>
      </c>
      <c r="J7239">
        <f>SMALL(SimData5000!$C$9:$C$5008,2231)</f>
        <v>0.43937188451309339</v>
      </c>
      <c r="K7239">
        <f>1/(COUNT(SimData5000!$C$9:$C$5008)-1)+$K$7238</f>
        <v>0.44608921784358613</v>
      </c>
    </row>
    <row r="7240" spans="8:11">
      <c r="H7240">
        <f>SMALL(SimData5000!$B$9:$B$5008,2232)</f>
        <v>0.44626221088372686</v>
      </c>
      <c r="I7240">
        <f>1/(COUNT(SimData5000!$B$9:$B$5008)-1)+$I$7239</f>
        <v>0.44628925785158774</v>
      </c>
      <c r="J7240">
        <f>SMALL(SimData5000!$C$9:$C$5008,2232)</f>
        <v>0.4397392535029212</v>
      </c>
      <c r="K7240">
        <f>1/(COUNT(SimData5000!$C$9:$C$5008)-1)+$K$7239</f>
        <v>0.44628925785158774</v>
      </c>
    </row>
    <row r="7241" spans="8:11">
      <c r="H7241">
        <f>SMALL(SimData5000!$B$9:$B$5008,2233)</f>
        <v>0.44658920130291702</v>
      </c>
      <c r="I7241">
        <f>1/(COUNT(SimData5000!$B$9:$B$5008)-1)+$I$7240</f>
        <v>0.44648929785958935</v>
      </c>
      <c r="J7241">
        <f>SMALL(SimData5000!$C$9:$C$5008,2233)</f>
        <v>0.43980108483356162</v>
      </c>
      <c r="K7241">
        <f>1/(COUNT(SimData5000!$C$9:$C$5008)-1)+$K$7240</f>
        <v>0.44648929785958935</v>
      </c>
    </row>
    <row r="7242" spans="8:11">
      <c r="H7242">
        <f>SMALL(SimData5000!$B$9:$B$5008,2234)</f>
        <v>0.44663943215525698</v>
      </c>
      <c r="I7242">
        <f>1/(COUNT(SimData5000!$B$9:$B$5008)-1)+$I$7241</f>
        <v>0.44668933786759096</v>
      </c>
      <c r="J7242">
        <f>SMALL(SimData5000!$C$9:$C$5008,2234)</f>
        <v>0.43983054382988485</v>
      </c>
      <c r="K7242">
        <f>1/(COUNT(SimData5000!$C$9:$C$5008)-1)+$K$7241</f>
        <v>0.44668933786759096</v>
      </c>
    </row>
    <row r="7243" spans="8:11">
      <c r="H7243">
        <f>SMALL(SimData5000!$B$9:$B$5008,2235)</f>
        <v>0.4468471137863228</v>
      </c>
      <c r="I7243">
        <f>1/(COUNT(SimData5000!$B$9:$B$5008)-1)+$I$7242</f>
        <v>0.44688937787559257</v>
      </c>
      <c r="J7243">
        <f>SMALL(SimData5000!$C$9:$C$5008,2235)</f>
        <v>0.44030391479009268</v>
      </c>
      <c r="K7243">
        <f>1/(COUNT(SimData5000!$C$9:$C$5008)-1)+$K$7242</f>
        <v>0.44688937787559257</v>
      </c>
    </row>
    <row r="7244" spans="8:11">
      <c r="H7244">
        <f>SMALL(SimData5000!$B$9:$B$5008,2236)</f>
        <v>0.44708500676841595</v>
      </c>
      <c r="I7244">
        <f>1/(COUNT(SimData5000!$B$9:$B$5008)-1)+$I$7243</f>
        <v>0.44708941788359419</v>
      </c>
      <c r="J7244">
        <f>SMALL(SimData5000!$C$9:$C$5008,2236)</f>
        <v>0.44049448637179012</v>
      </c>
      <c r="K7244">
        <f>1/(COUNT(SimData5000!$C$9:$C$5008)-1)+$K$7243</f>
        <v>0.44708941788359419</v>
      </c>
    </row>
    <row r="7245" spans="8:11">
      <c r="H7245">
        <f>SMALL(SimData5000!$B$9:$B$5008,2237)</f>
        <v>0.44726963419869298</v>
      </c>
      <c r="I7245">
        <f>1/(COUNT(SimData5000!$B$9:$B$5008)-1)+$I$7244</f>
        <v>0.4472894578915958</v>
      </c>
      <c r="J7245">
        <f>SMALL(SimData5000!$C$9:$C$5008,2237)</f>
        <v>0.44106202420789486</v>
      </c>
      <c r="K7245">
        <f>1/(COUNT(SimData5000!$C$9:$C$5008)-1)+$K$7244</f>
        <v>0.4472894578915958</v>
      </c>
    </row>
    <row r="7246" spans="8:11">
      <c r="H7246">
        <f>SMALL(SimData5000!$B$9:$B$5008,2238)</f>
        <v>0.44750258938355902</v>
      </c>
      <c r="I7246">
        <f>1/(COUNT(SimData5000!$B$9:$B$5008)-1)+$I$7245</f>
        <v>0.44748949789959741</v>
      </c>
      <c r="J7246">
        <f>SMALL(SimData5000!$C$9:$C$5008,2238)</f>
        <v>0.4411461115887505</v>
      </c>
      <c r="K7246">
        <f>1/(COUNT(SimData5000!$C$9:$C$5008)-1)+$K$7245</f>
        <v>0.44748949789959741</v>
      </c>
    </row>
    <row r="7247" spans="8:11">
      <c r="H7247">
        <f>SMALL(SimData5000!$B$9:$B$5008,2239)</f>
        <v>0.44773079241428776</v>
      </c>
      <c r="I7247">
        <f>1/(COUNT(SimData5000!$B$9:$B$5008)-1)+$I$7246</f>
        <v>0.44768953790759902</v>
      </c>
      <c r="J7247">
        <f>SMALL(SimData5000!$C$9:$C$5008,2239)</f>
        <v>0.44145450624182558</v>
      </c>
      <c r="K7247">
        <f>1/(COUNT(SimData5000!$C$9:$C$5008)-1)+$K$7246</f>
        <v>0.44768953790759902</v>
      </c>
    </row>
    <row r="7248" spans="8:11">
      <c r="H7248">
        <f>SMALL(SimData5000!$B$9:$B$5008,2240)</f>
        <v>0.44784789738092756</v>
      </c>
      <c r="I7248">
        <f>1/(COUNT(SimData5000!$B$9:$B$5008)-1)+$I$7247</f>
        <v>0.44788957791560063</v>
      </c>
      <c r="J7248">
        <f>SMALL(SimData5000!$C$9:$C$5008,2240)</f>
        <v>0.44175125593210396</v>
      </c>
      <c r="K7248">
        <f>1/(COUNT(SimData5000!$C$9:$C$5008)-1)+$K$7247</f>
        <v>0.44788957791560063</v>
      </c>
    </row>
    <row r="7249" spans="8:11">
      <c r="H7249">
        <f>SMALL(SimData5000!$B$9:$B$5008,2241)</f>
        <v>0.44808213239933409</v>
      </c>
      <c r="I7249">
        <f>1/(COUNT(SimData5000!$B$9:$B$5008)-1)+$I$7248</f>
        <v>0.44808961792360225</v>
      </c>
      <c r="J7249">
        <f>SMALL(SimData5000!$C$9:$C$5008,2241)</f>
        <v>0.44197740227355098</v>
      </c>
      <c r="K7249">
        <f>1/(COUNT(SimData5000!$C$9:$C$5008)-1)+$K$7248</f>
        <v>0.44808961792360225</v>
      </c>
    </row>
    <row r="7250" spans="8:11">
      <c r="H7250">
        <f>SMALL(SimData5000!$B$9:$B$5008,2242)</f>
        <v>0.44820908169690726</v>
      </c>
      <c r="I7250">
        <f>1/(COUNT(SimData5000!$B$9:$B$5008)-1)+$I$7249</f>
        <v>0.44828965793160386</v>
      </c>
      <c r="J7250">
        <f>SMALL(SimData5000!$C$9:$C$5008,2242)</f>
        <v>0.4420206046261228</v>
      </c>
      <c r="K7250">
        <f>1/(COUNT(SimData5000!$C$9:$C$5008)-1)+$K$7249</f>
        <v>0.44828965793160386</v>
      </c>
    </row>
    <row r="7251" spans="8:11">
      <c r="H7251">
        <f>SMALL(SimData5000!$B$9:$B$5008,2243)</f>
        <v>0.44849907028765867</v>
      </c>
      <c r="I7251">
        <f>1/(COUNT(SimData5000!$B$9:$B$5008)-1)+$I$7250</f>
        <v>0.44848969793960547</v>
      </c>
      <c r="J7251">
        <f>SMALL(SimData5000!$C$9:$C$5008,2243)</f>
        <v>0.44208310655267269</v>
      </c>
      <c r="K7251">
        <f>1/(COUNT(SimData5000!$C$9:$C$5008)-1)+$K$7250</f>
        <v>0.44848969793960547</v>
      </c>
    </row>
    <row r="7252" spans="8:11">
      <c r="H7252">
        <f>SMALL(SimData5000!$B$9:$B$5008,2244)</f>
        <v>0.44860838519404833</v>
      </c>
      <c r="I7252">
        <f>1/(COUNT(SimData5000!$B$9:$B$5008)-1)+$I$7251</f>
        <v>0.44868973794760708</v>
      </c>
      <c r="J7252">
        <f>SMALL(SimData5000!$C$9:$C$5008,2244)</f>
        <v>0.44223281776976364</v>
      </c>
      <c r="K7252">
        <f>1/(COUNT(SimData5000!$C$9:$C$5008)-1)+$K$7251</f>
        <v>0.44868973794760708</v>
      </c>
    </row>
    <row r="7253" spans="8:11">
      <c r="H7253">
        <f>SMALL(SimData5000!$B$9:$B$5008,2245)</f>
        <v>0.44895013715195237</v>
      </c>
      <c r="I7253">
        <f>1/(COUNT(SimData5000!$B$9:$B$5008)-1)+$I$7252</f>
        <v>0.44888977795560869</v>
      </c>
      <c r="J7253">
        <f>SMALL(SimData5000!$C$9:$C$5008,2245)</f>
        <v>0.44288005186535884</v>
      </c>
      <c r="K7253">
        <f>1/(COUNT(SimData5000!$C$9:$C$5008)-1)+$K$7252</f>
        <v>0.44888977795560869</v>
      </c>
    </row>
    <row r="7254" spans="8:11">
      <c r="H7254">
        <f>SMALL(SimData5000!$B$9:$B$5008,2246)</f>
        <v>0.44910737465752926</v>
      </c>
      <c r="I7254">
        <f>1/(COUNT(SimData5000!$B$9:$B$5008)-1)+$I$7253</f>
        <v>0.4490898179636103</v>
      </c>
      <c r="J7254">
        <f>SMALL(SimData5000!$C$9:$C$5008,2246)</f>
        <v>0.4431318200795431</v>
      </c>
      <c r="K7254">
        <f>1/(COUNT(SimData5000!$C$9:$C$5008)-1)+$K$7253</f>
        <v>0.4490898179636103</v>
      </c>
    </row>
    <row r="7255" spans="8:11">
      <c r="H7255">
        <f>SMALL(SimData5000!$B$9:$B$5008,2247)</f>
        <v>0.44934238621432859</v>
      </c>
      <c r="I7255">
        <f>1/(COUNT(SimData5000!$B$9:$B$5008)-1)+$I$7254</f>
        <v>0.44928985797161192</v>
      </c>
      <c r="J7255">
        <f>SMALL(SimData5000!$C$9:$C$5008,2247)</f>
        <v>0.44323115253882861</v>
      </c>
      <c r="K7255">
        <f>1/(COUNT(SimData5000!$C$9:$C$5008)-1)+$K$7254</f>
        <v>0.44928985797161192</v>
      </c>
    </row>
    <row r="7256" spans="8:11">
      <c r="H7256">
        <f>SMALL(SimData5000!$B$9:$B$5008,2248)</f>
        <v>0.44941755799628275</v>
      </c>
      <c r="I7256">
        <f>1/(COUNT(SimData5000!$B$9:$B$5008)-1)+$I$7255</f>
        <v>0.44948989797961353</v>
      </c>
      <c r="J7256">
        <f>SMALL(SimData5000!$C$9:$C$5008,2248)</f>
        <v>0.4432471464642731</v>
      </c>
      <c r="K7256">
        <f>1/(COUNT(SimData5000!$C$9:$C$5008)-1)+$K$7255</f>
        <v>0.44948989797961353</v>
      </c>
    </row>
    <row r="7257" spans="8:11">
      <c r="H7257">
        <f>SMALL(SimData5000!$B$9:$B$5008,2249)</f>
        <v>0.44975453164893081</v>
      </c>
      <c r="I7257">
        <f>1/(COUNT(SimData5000!$B$9:$B$5008)-1)+$I$7256</f>
        <v>0.44968993798761514</v>
      </c>
      <c r="J7257">
        <f>SMALL(SimData5000!$C$9:$C$5008,2249)</f>
        <v>0.44347814866344493</v>
      </c>
      <c r="K7257">
        <f>1/(COUNT(SimData5000!$C$9:$C$5008)-1)+$K$7256</f>
        <v>0.44968993798761514</v>
      </c>
    </row>
    <row r="7258" spans="8:11">
      <c r="H7258">
        <f>SMALL(SimData5000!$B$9:$B$5008,2250)</f>
        <v>0.44988888817175504</v>
      </c>
      <c r="I7258">
        <f>1/(COUNT(SimData5000!$B$9:$B$5008)-1)+$I$7257</f>
        <v>0.44988997799561675</v>
      </c>
      <c r="J7258">
        <f>SMALL(SimData5000!$C$9:$C$5008,2250)</f>
        <v>0.44477336783893406</v>
      </c>
      <c r="K7258">
        <f>1/(COUNT(SimData5000!$C$9:$C$5008)-1)+$K$7257</f>
        <v>0.44988997799561675</v>
      </c>
    </row>
    <row r="7259" spans="8:11">
      <c r="H7259">
        <f>SMALL(SimData5000!$B$9:$B$5008,2251)</f>
        <v>0.4500918231723578</v>
      </c>
      <c r="I7259">
        <f>1/(COUNT(SimData5000!$B$9:$B$5008)-1)+$I$7258</f>
        <v>0.45009001800361836</v>
      </c>
      <c r="J7259">
        <f>SMALL(SimData5000!$C$9:$C$5008,2251)</f>
        <v>0.44483863430014026</v>
      </c>
      <c r="K7259">
        <f>1/(COUNT(SimData5000!$C$9:$C$5008)-1)+$K$7258</f>
        <v>0.45009001800361836</v>
      </c>
    </row>
    <row r="7260" spans="8:11">
      <c r="H7260">
        <f>SMALL(SimData5000!$B$9:$B$5008,2252)</f>
        <v>0.45020185690373227</v>
      </c>
      <c r="I7260">
        <f>1/(COUNT(SimData5000!$B$9:$B$5008)-1)+$I$7259</f>
        <v>0.45029005801161998</v>
      </c>
      <c r="J7260">
        <f>SMALL(SimData5000!$C$9:$C$5008,2252)</f>
        <v>0.44490934515671654</v>
      </c>
      <c r="K7260">
        <f>1/(COUNT(SimData5000!$C$9:$C$5008)-1)+$K$7259</f>
        <v>0.45029005801161998</v>
      </c>
    </row>
    <row r="7261" spans="8:11">
      <c r="H7261">
        <f>SMALL(SimData5000!$B$9:$B$5008,2253)</f>
        <v>0.4505874552272231</v>
      </c>
      <c r="I7261">
        <f>1/(COUNT(SimData5000!$B$9:$B$5008)-1)+$I$7260</f>
        <v>0.45049009801962159</v>
      </c>
      <c r="J7261">
        <f>SMALL(SimData5000!$C$9:$C$5008,2253)</f>
        <v>0.44510458131026098</v>
      </c>
      <c r="K7261">
        <f>1/(COUNT(SimData5000!$C$9:$C$5008)-1)+$K$7260</f>
        <v>0.45049009801962159</v>
      </c>
    </row>
    <row r="7262" spans="8:11">
      <c r="H7262">
        <f>SMALL(SimData5000!$B$9:$B$5008,2254)</f>
        <v>0.45075157587080067</v>
      </c>
      <c r="I7262">
        <f>1/(COUNT(SimData5000!$B$9:$B$5008)-1)+$I$7261</f>
        <v>0.4506901380276232</v>
      </c>
      <c r="J7262">
        <f>SMALL(SimData5000!$C$9:$C$5008,2254)</f>
        <v>0.44511121531013487</v>
      </c>
      <c r="K7262">
        <f>1/(COUNT(SimData5000!$C$9:$C$5008)-1)+$K$7261</f>
        <v>0.4506901380276232</v>
      </c>
    </row>
    <row r="7263" spans="8:11">
      <c r="H7263">
        <f>SMALL(SimData5000!$B$9:$B$5008,2255)</f>
        <v>0.45096923308069098</v>
      </c>
      <c r="I7263">
        <f>1/(COUNT(SimData5000!$B$9:$B$5008)-1)+$I$7262</f>
        <v>0.45089017803562481</v>
      </c>
      <c r="J7263">
        <f>SMALL(SimData5000!$C$9:$C$5008,2255)</f>
        <v>0.44520367230688862</v>
      </c>
      <c r="K7263">
        <f>1/(COUNT(SimData5000!$C$9:$C$5008)-1)+$K$7262</f>
        <v>0.45089017803562481</v>
      </c>
    </row>
    <row r="7264" spans="8:11">
      <c r="H7264">
        <f>SMALL(SimData5000!$B$9:$B$5008,2256)</f>
        <v>0.45119519466296659</v>
      </c>
      <c r="I7264">
        <f>1/(COUNT(SimData5000!$B$9:$B$5008)-1)+$I$7263</f>
        <v>0.45109021804362642</v>
      </c>
      <c r="J7264">
        <f>SMALL(SimData5000!$C$9:$C$5008,2256)</f>
        <v>0.44521363534204283</v>
      </c>
      <c r="K7264">
        <f>1/(COUNT(SimData5000!$C$9:$C$5008)-1)+$K$7263</f>
        <v>0.45109021804362642</v>
      </c>
    </row>
    <row r="7265" spans="8:11">
      <c r="H7265">
        <f>SMALL(SimData5000!$B$9:$B$5008,2257)</f>
        <v>0.45126403815617416</v>
      </c>
      <c r="I7265">
        <f>1/(COUNT(SimData5000!$B$9:$B$5008)-1)+$I$7264</f>
        <v>0.45129025805162803</v>
      </c>
      <c r="J7265">
        <f>SMALL(SimData5000!$C$9:$C$5008,2257)</f>
        <v>0.44527929986090342</v>
      </c>
      <c r="K7265">
        <f>1/(COUNT(SimData5000!$C$9:$C$5008)-1)+$K$7264</f>
        <v>0.45129025805162803</v>
      </c>
    </row>
    <row r="7266" spans="8:11">
      <c r="H7266">
        <f>SMALL(SimData5000!$B$9:$B$5008,2258)</f>
        <v>0.45141714831837854</v>
      </c>
      <c r="I7266">
        <f>1/(COUNT(SimData5000!$B$9:$B$5008)-1)+$I$7265</f>
        <v>0.45149029805962965</v>
      </c>
      <c r="J7266">
        <f>SMALL(SimData5000!$C$9:$C$5008,2258)</f>
        <v>0.44580063284320204</v>
      </c>
      <c r="K7266">
        <f>1/(COUNT(SimData5000!$C$9:$C$5008)-1)+$K$7265</f>
        <v>0.45149029805962965</v>
      </c>
    </row>
    <row r="7267" spans="8:11">
      <c r="H7267">
        <f>SMALL(SimData5000!$B$9:$B$5008,2259)</f>
        <v>0.45164393591900442</v>
      </c>
      <c r="I7267">
        <f>1/(COUNT(SimData5000!$B$9:$B$5008)-1)+$I$7266</f>
        <v>0.45169033806763126</v>
      </c>
      <c r="J7267">
        <f>SMALL(SimData5000!$C$9:$C$5008,2259)</f>
        <v>0.44597723107564491</v>
      </c>
      <c r="K7267">
        <f>1/(COUNT(SimData5000!$C$9:$C$5008)-1)+$K$7266</f>
        <v>0.45169033806763126</v>
      </c>
    </row>
    <row r="7268" spans="8:11">
      <c r="H7268">
        <f>SMALL(SimData5000!$B$9:$B$5008,2260)</f>
        <v>0.45185195556125884</v>
      </c>
      <c r="I7268">
        <f>1/(COUNT(SimData5000!$B$9:$B$5008)-1)+$I$7267</f>
        <v>0.45189037807563287</v>
      </c>
      <c r="J7268">
        <f>SMALL(SimData5000!$C$9:$C$5008,2260)</f>
        <v>0.44616937789126609</v>
      </c>
      <c r="K7268">
        <f>1/(COUNT(SimData5000!$C$9:$C$5008)-1)+$K$7267</f>
        <v>0.45189037807563287</v>
      </c>
    </row>
    <row r="7269" spans="8:11">
      <c r="H7269">
        <f>SMALL(SimData5000!$B$9:$B$5008,2261)</f>
        <v>0.45217735803457382</v>
      </c>
      <c r="I7269">
        <f>1/(COUNT(SimData5000!$B$9:$B$5008)-1)+$I$7268</f>
        <v>0.45209041808363448</v>
      </c>
      <c r="J7269">
        <f>SMALL(SimData5000!$C$9:$C$5008,2261)</f>
        <v>0.44630706880343496</v>
      </c>
      <c r="K7269">
        <f>1/(COUNT(SimData5000!$C$9:$C$5008)-1)+$K$7268</f>
        <v>0.45209041808363448</v>
      </c>
    </row>
    <row r="7270" spans="8:11">
      <c r="H7270">
        <f>SMALL(SimData5000!$B$9:$B$5008,2262)</f>
        <v>0.45222979642376993</v>
      </c>
      <c r="I7270">
        <f>1/(COUNT(SimData5000!$B$9:$B$5008)-1)+$I$7269</f>
        <v>0.45229045809163609</v>
      </c>
      <c r="J7270">
        <f>SMALL(SimData5000!$C$9:$C$5008,2262)</f>
        <v>0.4475357597502807</v>
      </c>
      <c r="K7270">
        <f>1/(COUNT(SimData5000!$C$9:$C$5008)-1)+$K$7269</f>
        <v>0.45229045809163609</v>
      </c>
    </row>
    <row r="7271" spans="8:11">
      <c r="H7271">
        <f>SMALL(SimData5000!$B$9:$B$5008,2263)</f>
        <v>0.45258681362392073</v>
      </c>
      <c r="I7271">
        <f>1/(COUNT(SimData5000!$B$9:$B$5008)-1)+$I$7270</f>
        <v>0.45249049809963771</v>
      </c>
      <c r="J7271">
        <f>SMALL(SimData5000!$C$9:$C$5008,2263)</f>
        <v>0.44763530533327867</v>
      </c>
      <c r="K7271">
        <f>1/(COUNT(SimData5000!$C$9:$C$5008)-1)+$K$7270</f>
        <v>0.45249049809963771</v>
      </c>
    </row>
    <row r="7272" spans="8:11">
      <c r="H7272">
        <f>SMALL(SimData5000!$B$9:$B$5008,2264)</f>
        <v>0.45266149173841375</v>
      </c>
      <c r="I7272">
        <f>1/(COUNT(SimData5000!$B$9:$B$5008)-1)+$I$7271</f>
        <v>0.45269053810763932</v>
      </c>
      <c r="J7272">
        <f>SMALL(SimData5000!$C$9:$C$5008,2264)</f>
        <v>0.44774044005134783</v>
      </c>
      <c r="K7272">
        <f>1/(COUNT(SimData5000!$C$9:$C$5008)-1)+$K$7271</f>
        <v>0.45269053810763932</v>
      </c>
    </row>
    <row r="7273" spans="8:11">
      <c r="H7273">
        <f>SMALL(SimData5000!$B$9:$B$5008,2265)</f>
        <v>0.45284578416977211</v>
      </c>
      <c r="I7273">
        <f>1/(COUNT(SimData5000!$B$9:$B$5008)-1)+$I$7272</f>
        <v>0.45289057811564093</v>
      </c>
      <c r="J7273">
        <f>SMALL(SimData5000!$C$9:$C$5008,2265)</f>
        <v>0.44791005419210705</v>
      </c>
      <c r="K7273">
        <f>1/(COUNT(SimData5000!$C$9:$C$5008)-1)+$K$7272</f>
        <v>0.45289057811564093</v>
      </c>
    </row>
    <row r="7274" spans="8:11">
      <c r="H7274">
        <f>SMALL(SimData5000!$B$9:$B$5008,2266)</f>
        <v>0.45319339763340388</v>
      </c>
      <c r="I7274">
        <f>1/(COUNT(SimData5000!$B$9:$B$5008)-1)+$I$7273</f>
        <v>0.45309061812364254</v>
      </c>
      <c r="J7274">
        <f>SMALL(SimData5000!$C$9:$C$5008,2266)</f>
        <v>0.44791921876321794</v>
      </c>
      <c r="K7274">
        <f>1/(COUNT(SimData5000!$C$9:$C$5008)-1)+$K$7273</f>
        <v>0.45309061812364254</v>
      </c>
    </row>
    <row r="7275" spans="8:11">
      <c r="H7275">
        <f>SMALL(SimData5000!$B$9:$B$5008,2267)</f>
        <v>0.45330905411902561</v>
      </c>
      <c r="I7275">
        <f>1/(COUNT(SimData5000!$B$9:$B$5008)-1)+$I$7274</f>
        <v>0.45329065813164415</v>
      </c>
      <c r="J7275">
        <f>SMALL(SimData5000!$C$9:$C$5008,2267)</f>
        <v>0.44803783940642461</v>
      </c>
      <c r="K7275">
        <f>1/(COUNT(SimData5000!$C$9:$C$5008)-1)+$K$7274</f>
        <v>0.45329065813164415</v>
      </c>
    </row>
    <row r="7276" spans="8:11">
      <c r="H7276">
        <f>SMALL(SimData5000!$B$9:$B$5008,2268)</f>
        <v>0.45359798467368773</v>
      </c>
      <c r="I7276">
        <f>1/(COUNT(SimData5000!$B$9:$B$5008)-1)+$I$7275</f>
        <v>0.45349069813964576</v>
      </c>
      <c r="J7276">
        <f>SMALL(SimData5000!$C$9:$C$5008,2268)</f>
        <v>0.44804157369799213</v>
      </c>
      <c r="K7276">
        <f>1/(COUNT(SimData5000!$C$9:$C$5008)-1)+$K$7275</f>
        <v>0.45349069813964576</v>
      </c>
    </row>
    <row r="7277" spans="8:11">
      <c r="H7277">
        <f>SMALL(SimData5000!$B$9:$B$5008,2269)</f>
        <v>0.45360785524691638</v>
      </c>
      <c r="I7277">
        <f>1/(COUNT(SimData5000!$B$9:$B$5008)-1)+$I$7276</f>
        <v>0.45369073814764738</v>
      </c>
      <c r="J7277">
        <f>SMALL(SimData5000!$C$9:$C$5008,2269)</f>
        <v>0.44809867164258321</v>
      </c>
      <c r="K7277">
        <f>1/(COUNT(SimData5000!$C$9:$C$5008)-1)+$K$7276</f>
        <v>0.45369073814764738</v>
      </c>
    </row>
    <row r="7278" spans="8:11">
      <c r="H7278">
        <f>SMALL(SimData5000!$B$9:$B$5008,2270)</f>
        <v>0.45397217388068611</v>
      </c>
      <c r="I7278">
        <f>1/(COUNT(SimData5000!$B$9:$B$5008)-1)+$I$7277</f>
        <v>0.45389077815564899</v>
      </c>
      <c r="J7278">
        <f>SMALL(SimData5000!$C$9:$C$5008,2270)</f>
        <v>0.44847645047411788</v>
      </c>
      <c r="K7278">
        <f>1/(COUNT(SimData5000!$C$9:$C$5008)-1)+$K$7277</f>
        <v>0.45389077815564899</v>
      </c>
    </row>
    <row r="7279" spans="8:11">
      <c r="H7279">
        <f>SMALL(SimData5000!$B$9:$B$5008,2271)</f>
        <v>0.45400810454329665</v>
      </c>
      <c r="I7279">
        <f>1/(COUNT(SimData5000!$B$9:$B$5008)-1)+$I$7278</f>
        <v>0.4540908181636506</v>
      </c>
      <c r="J7279">
        <f>SMALL(SimData5000!$C$9:$C$5008,2271)</f>
        <v>0.44859299911513517</v>
      </c>
      <c r="K7279">
        <f>1/(COUNT(SimData5000!$C$9:$C$5008)-1)+$K$7278</f>
        <v>0.4540908181636506</v>
      </c>
    </row>
    <row r="7280" spans="8:11">
      <c r="H7280">
        <f>SMALL(SimData5000!$B$9:$B$5008,2272)</f>
        <v>0.45439190157521325</v>
      </c>
      <c r="I7280">
        <f>1/(COUNT(SimData5000!$B$9:$B$5008)-1)+$I$7279</f>
        <v>0.45429085817165221</v>
      </c>
      <c r="J7280">
        <f>SMALL(SimData5000!$C$9:$C$5008,2272)</f>
        <v>0.44864738435080653</v>
      </c>
      <c r="K7280">
        <f>1/(COUNT(SimData5000!$C$9:$C$5008)-1)+$K$7279</f>
        <v>0.45429085817165221</v>
      </c>
    </row>
    <row r="7281" spans="8:11">
      <c r="H7281">
        <f>SMALL(SimData5000!$B$9:$B$5008,2273)</f>
        <v>0.45454026621192234</v>
      </c>
      <c r="I7281">
        <f>1/(COUNT(SimData5000!$B$9:$B$5008)-1)+$I$7280</f>
        <v>0.45449089817965382</v>
      </c>
      <c r="J7281">
        <f>SMALL(SimData5000!$C$9:$C$5008,2273)</f>
        <v>0.44867946418344218</v>
      </c>
      <c r="K7281">
        <f>1/(COUNT(SimData5000!$C$9:$C$5008)-1)+$K$7280</f>
        <v>0.45449089817965382</v>
      </c>
    </row>
    <row r="7282" spans="8:11">
      <c r="H7282">
        <f>SMALL(SimData5000!$B$9:$B$5008,2274)</f>
        <v>0.45463912611455637</v>
      </c>
      <c r="I7282">
        <f>1/(COUNT(SimData5000!$B$9:$B$5008)-1)+$I$7281</f>
        <v>0.45469093818765544</v>
      </c>
      <c r="J7282">
        <f>SMALL(SimData5000!$C$9:$C$5008,2274)</f>
        <v>0.44868581622642978</v>
      </c>
      <c r="K7282">
        <f>1/(COUNT(SimData5000!$C$9:$C$5008)-1)+$K$7281</f>
        <v>0.45469093818765544</v>
      </c>
    </row>
    <row r="7283" spans="8:11">
      <c r="H7283">
        <f>SMALL(SimData5000!$B$9:$B$5008,2275)</f>
        <v>0.45496248793531269</v>
      </c>
      <c r="I7283">
        <f>1/(COUNT(SimData5000!$B$9:$B$5008)-1)+$I$7282</f>
        <v>0.45489097819565705</v>
      </c>
      <c r="J7283">
        <f>SMALL(SimData5000!$C$9:$C$5008,2275)</f>
        <v>0.44871087670617271</v>
      </c>
      <c r="K7283">
        <f>1/(COUNT(SimData5000!$C$9:$C$5008)-1)+$K$7282</f>
        <v>0.45489097819565705</v>
      </c>
    </row>
    <row r="7284" spans="8:11">
      <c r="H7284">
        <f>SMALL(SimData5000!$B$9:$B$5008,2276)</f>
        <v>0.45509845161770901</v>
      </c>
      <c r="I7284">
        <f>1/(COUNT(SimData5000!$B$9:$B$5008)-1)+$I$7283</f>
        <v>0.45509101820365866</v>
      </c>
      <c r="J7284">
        <f>SMALL(SimData5000!$C$9:$C$5008,2276)</f>
        <v>0.44885632689783961</v>
      </c>
      <c r="K7284">
        <f>1/(COUNT(SimData5000!$C$9:$C$5008)-1)+$K$7283</f>
        <v>0.45509101820365866</v>
      </c>
    </row>
    <row r="7285" spans="8:11">
      <c r="H7285">
        <f>SMALL(SimData5000!$B$9:$B$5008,2277)</f>
        <v>0.45520167471608186</v>
      </c>
      <c r="I7285">
        <f>1/(COUNT(SimData5000!$B$9:$B$5008)-1)+$I$7284</f>
        <v>0.45529105821166027</v>
      </c>
      <c r="J7285">
        <f>SMALL(SimData5000!$C$9:$C$5008,2277)</f>
        <v>0.44891266138893116</v>
      </c>
      <c r="K7285">
        <f>1/(COUNT(SimData5000!$C$9:$C$5008)-1)+$K$7284</f>
        <v>0.45529105821166027</v>
      </c>
    </row>
    <row r="7286" spans="8:11">
      <c r="H7286">
        <f>SMALL(SimData5000!$B$9:$B$5008,2278)</f>
        <v>0.45544612944830348</v>
      </c>
      <c r="I7286">
        <f>1/(COUNT(SimData5000!$B$9:$B$5008)-1)+$I$7285</f>
        <v>0.45549109821966188</v>
      </c>
      <c r="J7286">
        <f>SMALL(SimData5000!$C$9:$C$5008,2278)</f>
        <v>0.44900361897543917</v>
      </c>
      <c r="K7286">
        <f>1/(COUNT(SimData5000!$C$9:$C$5008)-1)+$K$7285</f>
        <v>0.45549109821966188</v>
      </c>
    </row>
    <row r="7287" spans="8:11">
      <c r="H7287">
        <f>SMALL(SimData5000!$B$9:$B$5008,2279)</f>
        <v>0.45571752908139435</v>
      </c>
      <c r="I7287">
        <f>1/(COUNT(SimData5000!$B$9:$B$5008)-1)+$I$7286</f>
        <v>0.45569113822766349</v>
      </c>
      <c r="J7287">
        <f>SMALL(SimData5000!$C$9:$C$5008,2279)</f>
        <v>0.44907483886981936</v>
      </c>
      <c r="K7287">
        <f>1/(COUNT(SimData5000!$C$9:$C$5008)-1)+$K$7286</f>
        <v>0.45569113822766349</v>
      </c>
    </row>
    <row r="7288" spans="8:11">
      <c r="H7288">
        <f>SMALL(SimData5000!$B$9:$B$5008,2280)</f>
        <v>0.45592094996825816</v>
      </c>
      <c r="I7288">
        <f>1/(COUNT(SimData5000!$B$9:$B$5008)-1)+$I$7287</f>
        <v>0.45589117823566511</v>
      </c>
      <c r="J7288">
        <f>SMALL(SimData5000!$C$9:$C$5008,2280)</f>
        <v>0.44914219418116663</v>
      </c>
      <c r="K7288">
        <f>1/(COUNT(SimData5000!$C$9:$C$5008)-1)+$K$7287</f>
        <v>0.45589117823566511</v>
      </c>
    </row>
    <row r="7289" spans="8:11">
      <c r="H7289">
        <f>SMALL(SimData5000!$B$9:$B$5008,2281)</f>
        <v>0.45608380756328909</v>
      </c>
      <c r="I7289">
        <f>1/(COUNT(SimData5000!$B$9:$B$5008)-1)+$I$7288</f>
        <v>0.45609121824366672</v>
      </c>
      <c r="J7289">
        <f>SMALL(SimData5000!$C$9:$C$5008,2281)</f>
        <v>0.44957404222442676</v>
      </c>
      <c r="K7289">
        <f>1/(COUNT(SimData5000!$C$9:$C$5008)-1)+$K$7288</f>
        <v>0.45609121824366672</v>
      </c>
    </row>
    <row r="7290" spans="8:11">
      <c r="H7290">
        <f>SMALL(SimData5000!$B$9:$B$5008,2282)</f>
        <v>0.45629176715488823</v>
      </c>
      <c r="I7290">
        <f>1/(COUNT(SimData5000!$B$9:$B$5008)-1)+$I$7289</f>
        <v>0.45629125825166833</v>
      </c>
      <c r="J7290">
        <f>SMALL(SimData5000!$C$9:$C$5008,2282)</f>
        <v>0.45009019566441566</v>
      </c>
      <c r="K7290">
        <f>1/(COUNT(SimData5000!$C$9:$C$5008)-1)+$K$7289</f>
        <v>0.45629125825166833</v>
      </c>
    </row>
    <row r="7291" spans="8:11">
      <c r="H7291">
        <f>SMALL(SimData5000!$B$9:$B$5008,2283)</f>
        <v>0.45649879187589948</v>
      </c>
      <c r="I7291">
        <f>1/(COUNT(SimData5000!$B$9:$B$5008)-1)+$I$7290</f>
        <v>0.45649129825966994</v>
      </c>
      <c r="J7291">
        <f>SMALL(SimData5000!$C$9:$C$5008,2283)</f>
        <v>0.45017629710218898</v>
      </c>
      <c r="K7291">
        <f>1/(COUNT(SimData5000!$C$9:$C$5008)-1)+$K$7290</f>
        <v>0.45649129825966994</v>
      </c>
    </row>
    <row r="7292" spans="8:11">
      <c r="H7292">
        <f>SMALL(SimData5000!$B$9:$B$5008,2284)</f>
        <v>0.45673697536716634</v>
      </c>
      <c r="I7292">
        <f>1/(COUNT(SimData5000!$B$9:$B$5008)-1)+$I$7291</f>
        <v>0.45669133826767155</v>
      </c>
      <c r="J7292">
        <f>SMALL(SimData5000!$C$9:$C$5008,2284)</f>
        <v>0.45022977321332291</v>
      </c>
      <c r="K7292">
        <f>1/(COUNT(SimData5000!$C$9:$C$5008)-1)+$K$7291</f>
        <v>0.45669133826767155</v>
      </c>
    </row>
    <row r="7293" spans="8:11">
      <c r="H7293">
        <f>SMALL(SimData5000!$B$9:$B$5008,2285)</f>
        <v>0.45687029430509318</v>
      </c>
      <c r="I7293">
        <f>1/(COUNT(SimData5000!$B$9:$B$5008)-1)+$I$7292</f>
        <v>0.45689137827567317</v>
      </c>
      <c r="J7293">
        <f>SMALL(SimData5000!$C$9:$C$5008,2285)</f>
        <v>0.45090100785819232</v>
      </c>
      <c r="K7293">
        <f>1/(COUNT(SimData5000!$C$9:$C$5008)-1)+$K$7292</f>
        <v>0.45689137827567317</v>
      </c>
    </row>
    <row r="7294" spans="8:11">
      <c r="H7294">
        <f>SMALL(SimData5000!$B$9:$B$5008,2286)</f>
        <v>0.45708371937411924</v>
      </c>
      <c r="I7294">
        <f>1/(COUNT(SimData5000!$B$9:$B$5008)-1)+$I$7293</f>
        <v>0.45709141828367478</v>
      </c>
      <c r="J7294">
        <f>SMALL(SimData5000!$C$9:$C$5008,2286)</f>
        <v>0.45098743311609724</v>
      </c>
      <c r="K7294">
        <f>1/(COUNT(SimData5000!$C$9:$C$5008)-1)+$K$7293</f>
        <v>0.45709141828367478</v>
      </c>
    </row>
    <row r="7295" spans="8:11">
      <c r="H7295">
        <f>SMALL(SimData5000!$B$9:$B$5008,2287)</f>
        <v>0.45731771749302691</v>
      </c>
      <c r="I7295">
        <f>1/(COUNT(SimData5000!$B$9:$B$5008)-1)+$I$7294</f>
        <v>0.45729145829167639</v>
      </c>
      <c r="J7295">
        <f>SMALL(SimData5000!$C$9:$C$5008,2287)</f>
        <v>0.45112593260455469</v>
      </c>
      <c r="K7295">
        <f>1/(COUNT(SimData5000!$C$9:$C$5008)-1)+$K$7294</f>
        <v>0.45729145829167639</v>
      </c>
    </row>
    <row r="7296" spans="8:11">
      <c r="H7296">
        <f>SMALL(SimData5000!$B$9:$B$5008,2288)</f>
        <v>0.45754466302197999</v>
      </c>
      <c r="I7296">
        <f>1/(COUNT(SimData5000!$B$9:$B$5008)-1)+$I$7295</f>
        <v>0.457491498299678</v>
      </c>
      <c r="J7296">
        <f>SMALL(SimData5000!$C$9:$C$5008,2288)</f>
        <v>0.45115796545178455</v>
      </c>
      <c r="K7296">
        <f>1/(COUNT(SimData5000!$C$9:$C$5008)-1)+$K$7295</f>
        <v>0.457491498299678</v>
      </c>
    </row>
    <row r="7297" spans="8:11">
      <c r="H7297">
        <f>SMALL(SimData5000!$B$9:$B$5008,2289)</f>
        <v>0.45768604105284577</v>
      </c>
      <c r="I7297">
        <f>1/(COUNT(SimData5000!$B$9:$B$5008)-1)+$I$7296</f>
        <v>0.45769153830767961</v>
      </c>
      <c r="J7297">
        <f>SMALL(SimData5000!$C$9:$C$5008,2289)</f>
        <v>0.45119309169240296</v>
      </c>
      <c r="K7297">
        <f>1/(COUNT(SimData5000!$C$9:$C$5008)-1)+$K$7296</f>
        <v>0.45769153830767961</v>
      </c>
    </row>
    <row r="7298" spans="8:11">
      <c r="H7298">
        <f>SMALL(SimData5000!$B$9:$B$5008,2290)</f>
        <v>0.4578434965437379</v>
      </c>
      <c r="I7298">
        <f>1/(COUNT(SimData5000!$B$9:$B$5008)-1)+$I$7297</f>
        <v>0.45789157831568122</v>
      </c>
      <c r="J7298">
        <f>SMALL(SimData5000!$C$9:$C$5008,2290)</f>
        <v>0.45134657858125138</v>
      </c>
      <c r="K7298">
        <f>1/(COUNT(SimData5000!$C$9:$C$5008)-1)+$K$7297</f>
        <v>0.45789157831568122</v>
      </c>
    </row>
    <row r="7299" spans="8:11">
      <c r="H7299">
        <f>SMALL(SimData5000!$B$9:$B$5008,2291)</f>
        <v>0.45815994450486258</v>
      </c>
      <c r="I7299">
        <f>1/(COUNT(SimData5000!$B$9:$B$5008)-1)+$I$7298</f>
        <v>0.45809161832368284</v>
      </c>
      <c r="J7299">
        <f>SMALL(SimData5000!$C$9:$C$5008,2291)</f>
        <v>0.45140012966021459</v>
      </c>
      <c r="K7299">
        <f>1/(COUNT(SimData5000!$C$9:$C$5008)-1)+$K$7298</f>
        <v>0.45809161832368284</v>
      </c>
    </row>
    <row r="7300" spans="8:11">
      <c r="H7300">
        <f>SMALL(SimData5000!$B$9:$B$5008,2292)</f>
        <v>0.45830585004158919</v>
      </c>
      <c r="I7300">
        <f>1/(COUNT(SimData5000!$B$9:$B$5008)-1)+$I$7299</f>
        <v>0.45829165833168445</v>
      </c>
      <c r="J7300">
        <f>SMALL(SimData5000!$C$9:$C$5008,2292)</f>
        <v>0.45143587801339891</v>
      </c>
      <c r="K7300">
        <f>1/(COUNT(SimData5000!$C$9:$C$5008)-1)+$K$7299</f>
        <v>0.45829165833168445</v>
      </c>
    </row>
    <row r="7301" spans="8:11">
      <c r="H7301">
        <f>SMALL(SimData5000!$B$9:$B$5008,2293)</f>
        <v>0.45852114506548297</v>
      </c>
      <c r="I7301">
        <f>1/(COUNT(SimData5000!$B$9:$B$5008)-1)+$I$7300</f>
        <v>0.45849169833968606</v>
      </c>
      <c r="J7301">
        <f>SMALL(SimData5000!$C$9:$C$5008,2293)</f>
        <v>0.45197191622082755</v>
      </c>
      <c r="K7301">
        <f>1/(COUNT(SimData5000!$C$9:$C$5008)-1)+$K$7300</f>
        <v>0.45849169833968606</v>
      </c>
    </row>
    <row r="7302" spans="8:11">
      <c r="H7302">
        <f>SMALL(SimData5000!$B$9:$B$5008,2294)</f>
        <v>0.45860275006722723</v>
      </c>
      <c r="I7302">
        <f>1/(COUNT(SimData5000!$B$9:$B$5008)-1)+$I$7301</f>
        <v>0.45869173834768767</v>
      </c>
      <c r="J7302">
        <f>SMALL(SimData5000!$C$9:$C$5008,2294)</f>
        <v>0.45284863727101765</v>
      </c>
      <c r="K7302">
        <f>1/(COUNT(SimData5000!$C$9:$C$5008)-1)+$K$7301</f>
        <v>0.45869173834768767</v>
      </c>
    </row>
    <row r="7303" spans="8:11">
      <c r="H7303">
        <f>SMALL(SimData5000!$B$9:$B$5008,2295)</f>
        <v>0.45884288957497177</v>
      </c>
      <c r="I7303">
        <f>1/(COUNT(SimData5000!$B$9:$B$5008)-1)+$I$7302</f>
        <v>0.45889177835568928</v>
      </c>
      <c r="J7303">
        <f>SMALL(SimData5000!$C$9:$C$5008,2295)</f>
        <v>0.45296081824380963</v>
      </c>
      <c r="K7303">
        <f>1/(COUNT(SimData5000!$C$9:$C$5008)-1)+$K$7302</f>
        <v>0.45889177835568928</v>
      </c>
    </row>
    <row r="7304" spans="8:11">
      <c r="H7304">
        <f>SMALL(SimData5000!$B$9:$B$5008,2296)</f>
        <v>0.45912264333114089</v>
      </c>
      <c r="I7304">
        <f>1/(COUNT(SimData5000!$B$9:$B$5008)-1)+$I$7303</f>
        <v>0.4590918183636909</v>
      </c>
      <c r="J7304">
        <f>SMALL(SimData5000!$C$9:$C$5008,2296)</f>
        <v>0.45327623607590795</v>
      </c>
      <c r="K7304">
        <f>1/(COUNT(SimData5000!$C$9:$C$5008)-1)+$K$7303</f>
        <v>0.4590918183636909</v>
      </c>
    </row>
    <row r="7305" spans="8:11">
      <c r="H7305">
        <f>SMALL(SimData5000!$B$9:$B$5008,2297)</f>
        <v>0.45938376127034042</v>
      </c>
      <c r="I7305">
        <f>1/(COUNT(SimData5000!$B$9:$B$5008)-1)+$I$7304</f>
        <v>0.45929185837169251</v>
      </c>
      <c r="J7305">
        <f>SMALL(SimData5000!$C$9:$C$5008,2297)</f>
        <v>0.4533459531094195</v>
      </c>
      <c r="K7305">
        <f>1/(COUNT(SimData5000!$C$9:$C$5008)-1)+$K$7304</f>
        <v>0.45929185837169251</v>
      </c>
    </row>
    <row r="7306" spans="8:11">
      <c r="H7306">
        <f>SMALL(SimData5000!$B$9:$B$5008,2298)</f>
        <v>0.45948331502282136</v>
      </c>
      <c r="I7306">
        <f>1/(COUNT(SimData5000!$B$9:$B$5008)-1)+$I$7305</f>
        <v>0.45949189837969412</v>
      </c>
      <c r="J7306">
        <f>SMALL(SimData5000!$C$9:$C$5008,2298)</f>
        <v>0.45353362972946343</v>
      </c>
      <c r="K7306">
        <f>1/(COUNT(SimData5000!$C$9:$C$5008)-1)+$K$7305</f>
        <v>0.45949189837969412</v>
      </c>
    </row>
    <row r="7307" spans="8:11">
      <c r="H7307">
        <f>SMALL(SimData5000!$B$9:$B$5008,2299)</f>
        <v>0.45962207355271611</v>
      </c>
      <c r="I7307">
        <f>1/(COUNT(SimData5000!$B$9:$B$5008)-1)+$I$7306</f>
        <v>0.45969193838769573</v>
      </c>
      <c r="J7307">
        <f>SMALL(SimData5000!$C$9:$C$5008,2299)</f>
        <v>0.45380777650461823</v>
      </c>
      <c r="K7307">
        <f>1/(COUNT(SimData5000!$C$9:$C$5008)-1)+$K$7306</f>
        <v>0.45969193838769573</v>
      </c>
    </row>
    <row r="7308" spans="8:11">
      <c r="H7308">
        <f>SMALL(SimData5000!$B$9:$B$5008,2300)</f>
        <v>0.45980504444376685</v>
      </c>
      <c r="I7308">
        <f>1/(COUNT(SimData5000!$B$9:$B$5008)-1)+$I$7307</f>
        <v>0.45989197839569734</v>
      </c>
      <c r="J7308">
        <f>SMALL(SimData5000!$C$9:$C$5008,2300)</f>
        <v>0.45381804289536376</v>
      </c>
      <c r="K7308">
        <f>1/(COUNT(SimData5000!$C$9:$C$5008)-1)+$K$7307</f>
        <v>0.45989197839569734</v>
      </c>
    </row>
    <row r="7309" spans="8:11">
      <c r="H7309">
        <f>SMALL(SimData5000!$B$9:$B$5008,2301)</f>
        <v>0.46011996466753069</v>
      </c>
      <c r="I7309">
        <f>1/(COUNT(SimData5000!$B$9:$B$5008)-1)+$I$7308</f>
        <v>0.46009201840369895</v>
      </c>
      <c r="J7309">
        <f>SMALL(SimData5000!$C$9:$C$5008,2301)</f>
        <v>0.45396115333733178</v>
      </c>
      <c r="K7309">
        <f>1/(COUNT(SimData5000!$C$9:$C$5008)-1)+$K$7308</f>
        <v>0.46009201840369895</v>
      </c>
    </row>
    <row r="7310" spans="8:11">
      <c r="H7310">
        <f>SMALL(SimData5000!$B$9:$B$5008,2302)</f>
        <v>0.46029347832200429</v>
      </c>
      <c r="I7310">
        <f>1/(COUNT(SimData5000!$B$9:$B$5008)-1)+$I$7309</f>
        <v>0.46029205841170057</v>
      </c>
      <c r="J7310">
        <f>SMALL(SimData5000!$C$9:$C$5008,2302)</f>
        <v>0.45445006160207413</v>
      </c>
      <c r="K7310">
        <f>1/(COUNT(SimData5000!$C$9:$C$5008)-1)+$K$7309</f>
        <v>0.46029205841170057</v>
      </c>
    </row>
    <row r="7311" spans="8:11">
      <c r="H7311">
        <f>SMALL(SimData5000!$B$9:$B$5008,2303)</f>
        <v>0.46057552121634954</v>
      </c>
      <c r="I7311">
        <f>1/(COUNT(SimData5000!$B$9:$B$5008)-1)+$I$7310</f>
        <v>0.46049209841970218</v>
      </c>
      <c r="J7311">
        <f>SMALL(SimData5000!$C$9:$C$5008,2303)</f>
        <v>0.45465104271443124</v>
      </c>
      <c r="K7311">
        <f>1/(COUNT(SimData5000!$C$9:$C$5008)-1)+$K$7310</f>
        <v>0.46049209841970218</v>
      </c>
    </row>
    <row r="7312" spans="8:11">
      <c r="H7312">
        <f>SMALL(SimData5000!$B$9:$B$5008,2304)</f>
        <v>0.46075892571289068</v>
      </c>
      <c r="I7312">
        <f>1/(COUNT(SimData5000!$B$9:$B$5008)-1)+$I$7311</f>
        <v>0.46069213842770379</v>
      </c>
      <c r="J7312">
        <f>SMALL(SimData5000!$C$9:$C$5008,2304)</f>
        <v>0.45500352191720594</v>
      </c>
      <c r="K7312">
        <f>1/(COUNT(SimData5000!$C$9:$C$5008)-1)+$K$7311</f>
        <v>0.46069213842770379</v>
      </c>
    </row>
    <row r="7313" spans="8:11">
      <c r="H7313">
        <f>SMALL(SimData5000!$B$9:$B$5008,2305)</f>
        <v>0.46088286851553312</v>
      </c>
      <c r="I7313">
        <f>1/(COUNT(SimData5000!$B$9:$B$5008)-1)+$I$7312</f>
        <v>0.4608921784357054</v>
      </c>
      <c r="J7313">
        <f>SMALL(SimData5000!$C$9:$C$5008,2305)</f>
        <v>0.45511097912731202</v>
      </c>
      <c r="K7313">
        <f>1/(COUNT(SimData5000!$C$9:$C$5008)-1)+$K$7312</f>
        <v>0.4608921784357054</v>
      </c>
    </row>
    <row r="7314" spans="8:11">
      <c r="H7314">
        <f>SMALL(SimData5000!$B$9:$B$5008,2306)</f>
        <v>0.46100628256146009</v>
      </c>
      <c r="I7314">
        <f>1/(COUNT(SimData5000!$B$9:$B$5008)-1)+$I$7313</f>
        <v>0.46109221844370701</v>
      </c>
      <c r="J7314">
        <f>SMALL(SimData5000!$C$9:$C$5008,2306)</f>
        <v>0.45531117020436795</v>
      </c>
      <c r="K7314">
        <f>1/(COUNT(SimData5000!$C$9:$C$5008)-1)+$K$7313</f>
        <v>0.46109221844370701</v>
      </c>
    </row>
    <row r="7315" spans="8:11">
      <c r="H7315">
        <f>SMALL(SimData5000!$B$9:$B$5008,2307)</f>
        <v>0.4612853886154214</v>
      </c>
      <c r="I7315">
        <f>1/(COUNT(SimData5000!$B$9:$B$5008)-1)+$I$7314</f>
        <v>0.46129225845170863</v>
      </c>
      <c r="J7315">
        <f>SMALL(SimData5000!$C$9:$C$5008,2307)</f>
        <v>0.45632165923598222</v>
      </c>
      <c r="K7315">
        <f>1/(COUNT(SimData5000!$C$9:$C$5008)-1)+$K$7314</f>
        <v>0.46129225845170863</v>
      </c>
    </row>
    <row r="7316" spans="8:11">
      <c r="H7316">
        <f>SMALL(SimData5000!$B$9:$B$5008,2308)</f>
        <v>0.4615479242012715</v>
      </c>
      <c r="I7316">
        <f>1/(COUNT(SimData5000!$B$9:$B$5008)-1)+$I$7315</f>
        <v>0.46149229845971024</v>
      </c>
      <c r="J7316">
        <f>SMALL(SimData5000!$C$9:$C$5008,2308)</f>
        <v>0.45637596426149685</v>
      </c>
      <c r="K7316">
        <f>1/(COUNT(SimData5000!$C$9:$C$5008)-1)+$K$7315</f>
        <v>0.46149229845971024</v>
      </c>
    </row>
    <row r="7317" spans="8:11">
      <c r="H7317">
        <f>SMALL(SimData5000!$B$9:$B$5008,2309)</f>
        <v>0.46164624659718156</v>
      </c>
      <c r="I7317">
        <f>1/(COUNT(SimData5000!$B$9:$B$5008)-1)+$I$7316</f>
        <v>0.46169233846771185</v>
      </c>
      <c r="J7317">
        <f>SMALL(SimData5000!$C$9:$C$5008,2309)</f>
        <v>0.45641463655192638</v>
      </c>
      <c r="K7317">
        <f>1/(COUNT(SimData5000!$C$9:$C$5008)-1)+$K$7316</f>
        <v>0.46169233846771185</v>
      </c>
    </row>
    <row r="7318" spans="8:11">
      <c r="H7318">
        <f>SMALL(SimData5000!$B$9:$B$5008,2310)</f>
        <v>0.46184249137138078</v>
      </c>
      <c r="I7318">
        <f>1/(COUNT(SimData5000!$B$9:$B$5008)-1)+$I$7317</f>
        <v>0.46189237847571346</v>
      </c>
      <c r="J7318">
        <f>SMALL(SimData5000!$C$9:$C$5008,2310)</f>
        <v>0.45668709005974506</v>
      </c>
      <c r="K7318">
        <f>1/(COUNT(SimData5000!$C$9:$C$5008)-1)+$K$7317</f>
        <v>0.46189237847571346</v>
      </c>
    </row>
    <row r="7319" spans="8:11">
      <c r="H7319">
        <f>SMALL(SimData5000!$B$9:$B$5008,2311)</f>
        <v>0.46215753460870063</v>
      </c>
      <c r="I7319">
        <f>1/(COUNT(SimData5000!$B$9:$B$5008)-1)+$I$7318</f>
        <v>0.46209241848371507</v>
      </c>
      <c r="J7319">
        <f>SMALL(SimData5000!$C$9:$C$5008,2311)</f>
        <v>0.45670871750007791</v>
      </c>
      <c r="K7319">
        <f>1/(COUNT(SimData5000!$C$9:$C$5008)-1)+$K$7318</f>
        <v>0.46209241848371507</v>
      </c>
    </row>
    <row r="7320" spans="8:11">
      <c r="H7320">
        <f>SMALL(SimData5000!$B$9:$B$5008,2312)</f>
        <v>0.46222219811017212</v>
      </c>
      <c r="I7320">
        <f>1/(COUNT(SimData5000!$B$9:$B$5008)-1)+$I$7319</f>
        <v>0.46229245849171668</v>
      </c>
      <c r="J7320">
        <f>SMALL(SimData5000!$C$9:$C$5008,2312)</f>
        <v>0.45679551192370127</v>
      </c>
      <c r="K7320">
        <f>1/(COUNT(SimData5000!$C$9:$C$5008)-1)+$K$7319</f>
        <v>0.46229245849171668</v>
      </c>
    </row>
    <row r="7321" spans="8:11">
      <c r="H7321">
        <f>SMALL(SimData5000!$B$9:$B$5008,2313)</f>
        <v>0.46243805584507947</v>
      </c>
      <c r="I7321">
        <f>1/(COUNT(SimData5000!$B$9:$B$5008)-1)+$I$7320</f>
        <v>0.4624924984997183</v>
      </c>
      <c r="J7321">
        <f>SMALL(SimData5000!$C$9:$C$5008,2313)</f>
        <v>0.45764607438832172</v>
      </c>
      <c r="K7321">
        <f>1/(COUNT(SimData5000!$C$9:$C$5008)-1)+$K$7320</f>
        <v>0.4624924984997183</v>
      </c>
    </row>
    <row r="7322" spans="8:11">
      <c r="H7322">
        <f>SMALL(SimData5000!$B$9:$B$5008,2314)</f>
        <v>0.46269152860862467</v>
      </c>
      <c r="I7322">
        <f>1/(COUNT(SimData5000!$B$9:$B$5008)-1)+$I$7321</f>
        <v>0.46269253850771991</v>
      </c>
      <c r="J7322">
        <f>SMALL(SimData5000!$C$9:$C$5008,2314)</f>
        <v>0.45790693472918065</v>
      </c>
      <c r="K7322">
        <f>1/(COUNT(SimData5000!$C$9:$C$5008)-1)+$K$7321</f>
        <v>0.46269253850771991</v>
      </c>
    </row>
    <row r="7323" spans="8:11">
      <c r="H7323">
        <f>SMALL(SimData5000!$B$9:$B$5008,2315)</f>
        <v>0.46292876645455344</v>
      </c>
      <c r="I7323">
        <f>1/(COUNT(SimData5000!$B$9:$B$5008)-1)+$I$7322</f>
        <v>0.46289257851572152</v>
      </c>
      <c r="J7323">
        <f>SMALL(SimData5000!$C$9:$C$5008,2315)</f>
        <v>0.45811399552258081</v>
      </c>
      <c r="K7323">
        <f>1/(COUNT(SimData5000!$C$9:$C$5008)-1)+$K$7322</f>
        <v>0.46289257851572152</v>
      </c>
    </row>
    <row r="7324" spans="8:11">
      <c r="H7324">
        <f>SMALL(SimData5000!$B$9:$B$5008,2316)</f>
        <v>0.46309705143400859</v>
      </c>
      <c r="I7324">
        <f>1/(COUNT(SimData5000!$B$9:$B$5008)-1)+$I$7323</f>
        <v>0.46309261852372313</v>
      </c>
      <c r="J7324">
        <f>SMALL(SimData5000!$C$9:$C$5008,2316)</f>
        <v>0.45828850513862562</v>
      </c>
      <c r="K7324">
        <f>1/(COUNT(SimData5000!$C$9:$C$5008)-1)+$K$7323</f>
        <v>0.46309261852372313</v>
      </c>
    </row>
    <row r="7325" spans="8:11">
      <c r="H7325">
        <f>SMALL(SimData5000!$B$9:$B$5008,2317)</f>
        <v>0.46334218729579407</v>
      </c>
      <c r="I7325">
        <f>1/(COUNT(SimData5000!$B$9:$B$5008)-1)+$I$7324</f>
        <v>0.46329265853172474</v>
      </c>
      <c r="J7325">
        <f>SMALL(SimData5000!$C$9:$C$5008,2317)</f>
        <v>0.45829465016049653</v>
      </c>
      <c r="K7325">
        <f>1/(COUNT(SimData5000!$C$9:$C$5008)-1)+$K$7324</f>
        <v>0.46329265853172474</v>
      </c>
    </row>
    <row r="7326" spans="8:11">
      <c r="H7326">
        <f>SMALL(SimData5000!$B$9:$B$5008,2318)</f>
        <v>0.46349203119834237</v>
      </c>
      <c r="I7326">
        <f>1/(COUNT(SimData5000!$B$9:$B$5008)-1)+$I$7325</f>
        <v>0.46349269853972636</v>
      </c>
      <c r="J7326">
        <f>SMALL(SimData5000!$C$9:$C$5008,2318)</f>
        <v>0.45839702412558836</v>
      </c>
      <c r="K7326">
        <f>1/(COUNT(SimData5000!$C$9:$C$5008)-1)+$K$7325</f>
        <v>0.46349269853972636</v>
      </c>
    </row>
    <row r="7327" spans="8:11">
      <c r="H7327">
        <f>SMALL(SimData5000!$B$9:$B$5008,2319)</f>
        <v>0.46375412005301431</v>
      </c>
      <c r="I7327">
        <f>1/(COUNT(SimData5000!$B$9:$B$5008)-1)+$I$7326</f>
        <v>0.46369273854772797</v>
      </c>
      <c r="J7327">
        <f>SMALL(SimData5000!$C$9:$C$5008,2319)</f>
        <v>0.45840237062657252</v>
      </c>
      <c r="K7327">
        <f>1/(COUNT(SimData5000!$C$9:$C$5008)-1)+$K$7326</f>
        <v>0.46369273854772797</v>
      </c>
    </row>
    <row r="7328" spans="8:11">
      <c r="H7328">
        <f>SMALL(SimData5000!$B$9:$B$5008,2320)</f>
        <v>0.46384536103546742</v>
      </c>
      <c r="I7328">
        <f>1/(COUNT(SimData5000!$B$9:$B$5008)-1)+$I$7327</f>
        <v>0.46389277855572958</v>
      </c>
      <c r="J7328">
        <f>SMALL(SimData5000!$C$9:$C$5008,2320)</f>
        <v>0.45874884731529164</v>
      </c>
      <c r="K7328">
        <f>1/(COUNT(SimData5000!$C$9:$C$5008)-1)+$K$7327</f>
        <v>0.46389277855572958</v>
      </c>
    </row>
    <row r="7329" spans="8:11">
      <c r="H7329">
        <f>SMALL(SimData5000!$B$9:$B$5008,2321)</f>
        <v>0.46400160744451024</v>
      </c>
      <c r="I7329">
        <f>1/(COUNT(SimData5000!$B$9:$B$5008)-1)+$I$7328</f>
        <v>0.46409281856373119</v>
      </c>
      <c r="J7329">
        <f>SMALL(SimData5000!$C$9:$C$5008,2321)</f>
        <v>0.45879306899314543</v>
      </c>
      <c r="K7329">
        <f>1/(COUNT(SimData5000!$C$9:$C$5008)-1)+$K$7328</f>
        <v>0.46409281856373119</v>
      </c>
    </row>
    <row r="7330" spans="8:11">
      <c r="H7330">
        <f>SMALL(SimData5000!$B$9:$B$5008,2322)</f>
        <v>0.4643252422251099</v>
      </c>
      <c r="I7330">
        <f>1/(COUNT(SimData5000!$B$9:$B$5008)-1)+$I$7329</f>
        <v>0.4642928585717328</v>
      </c>
      <c r="J7330">
        <f>SMALL(SimData5000!$C$9:$C$5008,2322)</f>
        <v>0.45911059613081306</v>
      </c>
      <c r="K7330">
        <f>1/(COUNT(SimData5000!$C$9:$C$5008)-1)+$K$7329</f>
        <v>0.4642928585717328</v>
      </c>
    </row>
    <row r="7331" spans="8:11">
      <c r="H7331">
        <f>SMALL(SimData5000!$B$9:$B$5008,2323)</f>
        <v>0.46448486582974086</v>
      </c>
      <c r="I7331">
        <f>1/(COUNT(SimData5000!$B$9:$B$5008)-1)+$I$7330</f>
        <v>0.46449289857973441</v>
      </c>
      <c r="J7331">
        <f>SMALL(SimData5000!$C$9:$C$5008,2323)</f>
        <v>0.45927434432815062</v>
      </c>
      <c r="K7331">
        <f>1/(COUNT(SimData5000!$C$9:$C$5008)-1)+$K$7330</f>
        <v>0.46449289857973441</v>
      </c>
    </row>
    <row r="7332" spans="8:11">
      <c r="H7332">
        <f>SMALL(SimData5000!$B$9:$B$5008,2324)</f>
        <v>0.46461155859786357</v>
      </c>
      <c r="I7332">
        <f>1/(COUNT(SimData5000!$B$9:$B$5008)-1)+$I$7331</f>
        <v>0.46469293858773603</v>
      </c>
      <c r="J7332">
        <f>SMALL(SimData5000!$C$9:$C$5008,2324)</f>
        <v>0.45943467677352601</v>
      </c>
      <c r="K7332">
        <f>1/(COUNT(SimData5000!$C$9:$C$5008)-1)+$K$7331</f>
        <v>0.46469293858773603</v>
      </c>
    </row>
    <row r="7333" spans="8:11">
      <c r="H7333">
        <f>SMALL(SimData5000!$B$9:$B$5008,2325)</f>
        <v>0.46482304274365843</v>
      </c>
      <c r="I7333">
        <f>1/(COUNT(SimData5000!$B$9:$B$5008)-1)+$I$7332</f>
        <v>0.46489297859573764</v>
      </c>
      <c r="J7333">
        <f>SMALL(SimData5000!$C$9:$C$5008,2325)</f>
        <v>0.4594423775197356</v>
      </c>
      <c r="K7333">
        <f>1/(COUNT(SimData5000!$C$9:$C$5008)-1)+$K$7332</f>
        <v>0.46489297859573764</v>
      </c>
    </row>
    <row r="7334" spans="8:11">
      <c r="H7334">
        <f>SMALL(SimData5000!$B$9:$B$5008,2326)</f>
        <v>0.46516344910034985</v>
      </c>
      <c r="I7334">
        <f>1/(COUNT(SimData5000!$B$9:$B$5008)-1)+$I$7333</f>
        <v>0.46509301860373925</v>
      </c>
      <c r="J7334">
        <f>SMALL(SimData5000!$C$9:$C$5008,2326)</f>
        <v>0.45952806342847907</v>
      </c>
      <c r="K7334">
        <f>1/(COUNT(SimData5000!$C$9:$C$5008)-1)+$K$7333</f>
        <v>0.46509301860373925</v>
      </c>
    </row>
    <row r="7335" spans="8:11">
      <c r="H7335">
        <f>SMALL(SimData5000!$B$9:$B$5008,2327)</f>
        <v>0.46526425441453795</v>
      </c>
      <c r="I7335">
        <f>1/(COUNT(SimData5000!$B$9:$B$5008)-1)+$I$7334</f>
        <v>0.46529305861174086</v>
      </c>
      <c r="J7335">
        <f>SMALL(SimData5000!$C$9:$C$5008,2327)</f>
        <v>0.45968419456221454</v>
      </c>
      <c r="K7335">
        <f>1/(COUNT(SimData5000!$C$9:$C$5008)-1)+$K$7334</f>
        <v>0.46529305861174086</v>
      </c>
    </row>
    <row r="7336" spans="8:11">
      <c r="H7336">
        <f>SMALL(SimData5000!$B$9:$B$5008,2328)</f>
        <v>0.46557974033578758</v>
      </c>
      <c r="I7336">
        <f>1/(COUNT(SimData5000!$B$9:$B$5008)-1)+$I$7335</f>
        <v>0.46549309861974247</v>
      </c>
      <c r="J7336">
        <f>SMALL(SimData5000!$C$9:$C$5008,2328)</f>
        <v>0.45998466223863943</v>
      </c>
      <c r="K7336">
        <f>1/(COUNT(SimData5000!$C$9:$C$5008)-1)+$K$7335</f>
        <v>0.46549309861974247</v>
      </c>
    </row>
    <row r="7337" spans="8:11">
      <c r="H7337">
        <f>SMALL(SimData5000!$B$9:$B$5008,2329)</f>
        <v>0.46560415516807796</v>
      </c>
      <c r="I7337">
        <f>1/(COUNT(SimData5000!$B$9:$B$5008)-1)+$I$7336</f>
        <v>0.46569313862774409</v>
      </c>
      <c r="J7337">
        <f>SMALL(SimData5000!$C$9:$C$5008,2329)</f>
        <v>0.46019964892093412</v>
      </c>
      <c r="K7337">
        <f>1/(COUNT(SimData5000!$C$9:$C$5008)-1)+$K$7336</f>
        <v>0.46569313862774409</v>
      </c>
    </row>
    <row r="7338" spans="8:11">
      <c r="H7338">
        <f>SMALL(SimData5000!$B$9:$B$5008,2330)</f>
        <v>0.46590174672359169</v>
      </c>
      <c r="I7338">
        <f>1/(COUNT(SimData5000!$B$9:$B$5008)-1)+$I$7337</f>
        <v>0.4658931786357457</v>
      </c>
      <c r="J7338">
        <f>SMALL(SimData5000!$C$9:$C$5008,2330)</f>
        <v>0.46137060660930729</v>
      </c>
      <c r="K7338">
        <f>1/(COUNT(SimData5000!$C$9:$C$5008)-1)+$K$7337</f>
        <v>0.4658931786357457</v>
      </c>
    </row>
    <row r="7339" spans="8:11">
      <c r="H7339">
        <f>SMALL(SimData5000!$B$9:$B$5008,2331)</f>
        <v>0.46610858356270674</v>
      </c>
      <c r="I7339">
        <f>1/(COUNT(SimData5000!$B$9:$B$5008)-1)+$I$7338</f>
        <v>0.46609321864374731</v>
      </c>
      <c r="J7339">
        <f>SMALL(SimData5000!$C$9:$C$5008,2331)</f>
        <v>0.46176761405877187</v>
      </c>
      <c r="K7339">
        <f>1/(COUNT(SimData5000!$C$9:$C$5008)-1)+$K$7338</f>
        <v>0.46609321864374731</v>
      </c>
    </row>
    <row r="7340" spans="8:11">
      <c r="H7340">
        <f>SMALL(SimData5000!$B$9:$B$5008,2332)</f>
        <v>0.46632855227634507</v>
      </c>
      <c r="I7340">
        <f>1/(COUNT(SimData5000!$B$9:$B$5008)-1)+$I$7339</f>
        <v>0.46629325865174892</v>
      </c>
      <c r="J7340">
        <f>SMALL(SimData5000!$C$9:$C$5008,2332)</f>
        <v>0.46207590721041925</v>
      </c>
      <c r="K7340">
        <f>1/(COUNT(SimData5000!$C$9:$C$5008)-1)+$K$7339</f>
        <v>0.46629325865174892</v>
      </c>
    </row>
    <row r="7341" spans="8:11">
      <c r="H7341">
        <f>SMALL(SimData5000!$B$9:$B$5008,2333)</f>
        <v>0.46655816183862237</v>
      </c>
      <c r="I7341">
        <f>1/(COUNT(SimData5000!$B$9:$B$5008)-1)+$I$7340</f>
        <v>0.46649329865975053</v>
      </c>
      <c r="J7341">
        <f>SMALL(SimData5000!$C$9:$C$5008,2333)</f>
        <v>0.46207733232677128</v>
      </c>
      <c r="K7341">
        <f>1/(COUNT(SimData5000!$C$9:$C$5008)-1)+$K$7340</f>
        <v>0.46649329865975053</v>
      </c>
    </row>
    <row r="7342" spans="8:11">
      <c r="H7342">
        <f>SMALL(SimData5000!$B$9:$B$5008,2334)</f>
        <v>0.46677205499959457</v>
      </c>
      <c r="I7342">
        <f>1/(COUNT(SimData5000!$B$9:$B$5008)-1)+$I$7341</f>
        <v>0.46669333866775214</v>
      </c>
      <c r="J7342">
        <f>SMALL(SimData5000!$C$9:$C$5008,2334)</f>
        <v>0.46223549225669558</v>
      </c>
      <c r="K7342">
        <f>1/(COUNT(SimData5000!$C$9:$C$5008)-1)+$K$7341</f>
        <v>0.46669333866775214</v>
      </c>
    </row>
    <row r="7343" spans="8:11">
      <c r="H7343">
        <f>SMALL(SimData5000!$B$9:$B$5008,2335)</f>
        <v>0.46691051750357976</v>
      </c>
      <c r="I7343">
        <f>1/(COUNT(SimData5000!$B$9:$B$5008)-1)+$I$7342</f>
        <v>0.46689337867575376</v>
      </c>
      <c r="J7343">
        <f>SMALL(SimData5000!$C$9:$C$5008,2335)</f>
        <v>0.46247366010447877</v>
      </c>
      <c r="K7343">
        <f>1/(COUNT(SimData5000!$C$9:$C$5008)-1)+$K$7342</f>
        <v>0.46689337867575376</v>
      </c>
    </row>
    <row r="7344" spans="8:11">
      <c r="H7344">
        <f>SMALL(SimData5000!$B$9:$B$5008,2336)</f>
        <v>0.46719730349993271</v>
      </c>
      <c r="I7344">
        <f>1/(COUNT(SimData5000!$B$9:$B$5008)-1)+$I$7343</f>
        <v>0.46709341868375537</v>
      </c>
      <c r="J7344">
        <f>SMALL(SimData5000!$C$9:$C$5008,2336)</f>
        <v>0.46330657448743295</v>
      </c>
      <c r="K7344">
        <f>1/(COUNT(SimData5000!$C$9:$C$5008)-1)+$K$7343</f>
        <v>0.46709341868375537</v>
      </c>
    </row>
    <row r="7345" spans="8:11">
      <c r="H7345">
        <f>SMALL(SimData5000!$B$9:$B$5008,2337)</f>
        <v>0.46737081956392401</v>
      </c>
      <c r="I7345">
        <f>1/(COUNT(SimData5000!$B$9:$B$5008)-1)+$I$7344</f>
        <v>0.46729345869175698</v>
      </c>
      <c r="J7345">
        <f>SMALL(SimData5000!$C$9:$C$5008,2337)</f>
        <v>0.4635932918972685</v>
      </c>
      <c r="K7345">
        <f>1/(COUNT(SimData5000!$C$9:$C$5008)-1)+$K$7344</f>
        <v>0.46729345869175698</v>
      </c>
    </row>
    <row r="7346" spans="8:11">
      <c r="H7346">
        <f>SMALL(SimData5000!$B$9:$B$5008,2338)</f>
        <v>0.4675146086038357</v>
      </c>
      <c r="I7346">
        <f>1/(COUNT(SimData5000!$B$9:$B$5008)-1)+$I$7345</f>
        <v>0.46749349869975859</v>
      </c>
      <c r="J7346">
        <f>SMALL(SimData5000!$C$9:$C$5008,2338)</f>
        <v>0.46433408087068528</v>
      </c>
      <c r="K7346">
        <f>1/(COUNT(SimData5000!$C$9:$C$5008)-1)+$K$7345</f>
        <v>0.46749349869975859</v>
      </c>
    </row>
    <row r="7347" spans="8:11">
      <c r="H7347">
        <f>SMALL(SimData5000!$B$9:$B$5008,2339)</f>
        <v>0.46765728349840674</v>
      </c>
      <c r="I7347">
        <f>1/(COUNT(SimData5000!$B$9:$B$5008)-1)+$I$7346</f>
        <v>0.4676935387077602</v>
      </c>
      <c r="J7347">
        <f>SMALL(SimData5000!$C$9:$C$5008,2339)</f>
        <v>0.46434995935214829</v>
      </c>
      <c r="K7347">
        <f>1/(COUNT(SimData5000!$C$9:$C$5008)-1)+$K$7346</f>
        <v>0.4676935387077602</v>
      </c>
    </row>
    <row r="7348" spans="8:11">
      <c r="H7348">
        <f>SMALL(SimData5000!$B$9:$B$5008,2340)</f>
        <v>0.46789330183884442</v>
      </c>
      <c r="I7348">
        <f>1/(COUNT(SimData5000!$B$9:$B$5008)-1)+$I$7347</f>
        <v>0.46789357871576182</v>
      </c>
      <c r="J7348">
        <f>SMALL(SimData5000!$C$9:$C$5008,2340)</f>
        <v>0.46437020036864851</v>
      </c>
      <c r="K7348">
        <f>1/(COUNT(SimData5000!$C$9:$C$5008)-1)+$K$7347</f>
        <v>0.46789357871576182</v>
      </c>
    </row>
    <row r="7349" spans="8:11">
      <c r="H7349">
        <f>SMALL(SimData5000!$B$9:$B$5008,2341)</f>
        <v>0.46803406546787218</v>
      </c>
      <c r="I7349">
        <f>1/(COUNT(SimData5000!$B$9:$B$5008)-1)+$I$7348</f>
        <v>0.46809361872376343</v>
      </c>
      <c r="J7349">
        <f>SMALL(SimData5000!$C$9:$C$5008,2341)</f>
        <v>0.46447122466543078</v>
      </c>
      <c r="K7349">
        <f>1/(COUNT(SimData5000!$C$9:$C$5008)-1)+$K$7348</f>
        <v>0.46809361872376343</v>
      </c>
    </row>
    <row r="7350" spans="8:11">
      <c r="H7350">
        <f>SMALL(SimData5000!$B$9:$B$5008,2342)</f>
        <v>0.46836577355306724</v>
      </c>
      <c r="I7350">
        <f>1/(COUNT(SimData5000!$B$9:$B$5008)-1)+$I$7349</f>
        <v>0.46829365873176504</v>
      </c>
      <c r="J7350">
        <f>SMALL(SimData5000!$C$9:$C$5008,2342)</f>
        <v>0.46458900370902256</v>
      </c>
      <c r="K7350">
        <f>1/(COUNT(SimData5000!$C$9:$C$5008)-1)+$K$7349</f>
        <v>0.46829365873176504</v>
      </c>
    </row>
    <row r="7351" spans="8:11">
      <c r="H7351">
        <f>SMALL(SimData5000!$B$9:$B$5008,2343)</f>
        <v>0.46853345197791552</v>
      </c>
      <c r="I7351">
        <f>1/(COUNT(SimData5000!$B$9:$B$5008)-1)+$I$7350</f>
        <v>0.46849369873976665</v>
      </c>
      <c r="J7351">
        <f>SMALL(SimData5000!$C$9:$C$5008,2343)</f>
        <v>0.46482043108244397</v>
      </c>
      <c r="K7351">
        <f>1/(COUNT(SimData5000!$C$9:$C$5008)-1)+$K$7350</f>
        <v>0.46849369873976665</v>
      </c>
    </row>
    <row r="7352" spans="8:11">
      <c r="H7352">
        <f>SMALL(SimData5000!$B$9:$B$5008,2344)</f>
        <v>0.46879203286440863</v>
      </c>
      <c r="I7352">
        <f>1/(COUNT(SimData5000!$B$9:$B$5008)-1)+$I$7351</f>
        <v>0.46869373874776826</v>
      </c>
      <c r="J7352">
        <f>SMALL(SimData5000!$C$9:$C$5008,2344)</f>
        <v>0.46502621623676532</v>
      </c>
      <c r="K7352">
        <f>1/(COUNT(SimData5000!$C$9:$C$5008)-1)+$K$7351</f>
        <v>0.46869373874776826</v>
      </c>
    </row>
    <row r="7353" spans="8:11">
      <c r="H7353">
        <f>SMALL(SimData5000!$B$9:$B$5008,2345)</f>
        <v>0.46899498599781536</v>
      </c>
      <c r="I7353">
        <f>1/(COUNT(SimData5000!$B$9:$B$5008)-1)+$I$7352</f>
        <v>0.46889377875576987</v>
      </c>
      <c r="J7353">
        <f>SMALL(SimData5000!$C$9:$C$5008,2345)</f>
        <v>0.46506111069084</v>
      </c>
      <c r="K7353">
        <f>1/(COUNT(SimData5000!$C$9:$C$5008)-1)+$K$7352</f>
        <v>0.46889377875576987</v>
      </c>
    </row>
    <row r="7354" spans="8:11">
      <c r="H7354">
        <f>SMALL(SimData5000!$B$9:$B$5008,2346)</f>
        <v>0.46914011193964172</v>
      </c>
      <c r="I7354">
        <f>1/(COUNT(SimData5000!$B$9:$B$5008)-1)+$I$7353</f>
        <v>0.46909381876377149</v>
      </c>
      <c r="J7354">
        <f>SMALL(SimData5000!$C$9:$C$5008,2346)</f>
        <v>0.46511542940879735</v>
      </c>
      <c r="K7354">
        <f>1/(COUNT(SimData5000!$C$9:$C$5008)-1)+$K$7353</f>
        <v>0.46909381876377149</v>
      </c>
    </row>
    <row r="7355" spans="8:11">
      <c r="H7355">
        <f>SMALL(SimData5000!$B$9:$B$5008,2347)</f>
        <v>0.46931994004745964</v>
      </c>
      <c r="I7355">
        <f>1/(COUNT(SimData5000!$B$9:$B$5008)-1)+$I$7354</f>
        <v>0.4692938587717731</v>
      </c>
      <c r="J7355">
        <f>SMALL(SimData5000!$C$9:$C$5008,2347)</f>
        <v>0.46585803153448069</v>
      </c>
      <c r="K7355">
        <f>1/(COUNT(SimData5000!$C$9:$C$5008)-1)+$K$7354</f>
        <v>0.4692938587717731</v>
      </c>
    </row>
    <row r="7356" spans="8:11">
      <c r="H7356">
        <f>SMALL(SimData5000!$B$9:$B$5008,2348)</f>
        <v>0.46945668727575257</v>
      </c>
      <c r="I7356">
        <f>1/(COUNT(SimData5000!$B$9:$B$5008)-1)+$I$7355</f>
        <v>0.46949389877977471</v>
      </c>
      <c r="J7356">
        <f>SMALL(SimData5000!$C$9:$C$5008,2348)</f>
        <v>0.46597576203021163</v>
      </c>
      <c r="K7356">
        <f>1/(COUNT(SimData5000!$C$9:$C$5008)-1)+$K$7355</f>
        <v>0.46949389877977471</v>
      </c>
    </row>
    <row r="7357" spans="8:11">
      <c r="H7357">
        <f>SMALL(SimData5000!$B$9:$B$5008,2349)</f>
        <v>0.46977871081782002</v>
      </c>
      <c r="I7357">
        <f>1/(COUNT(SimData5000!$B$9:$B$5008)-1)+$I$7356</f>
        <v>0.46969393878777632</v>
      </c>
      <c r="J7357">
        <f>SMALL(SimData5000!$C$9:$C$5008,2349)</f>
        <v>0.46618651629250962</v>
      </c>
      <c r="K7357">
        <f>1/(COUNT(SimData5000!$C$9:$C$5008)-1)+$K$7356</f>
        <v>0.46969393878777632</v>
      </c>
    </row>
    <row r="7358" spans="8:11">
      <c r="H7358">
        <f>SMALL(SimData5000!$B$9:$B$5008,2350)</f>
        <v>0.46988765803596177</v>
      </c>
      <c r="I7358">
        <f>1/(COUNT(SimData5000!$B$9:$B$5008)-1)+$I$7357</f>
        <v>0.46989397879577793</v>
      </c>
      <c r="J7358">
        <f>SMALL(SimData5000!$C$9:$C$5008,2350)</f>
        <v>0.46658833645142295</v>
      </c>
      <c r="K7358">
        <f>1/(COUNT(SimData5000!$C$9:$C$5008)-1)+$K$7357</f>
        <v>0.46989397879577793</v>
      </c>
    </row>
    <row r="7359" spans="8:11">
      <c r="H7359">
        <f>SMALL(SimData5000!$B$9:$B$5008,2351)</f>
        <v>0.47018816050793705</v>
      </c>
      <c r="I7359">
        <f>1/(COUNT(SimData5000!$B$9:$B$5008)-1)+$I$7358</f>
        <v>0.47009401880377955</v>
      </c>
      <c r="J7359">
        <f>SMALL(SimData5000!$C$9:$C$5008,2351)</f>
        <v>0.46691233007641131</v>
      </c>
      <c r="K7359">
        <f>1/(COUNT(SimData5000!$C$9:$C$5008)-1)+$K$7358</f>
        <v>0.47009401880377955</v>
      </c>
    </row>
    <row r="7360" spans="8:11">
      <c r="H7360">
        <f>SMALL(SimData5000!$B$9:$B$5008,2352)</f>
        <v>0.47037006120518082</v>
      </c>
      <c r="I7360">
        <f>1/(COUNT(SimData5000!$B$9:$B$5008)-1)+$I$7359</f>
        <v>0.47029405881178116</v>
      </c>
      <c r="J7360">
        <f>SMALL(SimData5000!$C$9:$C$5008,2352)</f>
        <v>0.4669136863985841</v>
      </c>
      <c r="K7360">
        <f>1/(COUNT(SimData5000!$C$9:$C$5008)-1)+$K$7359</f>
        <v>0.47029405881178116</v>
      </c>
    </row>
    <row r="7361" spans="8:11">
      <c r="H7361">
        <f>SMALL(SimData5000!$B$9:$B$5008,2353)</f>
        <v>0.47058296936507871</v>
      </c>
      <c r="I7361">
        <f>1/(COUNT(SimData5000!$B$9:$B$5008)-1)+$I$7360</f>
        <v>0.47049409881978277</v>
      </c>
      <c r="J7361">
        <f>SMALL(SimData5000!$C$9:$C$5008,2353)</f>
        <v>0.46729543614401337</v>
      </c>
      <c r="K7361">
        <f>1/(COUNT(SimData5000!$C$9:$C$5008)-1)+$K$7360</f>
        <v>0.47049409881978277</v>
      </c>
    </row>
    <row r="7362" spans="8:11">
      <c r="H7362">
        <f>SMALL(SimData5000!$B$9:$B$5008,2354)</f>
        <v>0.47068218987534799</v>
      </c>
      <c r="I7362">
        <f>1/(COUNT(SimData5000!$B$9:$B$5008)-1)+$I$7361</f>
        <v>0.47069413882778438</v>
      </c>
      <c r="J7362">
        <f>SMALL(SimData5000!$C$9:$C$5008,2354)</f>
        <v>0.46738562979862763</v>
      </c>
      <c r="K7362">
        <f>1/(COUNT(SimData5000!$C$9:$C$5008)-1)+$K$7361</f>
        <v>0.47069413882778438</v>
      </c>
    </row>
    <row r="7363" spans="8:11">
      <c r="H7363">
        <f>SMALL(SimData5000!$B$9:$B$5008,2355)</f>
        <v>0.47084362830278553</v>
      </c>
      <c r="I7363">
        <f>1/(COUNT(SimData5000!$B$9:$B$5008)-1)+$I$7362</f>
        <v>0.47089417883578599</v>
      </c>
      <c r="J7363">
        <f>SMALL(SimData5000!$C$9:$C$5008,2355)</f>
        <v>0.46764844121571514</v>
      </c>
      <c r="K7363">
        <f>1/(COUNT(SimData5000!$C$9:$C$5008)-1)+$K$7362</f>
        <v>0.47089417883578599</v>
      </c>
    </row>
    <row r="7364" spans="8:11">
      <c r="H7364">
        <f>SMALL(SimData5000!$B$9:$B$5008,2356)</f>
        <v>0.47108478603169435</v>
      </c>
      <c r="I7364">
        <f>1/(COUNT(SimData5000!$B$9:$B$5008)-1)+$I$7363</f>
        <v>0.4710942188437876</v>
      </c>
      <c r="J7364">
        <f>SMALL(SimData5000!$C$9:$C$5008,2356)</f>
        <v>0.4677079824714383</v>
      </c>
      <c r="K7364">
        <f>1/(COUNT(SimData5000!$C$9:$C$5008)-1)+$K$7363</f>
        <v>0.4710942188437876</v>
      </c>
    </row>
    <row r="7365" spans="8:11">
      <c r="H7365">
        <f>SMALL(SimData5000!$B$9:$B$5008,2357)</f>
        <v>0.47135978958652347</v>
      </c>
      <c r="I7365">
        <f>1/(COUNT(SimData5000!$B$9:$B$5008)-1)+$I$7364</f>
        <v>0.47129425885178922</v>
      </c>
      <c r="J7365">
        <f>SMALL(SimData5000!$C$9:$C$5008,2357)</f>
        <v>0.46807818800243695</v>
      </c>
      <c r="K7365">
        <f>1/(COUNT(SimData5000!$C$9:$C$5008)-1)+$K$7364</f>
        <v>0.47129425885178922</v>
      </c>
    </row>
    <row r="7366" spans="8:11">
      <c r="H7366">
        <f>SMALL(SimData5000!$B$9:$B$5008,2358)</f>
        <v>0.47154320648530113</v>
      </c>
      <c r="I7366">
        <f>1/(COUNT(SimData5000!$B$9:$B$5008)-1)+$I$7365</f>
        <v>0.47149429885979083</v>
      </c>
      <c r="J7366">
        <f>SMALL(SimData5000!$C$9:$C$5008,2358)</f>
        <v>0.46838196675525978</v>
      </c>
      <c r="K7366">
        <f>1/(COUNT(SimData5000!$C$9:$C$5008)-1)+$K$7365</f>
        <v>0.47149429885979083</v>
      </c>
    </row>
    <row r="7367" spans="8:11">
      <c r="H7367">
        <f>SMALL(SimData5000!$B$9:$B$5008,2359)</f>
        <v>0.4717048757469991</v>
      </c>
      <c r="I7367">
        <f>1/(COUNT(SimData5000!$B$9:$B$5008)-1)+$I$7366</f>
        <v>0.47169433886779244</v>
      </c>
      <c r="J7367">
        <f>SMALL(SimData5000!$C$9:$C$5008,2359)</f>
        <v>0.46838728987859213</v>
      </c>
      <c r="K7367">
        <f>1/(COUNT(SimData5000!$C$9:$C$5008)-1)+$K$7366</f>
        <v>0.47169433886779244</v>
      </c>
    </row>
    <row r="7368" spans="8:11">
      <c r="H7368">
        <f>SMALL(SimData5000!$B$9:$B$5008,2360)</f>
        <v>0.47180843693455882</v>
      </c>
      <c r="I7368">
        <f>1/(COUNT(SimData5000!$B$9:$B$5008)-1)+$I$7367</f>
        <v>0.47189437887579405</v>
      </c>
      <c r="J7368">
        <f>SMALL(SimData5000!$C$9:$C$5008,2360)</f>
        <v>0.46855667971294679</v>
      </c>
      <c r="K7368">
        <f>1/(COUNT(SimData5000!$C$9:$C$5008)-1)+$K$7367</f>
        <v>0.47189437887579405</v>
      </c>
    </row>
    <row r="7369" spans="8:11">
      <c r="H7369">
        <f>SMALL(SimData5000!$B$9:$B$5008,2361)</f>
        <v>0.47212967388130017</v>
      </c>
      <c r="I7369">
        <f>1/(COUNT(SimData5000!$B$9:$B$5008)-1)+$I$7368</f>
        <v>0.47209441888379566</v>
      </c>
      <c r="J7369">
        <f>SMALL(SimData5000!$C$9:$C$5008,2361)</f>
        <v>0.46869043584410974</v>
      </c>
      <c r="K7369">
        <f>1/(COUNT(SimData5000!$C$9:$C$5008)-1)+$K$7368</f>
        <v>0.47209441888379566</v>
      </c>
    </row>
    <row r="7370" spans="8:11">
      <c r="H7370">
        <f>SMALL(SimData5000!$B$9:$B$5008,2362)</f>
        <v>0.47229012271624299</v>
      </c>
      <c r="I7370">
        <f>1/(COUNT(SimData5000!$B$9:$B$5008)-1)+$I$7369</f>
        <v>0.47229445889179728</v>
      </c>
      <c r="J7370">
        <f>SMALL(SimData5000!$C$9:$C$5008,2362)</f>
        <v>0.46880949086973089</v>
      </c>
      <c r="K7370">
        <f>1/(COUNT(SimData5000!$C$9:$C$5008)-1)+$K$7369</f>
        <v>0.47229445889179728</v>
      </c>
    </row>
    <row r="7371" spans="8:11">
      <c r="H7371">
        <f>SMALL(SimData5000!$B$9:$B$5008,2363)</f>
        <v>0.47258366591138384</v>
      </c>
      <c r="I7371">
        <f>1/(COUNT(SimData5000!$B$9:$B$5008)-1)+$I$7370</f>
        <v>0.47249449889979889</v>
      </c>
      <c r="J7371">
        <f>SMALL(SimData5000!$C$9:$C$5008,2363)</f>
        <v>0.46888625731662614</v>
      </c>
      <c r="K7371">
        <f>1/(COUNT(SimData5000!$C$9:$C$5008)-1)+$K$7370</f>
        <v>0.47249449889979889</v>
      </c>
    </row>
    <row r="7372" spans="8:11">
      <c r="H7372">
        <f>SMALL(SimData5000!$B$9:$B$5008,2364)</f>
        <v>0.47265911163730989</v>
      </c>
      <c r="I7372">
        <f>1/(COUNT(SimData5000!$B$9:$B$5008)-1)+$I$7371</f>
        <v>0.4726945389078005</v>
      </c>
      <c r="J7372">
        <f>SMALL(SimData5000!$C$9:$C$5008,2364)</f>
        <v>0.46957137627580892</v>
      </c>
      <c r="K7372">
        <f>1/(COUNT(SimData5000!$C$9:$C$5008)-1)+$K$7371</f>
        <v>0.4726945389078005</v>
      </c>
    </row>
    <row r="7373" spans="8:11">
      <c r="H7373">
        <f>SMALL(SimData5000!$B$9:$B$5008,2365)</f>
        <v>0.47291848497044259</v>
      </c>
      <c r="I7373">
        <f>1/(COUNT(SimData5000!$B$9:$B$5008)-1)+$I$7372</f>
        <v>0.47289457891580211</v>
      </c>
      <c r="J7373">
        <f>SMALL(SimData5000!$C$9:$C$5008,2365)</f>
        <v>0.46958201334291516</v>
      </c>
      <c r="K7373">
        <f>1/(COUNT(SimData5000!$C$9:$C$5008)-1)+$K$7372</f>
        <v>0.47289457891580211</v>
      </c>
    </row>
    <row r="7374" spans="8:11">
      <c r="H7374">
        <f>SMALL(SimData5000!$B$9:$B$5008,2366)</f>
        <v>0.47312541550498582</v>
      </c>
      <c r="I7374">
        <f>1/(COUNT(SimData5000!$B$9:$B$5008)-1)+$I$7373</f>
        <v>0.47309461892380372</v>
      </c>
      <c r="J7374">
        <f>SMALL(SimData5000!$C$9:$C$5008,2366)</f>
        <v>0.46960705056335428</v>
      </c>
      <c r="K7374">
        <f>1/(COUNT(SimData5000!$C$9:$C$5008)-1)+$K$7373</f>
        <v>0.47309461892380372</v>
      </c>
    </row>
    <row r="7375" spans="8:11">
      <c r="H7375">
        <f>SMALL(SimData5000!$B$9:$B$5008,2367)</f>
        <v>0.47323476112886209</v>
      </c>
      <c r="I7375">
        <f>1/(COUNT(SimData5000!$B$9:$B$5008)-1)+$I$7374</f>
        <v>0.47329465893180533</v>
      </c>
      <c r="J7375">
        <f>SMALL(SimData5000!$C$9:$C$5008,2367)</f>
        <v>0.46993670747724536</v>
      </c>
      <c r="K7375">
        <f>1/(COUNT(SimData5000!$C$9:$C$5008)-1)+$K$7374</f>
        <v>0.47329465893180533</v>
      </c>
    </row>
    <row r="7376" spans="8:11">
      <c r="H7376">
        <f>SMALL(SimData5000!$B$9:$B$5008,2368)</f>
        <v>0.47352672115842032</v>
      </c>
      <c r="I7376">
        <f>1/(COUNT(SimData5000!$B$9:$B$5008)-1)+$I$7375</f>
        <v>0.47349469893980695</v>
      </c>
      <c r="J7376">
        <f>SMALL(SimData5000!$C$9:$C$5008,2368)</f>
        <v>0.4699554018843628</v>
      </c>
      <c r="K7376">
        <f>1/(COUNT(SimData5000!$C$9:$C$5008)-1)+$K$7375</f>
        <v>0.47349469893980695</v>
      </c>
    </row>
    <row r="7377" spans="8:11">
      <c r="H7377">
        <f>SMALL(SimData5000!$B$9:$B$5008,2369)</f>
        <v>0.47374286820752148</v>
      </c>
      <c r="I7377">
        <f>1/(COUNT(SimData5000!$B$9:$B$5008)-1)+$I$7376</f>
        <v>0.47369473894780856</v>
      </c>
      <c r="J7377">
        <f>SMALL(SimData5000!$C$9:$C$5008,2369)</f>
        <v>0.47014253639190429</v>
      </c>
      <c r="K7377">
        <f>1/(COUNT(SimData5000!$C$9:$C$5008)-1)+$K$7376</f>
        <v>0.47369473894780856</v>
      </c>
    </row>
    <row r="7378" spans="8:11">
      <c r="H7378">
        <f>SMALL(SimData5000!$B$9:$B$5008,2370)</f>
        <v>0.47385205737637637</v>
      </c>
      <c r="I7378">
        <f>1/(COUNT(SimData5000!$B$9:$B$5008)-1)+$I$7377</f>
        <v>0.47389477895581017</v>
      </c>
      <c r="J7378">
        <f>SMALL(SimData5000!$C$9:$C$5008,2370)</f>
        <v>0.4703476580507413</v>
      </c>
      <c r="K7378">
        <f>1/(COUNT(SimData5000!$C$9:$C$5008)-1)+$K$7377</f>
        <v>0.47389477895581017</v>
      </c>
    </row>
    <row r="7379" spans="8:11">
      <c r="H7379">
        <f>SMALL(SimData5000!$B$9:$B$5008,2371)</f>
        <v>0.47402865881035766</v>
      </c>
      <c r="I7379">
        <f>1/(COUNT(SimData5000!$B$9:$B$5008)-1)+$I$7378</f>
        <v>0.47409481896381178</v>
      </c>
      <c r="J7379">
        <f>SMALL(SimData5000!$C$9:$C$5008,2371)</f>
        <v>0.47041440230441367</v>
      </c>
      <c r="K7379">
        <f>1/(COUNT(SimData5000!$C$9:$C$5008)-1)+$K$7378</f>
        <v>0.47409481896381178</v>
      </c>
    </row>
    <row r="7380" spans="8:11">
      <c r="H7380">
        <f>SMALL(SimData5000!$B$9:$B$5008,2372)</f>
        <v>0.47433761881374231</v>
      </c>
      <c r="I7380">
        <f>1/(COUNT(SimData5000!$B$9:$B$5008)-1)+$I$7379</f>
        <v>0.47429485897181339</v>
      </c>
      <c r="J7380">
        <f>SMALL(SimData5000!$C$9:$C$5008,2372)</f>
        <v>0.47061438650689524</v>
      </c>
      <c r="K7380">
        <f>1/(COUNT(SimData5000!$C$9:$C$5008)-1)+$K$7379</f>
        <v>0.47429485897181339</v>
      </c>
    </row>
    <row r="7381" spans="8:11">
      <c r="H7381">
        <f>SMALL(SimData5000!$B$9:$B$5008,2373)</f>
        <v>0.47453707269540457</v>
      </c>
      <c r="I7381">
        <f>1/(COUNT(SimData5000!$B$9:$B$5008)-1)+$I$7380</f>
        <v>0.47449489897981501</v>
      </c>
      <c r="J7381">
        <f>SMALL(SimData5000!$C$9:$C$5008,2373)</f>
        <v>0.47075162919190916</v>
      </c>
      <c r="K7381">
        <f>1/(COUNT(SimData5000!$C$9:$C$5008)-1)+$K$7380</f>
        <v>0.47449489897981501</v>
      </c>
    </row>
    <row r="7382" spans="8:11">
      <c r="H7382">
        <f>SMALL(SimData5000!$B$9:$B$5008,2374)</f>
        <v>0.4746020381143321</v>
      </c>
      <c r="I7382">
        <f>1/(COUNT(SimData5000!$B$9:$B$5008)-1)+$I$7381</f>
        <v>0.47469493898781662</v>
      </c>
      <c r="J7382">
        <f>SMALL(SimData5000!$C$9:$C$5008,2374)</f>
        <v>0.47077301145691308</v>
      </c>
      <c r="K7382">
        <f>1/(COUNT(SimData5000!$C$9:$C$5008)-1)+$K$7381</f>
        <v>0.47469493898781662</v>
      </c>
    </row>
    <row r="7383" spans="8:11">
      <c r="H7383">
        <f>SMALL(SimData5000!$B$9:$B$5008,2375)</f>
        <v>0.47495922084286796</v>
      </c>
      <c r="I7383">
        <f>1/(COUNT(SimData5000!$B$9:$B$5008)-1)+$I$7382</f>
        <v>0.47489497899581823</v>
      </c>
      <c r="J7383">
        <f>SMALL(SimData5000!$C$9:$C$5008,2375)</f>
        <v>0.47080264634951163</v>
      </c>
      <c r="K7383">
        <f>1/(COUNT(SimData5000!$C$9:$C$5008)-1)+$K$7382</f>
        <v>0.47489497899581823</v>
      </c>
    </row>
    <row r="7384" spans="8:11">
      <c r="H7384">
        <f>SMALL(SimData5000!$B$9:$B$5008,2376)</f>
        <v>0.47508017294255089</v>
      </c>
      <c r="I7384">
        <f>1/(COUNT(SimData5000!$B$9:$B$5008)-1)+$I$7383</f>
        <v>0.47509501900381984</v>
      </c>
      <c r="J7384">
        <f>SMALL(SimData5000!$C$9:$C$5008,2376)</f>
        <v>0.47093459334791987</v>
      </c>
      <c r="K7384">
        <f>1/(COUNT(SimData5000!$C$9:$C$5008)-1)+$K$7383</f>
        <v>0.47509501900381984</v>
      </c>
    </row>
    <row r="7385" spans="8:11">
      <c r="H7385">
        <f>SMALL(SimData5000!$B$9:$B$5008,2377)</f>
        <v>0.4752281998938015</v>
      </c>
      <c r="I7385">
        <f>1/(COUNT(SimData5000!$B$9:$B$5008)-1)+$I$7384</f>
        <v>0.47529505901182145</v>
      </c>
      <c r="J7385">
        <f>SMALL(SimData5000!$C$9:$C$5008,2377)</f>
        <v>0.47095851063386363</v>
      </c>
      <c r="K7385">
        <f>1/(COUNT(SimData5000!$C$9:$C$5008)-1)+$K$7384</f>
        <v>0.47529505901182145</v>
      </c>
    </row>
    <row r="7386" spans="8:11">
      <c r="H7386">
        <f>SMALL(SimData5000!$B$9:$B$5008,2378)</f>
        <v>0.47557098821517341</v>
      </c>
      <c r="I7386">
        <f>1/(COUNT(SimData5000!$B$9:$B$5008)-1)+$I$7385</f>
        <v>0.47549509901982306</v>
      </c>
      <c r="J7386">
        <f>SMALL(SimData5000!$C$9:$C$5008,2378)</f>
        <v>0.47121481679550925</v>
      </c>
      <c r="K7386">
        <f>1/(COUNT(SimData5000!$C$9:$C$5008)-1)+$K$7385</f>
        <v>0.47549509901982306</v>
      </c>
    </row>
    <row r="7387" spans="8:11">
      <c r="H7387">
        <f>SMALL(SimData5000!$B$9:$B$5008,2379)</f>
        <v>0.47574072249148519</v>
      </c>
      <c r="I7387">
        <f>1/(COUNT(SimData5000!$B$9:$B$5008)-1)+$I$7386</f>
        <v>0.47569513902782468</v>
      </c>
      <c r="J7387">
        <f>SMALL(SimData5000!$C$9:$C$5008,2379)</f>
        <v>0.4712825212000098</v>
      </c>
      <c r="K7387">
        <f>1/(COUNT(SimData5000!$C$9:$C$5008)-1)+$K$7386</f>
        <v>0.47569513902782468</v>
      </c>
    </row>
    <row r="7388" spans="8:11">
      <c r="H7388">
        <f>SMALL(SimData5000!$B$9:$B$5008,2380)</f>
        <v>0.47595438829826991</v>
      </c>
      <c r="I7388">
        <f>1/(COUNT(SimData5000!$B$9:$B$5008)-1)+$I$7387</f>
        <v>0.47589517903582629</v>
      </c>
      <c r="J7388">
        <f>SMALL(SimData5000!$C$9:$C$5008,2380)</f>
        <v>0.47135518549021072</v>
      </c>
      <c r="K7388">
        <f>1/(COUNT(SimData5000!$C$9:$C$5008)-1)+$K$7387</f>
        <v>0.47589517903582629</v>
      </c>
    </row>
    <row r="7389" spans="8:11">
      <c r="H7389">
        <f>SMALL(SimData5000!$B$9:$B$5008,2381)</f>
        <v>0.47600849931054018</v>
      </c>
      <c r="I7389">
        <f>1/(COUNT(SimData5000!$B$9:$B$5008)-1)+$I$7388</f>
        <v>0.4760952190438279</v>
      </c>
      <c r="J7389">
        <f>SMALL(SimData5000!$C$9:$C$5008,2381)</f>
        <v>0.47135802674893057</v>
      </c>
      <c r="K7389">
        <f>1/(COUNT(SimData5000!$C$9:$C$5008)-1)+$K$7388</f>
        <v>0.4760952190438279</v>
      </c>
    </row>
    <row r="7390" spans="8:11">
      <c r="H7390">
        <f>SMALL(SimData5000!$B$9:$B$5008,2382)</f>
        <v>0.47639554648110544</v>
      </c>
      <c r="I7390">
        <f>1/(COUNT(SimData5000!$B$9:$B$5008)-1)+$I$7389</f>
        <v>0.47629525905182951</v>
      </c>
      <c r="J7390">
        <f>SMALL(SimData5000!$C$9:$C$5008,2382)</f>
        <v>0.47166656487479486</v>
      </c>
      <c r="K7390">
        <f>1/(COUNT(SimData5000!$C$9:$C$5008)-1)+$K$7389</f>
        <v>0.47629525905182951</v>
      </c>
    </row>
    <row r="7391" spans="8:11">
      <c r="H7391">
        <f>SMALL(SimData5000!$B$9:$B$5008,2383)</f>
        <v>0.47642510240977282</v>
      </c>
      <c r="I7391">
        <f>1/(COUNT(SimData5000!$B$9:$B$5008)-1)+$I$7390</f>
        <v>0.47649529905983112</v>
      </c>
      <c r="J7391">
        <f>SMALL(SimData5000!$C$9:$C$5008,2383)</f>
        <v>0.47168116983357322</v>
      </c>
      <c r="K7391">
        <f>1/(COUNT(SimData5000!$C$9:$C$5008)-1)+$K$7390</f>
        <v>0.47649529905983112</v>
      </c>
    </row>
    <row r="7392" spans="8:11">
      <c r="H7392">
        <f>SMALL(SimData5000!$B$9:$B$5008,2384)</f>
        <v>0.47677954573430581</v>
      </c>
      <c r="I7392">
        <f>1/(COUNT(SimData5000!$B$9:$B$5008)-1)+$I$7391</f>
        <v>0.47669533906783274</v>
      </c>
      <c r="J7392">
        <f>SMALL(SimData5000!$C$9:$C$5008,2384)</f>
        <v>0.47200709924436524</v>
      </c>
      <c r="K7392">
        <f>1/(COUNT(SimData5000!$C$9:$C$5008)-1)+$K$7391</f>
        <v>0.47669533906783274</v>
      </c>
    </row>
    <row r="7393" spans="8:11">
      <c r="H7393">
        <f>SMALL(SimData5000!$B$9:$B$5008,2385)</f>
        <v>0.47688329242767841</v>
      </c>
      <c r="I7393">
        <f>1/(COUNT(SimData5000!$B$9:$B$5008)-1)+$I$7392</f>
        <v>0.47689537907583435</v>
      </c>
      <c r="J7393">
        <f>SMALL(SimData5000!$C$9:$C$5008,2385)</f>
        <v>0.47223783707067923</v>
      </c>
      <c r="K7393">
        <f>1/(COUNT(SimData5000!$C$9:$C$5008)-1)+$K$7392</f>
        <v>0.47689537907583435</v>
      </c>
    </row>
    <row r="7394" spans="8:11">
      <c r="H7394">
        <f>SMALL(SimData5000!$B$9:$B$5008,2386)</f>
        <v>0.4771801688814955</v>
      </c>
      <c r="I7394">
        <f>1/(COUNT(SimData5000!$B$9:$B$5008)-1)+$I$7393</f>
        <v>0.47709541908383596</v>
      </c>
      <c r="J7394">
        <f>SMALL(SimData5000!$C$9:$C$5008,2386)</f>
        <v>0.47243925518796459</v>
      </c>
      <c r="K7394">
        <f>1/(COUNT(SimData5000!$C$9:$C$5008)-1)+$K$7393</f>
        <v>0.47709541908383596</v>
      </c>
    </row>
    <row r="7395" spans="8:11">
      <c r="H7395">
        <f>SMALL(SimData5000!$B$9:$B$5008,2387)</f>
        <v>0.47734142389435819</v>
      </c>
      <c r="I7395">
        <f>1/(COUNT(SimData5000!$B$9:$B$5008)-1)+$I$7394</f>
        <v>0.47729545909183757</v>
      </c>
      <c r="J7395">
        <f>SMALL(SimData5000!$C$9:$C$5008,2387)</f>
        <v>0.47261873108254804</v>
      </c>
      <c r="K7395">
        <f>1/(COUNT(SimData5000!$C$9:$C$5008)-1)+$K$7394</f>
        <v>0.47729545909183757</v>
      </c>
    </row>
    <row r="7396" spans="8:11">
      <c r="H7396">
        <f>SMALL(SimData5000!$B$9:$B$5008,2388)</f>
        <v>0.47754974718102011</v>
      </c>
      <c r="I7396">
        <f>1/(COUNT(SimData5000!$B$9:$B$5008)-1)+$I$7395</f>
        <v>0.47749549909983918</v>
      </c>
      <c r="J7396">
        <f>SMALL(SimData5000!$C$9:$C$5008,2388)</f>
        <v>0.47275122375958745</v>
      </c>
      <c r="K7396">
        <f>1/(COUNT(SimData5000!$C$9:$C$5008)-1)+$K$7395</f>
        <v>0.47749549909983918</v>
      </c>
    </row>
    <row r="7397" spans="8:11">
      <c r="H7397">
        <f>SMALL(SimData5000!$B$9:$B$5008,2389)</f>
        <v>0.47765611066176933</v>
      </c>
      <c r="I7397">
        <f>1/(COUNT(SimData5000!$B$9:$B$5008)-1)+$I$7396</f>
        <v>0.47769553910784079</v>
      </c>
      <c r="J7397">
        <f>SMALL(SimData5000!$C$9:$C$5008,2389)</f>
        <v>0.47296347187511856</v>
      </c>
      <c r="K7397">
        <f>1/(COUNT(SimData5000!$C$9:$C$5008)-1)+$K$7396</f>
        <v>0.47769553910784079</v>
      </c>
    </row>
    <row r="7398" spans="8:11">
      <c r="H7398">
        <f>SMALL(SimData5000!$B$9:$B$5008,2390)</f>
        <v>0.47782890494904223</v>
      </c>
      <c r="I7398">
        <f>1/(COUNT(SimData5000!$B$9:$B$5008)-1)+$I$7397</f>
        <v>0.47789557911584241</v>
      </c>
      <c r="J7398">
        <f>SMALL(SimData5000!$C$9:$C$5008,2390)</f>
        <v>0.47330480554319365</v>
      </c>
      <c r="K7398">
        <f>1/(COUNT(SimData5000!$C$9:$C$5008)-1)+$K$7397</f>
        <v>0.47789557911584241</v>
      </c>
    </row>
    <row r="7399" spans="8:11">
      <c r="H7399">
        <f>SMALL(SimData5000!$B$9:$B$5008,2391)</f>
        <v>0.47813665489781104</v>
      </c>
      <c r="I7399">
        <f>1/(COUNT(SimData5000!$B$9:$B$5008)-1)+$I$7398</f>
        <v>0.47809561912384402</v>
      </c>
      <c r="J7399">
        <f>SMALL(SimData5000!$C$9:$C$5008,2391)</f>
        <v>0.47330545185650408</v>
      </c>
      <c r="K7399">
        <f>1/(COUNT(SimData5000!$C$9:$C$5008)-1)+$K$7398</f>
        <v>0.47809561912384402</v>
      </c>
    </row>
    <row r="7400" spans="8:11">
      <c r="H7400">
        <f>SMALL(SimData5000!$B$9:$B$5008,2392)</f>
        <v>0.47827158943942549</v>
      </c>
      <c r="I7400">
        <f>1/(COUNT(SimData5000!$B$9:$B$5008)-1)+$I$7399</f>
        <v>0.47829565913184563</v>
      </c>
      <c r="J7400">
        <f>SMALL(SimData5000!$C$9:$C$5008,2392)</f>
        <v>0.47398542366045149</v>
      </c>
      <c r="K7400">
        <f>1/(COUNT(SimData5000!$C$9:$C$5008)-1)+$K$7399</f>
        <v>0.47829565913184563</v>
      </c>
    </row>
    <row r="7401" spans="8:11">
      <c r="H7401">
        <f>SMALL(SimData5000!$B$9:$B$5008,2393)</f>
        <v>0.47844433461242453</v>
      </c>
      <c r="I7401">
        <f>1/(COUNT(SimData5000!$B$9:$B$5008)-1)+$I$7400</f>
        <v>0.47849569913984724</v>
      </c>
      <c r="J7401">
        <f>SMALL(SimData5000!$C$9:$C$5008,2393)</f>
        <v>0.47406191774007311</v>
      </c>
      <c r="K7401">
        <f>1/(COUNT(SimData5000!$C$9:$C$5008)-1)+$K$7400</f>
        <v>0.47849569913984724</v>
      </c>
    </row>
    <row r="7402" spans="8:11">
      <c r="H7402">
        <f>SMALL(SimData5000!$B$9:$B$5008,2394)</f>
        <v>0.47879071571016468</v>
      </c>
      <c r="I7402">
        <f>1/(COUNT(SimData5000!$B$9:$B$5008)-1)+$I$7401</f>
        <v>0.47869573914784885</v>
      </c>
      <c r="J7402">
        <f>SMALL(SimData5000!$C$9:$C$5008,2394)</f>
        <v>0.47423777234143927</v>
      </c>
      <c r="K7402">
        <f>1/(COUNT(SimData5000!$C$9:$C$5008)-1)+$K$7401</f>
        <v>0.47869573914784885</v>
      </c>
    </row>
    <row r="7403" spans="8:11">
      <c r="H7403">
        <f>SMALL(SimData5000!$B$9:$B$5008,2395)</f>
        <v>0.47883365921038984</v>
      </c>
      <c r="I7403">
        <f>1/(COUNT(SimData5000!$B$9:$B$5008)-1)+$I$7402</f>
        <v>0.47889577915585047</v>
      </c>
      <c r="J7403">
        <f>SMALL(SimData5000!$C$9:$C$5008,2395)</f>
        <v>0.47426494606406777</v>
      </c>
      <c r="K7403">
        <f>1/(COUNT(SimData5000!$C$9:$C$5008)-1)+$K$7402</f>
        <v>0.47889577915585047</v>
      </c>
    </row>
    <row r="7404" spans="8:11">
      <c r="H7404">
        <f>SMALL(SimData5000!$B$9:$B$5008,2396)</f>
        <v>0.47912812419695039</v>
      </c>
      <c r="I7404">
        <f>1/(COUNT(SimData5000!$B$9:$B$5008)-1)+$I$7403</f>
        <v>0.47909581916385208</v>
      </c>
      <c r="J7404">
        <f>SMALL(SimData5000!$C$9:$C$5008,2396)</f>
        <v>0.47428662871789129</v>
      </c>
      <c r="K7404">
        <f>1/(COUNT(SimData5000!$C$9:$C$5008)-1)+$K$7403</f>
        <v>0.47909581916385208</v>
      </c>
    </row>
    <row r="7405" spans="8:11">
      <c r="H7405">
        <f>SMALL(SimData5000!$B$9:$B$5008,2397)</f>
        <v>0.47939928768924417</v>
      </c>
      <c r="I7405">
        <f>1/(COUNT(SimData5000!$B$9:$B$5008)-1)+$I$7404</f>
        <v>0.47929585917185369</v>
      </c>
      <c r="J7405">
        <f>SMALL(SimData5000!$C$9:$C$5008,2397)</f>
        <v>0.47436823210955481</v>
      </c>
      <c r="K7405">
        <f>1/(COUNT(SimData5000!$C$9:$C$5008)-1)+$K$7404</f>
        <v>0.47929585917185369</v>
      </c>
    </row>
    <row r="7406" spans="8:11">
      <c r="H7406">
        <f>SMALL(SimData5000!$B$9:$B$5008,2398)</f>
        <v>0.47950241482711919</v>
      </c>
      <c r="I7406">
        <f>1/(COUNT(SimData5000!$B$9:$B$5008)-1)+$I$7405</f>
        <v>0.4794958991798553</v>
      </c>
      <c r="J7406">
        <f>SMALL(SimData5000!$C$9:$C$5008,2398)</f>
        <v>0.47481232986956456</v>
      </c>
      <c r="K7406">
        <f>1/(COUNT(SimData5000!$C$9:$C$5008)-1)+$K$7405</f>
        <v>0.4794958991798553</v>
      </c>
    </row>
    <row r="7407" spans="8:11">
      <c r="H7407">
        <f>SMALL(SimData5000!$B$9:$B$5008,2399)</f>
        <v>0.47976343363927754</v>
      </c>
      <c r="I7407">
        <f>1/(COUNT(SimData5000!$B$9:$B$5008)-1)+$I$7406</f>
        <v>0.47969593918785691</v>
      </c>
      <c r="J7407">
        <f>SMALL(SimData5000!$C$9:$C$5008,2399)</f>
        <v>0.47491580785299448</v>
      </c>
      <c r="K7407">
        <f>1/(COUNT(SimData5000!$C$9:$C$5008)-1)+$K$7406</f>
        <v>0.47969593918785691</v>
      </c>
    </row>
    <row r="7408" spans="8:11">
      <c r="H7408">
        <f>SMALL(SimData5000!$B$9:$B$5008,2400)</f>
        <v>0.47986994319340909</v>
      </c>
      <c r="I7408">
        <f>1/(COUNT(SimData5000!$B$9:$B$5008)-1)+$I$7407</f>
        <v>0.47989597919585852</v>
      </c>
      <c r="J7408">
        <f>SMALL(SimData5000!$C$9:$C$5008,2400)</f>
        <v>0.47501080177516997</v>
      </c>
      <c r="K7408">
        <f>1/(COUNT(SimData5000!$C$9:$C$5008)-1)+$K$7407</f>
        <v>0.47989597919585852</v>
      </c>
    </row>
    <row r="7409" spans="8:11">
      <c r="H7409">
        <f>SMALL(SimData5000!$B$9:$B$5008,2401)</f>
        <v>0.4801663456618242</v>
      </c>
      <c r="I7409">
        <f>1/(COUNT(SimData5000!$B$9:$B$5008)-1)+$I$7408</f>
        <v>0.48009601920386014</v>
      </c>
      <c r="J7409">
        <f>SMALL(SimData5000!$C$9:$C$5008,2401)</f>
        <v>0.47543781147760455</v>
      </c>
      <c r="K7409">
        <f>1/(COUNT(SimData5000!$C$9:$C$5008)-1)+$K$7408</f>
        <v>0.48009601920386014</v>
      </c>
    </row>
    <row r="7410" spans="8:11">
      <c r="H7410">
        <f>SMALL(SimData5000!$B$9:$B$5008,2402)</f>
        <v>0.48032229572486185</v>
      </c>
      <c r="I7410">
        <f>1/(COUNT(SimData5000!$B$9:$B$5008)-1)+$I$7409</f>
        <v>0.48029605921186175</v>
      </c>
      <c r="J7410">
        <f>SMALL(SimData5000!$C$9:$C$5008,2402)</f>
        <v>0.47566089551946789</v>
      </c>
      <c r="K7410">
        <f>1/(COUNT(SimData5000!$C$9:$C$5008)-1)+$K$7409</f>
        <v>0.48029605921186175</v>
      </c>
    </row>
    <row r="7411" spans="8:11">
      <c r="H7411">
        <f>SMALL(SimData5000!$B$9:$B$5008,2403)</f>
        <v>0.4805950735786918</v>
      </c>
      <c r="I7411">
        <f>1/(COUNT(SimData5000!$B$9:$B$5008)-1)+$I$7410</f>
        <v>0.48049609921986336</v>
      </c>
      <c r="J7411">
        <f>SMALL(SimData5000!$C$9:$C$5008,2403)</f>
        <v>0.47607617657831725</v>
      </c>
      <c r="K7411">
        <f>1/(COUNT(SimData5000!$C$9:$C$5008)-1)+$K$7410</f>
        <v>0.48049609921986336</v>
      </c>
    </row>
    <row r="7412" spans="8:11">
      <c r="H7412">
        <f>SMALL(SimData5000!$B$9:$B$5008,2404)</f>
        <v>0.48073068973546168</v>
      </c>
      <c r="I7412">
        <f>1/(COUNT(SimData5000!$B$9:$B$5008)-1)+$I$7411</f>
        <v>0.48069613922786497</v>
      </c>
      <c r="J7412">
        <f>SMALL(SimData5000!$C$9:$C$5008,2404)</f>
        <v>0.47622375734954403</v>
      </c>
      <c r="K7412">
        <f>1/(COUNT(SimData5000!$C$9:$C$5008)-1)+$K$7411</f>
        <v>0.48069613922786497</v>
      </c>
    </row>
    <row r="7413" spans="8:11">
      <c r="H7413">
        <f>SMALL(SimData5000!$B$9:$B$5008,2405)</f>
        <v>0.48090495395620936</v>
      </c>
      <c r="I7413">
        <f>1/(COUNT(SimData5000!$B$9:$B$5008)-1)+$I$7412</f>
        <v>0.48089617923586658</v>
      </c>
      <c r="J7413">
        <f>SMALL(SimData5000!$C$9:$C$5008,2405)</f>
        <v>0.47637499123084126</v>
      </c>
      <c r="K7413">
        <f>1/(COUNT(SimData5000!$C$9:$C$5008)-1)+$K$7412</f>
        <v>0.48089617923586658</v>
      </c>
    </row>
    <row r="7414" spans="8:11">
      <c r="H7414">
        <f>SMALL(SimData5000!$B$9:$B$5008,2406)</f>
        <v>0.48109128954598945</v>
      </c>
      <c r="I7414">
        <f>1/(COUNT(SimData5000!$B$9:$B$5008)-1)+$I$7413</f>
        <v>0.4810962192438682</v>
      </c>
      <c r="J7414">
        <f>SMALL(SimData5000!$C$9:$C$5008,2406)</f>
        <v>0.4768994780806679</v>
      </c>
      <c r="K7414">
        <f>1/(COUNT(SimData5000!$C$9:$C$5008)-1)+$K$7413</f>
        <v>0.4810962192438682</v>
      </c>
    </row>
    <row r="7415" spans="8:11">
      <c r="H7415">
        <f>SMALL(SimData5000!$B$9:$B$5008,2407)</f>
        <v>0.48134103644763609</v>
      </c>
      <c r="I7415">
        <f>1/(COUNT(SimData5000!$B$9:$B$5008)-1)+$I$7414</f>
        <v>0.48129625925186981</v>
      </c>
      <c r="J7415">
        <f>SMALL(SimData5000!$C$9:$C$5008,2407)</f>
        <v>0.47703534034371842</v>
      </c>
      <c r="K7415">
        <f>1/(COUNT(SimData5000!$C$9:$C$5008)-1)+$K$7414</f>
        <v>0.48129625925186981</v>
      </c>
    </row>
    <row r="7416" spans="8:11">
      <c r="H7416">
        <f>SMALL(SimData5000!$B$9:$B$5008,2408)</f>
        <v>0.48146460498172428</v>
      </c>
      <c r="I7416">
        <f>1/(COUNT(SimData5000!$B$9:$B$5008)-1)+$I$7415</f>
        <v>0.48149629925987142</v>
      </c>
      <c r="J7416">
        <f>SMALL(SimData5000!$C$9:$C$5008,2408)</f>
        <v>0.47718169279596623</v>
      </c>
      <c r="K7416">
        <f>1/(COUNT(SimData5000!$C$9:$C$5008)-1)+$K$7415</f>
        <v>0.48149629925987142</v>
      </c>
    </row>
    <row r="7417" spans="8:11">
      <c r="H7417">
        <f>SMALL(SimData5000!$B$9:$B$5008,2409)</f>
        <v>0.48177386841642994</v>
      </c>
      <c r="I7417">
        <f>1/(COUNT(SimData5000!$B$9:$B$5008)-1)+$I$7416</f>
        <v>0.48169633926787303</v>
      </c>
      <c r="J7417">
        <f>SMALL(SimData5000!$C$9:$C$5008,2409)</f>
        <v>0.47724478991131036</v>
      </c>
      <c r="K7417">
        <f>1/(COUNT(SimData5000!$C$9:$C$5008)-1)+$K$7416</f>
        <v>0.48169633926787303</v>
      </c>
    </row>
    <row r="7418" spans="8:11">
      <c r="H7418">
        <f>SMALL(SimData5000!$B$9:$B$5008,2410)</f>
        <v>0.48183973354511889</v>
      </c>
      <c r="I7418">
        <f>1/(COUNT(SimData5000!$B$9:$B$5008)-1)+$I$7417</f>
        <v>0.48189637927587464</v>
      </c>
      <c r="J7418">
        <f>SMALL(SimData5000!$C$9:$C$5008,2410)</f>
        <v>0.47738642042986612</v>
      </c>
      <c r="K7418">
        <f>1/(COUNT(SimData5000!$C$9:$C$5008)-1)+$K$7417</f>
        <v>0.48189637927587464</v>
      </c>
    </row>
    <row r="7419" spans="8:11">
      <c r="H7419">
        <f>SMALL(SimData5000!$B$9:$B$5008,2411)</f>
        <v>0.48204140254842148</v>
      </c>
      <c r="I7419">
        <f>1/(COUNT(SimData5000!$B$9:$B$5008)-1)+$I$7418</f>
        <v>0.48209641928387625</v>
      </c>
      <c r="J7419">
        <f>SMALL(SimData5000!$C$9:$C$5008,2411)</f>
        <v>0.47756251467308175</v>
      </c>
      <c r="K7419">
        <f>1/(COUNT(SimData5000!$C$9:$C$5008)-1)+$K$7418</f>
        <v>0.48209641928387625</v>
      </c>
    </row>
    <row r="7420" spans="8:11">
      <c r="H7420">
        <f>SMALL(SimData5000!$B$9:$B$5008,2412)</f>
        <v>0.48223332998404123</v>
      </c>
      <c r="I7420">
        <f>1/(COUNT(SimData5000!$B$9:$B$5008)-1)+$I$7419</f>
        <v>0.48229645929187787</v>
      </c>
      <c r="J7420">
        <f>SMALL(SimData5000!$C$9:$C$5008,2412)</f>
        <v>0.47758609033553512</v>
      </c>
      <c r="K7420">
        <f>1/(COUNT(SimData5000!$C$9:$C$5008)-1)+$K$7419</f>
        <v>0.48229645929187787</v>
      </c>
    </row>
    <row r="7421" spans="8:11">
      <c r="H7421">
        <f>SMALL(SimData5000!$B$9:$B$5008,2413)</f>
        <v>0.48256859975828992</v>
      </c>
      <c r="I7421">
        <f>1/(COUNT(SimData5000!$B$9:$B$5008)-1)+$I$7420</f>
        <v>0.48249649929987948</v>
      </c>
      <c r="J7421">
        <f>SMALL(SimData5000!$C$9:$C$5008,2413)</f>
        <v>0.47785027318695938</v>
      </c>
      <c r="K7421">
        <f>1/(COUNT(SimData5000!$C$9:$C$5008)-1)+$K$7420</f>
        <v>0.48249649929987948</v>
      </c>
    </row>
    <row r="7422" spans="8:11">
      <c r="H7422">
        <f>SMALL(SimData5000!$B$9:$B$5008,2414)</f>
        <v>0.48273684459466876</v>
      </c>
      <c r="I7422">
        <f>1/(COUNT(SimData5000!$B$9:$B$5008)-1)+$I$7421</f>
        <v>0.48269653930788109</v>
      </c>
      <c r="J7422">
        <f>SMALL(SimData5000!$C$9:$C$5008,2414)</f>
        <v>0.47832216860206245</v>
      </c>
      <c r="K7422">
        <f>1/(COUNT(SimData5000!$C$9:$C$5008)-1)+$K$7421</f>
        <v>0.48269653930788109</v>
      </c>
    </row>
    <row r="7423" spans="8:11">
      <c r="H7423">
        <f>SMALL(SimData5000!$B$9:$B$5008,2415)</f>
        <v>0.48282895576060492</v>
      </c>
      <c r="I7423">
        <f>1/(COUNT(SimData5000!$B$9:$B$5008)-1)+$I$7422</f>
        <v>0.4828965793158827</v>
      </c>
      <c r="J7423">
        <f>SMALL(SimData5000!$C$9:$C$5008,2415)</f>
        <v>0.47836845122310478</v>
      </c>
      <c r="K7423">
        <f>1/(COUNT(SimData5000!$C$9:$C$5008)-1)+$K$7422</f>
        <v>0.4828965793158827</v>
      </c>
    </row>
    <row r="7424" spans="8:11">
      <c r="H7424">
        <f>SMALL(SimData5000!$B$9:$B$5008,2416)</f>
        <v>0.48304214069895496</v>
      </c>
      <c r="I7424">
        <f>1/(COUNT(SimData5000!$B$9:$B$5008)-1)+$I$7423</f>
        <v>0.48309661932388431</v>
      </c>
      <c r="J7424">
        <f>SMALL(SimData5000!$C$9:$C$5008,2416)</f>
        <v>0.47847748780714028</v>
      </c>
      <c r="K7424">
        <f>1/(COUNT(SimData5000!$C$9:$C$5008)-1)+$K$7423</f>
        <v>0.48309661932388431</v>
      </c>
    </row>
    <row r="7425" spans="8:11">
      <c r="H7425">
        <f>SMALL(SimData5000!$B$9:$B$5008,2417)</f>
        <v>0.48327090367792896</v>
      </c>
      <c r="I7425">
        <f>1/(COUNT(SimData5000!$B$9:$B$5008)-1)+$I$7424</f>
        <v>0.48329665933188592</v>
      </c>
      <c r="J7425">
        <f>SMALL(SimData5000!$C$9:$C$5008,2417)</f>
        <v>0.47848734412946214</v>
      </c>
      <c r="K7425">
        <f>1/(COUNT(SimData5000!$C$9:$C$5008)-1)+$K$7424</f>
        <v>0.48329665933188592</v>
      </c>
    </row>
    <row r="7426" spans="8:11">
      <c r="H7426">
        <f>SMALL(SimData5000!$B$9:$B$5008,2418)</f>
        <v>0.48358614130010508</v>
      </c>
      <c r="I7426">
        <f>1/(COUNT(SimData5000!$B$9:$B$5008)-1)+$I$7425</f>
        <v>0.48349669933988754</v>
      </c>
      <c r="J7426">
        <f>SMALL(SimData5000!$C$9:$C$5008,2418)</f>
        <v>0.47877339574824873</v>
      </c>
      <c r="K7426">
        <f>1/(COUNT(SimData5000!$C$9:$C$5008)-1)+$K$7425</f>
        <v>0.48349669933988754</v>
      </c>
    </row>
    <row r="7427" spans="8:11">
      <c r="H7427">
        <f>SMALL(SimData5000!$B$9:$B$5008,2419)</f>
        <v>0.48366455556332705</v>
      </c>
      <c r="I7427">
        <f>1/(COUNT(SimData5000!$B$9:$B$5008)-1)+$I$7426</f>
        <v>0.48369673934788915</v>
      </c>
      <c r="J7427">
        <f>SMALL(SimData5000!$C$9:$C$5008,2419)</f>
        <v>0.4789434753893147</v>
      </c>
      <c r="K7427">
        <f>1/(COUNT(SimData5000!$C$9:$C$5008)-1)+$K$7426</f>
        <v>0.48369673934788915</v>
      </c>
    </row>
    <row r="7428" spans="8:11">
      <c r="H7428">
        <f>SMALL(SimData5000!$B$9:$B$5008,2420)</f>
        <v>0.48384348804090249</v>
      </c>
      <c r="I7428">
        <f>1/(COUNT(SimData5000!$B$9:$B$5008)-1)+$I$7427</f>
        <v>0.48389677935589076</v>
      </c>
      <c r="J7428">
        <f>SMALL(SimData5000!$C$9:$C$5008,2420)</f>
        <v>0.47910560556738346</v>
      </c>
      <c r="K7428">
        <f>1/(COUNT(SimData5000!$C$9:$C$5008)-1)+$K$7427</f>
        <v>0.48389677935589076</v>
      </c>
    </row>
    <row r="7429" spans="8:11">
      <c r="H7429">
        <f>SMALL(SimData5000!$B$9:$B$5008,2421)</f>
        <v>0.4840577834411659</v>
      </c>
      <c r="I7429">
        <f>1/(COUNT(SimData5000!$B$9:$B$5008)-1)+$I$7428</f>
        <v>0.48409681936389237</v>
      </c>
      <c r="J7429">
        <f>SMALL(SimData5000!$C$9:$C$5008,2421)</f>
        <v>0.47912148390969378</v>
      </c>
      <c r="K7429">
        <f>1/(COUNT(SimData5000!$C$9:$C$5008)-1)+$K$7428</f>
        <v>0.48409681936389237</v>
      </c>
    </row>
    <row r="7430" spans="8:11">
      <c r="H7430">
        <f>SMALL(SimData5000!$B$9:$B$5008,2422)</f>
        <v>0.48439100779276134</v>
      </c>
      <c r="I7430">
        <f>1/(COUNT(SimData5000!$B$9:$B$5008)-1)+$I$7429</f>
        <v>0.48429685937189398</v>
      </c>
      <c r="J7430">
        <f>SMALL(SimData5000!$C$9:$C$5008,2422)</f>
        <v>0.47915640048449859</v>
      </c>
      <c r="K7430">
        <f>1/(COUNT(SimData5000!$C$9:$C$5008)-1)+$K$7429</f>
        <v>0.48429685937189398</v>
      </c>
    </row>
    <row r="7431" spans="8:11">
      <c r="H7431">
        <f>SMALL(SimData5000!$B$9:$B$5008,2423)</f>
        <v>0.48441406532614817</v>
      </c>
      <c r="I7431">
        <f>1/(COUNT(SimData5000!$B$9:$B$5008)-1)+$I$7430</f>
        <v>0.4844968993798956</v>
      </c>
      <c r="J7431">
        <f>SMALL(SimData5000!$C$9:$C$5008,2423)</f>
        <v>0.47926942733829492</v>
      </c>
      <c r="K7431">
        <f>1/(COUNT(SimData5000!$C$9:$C$5008)-1)+$K$7430</f>
        <v>0.4844968993798956</v>
      </c>
    </row>
    <row r="7432" spans="8:11">
      <c r="H7432">
        <f>SMALL(SimData5000!$B$9:$B$5008,2424)</f>
        <v>0.48472007341760209</v>
      </c>
      <c r="I7432">
        <f>1/(COUNT(SimData5000!$B$9:$B$5008)-1)+$I$7431</f>
        <v>0.48469693938789721</v>
      </c>
      <c r="J7432">
        <f>SMALL(SimData5000!$C$9:$C$5008,2424)</f>
        <v>0.47959360420827579</v>
      </c>
      <c r="K7432">
        <f>1/(COUNT(SimData5000!$C$9:$C$5008)-1)+$K$7431</f>
        <v>0.48469693938789721</v>
      </c>
    </row>
    <row r="7433" spans="8:11">
      <c r="H7433">
        <f>SMALL(SimData5000!$B$9:$B$5008,2425)</f>
        <v>0.48488618941504658</v>
      </c>
      <c r="I7433">
        <f>1/(COUNT(SimData5000!$B$9:$B$5008)-1)+$I$7432</f>
        <v>0.48489697939589882</v>
      </c>
      <c r="J7433">
        <f>SMALL(SimData5000!$C$9:$C$5008,2425)</f>
        <v>0.48005227690282481</v>
      </c>
      <c r="K7433">
        <f>1/(COUNT(SimData5000!$C$9:$C$5008)-1)+$K$7432</f>
        <v>0.48489697939589882</v>
      </c>
    </row>
    <row r="7434" spans="8:11">
      <c r="H7434">
        <f>SMALL(SimData5000!$B$9:$B$5008,2426)</f>
        <v>0.48514471642280571</v>
      </c>
      <c r="I7434">
        <f>1/(COUNT(SimData5000!$B$9:$B$5008)-1)+$I$7433</f>
        <v>0.48509701940390043</v>
      </c>
      <c r="J7434">
        <f>SMALL(SimData5000!$C$9:$C$5008,2426)</f>
        <v>0.48011698461505148</v>
      </c>
      <c r="K7434">
        <f>1/(COUNT(SimData5000!$C$9:$C$5008)-1)+$K$7433</f>
        <v>0.48509701940390043</v>
      </c>
    </row>
    <row r="7435" spans="8:11">
      <c r="H7435">
        <f>SMALL(SimData5000!$B$9:$B$5008,2427)</f>
        <v>0.48530528855144639</v>
      </c>
      <c r="I7435">
        <f>1/(COUNT(SimData5000!$B$9:$B$5008)-1)+$I$7434</f>
        <v>0.48529705941190204</v>
      </c>
      <c r="J7435">
        <f>SMALL(SimData5000!$C$9:$C$5008,2427)</f>
        <v>0.48015560596104478</v>
      </c>
      <c r="K7435">
        <f>1/(COUNT(SimData5000!$C$9:$C$5008)-1)+$K$7434</f>
        <v>0.48529705941190204</v>
      </c>
    </row>
    <row r="7436" spans="8:11">
      <c r="H7436">
        <f>SMALL(SimData5000!$B$9:$B$5008,2428)</f>
        <v>0.48540154353482684</v>
      </c>
      <c r="I7436">
        <f>1/(COUNT(SimData5000!$B$9:$B$5008)-1)+$I$7435</f>
        <v>0.48549709941990365</v>
      </c>
      <c r="J7436">
        <f>SMALL(SimData5000!$C$9:$C$5008,2428)</f>
        <v>0.48055247329102713</v>
      </c>
      <c r="K7436">
        <f>1/(COUNT(SimData5000!$C$9:$C$5008)-1)+$K$7435</f>
        <v>0.48549709941990365</v>
      </c>
    </row>
    <row r="7437" spans="8:11">
      <c r="H7437">
        <f>SMALL(SimData5000!$B$9:$B$5008,2429)</f>
        <v>0.48560256290203024</v>
      </c>
      <c r="I7437">
        <f>1/(COUNT(SimData5000!$B$9:$B$5008)-1)+$I$7436</f>
        <v>0.48569713942790527</v>
      </c>
      <c r="J7437">
        <f>SMALL(SimData5000!$C$9:$C$5008,2429)</f>
        <v>0.4805791079716073</v>
      </c>
      <c r="K7437">
        <f>1/(COUNT(SimData5000!$C$9:$C$5008)-1)+$K$7436</f>
        <v>0.48569713942790527</v>
      </c>
    </row>
    <row r="7438" spans="8:11">
      <c r="H7438">
        <f>SMALL(SimData5000!$B$9:$B$5008,2430)</f>
        <v>0.48592237212125267</v>
      </c>
      <c r="I7438">
        <f>1/(COUNT(SimData5000!$B$9:$B$5008)-1)+$I$7437</f>
        <v>0.48589717943590688</v>
      </c>
      <c r="J7438">
        <f>SMALL(SimData5000!$C$9:$C$5008,2430)</f>
        <v>0.4806541152374848</v>
      </c>
      <c r="K7438">
        <f>1/(COUNT(SimData5000!$C$9:$C$5008)-1)+$K$7437</f>
        <v>0.48589717943590688</v>
      </c>
    </row>
    <row r="7439" spans="8:11">
      <c r="H7439">
        <f>SMALL(SimData5000!$B$9:$B$5008,2431)</f>
        <v>0.48604455388855294</v>
      </c>
      <c r="I7439">
        <f>1/(COUNT(SimData5000!$B$9:$B$5008)-1)+$I$7438</f>
        <v>0.48609721944390849</v>
      </c>
      <c r="J7439">
        <f>SMALL(SimData5000!$C$9:$C$5008,2431)</f>
        <v>0.48117849782101985</v>
      </c>
      <c r="K7439">
        <f>1/(COUNT(SimData5000!$C$9:$C$5008)-1)+$K$7438</f>
        <v>0.48609721944390849</v>
      </c>
    </row>
    <row r="7440" spans="8:11">
      <c r="H7440">
        <f>SMALL(SimData5000!$B$9:$B$5008,2432)</f>
        <v>0.48622619763976571</v>
      </c>
      <c r="I7440">
        <f>1/(COUNT(SimData5000!$B$9:$B$5008)-1)+$I$7439</f>
        <v>0.4862972594519101</v>
      </c>
      <c r="J7440">
        <f>SMALL(SimData5000!$C$9:$C$5008,2432)</f>
        <v>0.48126028925071296</v>
      </c>
      <c r="K7440">
        <f>1/(COUNT(SimData5000!$C$9:$C$5008)-1)+$K$7439</f>
        <v>0.4862972594519101</v>
      </c>
    </row>
    <row r="7441" spans="8:11">
      <c r="H7441">
        <f>SMALL(SimData5000!$B$9:$B$5008,2433)</f>
        <v>0.48645285901195667</v>
      </c>
      <c r="I7441">
        <f>1/(COUNT(SimData5000!$B$9:$B$5008)-1)+$I$7440</f>
        <v>0.48649729945991171</v>
      </c>
      <c r="J7441">
        <f>SMALL(SimData5000!$C$9:$C$5008,2433)</f>
        <v>0.48190646926195768</v>
      </c>
      <c r="K7441">
        <f>1/(COUNT(SimData5000!$C$9:$C$5008)-1)+$K$7440</f>
        <v>0.48649729945991171</v>
      </c>
    </row>
    <row r="7442" spans="8:11">
      <c r="H7442">
        <f>SMALL(SimData5000!$B$9:$B$5008,2434)</f>
        <v>0.48673101577538319</v>
      </c>
      <c r="I7442">
        <f>1/(COUNT(SimData5000!$B$9:$B$5008)-1)+$I$7441</f>
        <v>0.48669733946791333</v>
      </c>
      <c r="J7442">
        <f>SMALL(SimData5000!$C$9:$C$5008,2434)</f>
        <v>0.48191083116762456</v>
      </c>
      <c r="K7442">
        <f>1/(COUNT(SimData5000!$C$9:$C$5008)-1)+$K$7441</f>
        <v>0.48669733946791333</v>
      </c>
    </row>
    <row r="7443" spans="8:11">
      <c r="H7443">
        <f>SMALL(SimData5000!$B$9:$B$5008,2435)</f>
        <v>0.48693080859280446</v>
      </c>
      <c r="I7443">
        <f>1/(COUNT(SimData5000!$B$9:$B$5008)-1)+$I$7442</f>
        <v>0.48689737947591494</v>
      </c>
      <c r="J7443">
        <f>SMALL(SimData5000!$C$9:$C$5008,2435)</f>
        <v>0.48195784071185699</v>
      </c>
      <c r="K7443">
        <f>1/(COUNT(SimData5000!$C$9:$C$5008)-1)+$K$7442</f>
        <v>0.48689737947591494</v>
      </c>
    </row>
    <row r="7444" spans="8:11">
      <c r="H7444">
        <f>SMALL(SimData5000!$B$9:$B$5008,2436)</f>
        <v>0.48718003118629105</v>
      </c>
      <c r="I7444">
        <f>1/(COUNT(SimData5000!$B$9:$B$5008)-1)+$I$7443</f>
        <v>0.48709741948391655</v>
      </c>
      <c r="J7444">
        <f>SMALL(SimData5000!$C$9:$C$5008,2436)</f>
        <v>0.48223515603876876</v>
      </c>
      <c r="K7444">
        <f>1/(COUNT(SimData5000!$C$9:$C$5008)-1)+$K$7443</f>
        <v>0.48709741948391655</v>
      </c>
    </row>
    <row r="7445" spans="8:11">
      <c r="H7445">
        <f>SMALL(SimData5000!$B$9:$B$5008,2437)</f>
        <v>0.48724932116401598</v>
      </c>
      <c r="I7445">
        <f>1/(COUNT(SimData5000!$B$9:$B$5008)-1)+$I$7444</f>
        <v>0.48729745949191816</v>
      </c>
      <c r="J7445">
        <f>SMALL(SimData5000!$C$9:$C$5008,2437)</f>
        <v>0.48246712470427155</v>
      </c>
      <c r="K7445">
        <f>1/(COUNT(SimData5000!$C$9:$C$5008)-1)+$K$7444</f>
        <v>0.48729745949191816</v>
      </c>
    </row>
    <row r="7446" spans="8:11">
      <c r="H7446">
        <f>SMALL(SimData5000!$B$9:$B$5008,2438)</f>
        <v>0.4875174342901254</v>
      </c>
      <c r="I7446">
        <f>1/(COUNT(SimData5000!$B$9:$B$5008)-1)+$I$7445</f>
        <v>0.48749749949991977</v>
      </c>
      <c r="J7446">
        <f>SMALL(SimData5000!$C$9:$C$5008,2438)</f>
        <v>0.48274416883486992</v>
      </c>
      <c r="K7446">
        <f>1/(COUNT(SimData5000!$C$9:$C$5008)-1)+$K$7445</f>
        <v>0.48749749949991977</v>
      </c>
    </row>
    <row r="7447" spans="8:11">
      <c r="H7447">
        <f>SMALL(SimData5000!$B$9:$B$5008,2439)</f>
        <v>0.48779915034379789</v>
      </c>
      <c r="I7447">
        <f>1/(COUNT(SimData5000!$B$9:$B$5008)-1)+$I$7446</f>
        <v>0.48769753950792138</v>
      </c>
      <c r="J7447">
        <f>SMALL(SimData5000!$C$9:$C$5008,2439)</f>
        <v>0.48291474403686152</v>
      </c>
      <c r="K7447">
        <f>1/(COUNT(SimData5000!$C$9:$C$5008)-1)+$K$7446</f>
        <v>0.48769753950792138</v>
      </c>
    </row>
    <row r="7448" spans="8:11">
      <c r="H7448">
        <f>SMALL(SimData5000!$B$9:$B$5008,2440)</f>
        <v>0.48796552302519924</v>
      </c>
      <c r="I7448">
        <f>1/(COUNT(SimData5000!$B$9:$B$5008)-1)+$I$7447</f>
        <v>0.487897579515923</v>
      </c>
      <c r="J7448">
        <f>SMALL(SimData5000!$C$9:$C$5008,2440)</f>
        <v>0.4829568988407118</v>
      </c>
      <c r="K7448">
        <f>1/(COUNT(SimData5000!$C$9:$C$5008)-1)+$K$7447</f>
        <v>0.487897579515923</v>
      </c>
    </row>
    <row r="7449" spans="8:11">
      <c r="H7449">
        <f>SMALL(SimData5000!$B$9:$B$5008,2441)</f>
        <v>0.48806466143430788</v>
      </c>
      <c r="I7449">
        <f>1/(COUNT(SimData5000!$B$9:$B$5008)-1)+$I$7448</f>
        <v>0.48809761952392461</v>
      </c>
      <c r="J7449">
        <f>SMALL(SimData5000!$C$9:$C$5008,2441)</f>
        <v>0.48344520548289438</v>
      </c>
      <c r="K7449">
        <f>1/(COUNT(SimData5000!$C$9:$C$5008)-1)+$K$7448</f>
        <v>0.48809761952392461</v>
      </c>
    </row>
    <row r="7450" spans="8:11">
      <c r="H7450">
        <f>SMALL(SimData5000!$B$9:$B$5008,2442)</f>
        <v>0.4883087965866339</v>
      </c>
      <c r="I7450">
        <f>1/(COUNT(SimData5000!$B$9:$B$5008)-1)+$I$7449</f>
        <v>0.48829765953192622</v>
      </c>
      <c r="J7450">
        <f>SMALL(SimData5000!$C$9:$C$5008,2442)</f>
        <v>0.48358896657464356</v>
      </c>
      <c r="K7450">
        <f>1/(COUNT(SimData5000!$C$9:$C$5008)-1)+$K$7449</f>
        <v>0.48829765953192622</v>
      </c>
    </row>
    <row r="7451" spans="8:11">
      <c r="H7451">
        <f>SMALL(SimData5000!$B$9:$B$5008,2443)</f>
        <v>0.4885929703148531</v>
      </c>
      <c r="I7451">
        <f>1/(COUNT(SimData5000!$B$9:$B$5008)-1)+$I$7450</f>
        <v>0.48849769953992783</v>
      </c>
      <c r="J7451">
        <f>SMALL(SimData5000!$C$9:$C$5008,2443)</f>
        <v>0.48386617053895975</v>
      </c>
      <c r="K7451">
        <f>1/(COUNT(SimData5000!$C$9:$C$5008)-1)+$K$7450</f>
        <v>0.48849769953992783</v>
      </c>
    </row>
    <row r="7452" spans="8:11">
      <c r="H7452">
        <f>SMALL(SimData5000!$B$9:$B$5008,2444)</f>
        <v>0.48869352955247586</v>
      </c>
      <c r="I7452">
        <f>1/(COUNT(SimData5000!$B$9:$B$5008)-1)+$I$7451</f>
        <v>0.48869773954792944</v>
      </c>
      <c r="J7452">
        <f>SMALL(SimData5000!$C$9:$C$5008,2444)</f>
        <v>0.48394614886910858</v>
      </c>
      <c r="K7452">
        <f>1/(COUNT(SimData5000!$C$9:$C$5008)-1)+$K$7451</f>
        <v>0.48869773954792944</v>
      </c>
    </row>
    <row r="7453" spans="8:11">
      <c r="H7453">
        <f>SMALL(SimData5000!$B$9:$B$5008,2445)</f>
        <v>0.48895533919864231</v>
      </c>
      <c r="I7453">
        <f>1/(COUNT(SimData5000!$B$9:$B$5008)-1)+$I$7452</f>
        <v>0.48889777955593106</v>
      </c>
      <c r="J7453">
        <f>SMALL(SimData5000!$C$9:$C$5008,2445)</f>
        <v>0.48435766146758397</v>
      </c>
      <c r="K7453">
        <f>1/(COUNT(SimData5000!$C$9:$C$5008)-1)+$K$7452</f>
        <v>0.48889777955593106</v>
      </c>
    </row>
    <row r="7454" spans="8:11">
      <c r="H7454">
        <f>SMALL(SimData5000!$B$9:$B$5008,2446)</f>
        <v>0.4890095258919544</v>
      </c>
      <c r="I7454">
        <f>1/(COUNT(SimData5000!$B$9:$B$5008)-1)+$I$7453</f>
        <v>0.48909781956393267</v>
      </c>
      <c r="J7454">
        <f>SMALL(SimData5000!$C$9:$C$5008,2446)</f>
        <v>0.48442453334519087</v>
      </c>
      <c r="K7454">
        <f>1/(COUNT(SimData5000!$C$9:$C$5008)-1)+$K$7453</f>
        <v>0.48909781956393267</v>
      </c>
    </row>
    <row r="7455" spans="8:11">
      <c r="H7455">
        <f>SMALL(SimData5000!$B$9:$B$5008,2447)</f>
        <v>0.48922750729816672</v>
      </c>
      <c r="I7455">
        <f>1/(COUNT(SimData5000!$B$9:$B$5008)-1)+$I$7454</f>
        <v>0.48929785957193428</v>
      </c>
      <c r="J7455">
        <f>SMALL(SimData5000!$C$9:$C$5008,2447)</f>
        <v>0.48491684580858418</v>
      </c>
      <c r="K7455">
        <f>1/(COUNT(SimData5000!$C$9:$C$5008)-1)+$K$7454</f>
        <v>0.48929785957193428</v>
      </c>
    </row>
    <row r="7456" spans="8:11">
      <c r="H7456">
        <f>SMALL(SimData5000!$B$9:$B$5008,2448)</f>
        <v>0.48959286436792299</v>
      </c>
      <c r="I7456">
        <f>1/(COUNT(SimData5000!$B$9:$B$5008)-1)+$I$7455</f>
        <v>0.48949789957993589</v>
      </c>
      <c r="J7456">
        <f>SMALL(SimData5000!$C$9:$C$5008,2448)</f>
        <v>0.48547742880509759</v>
      </c>
      <c r="K7456">
        <f>1/(COUNT(SimData5000!$C$9:$C$5008)-1)+$K$7455</f>
        <v>0.48949789957993589</v>
      </c>
    </row>
    <row r="7457" spans="8:11">
      <c r="H7457">
        <f>SMALL(SimData5000!$B$9:$B$5008,2449)</f>
        <v>0.48971396945061024</v>
      </c>
      <c r="I7457">
        <f>1/(COUNT(SimData5000!$B$9:$B$5008)-1)+$I$7456</f>
        <v>0.4896979395879375</v>
      </c>
      <c r="J7457">
        <f>SMALL(SimData5000!$C$9:$C$5008,2449)</f>
        <v>0.48575108223940333</v>
      </c>
      <c r="K7457">
        <f>1/(COUNT(SimData5000!$C$9:$C$5008)-1)+$K$7456</f>
        <v>0.4896979395879375</v>
      </c>
    </row>
    <row r="7458" spans="8:11">
      <c r="H7458">
        <f>SMALL(SimData5000!$B$9:$B$5008,2450)</f>
        <v>0.48981147505296657</v>
      </c>
      <c r="I7458">
        <f>1/(COUNT(SimData5000!$B$9:$B$5008)-1)+$I$7457</f>
        <v>0.48989797959593911</v>
      </c>
      <c r="J7458">
        <f>SMALL(SimData5000!$C$9:$C$5008,2450)</f>
        <v>0.48582751033063687</v>
      </c>
      <c r="K7458">
        <f>1/(COUNT(SimData5000!$C$9:$C$5008)-1)+$K$7457</f>
        <v>0.48989797959593911</v>
      </c>
    </row>
    <row r="7459" spans="8:11">
      <c r="H7459">
        <f>SMALL(SimData5000!$B$9:$B$5008,2451)</f>
        <v>0.49013382192578492</v>
      </c>
      <c r="I7459">
        <f>1/(COUNT(SimData5000!$B$9:$B$5008)-1)+$I$7458</f>
        <v>0.49009801960394073</v>
      </c>
      <c r="J7459">
        <f>SMALL(SimData5000!$C$9:$C$5008,2451)</f>
        <v>0.48605258457610034</v>
      </c>
      <c r="K7459">
        <f>1/(COUNT(SimData5000!$C$9:$C$5008)-1)+$K$7458</f>
        <v>0.49009801960394073</v>
      </c>
    </row>
    <row r="7460" spans="8:11">
      <c r="H7460">
        <f>SMALL(SimData5000!$B$9:$B$5008,2452)</f>
        <v>0.49039601968121627</v>
      </c>
      <c r="I7460">
        <f>1/(COUNT(SimData5000!$B$9:$B$5008)-1)+$I$7459</f>
        <v>0.49029805961194234</v>
      </c>
      <c r="J7460">
        <f>SMALL(SimData5000!$C$9:$C$5008,2452)</f>
        <v>0.48624643619405106</v>
      </c>
      <c r="K7460">
        <f>1/(COUNT(SimData5000!$C$9:$C$5008)-1)+$K$7459</f>
        <v>0.49029805961194234</v>
      </c>
    </row>
    <row r="7461" spans="8:11">
      <c r="H7461">
        <f>SMALL(SimData5000!$B$9:$B$5008,2453)</f>
        <v>0.49043091557762375</v>
      </c>
      <c r="I7461">
        <f>1/(COUNT(SimData5000!$B$9:$B$5008)-1)+$I$7460</f>
        <v>0.49049809961994395</v>
      </c>
      <c r="J7461">
        <f>SMALL(SimData5000!$C$9:$C$5008,2453)</f>
        <v>0.48626298368708376</v>
      </c>
      <c r="K7461">
        <f>1/(COUNT(SimData5000!$C$9:$C$5008)-1)+$K$7460</f>
        <v>0.49049809961994395</v>
      </c>
    </row>
    <row r="7462" spans="8:11">
      <c r="H7462">
        <f>SMALL(SimData5000!$B$9:$B$5008,2454)</f>
        <v>0.49063745976501089</v>
      </c>
      <c r="I7462">
        <f>1/(COUNT(SimData5000!$B$9:$B$5008)-1)+$I$7461</f>
        <v>0.49069813962794556</v>
      </c>
      <c r="J7462">
        <f>SMALL(SimData5000!$C$9:$C$5008,2454)</f>
        <v>0.4863336108301155</v>
      </c>
      <c r="K7462">
        <f>1/(COUNT(SimData5000!$C$9:$C$5008)-1)+$K$7461</f>
        <v>0.49069813962794556</v>
      </c>
    </row>
    <row r="7463" spans="8:11">
      <c r="H7463">
        <f>SMALL(SimData5000!$B$9:$B$5008,2455)</f>
        <v>0.49085434437744652</v>
      </c>
      <c r="I7463">
        <f>1/(COUNT(SimData5000!$B$9:$B$5008)-1)+$I$7462</f>
        <v>0.49089817963594717</v>
      </c>
      <c r="J7463">
        <f>SMALL(SimData5000!$C$9:$C$5008,2455)</f>
        <v>0.48636528579663718</v>
      </c>
      <c r="K7463">
        <f>1/(COUNT(SimData5000!$C$9:$C$5008)-1)+$K$7462</f>
        <v>0.49089817963594717</v>
      </c>
    </row>
    <row r="7464" spans="8:11">
      <c r="H7464">
        <f>SMALL(SimData5000!$B$9:$B$5008,2456)</f>
        <v>0.49119568251562207</v>
      </c>
      <c r="I7464">
        <f>1/(COUNT(SimData5000!$B$9:$B$5008)-1)+$I$7463</f>
        <v>0.49109821964394879</v>
      </c>
      <c r="J7464">
        <f>SMALL(SimData5000!$C$9:$C$5008,2456)</f>
        <v>0.48637963184592081</v>
      </c>
      <c r="K7464">
        <f>1/(COUNT(SimData5000!$C$9:$C$5008)-1)+$K$7463</f>
        <v>0.49109821964394879</v>
      </c>
    </row>
    <row r="7465" spans="8:11">
      <c r="H7465">
        <f>SMALL(SimData5000!$B$9:$B$5008,2457)</f>
        <v>0.49121652112864339</v>
      </c>
      <c r="I7465">
        <f>1/(COUNT(SimData5000!$B$9:$B$5008)-1)+$I$7464</f>
        <v>0.4912982596519504</v>
      </c>
      <c r="J7465">
        <f>SMALL(SimData5000!$C$9:$C$5008,2457)</f>
        <v>0.48646660207487002</v>
      </c>
      <c r="K7465">
        <f>1/(COUNT(SimData5000!$C$9:$C$5008)-1)+$K$7464</f>
        <v>0.4912982596519504</v>
      </c>
    </row>
    <row r="7466" spans="8:11">
      <c r="H7466">
        <f>SMALL(SimData5000!$B$9:$B$5008,2458)</f>
        <v>0.49146353747455024</v>
      </c>
      <c r="I7466">
        <f>1/(COUNT(SimData5000!$B$9:$B$5008)-1)+$I$7465</f>
        <v>0.49149829965995201</v>
      </c>
      <c r="J7466">
        <f>SMALL(SimData5000!$C$9:$C$5008,2458)</f>
        <v>0.487245929416531</v>
      </c>
      <c r="K7466">
        <f>1/(COUNT(SimData5000!$C$9:$C$5008)-1)+$K$7465</f>
        <v>0.49149829965995201</v>
      </c>
    </row>
    <row r="7467" spans="8:11">
      <c r="H7467">
        <f>SMALL(SimData5000!$B$9:$B$5008,2459)</f>
        <v>0.49165355672199595</v>
      </c>
      <c r="I7467">
        <f>1/(COUNT(SimData5000!$B$9:$B$5008)-1)+$I$7466</f>
        <v>0.49169833966795362</v>
      </c>
      <c r="J7467">
        <f>SMALL(SimData5000!$C$9:$C$5008,2459)</f>
        <v>0.48724761599260091</v>
      </c>
      <c r="K7467">
        <f>1/(COUNT(SimData5000!$C$9:$C$5008)-1)+$K$7466</f>
        <v>0.49169833966795362</v>
      </c>
    </row>
    <row r="7468" spans="8:11">
      <c r="H7468">
        <f>SMALL(SimData5000!$B$9:$B$5008,2460)</f>
        <v>0.49185049658814689</v>
      </c>
      <c r="I7468">
        <f>1/(COUNT(SimData5000!$B$9:$B$5008)-1)+$I$7467</f>
        <v>0.49189837967595523</v>
      </c>
      <c r="J7468">
        <f>SMALL(SimData5000!$C$9:$C$5008,2460)</f>
        <v>0.48756151300494821</v>
      </c>
      <c r="K7468">
        <f>1/(COUNT(SimData5000!$C$9:$C$5008)-1)+$K$7467</f>
        <v>0.49189837967595523</v>
      </c>
    </row>
    <row r="7469" spans="8:11">
      <c r="H7469">
        <f>SMALL(SimData5000!$B$9:$B$5008,2461)</f>
        <v>0.49203547981768742</v>
      </c>
      <c r="I7469">
        <f>1/(COUNT(SimData5000!$B$9:$B$5008)-1)+$I$7468</f>
        <v>0.49209841968395684</v>
      </c>
      <c r="J7469">
        <f>SMALL(SimData5000!$C$9:$C$5008,2461)</f>
        <v>0.48779251577889227</v>
      </c>
      <c r="K7469">
        <f>1/(COUNT(SimData5000!$C$9:$C$5008)-1)+$K$7468</f>
        <v>0.49209841968395684</v>
      </c>
    </row>
    <row r="7470" spans="8:11">
      <c r="H7470">
        <f>SMALL(SimData5000!$B$9:$B$5008,2462)</f>
        <v>0.49238477243766765</v>
      </c>
      <c r="I7470">
        <f>1/(COUNT(SimData5000!$B$9:$B$5008)-1)+$I$7469</f>
        <v>0.49229845969195846</v>
      </c>
      <c r="J7470">
        <f>SMALL(SimData5000!$C$9:$C$5008,2462)</f>
        <v>0.48812663708213222</v>
      </c>
      <c r="K7470">
        <f>1/(COUNT(SimData5000!$C$9:$C$5008)-1)+$K$7469</f>
        <v>0.49229845969195846</v>
      </c>
    </row>
    <row r="7471" spans="8:11">
      <c r="H7471">
        <f>SMALL(SimData5000!$B$9:$B$5008,2463)</f>
        <v>0.49245294106105647</v>
      </c>
      <c r="I7471">
        <f>1/(COUNT(SimData5000!$B$9:$B$5008)-1)+$I$7470</f>
        <v>0.49249849969996007</v>
      </c>
      <c r="J7471">
        <f>SMALL(SimData5000!$C$9:$C$5008,2463)</f>
        <v>0.48849318494831095</v>
      </c>
      <c r="K7471">
        <f>1/(COUNT(SimData5000!$C$9:$C$5008)-1)+$K$7470</f>
        <v>0.49249849969996007</v>
      </c>
    </row>
    <row r="7472" spans="8:11">
      <c r="H7472">
        <f>SMALL(SimData5000!$B$9:$B$5008,2464)</f>
        <v>0.49269026023631224</v>
      </c>
      <c r="I7472">
        <f>1/(COUNT(SimData5000!$B$9:$B$5008)-1)+$I$7471</f>
        <v>0.49269853970796168</v>
      </c>
      <c r="J7472">
        <f>SMALL(SimData5000!$C$9:$C$5008,2464)</f>
        <v>0.4886567321154871</v>
      </c>
      <c r="K7472">
        <f>1/(COUNT(SimData5000!$C$9:$C$5008)-1)+$K$7471</f>
        <v>0.49269853970796168</v>
      </c>
    </row>
    <row r="7473" spans="8:11">
      <c r="H7473">
        <f>SMALL(SimData5000!$B$9:$B$5008,2465)</f>
        <v>0.49281630417700306</v>
      </c>
      <c r="I7473">
        <f>1/(COUNT(SimData5000!$B$9:$B$5008)-1)+$I$7472</f>
        <v>0.49289857971596329</v>
      </c>
      <c r="J7473">
        <f>SMALL(SimData5000!$C$9:$C$5008,2465)</f>
        <v>0.48893328475332964</v>
      </c>
      <c r="K7473">
        <f>1/(COUNT(SimData5000!$C$9:$C$5008)-1)+$K$7472</f>
        <v>0.49289857971596329</v>
      </c>
    </row>
    <row r="7474" spans="8:11">
      <c r="H7474">
        <f>SMALL(SimData5000!$B$9:$B$5008,2466)</f>
        <v>0.49303961597844947</v>
      </c>
      <c r="I7474">
        <f>1/(COUNT(SimData5000!$B$9:$B$5008)-1)+$I$7473</f>
        <v>0.4930986197239649</v>
      </c>
      <c r="J7474">
        <f>SMALL(SimData5000!$C$9:$C$5008,2466)</f>
        <v>0.48905147697587381</v>
      </c>
      <c r="K7474">
        <f>1/(COUNT(SimData5000!$C$9:$C$5008)-1)+$K$7473</f>
        <v>0.4930986197239649</v>
      </c>
    </row>
    <row r="7475" spans="8:11">
      <c r="H7475">
        <f>SMALL(SimData5000!$B$9:$B$5008,2467)</f>
        <v>0.4933682479830851</v>
      </c>
      <c r="I7475">
        <f>1/(COUNT(SimData5000!$B$9:$B$5008)-1)+$I$7474</f>
        <v>0.49329865973196652</v>
      </c>
      <c r="J7475">
        <f>SMALL(SimData5000!$C$9:$C$5008,2467)</f>
        <v>0.48931854808961361</v>
      </c>
      <c r="K7475">
        <f>1/(COUNT(SimData5000!$C$9:$C$5008)-1)+$K$7474</f>
        <v>0.49329865973196652</v>
      </c>
    </row>
    <row r="7476" spans="8:11">
      <c r="H7476">
        <f>SMALL(SimData5000!$B$9:$B$5008,2468)</f>
        <v>0.49344996268005342</v>
      </c>
      <c r="I7476">
        <f>1/(COUNT(SimData5000!$B$9:$B$5008)-1)+$I$7475</f>
        <v>0.49349869973996813</v>
      </c>
      <c r="J7476">
        <f>SMALL(SimData5000!$C$9:$C$5008,2468)</f>
        <v>0.48953306429211807</v>
      </c>
      <c r="K7476">
        <f>1/(COUNT(SimData5000!$C$9:$C$5008)-1)+$K$7475</f>
        <v>0.49349869973996813</v>
      </c>
    </row>
    <row r="7477" spans="8:11">
      <c r="H7477">
        <f>SMALL(SimData5000!$B$9:$B$5008,2469)</f>
        <v>0.49364061900620365</v>
      </c>
      <c r="I7477">
        <f>1/(COUNT(SimData5000!$B$9:$B$5008)-1)+$I$7476</f>
        <v>0.49369873974796974</v>
      </c>
      <c r="J7477">
        <f>SMALL(SimData5000!$C$9:$C$5008,2469)</f>
        <v>0.48986114633225952</v>
      </c>
      <c r="K7477">
        <f>1/(COUNT(SimData5000!$C$9:$C$5008)-1)+$K$7476</f>
        <v>0.49369873974796974</v>
      </c>
    </row>
    <row r="7478" spans="8:11">
      <c r="H7478">
        <f>SMALL(SimData5000!$B$9:$B$5008,2470)</f>
        <v>0.49397052888939408</v>
      </c>
      <c r="I7478">
        <f>1/(COUNT(SimData5000!$B$9:$B$5008)-1)+$I$7477</f>
        <v>0.49389877975597135</v>
      </c>
      <c r="J7478">
        <f>SMALL(SimData5000!$C$9:$C$5008,2470)</f>
        <v>0.48989052572687797</v>
      </c>
      <c r="K7478">
        <f>1/(COUNT(SimData5000!$C$9:$C$5008)-1)+$K$7477</f>
        <v>0.49389877975597135</v>
      </c>
    </row>
    <row r="7479" spans="8:11">
      <c r="H7479">
        <f>SMALL(SimData5000!$B$9:$B$5008,2471)</f>
        <v>0.49410006224915853</v>
      </c>
      <c r="I7479">
        <f>1/(COUNT(SimData5000!$B$9:$B$5008)-1)+$I$7478</f>
        <v>0.49409881976397296</v>
      </c>
      <c r="J7479">
        <f>SMALL(SimData5000!$C$9:$C$5008,2471)</f>
        <v>0.49004298441286664</v>
      </c>
      <c r="K7479">
        <f>1/(COUNT(SimData5000!$C$9:$C$5008)-1)+$K$7478</f>
        <v>0.49409881976397296</v>
      </c>
    </row>
    <row r="7480" spans="8:11">
      <c r="H7480">
        <f>SMALL(SimData5000!$B$9:$B$5008,2472)</f>
        <v>0.49438514161435543</v>
      </c>
      <c r="I7480">
        <f>1/(COUNT(SimData5000!$B$9:$B$5008)-1)+$I$7479</f>
        <v>0.49429885977197457</v>
      </c>
      <c r="J7480">
        <f>SMALL(SimData5000!$C$9:$C$5008,2472)</f>
        <v>0.49010934627312963</v>
      </c>
      <c r="K7480">
        <f>1/(COUNT(SimData5000!$C$9:$C$5008)-1)+$K$7479</f>
        <v>0.49429885977197457</v>
      </c>
    </row>
    <row r="7481" spans="8:11">
      <c r="H7481">
        <f>SMALL(SimData5000!$B$9:$B$5008,2473)</f>
        <v>0.49457609843019773</v>
      </c>
      <c r="I7481">
        <f>1/(COUNT(SimData5000!$B$9:$B$5008)-1)+$I$7480</f>
        <v>0.49449889977997619</v>
      </c>
      <c r="J7481">
        <f>SMALL(SimData5000!$C$9:$C$5008,2473)</f>
        <v>0.49040633614458784</v>
      </c>
      <c r="K7481">
        <f>1/(COUNT(SimData5000!$C$9:$C$5008)-1)+$K$7480</f>
        <v>0.49449889977997619</v>
      </c>
    </row>
    <row r="7482" spans="8:11">
      <c r="H7482">
        <f>SMALL(SimData5000!$B$9:$B$5008,2474)</f>
        <v>0.49467421887798102</v>
      </c>
      <c r="I7482">
        <f>1/(COUNT(SimData5000!$B$9:$B$5008)-1)+$I$7481</f>
        <v>0.4946989397879778</v>
      </c>
      <c r="J7482">
        <f>SMALL(SimData5000!$C$9:$C$5008,2474)</f>
        <v>0.49079780291503994</v>
      </c>
      <c r="K7482">
        <f>1/(COUNT(SimData5000!$C$9:$C$5008)-1)+$K$7481</f>
        <v>0.4946989397879778</v>
      </c>
    </row>
    <row r="7483" spans="8:11">
      <c r="H7483">
        <f>SMALL(SimData5000!$B$9:$B$5008,2475)</f>
        <v>0.4948733370512895</v>
      </c>
      <c r="I7483">
        <f>1/(COUNT(SimData5000!$B$9:$B$5008)-1)+$I$7482</f>
        <v>0.49489897979597941</v>
      </c>
      <c r="J7483">
        <f>SMALL(SimData5000!$C$9:$C$5008,2475)</f>
        <v>0.49080999880061427</v>
      </c>
      <c r="K7483">
        <f>1/(COUNT(SimData5000!$C$9:$C$5008)-1)+$K$7482</f>
        <v>0.49489897979597941</v>
      </c>
    </row>
    <row r="7484" spans="8:11">
      <c r="H7484">
        <f>SMALL(SimData5000!$B$9:$B$5008,2476)</f>
        <v>0.49511191614771077</v>
      </c>
      <c r="I7484">
        <f>1/(COUNT(SimData5000!$B$9:$B$5008)-1)+$I$7483</f>
        <v>0.49509901980398102</v>
      </c>
      <c r="J7484">
        <f>SMALL(SimData5000!$C$9:$C$5008,2476)</f>
        <v>0.49101183814946125</v>
      </c>
      <c r="K7484">
        <f>1/(COUNT(SimData5000!$C$9:$C$5008)-1)+$K$7483</f>
        <v>0.49509901980398102</v>
      </c>
    </row>
    <row r="7485" spans="8:11">
      <c r="H7485">
        <f>SMALL(SimData5000!$B$9:$B$5008,2477)</f>
        <v>0.49537799896718426</v>
      </c>
      <c r="I7485">
        <f>1/(COUNT(SimData5000!$B$9:$B$5008)-1)+$I$7484</f>
        <v>0.49529905981198263</v>
      </c>
      <c r="J7485">
        <f>SMALL(SimData5000!$C$9:$C$5008,2477)</f>
        <v>0.49156286327706766</v>
      </c>
      <c r="K7485">
        <f>1/(COUNT(SimData5000!$C$9:$C$5008)-1)+$K$7484</f>
        <v>0.49529905981198263</v>
      </c>
    </row>
    <row r="7486" spans="8:11">
      <c r="H7486">
        <f>SMALL(SimData5000!$B$9:$B$5008,2478)</f>
        <v>0.49552966918487329</v>
      </c>
      <c r="I7486">
        <f>1/(COUNT(SimData5000!$B$9:$B$5008)-1)+$I$7485</f>
        <v>0.49549909981998425</v>
      </c>
      <c r="J7486">
        <f>SMALL(SimData5000!$C$9:$C$5008,2478)</f>
        <v>0.491699023916226</v>
      </c>
      <c r="K7486">
        <f>1/(COUNT(SimData5000!$C$9:$C$5008)-1)+$K$7485</f>
        <v>0.49549909981998425</v>
      </c>
    </row>
    <row r="7487" spans="8:11">
      <c r="H7487">
        <f>SMALL(SimData5000!$B$9:$B$5008,2479)</f>
        <v>0.49562142437301143</v>
      </c>
      <c r="I7487">
        <f>1/(COUNT(SimData5000!$B$9:$B$5008)-1)+$I$7486</f>
        <v>0.49569913982798586</v>
      </c>
      <c r="J7487">
        <f>SMALL(SimData5000!$C$9:$C$5008,2479)</f>
        <v>0.49177651256104582</v>
      </c>
      <c r="K7487">
        <f>1/(COUNT(SimData5000!$C$9:$C$5008)-1)+$K$7486</f>
        <v>0.49569913982798586</v>
      </c>
    </row>
    <row r="7488" spans="8:11">
      <c r="H7488">
        <f>SMALL(SimData5000!$B$9:$B$5008,2480)</f>
        <v>0.49598652377272645</v>
      </c>
      <c r="I7488">
        <f>1/(COUNT(SimData5000!$B$9:$B$5008)-1)+$I$7487</f>
        <v>0.49589917983598747</v>
      </c>
      <c r="J7488">
        <f>SMALL(SimData5000!$C$9:$C$5008,2480)</f>
        <v>0.49181326722548491</v>
      </c>
      <c r="K7488">
        <f>1/(COUNT(SimData5000!$C$9:$C$5008)-1)+$K$7487</f>
        <v>0.49589917983598747</v>
      </c>
    </row>
    <row r="7489" spans="8:11">
      <c r="H7489">
        <f>SMALL(SimData5000!$B$9:$B$5008,2481)</f>
        <v>0.49610716923519665</v>
      </c>
      <c r="I7489">
        <f>1/(COUNT(SimData5000!$B$9:$B$5008)-1)+$I$7488</f>
        <v>0.49609921984398908</v>
      </c>
      <c r="J7489">
        <f>SMALL(SimData5000!$C$9:$C$5008,2481)</f>
        <v>0.49195251069522783</v>
      </c>
      <c r="K7489">
        <f>1/(COUNT(SimData5000!$C$9:$C$5008)-1)+$K$7488</f>
        <v>0.49609921984398908</v>
      </c>
    </row>
    <row r="7490" spans="8:11">
      <c r="H7490">
        <f>SMALL(SimData5000!$B$9:$B$5008,2482)</f>
        <v>0.49622824386591746</v>
      </c>
      <c r="I7490">
        <f>1/(COUNT(SimData5000!$B$9:$B$5008)-1)+$I$7489</f>
        <v>0.49629925985199069</v>
      </c>
      <c r="J7490">
        <f>SMALL(SimData5000!$C$9:$C$5008,2482)</f>
        <v>0.49197754605847877</v>
      </c>
      <c r="K7490">
        <f>1/(COUNT(SimData5000!$C$9:$C$5008)-1)+$K$7489</f>
        <v>0.49629925985199069</v>
      </c>
    </row>
    <row r="7491" spans="8:11">
      <c r="H7491">
        <f>SMALL(SimData5000!$B$9:$B$5008,2483)</f>
        <v>0.49644759932226679</v>
      </c>
      <c r="I7491">
        <f>1/(COUNT(SimData5000!$B$9:$B$5008)-1)+$I$7490</f>
        <v>0.4964992998599923</v>
      </c>
      <c r="J7491">
        <f>SMALL(SimData5000!$C$9:$C$5008,2483)</f>
        <v>0.49199443126326514</v>
      </c>
      <c r="K7491">
        <f>1/(COUNT(SimData5000!$C$9:$C$5008)-1)+$K$7490</f>
        <v>0.4964992998599923</v>
      </c>
    </row>
    <row r="7492" spans="8:11">
      <c r="H7492">
        <f>SMALL(SimData5000!$B$9:$B$5008,2484)</f>
        <v>0.49678567969910464</v>
      </c>
      <c r="I7492">
        <f>1/(COUNT(SimData5000!$B$9:$B$5008)-1)+$I$7491</f>
        <v>0.49669933986799392</v>
      </c>
      <c r="J7492">
        <f>SMALL(SimData5000!$C$9:$C$5008,2484)</f>
        <v>0.49315782519079221</v>
      </c>
      <c r="K7492">
        <f>1/(COUNT(SimData5000!$C$9:$C$5008)-1)+$K$7491</f>
        <v>0.49669933986799392</v>
      </c>
    </row>
    <row r="7493" spans="8:11">
      <c r="H7493">
        <f>SMALL(SimData5000!$B$9:$B$5008,2485)</f>
        <v>0.49699075695420397</v>
      </c>
      <c r="I7493">
        <f>1/(COUNT(SimData5000!$B$9:$B$5008)-1)+$I$7492</f>
        <v>0.49689937987599553</v>
      </c>
      <c r="J7493">
        <f>SMALL(SimData5000!$C$9:$C$5008,2485)</f>
        <v>0.49334538470338885</v>
      </c>
      <c r="K7493">
        <f>1/(COUNT(SimData5000!$C$9:$C$5008)-1)+$K$7492</f>
        <v>0.49689937987599553</v>
      </c>
    </row>
    <row r="7494" spans="8:11">
      <c r="H7494">
        <f>SMALL(SimData5000!$B$9:$B$5008,2486)</f>
        <v>0.4971256476883138</v>
      </c>
      <c r="I7494">
        <f>1/(COUNT(SimData5000!$B$9:$B$5008)-1)+$I$7493</f>
        <v>0.49709941988399714</v>
      </c>
      <c r="J7494">
        <f>SMALL(SimData5000!$C$9:$C$5008,2486)</f>
        <v>0.49357639609297621</v>
      </c>
      <c r="K7494">
        <f>1/(COUNT(SimData5000!$C$9:$C$5008)-1)+$K$7493</f>
        <v>0.49709941988399714</v>
      </c>
    </row>
    <row r="7495" spans="8:11">
      <c r="H7495">
        <f>SMALL(SimData5000!$B$9:$B$5008,2487)</f>
        <v>0.49722615241278573</v>
      </c>
      <c r="I7495">
        <f>1/(COUNT(SimData5000!$B$9:$B$5008)-1)+$I$7494</f>
        <v>0.49729945989199875</v>
      </c>
      <c r="J7495">
        <f>SMALL(SimData5000!$C$9:$C$5008,2487)</f>
        <v>0.49362403578379599</v>
      </c>
      <c r="K7495">
        <f>1/(COUNT(SimData5000!$C$9:$C$5008)-1)+$K$7494</f>
        <v>0.49729945989199875</v>
      </c>
    </row>
    <row r="7496" spans="8:11">
      <c r="H7496">
        <f>SMALL(SimData5000!$B$9:$B$5008,2488)</f>
        <v>0.49759692525933424</v>
      </c>
      <c r="I7496">
        <f>1/(COUNT(SimData5000!$B$9:$B$5008)-1)+$I$7495</f>
        <v>0.49749949990000036</v>
      </c>
      <c r="J7496">
        <f>SMALL(SimData5000!$C$9:$C$5008,2488)</f>
        <v>0.49386369281091902</v>
      </c>
      <c r="K7496">
        <f>1/(COUNT(SimData5000!$C$9:$C$5008)-1)+$K$7495</f>
        <v>0.49749949990000036</v>
      </c>
    </row>
    <row r="7497" spans="8:11">
      <c r="H7497">
        <f>SMALL(SimData5000!$B$9:$B$5008,2489)</f>
        <v>0.49760451196809408</v>
      </c>
      <c r="I7497">
        <f>1/(COUNT(SimData5000!$B$9:$B$5008)-1)+$I$7496</f>
        <v>0.49769953990800198</v>
      </c>
      <c r="J7497">
        <f>SMALL(SimData5000!$C$9:$C$5008,2489)</f>
        <v>0.49430243920869543</v>
      </c>
      <c r="K7497">
        <f>1/(COUNT(SimData5000!$C$9:$C$5008)-1)+$K$7496</f>
        <v>0.49769953990800198</v>
      </c>
    </row>
    <row r="7498" spans="8:11">
      <c r="H7498">
        <f>SMALL(SimData5000!$B$9:$B$5008,2490)</f>
        <v>0.49790966436367246</v>
      </c>
      <c r="I7498">
        <f>1/(COUNT(SimData5000!$B$9:$B$5008)-1)+$I$7497</f>
        <v>0.49789957991600359</v>
      </c>
      <c r="J7498">
        <f>SMALL(SimData5000!$C$9:$C$5008,2490)</f>
        <v>0.49467090808138892</v>
      </c>
      <c r="K7498">
        <f>1/(COUNT(SimData5000!$C$9:$C$5008)-1)+$K$7497</f>
        <v>0.49789957991600359</v>
      </c>
    </row>
    <row r="7499" spans="8:11">
      <c r="H7499">
        <f>SMALL(SimData5000!$B$9:$B$5008,2491)</f>
        <v>0.49800106918439296</v>
      </c>
      <c r="I7499">
        <f>1/(COUNT(SimData5000!$B$9:$B$5008)-1)+$I$7498</f>
        <v>0.4980996199240052</v>
      </c>
      <c r="J7499">
        <f>SMALL(SimData5000!$C$9:$C$5008,2491)</f>
        <v>0.49477751374161016</v>
      </c>
      <c r="K7499">
        <f>1/(COUNT(SimData5000!$C$9:$C$5008)-1)+$K$7498</f>
        <v>0.4980996199240052</v>
      </c>
    </row>
    <row r="7500" spans="8:11">
      <c r="H7500">
        <f>SMALL(SimData5000!$B$9:$B$5008,2492)</f>
        <v>0.49823260844779027</v>
      </c>
      <c r="I7500">
        <f>1/(COUNT(SimData5000!$B$9:$B$5008)-1)+$I$7499</f>
        <v>0.49829965993200681</v>
      </c>
      <c r="J7500">
        <f>SMALL(SimData5000!$C$9:$C$5008,2492)</f>
        <v>0.49545530159775808</v>
      </c>
      <c r="K7500">
        <f>1/(COUNT(SimData5000!$C$9:$C$5008)-1)+$K$7499</f>
        <v>0.49829965993200681</v>
      </c>
    </row>
    <row r="7501" spans="8:11">
      <c r="H7501">
        <f>SMALL(SimData5000!$B$9:$B$5008,2493)</f>
        <v>0.49853322077797102</v>
      </c>
      <c r="I7501">
        <f>1/(COUNT(SimData5000!$B$9:$B$5008)-1)+$I$7500</f>
        <v>0.49849969994000842</v>
      </c>
      <c r="J7501">
        <f>SMALL(SimData5000!$C$9:$C$5008,2493)</f>
        <v>0.49558776794128789</v>
      </c>
      <c r="K7501">
        <f>1/(COUNT(SimData5000!$C$9:$C$5008)-1)+$K$7500</f>
        <v>0.49849969994000842</v>
      </c>
    </row>
    <row r="7502" spans="8:11">
      <c r="H7502">
        <f>SMALL(SimData5000!$B$9:$B$5008,2494)</f>
        <v>0.4986533013934859</v>
      </c>
      <c r="I7502">
        <f>1/(COUNT(SimData5000!$B$9:$B$5008)-1)+$I$7501</f>
        <v>0.49869973994801003</v>
      </c>
      <c r="J7502">
        <f>SMALL(SimData5000!$C$9:$C$5008,2494)</f>
        <v>0.49583556909510662</v>
      </c>
      <c r="K7502">
        <f>1/(COUNT(SimData5000!$C$9:$C$5008)-1)+$K$7501</f>
        <v>0.49869973994801003</v>
      </c>
    </row>
    <row r="7503" spans="8:11">
      <c r="H7503">
        <f>SMALL(SimData5000!$B$9:$B$5008,2495)</f>
        <v>0.49888497802463483</v>
      </c>
      <c r="I7503">
        <f>1/(COUNT(SimData5000!$B$9:$B$5008)-1)+$I$7502</f>
        <v>0.49889977995601165</v>
      </c>
      <c r="J7503">
        <f>SMALL(SimData5000!$C$9:$C$5008,2495)</f>
        <v>0.49636179643948708</v>
      </c>
      <c r="K7503">
        <f>1/(COUNT(SimData5000!$C$9:$C$5008)-1)+$K$7502</f>
        <v>0.49889977995601165</v>
      </c>
    </row>
    <row r="7504" spans="8:11">
      <c r="H7504">
        <f>SMALL(SimData5000!$B$9:$B$5008,2496)</f>
        <v>0.49912161409298922</v>
      </c>
      <c r="I7504">
        <f>1/(COUNT(SimData5000!$B$9:$B$5008)-1)+$I$7503</f>
        <v>0.49909981996401326</v>
      </c>
      <c r="J7504">
        <f>SMALL(SimData5000!$C$9:$C$5008,2496)</f>
        <v>0.4970986809103124</v>
      </c>
      <c r="K7504">
        <f>1/(COUNT(SimData5000!$C$9:$C$5008)-1)+$K$7503</f>
        <v>0.49909981996401326</v>
      </c>
    </row>
    <row r="7505" spans="8:11">
      <c r="H7505">
        <f>SMALL(SimData5000!$B$9:$B$5008,2497)</f>
        <v>0.49931439543341155</v>
      </c>
      <c r="I7505">
        <f>1/(COUNT(SimData5000!$B$9:$B$5008)-1)+$I$7504</f>
        <v>0.49929985997201487</v>
      </c>
      <c r="J7505">
        <f>SMALL(SimData5000!$C$9:$C$5008,2497)</f>
        <v>0.49717246711406915</v>
      </c>
      <c r="K7505">
        <f>1/(COUNT(SimData5000!$C$9:$C$5008)-1)+$K$7504</f>
        <v>0.49929985997201487</v>
      </c>
    </row>
    <row r="7506" spans="8:11">
      <c r="H7506">
        <f>SMALL(SimData5000!$B$9:$B$5008,2498)</f>
        <v>0.4995442503409796</v>
      </c>
      <c r="I7506">
        <f>1/(COUNT(SimData5000!$B$9:$B$5008)-1)+$I$7505</f>
        <v>0.49949989998001648</v>
      </c>
      <c r="J7506">
        <f>SMALL(SimData5000!$C$9:$C$5008,2498)</f>
        <v>0.49773425941657479</v>
      </c>
      <c r="K7506">
        <f>1/(COUNT(SimData5000!$C$9:$C$5008)-1)+$K$7505</f>
        <v>0.49949989998001648</v>
      </c>
    </row>
    <row r="7507" spans="8:11">
      <c r="H7507">
        <f>SMALL(SimData5000!$B$9:$B$5008,2499)</f>
        <v>0.49975691325905663</v>
      </c>
      <c r="I7507">
        <f>1/(COUNT(SimData5000!$B$9:$B$5008)-1)+$I$7506</f>
        <v>0.49969993998801809</v>
      </c>
      <c r="J7507">
        <f>SMALL(SimData5000!$C$9:$C$5008,2499)</f>
        <v>0.4977693766104494</v>
      </c>
      <c r="K7507">
        <f>1/(COUNT(SimData5000!$C$9:$C$5008)-1)+$K$7506</f>
        <v>0.49969993998801809</v>
      </c>
    </row>
    <row r="7508" spans="8:11">
      <c r="H7508">
        <f>SMALL(SimData5000!$B$9:$B$5008,2500)</f>
        <v>0.49981634387341711</v>
      </c>
      <c r="I7508">
        <f>1/(COUNT(SimData5000!$B$9:$B$5008)-1)+$I$7507</f>
        <v>0.49989997999601971</v>
      </c>
      <c r="J7508">
        <f>SMALL(SimData5000!$C$9:$C$5008,2500)</f>
        <v>0.49781854344382737</v>
      </c>
      <c r="K7508">
        <f>1/(COUNT(SimData5000!$C$9:$C$5008)-1)+$K$7507</f>
        <v>0.49989997999601971</v>
      </c>
    </row>
    <row r="7509" spans="8:11">
      <c r="H7509">
        <f>SMALL(SimData5000!$B$9:$B$5008,2501)</f>
        <v>0.50012077506764807</v>
      </c>
      <c r="I7509">
        <f>1/(COUNT(SimData5000!$B$9:$B$5008)-1)+$I$7508</f>
        <v>0.50010002000402132</v>
      </c>
      <c r="J7509">
        <f>SMALL(SimData5000!$C$9:$C$5008,2501)</f>
        <v>0.49792298394550016</v>
      </c>
      <c r="K7509">
        <f>1/(COUNT(SimData5000!$C$9:$C$5008)-1)+$K$7508</f>
        <v>0.50010002000402132</v>
      </c>
    </row>
    <row r="7510" spans="8:11">
      <c r="H7510">
        <f>SMALL(SimData5000!$B$9:$B$5008,2502)</f>
        <v>0.50037268170327243</v>
      </c>
      <c r="I7510">
        <f>1/(COUNT(SimData5000!$B$9:$B$5008)-1)+$I$7509</f>
        <v>0.50030006001202287</v>
      </c>
      <c r="J7510">
        <f>SMALL(SimData5000!$C$9:$C$5008,2502)</f>
        <v>0.49797715443946799</v>
      </c>
      <c r="K7510">
        <f>1/(COUNT(SimData5000!$C$9:$C$5008)-1)+$K$7509</f>
        <v>0.50030006001202287</v>
      </c>
    </row>
    <row r="7511" spans="8:11">
      <c r="H7511">
        <f>SMALL(SimData5000!$B$9:$B$5008,2503)</f>
        <v>0.50044794409774429</v>
      </c>
      <c r="I7511">
        <f>1/(COUNT(SimData5000!$B$9:$B$5008)-1)+$I$7510</f>
        <v>0.50050010002002443</v>
      </c>
      <c r="J7511">
        <f>SMALL(SimData5000!$C$9:$C$5008,2503)</f>
        <v>0.49799281154264463</v>
      </c>
      <c r="K7511">
        <f>1/(COUNT(SimData5000!$C$9:$C$5008)-1)+$K$7510</f>
        <v>0.50050010002002443</v>
      </c>
    </row>
    <row r="7512" spans="8:11">
      <c r="H7512">
        <f>SMALL(SimData5000!$B$9:$B$5008,2504)</f>
        <v>0.50061577822850445</v>
      </c>
      <c r="I7512">
        <f>1/(COUNT(SimData5000!$B$9:$B$5008)-1)+$I$7511</f>
        <v>0.50070014002802599</v>
      </c>
      <c r="J7512">
        <f>SMALL(SimData5000!$C$9:$C$5008,2504)</f>
        <v>0.49848045383714634</v>
      </c>
      <c r="K7512">
        <f>1/(COUNT(SimData5000!$C$9:$C$5008)-1)+$K$7511</f>
        <v>0.50070014002802599</v>
      </c>
    </row>
    <row r="7513" spans="8:11">
      <c r="H7513">
        <f>SMALL(SimData5000!$B$9:$B$5008,2505)</f>
        <v>0.50081082944623445</v>
      </c>
      <c r="I7513">
        <f>1/(COUNT(SimData5000!$B$9:$B$5008)-1)+$I$7512</f>
        <v>0.50090018003602754</v>
      </c>
      <c r="J7513">
        <f>SMALL(SimData5000!$C$9:$C$5008,2505)</f>
        <v>0.49869554240467551</v>
      </c>
      <c r="K7513">
        <f>1/(COUNT(SimData5000!$C$9:$C$5008)-1)+$K$7512</f>
        <v>0.50090018003602754</v>
      </c>
    </row>
    <row r="7514" spans="8:11">
      <c r="H7514">
        <f>SMALL(SimData5000!$B$9:$B$5008,2506)</f>
        <v>0.50116775493858556</v>
      </c>
      <c r="I7514">
        <f>1/(COUNT(SimData5000!$B$9:$B$5008)-1)+$I$7513</f>
        <v>0.5011002200440291</v>
      </c>
      <c r="J7514">
        <f>SMALL(SimData5000!$C$9:$C$5008,2506)</f>
        <v>0.49874188408739428</v>
      </c>
      <c r="K7514">
        <f>1/(COUNT(SimData5000!$C$9:$C$5008)-1)+$K$7513</f>
        <v>0.5011002200440291</v>
      </c>
    </row>
    <row r="7515" spans="8:11">
      <c r="H7515">
        <f>SMALL(SimData5000!$B$9:$B$5008,2507)</f>
        <v>0.50123378263074758</v>
      </c>
      <c r="I7515">
        <f>1/(COUNT(SimData5000!$B$9:$B$5008)-1)+$I$7514</f>
        <v>0.50130026005203066</v>
      </c>
      <c r="J7515">
        <f>SMALL(SimData5000!$C$9:$C$5008,2507)</f>
        <v>0.49886658678315143</v>
      </c>
      <c r="K7515">
        <f>1/(COUNT(SimData5000!$C$9:$C$5008)-1)+$K$7514</f>
        <v>0.50130026005203066</v>
      </c>
    </row>
    <row r="7516" spans="8:11">
      <c r="H7516">
        <f>SMALL(SimData5000!$B$9:$B$5008,2508)</f>
        <v>0.50150244011974487</v>
      </c>
      <c r="I7516">
        <f>1/(COUNT(SimData5000!$B$9:$B$5008)-1)+$I$7515</f>
        <v>0.50150030006003221</v>
      </c>
      <c r="J7516">
        <f>SMALL(SimData5000!$C$9:$C$5008,2508)</f>
        <v>0.4989646044796423</v>
      </c>
      <c r="K7516">
        <f>1/(COUNT(SimData5000!$C$9:$C$5008)-1)+$K$7515</f>
        <v>0.50150030006003221</v>
      </c>
    </row>
    <row r="7517" spans="8:11">
      <c r="H7517">
        <f>SMALL(SimData5000!$B$9:$B$5008,2509)</f>
        <v>0.50176511963181325</v>
      </c>
      <c r="I7517">
        <f>1/(COUNT(SimData5000!$B$9:$B$5008)-1)+$I$7516</f>
        <v>0.50170034006803377</v>
      </c>
      <c r="J7517">
        <f>SMALL(SimData5000!$C$9:$C$5008,2509)</f>
        <v>0.49907084381720779</v>
      </c>
      <c r="K7517">
        <f>1/(COUNT(SimData5000!$C$9:$C$5008)-1)+$K$7516</f>
        <v>0.50170034006803377</v>
      </c>
    </row>
    <row r="7518" spans="8:11">
      <c r="H7518">
        <f>SMALL(SimData5000!$B$9:$B$5008,2510)</f>
        <v>0.50197333311144576</v>
      </c>
      <c r="I7518">
        <f>1/(COUNT(SimData5000!$B$9:$B$5008)-1)+$I$7517</f>
        <v>0.50190038007603532</v>
      </c>
      <c r="J7518">
        <f>SMALL(SimData5000!$C$9:$C$5008,2510)</f>
        <v>0.50052794285056734</v>
      </c>
      <c r="K7518">
        <f>1/(COUNT(SimData5000!$C$9:$C$5008)-1)+$K$7517</f>
        <v>0.50190038007603532</v>
      </c>
    </row>
    <row r="7519" spans="8:11">
      <c r="H7519">
        <f>SMALL(SimData5000!$B$9:$B$5008,2511)</f>
        <v>0.50210111594505169</v>
      </c>
      <c r="I7519">
        <f>1/(COUNT(SimData5000!$B$9:$B$5008)-1)+$I$7518</f>
        <v>0.50210042008403688</v>
      </c>
      <c r="J7519">
        <f>SMALL(SimData5000!$C$9:$C$5008,2511)</f>
        <v>0.50060016287443432</v>
      </c>
      <c r="K7519">
        <f>1/(COUNT(SimData5000!$C$9:$C$5008)-1)+$K$7518</f>
        <v>0.50210042008403688</v>
      </c>
    </row>
    <row r="7520" spans="8:11">
      <c r="H7520">
        <f>SMALL(SimData5000!$B$9:$B$5008,2512)</f>
        <v>0.50237099423617382</v>
      </c>
      <c r="I7520">
        <f>1/(COUNT(SimData5000!$B$9:$B$5008)-1)+$I$7519</f>
        <v>0.50230046009203844</v>
      </c>
      <c r="J7520">
        <f>SMALL(SimData5000!$C$9:$C$5008,2512)</f>
        <v>0.50065269056267425</v>
      </c>
      <c r="K7520">
        <f>1/(COUNT(SimData5000!$C$9:$C$5008)-1)+$K$7519</f>
        <v>0.50230046009203844</v>
      </c>
    </row>
    <row r="7521" spans="8:11">
      <c r="H7521">
        <f>SMALL(SimData5000!$B$9:$B$5008,2513)</f>
        <v>0.50247706684295013</v>
      </c>
      <c r="I7521">
        <f>1/(COUNT(SimData5000!$B$9:$B$5008)-1)+$I$7520</f>
        <v>0.50250050010003999</v>
      </c>
      <c r="J7521">
        <f>SMALL(SimData5000!$C$9:$C$5008,2513)</f>
        <v>0.50130751021879405</v>
      </c>
      <c r="K7521">
        <f>1/(COUNT(SimData5000!$C$9:$C$5008)-1)+$K$7520</f>
        <v>0.50250050010003999</v>
      </c>
    </row>
    <row r="7522" spans="8:11">
      <c r="H7522">
        <f>SMALL(SimData5000!$B$9:$B$5008,2514)</f>
        <v>0.50279863877990261</v>
      </c>
      <c r="I7522">
        <f>1/(COUNT(SimData5000!$B$9:$B$5008)-1)+$I$7521</f>
        <v>0.50270054010804155</v>
      </c>
      <c r="J7522">
        <f>SMALL(SimData5000!$C$9:$C$5008,2514)</f>
        <v>0.50165110348461894</v>
      </c>
      <c r="K7522">
        <f>1/(COUNT(SimData5000!$C$9:$C$5008)-1)+$K$7521</f>
        <v>0.50270054010804155</v>
      </c>
    </row>
    <row r="7523" spans="8:11">
      <c r="H7523">
        <f>SMALL(SimData5000!$B$9:$B$5008,2515)</f>
        <v>0.50287858210026248</v>
      </c>
      <c r="I7523">
        <f>1/(COUNT(SimData5000!$B$9:$B$5008)-1)+$I$7522</f>
        <v>0.50290058011604311</v>
      </c>
      <c r="J7523">
        <f>SMALL(SimData5000!$C$9:$C$5008,2515)</f>
        <v>0.50191826465561462</v>
      </c>
      <c r="K7523">
        <f>1/(COUNT(SimData5000!$C$9:$C$5008)-1)+$K$7522</f>
        <v>0.50290058011604311</v>
      </c>
    </row>
    <row r="7524" spans="8:11">
      <c r="H7524">
        <f>SMALL(SimData5000!$B$9:$B$5008,2516)</f>
        <v>0.50309101725520822</v>
      </c>
      <c r="I7524">
        <f>1/(COUNT(SimData5000!$B$9:$B$5008)-1)+$I$7523</f>
        <v>0.50310062012404466</v>
      </c>
      <c r="J7524">
        <f>SMALL(SimData5000!$C$9:$C$5008,2516)</f>
        <v>0.50212931342502998</v>
      </c>
      <c r="K7524">
        <f>1/(COUNT(SimData5000!$C$9:$C$5008)-1)+$K$7523</f>
        <v>0.50310062012404466</v>
      </c>
    </row>
    <row r="7525" spans="8:11">
      <c r="H7525">
        <f>SMALL(SimData5000!$B$9:$B$5008,2517)</f>
        <v>0.50330633849089645</v>
      </c>
      <c r="I7525">
        <f>1/(COUNT(SimData5000!$B$9:$B$5008)-1)+$I$7524</f>
        <v>0.50330066013204622</v>
      </c>
      <c r="J7525">
        <f>SMALL(SimData5000!$C$9:$C$5008,2517)</f>
        <v>0.50227871724746365</v>
      </c>
      <c r="K7525">
        <f>1/(COUNT(SimData5000!$C$9:$C$5008)-1)+$K$7524</f>
        <v>0.50330066013204622</v>
      </c>
    </row>
    <row r="7526" spans="8:11">
      <c r="H7526">
        <f>SMALL(SimData5000!$B$9:$B$5008,2518)</f>
        <v>0.50345868201918398</v>
      </c>
      <c r="I7526">
        <f>1/(COUNT(SimData5000!$B$9:$B$5008)-1)+$I$7525</f>
        <v>0.50350070014004777</v>
      </c>
      <c r="J7526">
        <f>SMALL(SimData5000!$C$9:$C$5008,2518)</f>
        <v>0.50250434046120063</v>
      </c>
      <c r="K7526">
        <f>1/(COUNT(SimData5000!$C$9:$C$5008)-1)+$K$7525</f>
        <v>0.50350070014004777</v>
      </c>
    </row>
    <row r="7527" spans="8:11">
      <c r="H7527">
        <f>SMALL(SimData5000!$B$9:$B$5008,2519)</f>
        <v>0.50363530629808906</v>
      </c>
      <c r="I7527">
        <f>1/(COUNT(SimData5000!$B$9:$B$5008)-1)+$I$7526</f>
        <v>0.50370074014804933</v>
      </c>
      <c r="J7527">
        <f>SMALL(SimData5000!$C$9:$C$5008,2519)</f>
        <v>0.5026477820429136</v>
      </c>
      <c r="K7527">
        <f>1/(COUNT(SimData5000!$C$9:$C$5008)-1)+$K$7526</f>
        <v>0.50370074014804933</v>
      </c>
    </row>
    <row r="7528" spans="8:11">
      <c r="H7528">
        <f>SMALL(SimData5000!$B$9:$B$5008,2520)</f>
        <v>0.50389888442035269</v>
      </c>
      <c r="I7528">
        <f>1/(COUNT(SimData5000!$B$9:$B$5008)-1)+$I$7527</f>
        <v>0.50390078015605089</v>
      </c>
      <c r="J7528">
        <f>SMALL(SimData5000!$C$9:$C$5008,2520)</f>
        <v>0.50276182522247836</v>
      </c>
      <c r="K7528">
        <f>1/(COUNT(SimData5000!$C$9:$C$5008)-1)+$K$7527</f>
        <v>0.50390078015605089</v>
      </c>
    </row>
    <row r="7529" spans="8:11">
      <c r="H7529">
        <f>SMALL(SimData5000!$B$9:$B$5008,2521)</f>
        <v>0.50405743649184176</v>
      </c>
      <c r="I7529">
        <f>1/(COUNT(SimData5000!$B$9:$B$5008)-1)+$I$7528</f>
        <v>0.50410082016405244</v>
      </c>
      <c r="J7529">
        <f>SMALL(SimData5000!$C$9:$C$5008,2521)</f>
        <v>0.50287052494149975</v>
      </c>
      <c r="K7529">
        <f>1/(COUNT(SimData5000!$C$9:$C$5008)-1)+$K$7528</f>
        <v>0.50410082016405244</v>
      </c>
    </row>
    <row r="7530" spans="8:11">
      <c r="H7530">
        <f>SMALL(SimData5000!$B$9:$B$5008,2522)</f>
        <v>0.50426608661610306</v>
      </c>
      <c r="I7530">
        <f>1/(COUNT(SimData5000!$B$9:$B$5008)-1)+$I$7529</f>
        <v>0.504300860172054</v>
      </c>
      <c r="J7530">
        <f>SMALL(SimData5000!$C$9:$C$5008,2522)</f>
        <v>0.50303769856236613</v>
      </c>
      <c r="K7530">
        <f>1/(COUNT(SimData5000!$C$9:$C$5008)-1)+$K$7529</f>
        <v>0.504300860172054</v>
      </c>
    </row>
    <row r="7531" spans="8:11">
      <c r="H7531">
        <f>SMALL(SimData5000!$B$9:$B$5008,2523)</f>
        <v>0.50441294607878961</v>
      </c>
      <c r="I7531">
        <f>1/(COUNT(SimData5000!$B$9:$B$5008)-1)+$I$7530</f>
        <v>0.50450090018005556</v>
      </c>
      <c r="J7531">
        <f>SMALL(SimData5000!$C$9:$C$5008,2523)</f>
        <v>0.50314176322262938</v>
      </c>
      <c r="K7531">
        <f>1/(COUNT(SimData5000!$C$9:$C$5008)-1)+$K$7530</f>
        <v>0.50450090018005556</v>
      </c>
    </row>
    <row r="7532" spans="8:11">
      <c r="H7532">
        <f>SMALL(SimData5000!$B$9:$B$5008,2524)</f>
        <v>0.50468301028117613</v>
      </c>
      <c r="I7532">
        <f>1/(COUNT(SimData5000!$B$9:$B$5008)-1)+$I$7531</f>
        <v>0.50470094018805711</v>
      </c>
      <c r="J7532">
        <f>SMALL(SimData5000!$C$9:$C$5008,2524)</f>
        <v>0.5032949754386209</v>
      </c>
      <c r="K7532">
        <f>1/(COUNT(SimData5000!$C$9:$C$5008)-1)+$K$7531</f>
        <v>0.50470094018805711</v>
      </c>
    </row>
    <row r="7533" spans="8:11">
      <c r="H7533">
        <f>SMALL(SimData5000!$B$9:$B$5008,2525)</f>
        <v>0.50486574322792366</v>
      </c>
      <c r="I7533">
        <f>1/(COUNT(SimData5000!$B$9:$B$5008)-1)+$I$7532</f>
        <v>0.50490098019605867</v>
      </c>
      <c r="J7533">
        <f>SMALL(SimData5000!$C$9:$C$5008,2525)</f>
        <v>0.50330070692598383</v>
      </c>
      <c r="K7533">
        <f>1/(COUNT(SimData5000!$C$9:$C$5008)-1)+$K$7532</f>
        <v>0.50490098019605867</v>
      </c>
    </row>
    <row r="7534" spans="8:11">
      <c r="H7534">
        <f>SMALL(SimData5000!$B$9:$B$5008,2526)</f>
        <v>0.50505909352168887</v>
      </c>
      <c r="I7534">
        <f>1/(COUNT(SimData5000!$B$9:$B$5008)-1)+$I$7533</f>
        <v>0.50510102020406022</v>
      </c>
      <c r="J7534">
        <f>SMALL(SimData5000!$C$9:$C$5008,2526)</f>
        <v>0.50360421838558977</v>
      </c>
      <c r="K7534">
        <f>1/(COUNT(SimData5000!$C$9:$C$5008)-1)+$K$7533</f>
        <v>0.50510102020406022</v>
      </c>
    </row>
    <row r="7535" spans="8:11">
      <c r="H7535">
        <f>SMALL(SimData5000!$B$9:$B$5008,2527)</f>
        <v>0.50537763887056564</v>
      </c>
      <c r="I7535">
        <f>1/(COUNT(SimData5000!$B$9:$B$5008)-1)+$I$7534</f>
        <v>0.50530106021206178</v>
      </c>
      <c r="J7535">
        <f>SMALL(SimData5000!$C$9:$C$5008,2527)</f>
        <v>0.50406608977118594</v>
      </c>
      <c r="K7535">
        <f>1/(COUNT(SimData5000!$C$9:$C$5008)-1)+$K$7534</f>
        <v>0.50530106021206178</v>
      </c>
    </row>
    <row r="7536" spans="8:11">
      <c r="H7536">
        <f>SMALL(SimData5000!$B$9:$B$5008,2528)</f>
        <v>0.50558723237127701</v>
      </c>
      <c r="I7536">
        <f>1/(COUNT(SimData5000!$B$9:$B$5008)-1)+$I$7535</f>
        <v>0.50550110022006334</v>
      </c>
      <c r="J7536">
        <f>SMALL(SimData5000!$C$9:$C$5008,2528)</f>
        <v>0.50435367125373887</v>
      </c>
      <c r="K7536">
        <f>1/(COUNT(SimData5000!$C$9:$C$5008)-1)+$K$7535</f>
        <v>0.50550110022006334</v>
      </c>
    </row>
    <row r="7537" spans="8:11">
      <c r="H7537">
        <f>SMALL(SimData5000!$B$9:$B$5008,2529)</f>
        <v>0.50560381419155842</v>
      </c>
      <c r="I7537">
        <f>1/(COUNT(SimData5000!$B$9:$B$5008)-1)+$I$7536</f>
        <v>0.50570114022806489</v>
      </c>
      <c r="J7537">
        <f>SMALL(SimData5000!$C$9:$C$5008,2529)</f>
        <v>0.50450147353694774</v>
      </c>
      <c r="K7537">
        <f>1/(COUNT(SimData5000!$C$9:$C$5008)-1)+$K$7536</f>
        <v>0.50570114022806489</v>
      </c>
    </row>
    <row r="7538" spans="8:11">
      <c r="H7538">
        <f>SMALL(SimData5000!$B$9:$B$5008,2530)</f>
        <v>0.50598433290184108</v>
      </c>
      <c r="I7538">
        <f>1/(COUNT(SimData5000!$B$9:$B$5008)-1)+$I$7537</f>
        <v>0.50590118023606645</v>
      </c>
      <c r="J7538">
        <f>SMALL(SimData5000!$C$9:$C$5008,2530)</f>
        <v>0.50459236095412052</v>
      </c>
      <c r="K7538">
        <f>1/(COUNT(SimData5000!$C$9:$C$5008)-1)+$K$7537</f>
        <v>0.50590118023606645</v>
      </c>
    </row>
    <row r="7539" spans="8:11">
      <c r="H7539">
        <f>SMALL(SimData5000!$B$9:$B$5008,2531)</f>
        <v>0.50619805006287011</v>
      </c>
      <c r="I7539">
        <f>1/(COUNT(SimData5000!$B$9:$B$5008)-1)+$I$7538</f>
        <v>0.50610122024406801</v>
      </c>
      <c r="J7539">
        <f>SMALL(SimData5000!$C$9:$C$5008,2531)</f>
        <v>0.50551972243192722</v>
      </c>
      <c r="K7539">
        <f>1/(COUNT(SimData5000!$C$9:$C$5008)-1)+$K$7538</f>
        <v>0.50610122024406801</v>
      </c>
    </row>
    <row r="7540" spans="8:11">
      <c r="H7540">
        <f>SMALL(SimData5000!$B$9:$B$5008,2532)</f>
        <v>0.50632250116703159</v>
      </c>
      <c r="I7540">
        <f>1/(COUNT(SimData5000!$B$9:$B$5008)-1)+$I$7539</f>
        <v>0.50630126025206956</v>
      </c>
      <c r="J7540">
        <f>SMALL(SimData5000!$C$9:$C$5008,2532)</f>
        <v>0.50559511557457881</v>
      </c>
      <c r="K7540">
        <f>1/(COUNT(SimData5000!$C$9:$C$5008)-1)+$K$7539</f>
        <v>0.50630126025206956</v>
      </c>
    </row>
    <row r="7541" spans="8:11">
      <c r="H7541">
        <f>SMALL(SimData5000!$B$9:$B$5008,2533)</f>
        <v>0.50642736922666132</v>
      </c>
      <c r="I7541">
        <f>1/(COUNT(SimData5000!$B$9:$B$5008)-1)+$I$7540</f>
        <v>0.50650130026007112</v>
      </c>
      <c r="J7541">
        <f>SMALL(SimData5000!$C$9:$C$5008,2533)</f>
        <v>0.50565585415915848</v>
      </c>
      <c r="K7541">
        <f>1/(COUNT(SimData5000!$C$9:$C$5008)-1)+$K$7540</f>
        <v>0.50650130026007112</v>
      </c>
    </row>
    <row r="7542" spans="8:11">
      <c r="H7542">
        <f>SMALL(SimData5000!$B$9:$B$5008,2534)</f>
        <v>0.50667678482757805</v>
      </c>
      <c r="I7542">
        <f>1/(COUNT(SimData5000!$B$9:$B$5008)-1)+$I$7541</f>
        <v>0.50670134026807268</v>
      </c>
      <c r="J7542">
        <f>SMALL(SimData5000!$C$9:$C$5008,2534)</f>
        <v>0.5057143319863826</v>
      </c>
      <c r="K7542">
        <f>1/(COUNT(SimData5000!$C$9:$C$5008)-1)+$K$7541</f>
        <v>0.50670134026807268</v>
      </c>
    </row>
    <row r="7543" spans="8:11">
      <c r="H7543">
        <f>SMALL(SimData5000!$B$9:$B$5008,2535)</f>
        <v>0.50694735938835589</v>
      </c>
      <c r="I7543">
        <f>1/(COUNT(SimData5000!$B$9:$B$5008)-1)+$I$7542</f>
        <v>0.50690138027607423</v>
      </c>
      <c r="J7543">
        <f>SMALL(SimData5000!$C$9:$C$5008,2535)</f>
        <v>0.50591329702820076</v>
      </c>
      <c r="K7543">
        <f>1/(COUNT(SimData5000!$C$9:$C$5008)-1)+$K$7542</f>
        <v>0.50690138027607423</v>
      </c>
    </row>
    <row r="7544" spans="8:11">
      <c r="H7544">
        <f>SMALL(SimData5000!$B$9:$B$5008,2536)</f>
        <v>0.5070346820273518</v>
      </c>
      <c r="I7544">
        <f>1/(COUNT(SimData5000!$B$9:$B$5008)-1)+$I$7543</f>
        <v>0.50710142028407579</v>
      </c>
      <c r="J7544">
        <f>SMALL(SimData5000!$C$9:$C$5008,2536)</f>
        <v>0.50615563331393787</v>
      </c>
      <c r="K7544">
        <f>1/(COUNT(SimData5000!$C$9:$C$5008)-1)+$K$7543</f>
        <v>0.50710142028407579</v>
      </c>
    </row>
    <row r="7545" spans="8:11">
      <c r="H7545">
        <f>SMALL(SimData5000!$B$9:$B$5008,2537)</f>
        <v>0.50728793458675214</v>
      </c>
      <c r="I7545">
        <f>1/(COUNT(SimData5000!$B$9:$B$5008)-1)+$I$7544</f>
        <v>0.50730146029207734</v>
      </c>
      <c r="J7545">
        <f>SMALL(SimData5000!$C$9:$C$5008,2537)</f>
        <v>0.50616873460694478</v>
      </c>
      <c r="K7545">
        <f>1/(COUNT(SimData5000!$C$9:$C$5008)-1)+$K$7544</f>
        <v>0.50730146029207734</v>
      </c>
    </row>
    <row r="7546" spans="8:11">
      <c r="H7546">
        <f>SMALL(SimData5000!$B$9:$B$5008,2538)</f>
        <v>0.50758081376808251</v>
      </c>
      <c r="I7546">
        <f>1/(COUNT(SimData5000!$B$9:$B$5008)-1)+$I$7545</f>
        <v>0.5075015003000789</v>
      </c>
      <c r="J7546">
        <f>SMALL(SimData5000!$C$9:$C$5008,2538)</f>
        <v>0.50631283145685302</v>
      </c>
      <c r="K7546">
        <f>1/(COUNT(SimData5000!$C$9:$C$5008)-1)+$K$7545</f>
        <v>0.5075015003000789</v>
      </c>
    </row>
    <row r="7547" spans="8:11">
      <c r="H7547">
        <f>SMALL(SimData5000!$B$9:$B$5008,2539)</f>
        <v>0.50763252679142923</v>
      </c>
      <c r="I7547">
        <f>1/(COUNT(SimData5000!$B$9:$B$5008)-1)+$I$7546</f>
        <v>0.50770154030808046</v>
      </c>
      <c r="J7547">
        <f>SMALL(SimData5000!$C$9:$C$5008,2539)</f>
        <v>0.50638661702487298</v>
      </c>
      <c r="K7547">
        <f>1/(COUNT(SimData5000!$C$9:$C$5008)-1)+$K$7546</f>
        <v>0.50770154030808046</v>
      </c>
    </row>
    <row r="7548" spans="8:11">
      <c r="H7548">
        <f>SMALL(SimData5000!$B$9:$B$5008,2540)</f>
        <v>0.50795180104750948</v>
      </c>
      <c r="I7548">
        <f>1/(COUNT(SimData5000!$B$9:$B$5008)-1)+$I$7547</f>
        <v>0.50790158031608201</v>
      </c>
      <c r="J7548">
        <f>SMALL(SimData5000!$C$9:$C$5008,2540)</f>
        <v>0.50640651907724532</v>
      </c>
      <c r="K7548">
        <f>1/(COUNT(SimData5000!$C$9:$C$5008)-1)+$K$7547</f>
        <v>0.50790158031608201</v>
      </c>
    </row>
    <row r="7549" spans="8:11">
      <c r="H7549">
        <f>SMALL(SimData5000!$B$9:$B$5008,2541)</f>
        <v>0.50803066938897379</v>
      </c>
      <c r="I7549">
        <f>1/(COUNT(SimData5000!$B$9:$B$5008)-1)+$I$7548</f>
        <v>0.50810162032408357</v>
      </c>
      <c r="J7549">
        <f>SMALL(SimData5000!$C$9:$C$5008,2541)</f>
        <v>0.50681849525699363</v>
      </c>
      <c r="K7549">
        <f>1/(COUNT(SimData5000!$C$9:$C$5008)-1)+$K$7548</f>
        <v>0.50810162032408357</v>
      </c>
    </row>
    <row r="7550" spans="8:11">
      <c r="H7550">
        <f>SMALL(SimData5000!$B$9:$B$5008,2542)</f>
        <v>0.50821040001460593</v>
      </c>
      <c r="I7550">
        <f>1/(COUNT(SimData5000!$B$9:$B$5008)-1)+$I$7549</f>
        <v>0.50830166033208513</v>
      </c>
      <c r="J7550">
        <f>SMALL(SimData5000!$C$9:$C$5008,2542)</f>
        <v>0.50687546062181355</v>
      </c>
      <c r="K7550">
        <f>1/(COUNT(SimData5000!$C$9:$C$5008)-1)+$K$7549</f>
        <v>0.50830166033208513</v>
      </c>
    </row>
    <row r="7551" spans="8:11">
      <c r="H7551">
        <f>SMALL(SimData5000!$B$9:$B$5008,2543)</f>
        <v>0.50850690481753713</v>
      </c>
      <c r="I7551">
        <f>1/(COUNT(SimData5000!$B$9:$B$5008)-1)+$I$7550</f>
        <v>0.50850170034008668</v>
      </c>
      <c r="J7551">
        <f>SMALL(SimData5000!$C$9:$C$5008,2543)</f>
        <v>0.50723867017677549</v>
      </c>
      <c r="K7551">
        <f>1/(COUNT(SimData5000!$C$9:$C$5008)-1)+$K$7550</f>
        <v>0.50850170034008668</v>
      </c>
    </row>
    <row r="7552" spans="8:11">
      <c r="H7552">
        <f>SMALL(SimData5000!$B$9:$B$5008,2544)</f>
        <v>0.50863848916754095</v>
      </c>
      <c r="I7552">
        <f>1/(COUNT(SimData5000!$B$9:$B$5008)-1)+$I$7551</f>
        <v>0.50870174034808824</v>
      </c>
      <c r="J7552">
        <f>SMALL(SimData5000!$C$9:$C$5008,2544)</f>
        <v>0.507346481705099</v>
      </c>
      <c r="K7552">
        <f>1/(COUNT(SimData5000!$C$9:$C$5008)-1)+$K$7551</f>
        <v>0.50870174034808824</v>
      </c>
    </row>
    <row r="7553" spans="8:11">
      <c r="H7553">
        <f>SMALL(SimData5000!$B$9:$B$5008,2545)</f>
        <v>0.50886626889683917</v>
      </c>
      <c r="I7553">
        <f>1/(COUNT(SimData5000!$B$9:$B$5008)-1)+$I$7552</f>
        <v>0.50890178035608979</v>
      </c>
      <c r="J7553">
        <f>SMALL(SimData5000!$C$9:$C$5008,2545)</f>
        <v>0.5074252539416193</v>
      </c>
      <c r="K7553">
        <f>1/(COUNT(SimData5000!$C$9:$C$5008)-1)+$K$7552</f>
        <v>0.50890178035608979</v>
      </c>
    </row>
    <row r="7554" spans="8:11">
      <c r="H7554">
        <f>SMALL(SimData5000!$B$9:$B$5008,2546)</f>
        <v>0.50910732983669904</v>
      </c>
      <c r="I7554">
        <f>1/(COUNT(SimData5000!$B$9:$B$5008)-1)+$I$7553</f>
        <v>0.50910182036409135</v>
      </c>
      <c r="J7554">
        <f>SMALL(SimData5000!$C$9:$C$5008,2546)</f>
        <v>0.50748393439062056</v>
      </c>
      <c r="K7554">
        <f>1/(COUNT(SimData5000!$C$9:$C$5008)-1)+$K$7553</f>
        <v>0.50910182036409135</v>
      </c>
    </row>
    <row r="7555" spans="8:11">
      <c r="H7555">
        <f>SMALL(SimData5000!$B$9:$B$5008,2547)</f>
        <v>0.50924597477043188</v>
      </c>
      <c r="I7555">
        <f>1/(COUNT(SimData5000!$B$9:$B$5008)-1)+$I$7554</f>
        <v>0.50930186037209291</v>
      </c>
      <c r="J7555">
        <f>SMALL(SimData5000!$C$9:$C$5008,2547)</f>
        <v>0.5077397415161613</v>
      </c>
      <c r="K7555">
        <f>1/(COUNT(SimData5000!$C$9:$C$5008)-1)+$K$7554</f>
        <v>0.50930186037209291</v>
      </c>
    </row>
    <row r="7556" spans="8:11">
      <c r="H7556">
        <f>SMALL(SimData5000!$B$9:$B$5008,2548)</f>
        <v>0.50942664110018554</v>
      </c>
      <c r="I7556">
        <f>1/(COUNT(SimData5000!$B$9:$B$5008)-1)+$I$7555</f>
        <v>0.50950190038009446</v>
      </c>
      <c r="J7556">
        <f>SMALL(SimData5000!$C$9:$C$5008,2548)</f>
        <v>0.50790974825576995</v>
      </c>
      <c r="K7556">
        <f>1/(COUNT(SimData5000!$C$9:$C$5008)-1)+$K$7555</f>
        <v>0.50950190038009446</v>
      </c>
    </row>
    <row r="7557" spans="8:11">
      <c r="H7557">
        <f>SMALL(SimData5000!$B$9:$B$5008,2549)</f>
        <v>0.50978808299321399</v>
      </c>
      <c r="I7557">
        <f>1/(COUNT(SimData5000!$B$9:$B$5008)-1)+$I$7556</f>
        <v>0.50970194038809602</v>
      </c>
      <c r="J7557">
        <f>SMALL(SimData5000!$C$9:$C$5008,2549)</f>
        <v>0.50873867659174721</v>
      </c>
      <c r="K7557">
        <f>1/(COUNT(SimData5000!$C$9:$C$5008)-1)+$K$7556</f>
        <v>0.50970194038809602</v>
      </c>
    </row>
    <row r="7558" spans="8:11">
      <c r="H7558">
        <f>SMALL(SimData5000!$B$9:$B$5008,2550)</f>
        <v>0.50982379142642575</v>
      </c>
      <c r="I7558">
        <f>1/(COUNT(SimData5000!$B$9:$B$5008)-1)+$I$7557</f>
        <v>0.50990198039609758</v>
      </c>
      <c r="J7558">
        <f>SMALL(SimData5000!$C$9:$C$5008,2550)</f>
        <v>0.50882830250247935</v>
      </c>
      <c r="K7558">
        <f>1/(COUNT(SimData5000!$C$9:$C$5008)-1)+$K$7557</f>
        <v>0.50990198039609758</v>
      </c>
    </row>
    <row r="7559" spans="8:11">
      <c r="H7559">
        <f>SMALL(SimData5000!$B$9:$B$5008,2551)</f>
        <v>0.51001685753860904</v>
      </c>
      <c r="I7559">
        <f>1/(COUNT(SimData5000!$B$9:$B$5008)-1)+$I$7558</f>
        <v>0.51010202040409913</v>
      </c>
      <c r="J7559">
        <f>SMALL(SimData5000!$C$9:$C$5008,2551)</f>
        <v>0.50905949683419749</v>
      </c>
      <c r="K7559">
        <f>1/(COUNT(SimData5000!$C$9:$C$5008)-1)+$K$7558</f>
        <v>0.51010202040409913</v>
      </c>
    </row>
    <row r="7560" spans="8:11">
      <c r="H7560">
        <f>SMALL(SimData5000!$B$9:$B$5008,2552)</f>
        <v>0.51020097242649665</v>
      </c>
      <c r="I7560">
        <f>1/(COUNT(SimData5000!$B$9:$B$5008)-1)+$I$7559</f>
        <v>0.51030206041210069</v>
      </c>
      <c r="J7560">
        <f>SMALL(SimData5000!$C$9:$C$5008,2552)</f>
        <v>0.50920562508508738</v>
      </c>
      <c r="K7560">
        <f>1/(COUNT(SimData5000!$C$9:$C$5008)-1)+$K$7559</f>
        <v>0.51030206041210069</v>
      </c>
    </row>
    <row r="7561" spans="8:11">
      <c r="H7561">
        <f>SMALL(SimData5000!$B$9:$B$5008,2553)</f>
        <v>0.51041205171742754</v>
      </c>
      <c r="I7561">
        <f>1/(COUNT(SimData5000!$B$9:$B$5008)-1)+$I$7560</f>
        <v>0.51050210042010224</v>
      </c>
      <c r="J7561">
        <f>SMALL(SimData5000!$C$9:$C$5008,2553)</f>
        <v>0.50935223726628465</v>
      </c>
      <c r="K7561">
        <f>1/(COUNT(SimData5000!$C$9:$C$5008)-1)+$K$7560</f>
        <v>0.51050210042010224</v>
      </c>
    </row>
    <row r="7562" spans="8:11">
      <c r="H7562">
        <f>SMALL(SimData5000!$B$9:$B$5008,2554)</f>
        <v>0.51074963441662247</v>
      </c>
      <c r="I7562">
        <f>1/(COUNT(SimData5000!$B$9:$B$5008)-1)+$I$7561</f>
        <v>0.5107021404281038</v>
      </c>
      <c r="J7562">
        <f>SMALL(SimData5000!$C$9:$C$5008,2554)</f>
        <v>0.50937934008106822</v>
      </c>
      <c r="K7562">
        <f>1/(COUNT(SimData5000!$C$9:$C$5008)-1)+$K$7561</f>
        <v>0.5107021404281038</v>
      </c>
    </row>
    <row r="7563" spans="8:11">
      <c r="H7563">
        <f>SMALL(SimData5000!$B$9:$B$5008,2555)</f>
        <v>0.51092165750091001</v>
      </c>
      <c r="I7563">
        <f>1/(COUNT(SimData5000!$B$9:$B$5008)-1)+$I$7562</f>
        <v>0.51090218043610536</v>
      </c>
      <c r="J7563">
        <f>SMALL(SimData5000!$C$9:$C$5008,2555)</f>
        <v>0.50991346754926781</v>
      </c>
      <c r="K7563">
        <f>1/(COUNT(SimData5000!$C$9:$C$5008)-1)+$K$7562</f>
        <v>0.51090218043610536</v>
      </c>
    </row>
    <row r="7564" spans="8:11">
      <c r="H7564">
        <f>SMALL(SimData5000!$B$9:$B$5008,2556)</f>
        <v>0.51104286896368556</v>
      </c>
      <c r="I7564">
        <f>1/(COUNT(SimData5000!$B$9:$B$5008)-1)+$I$7563</f>
        <v>0.51110222044410691</v>
      </c>
      <c r="J7564">
        <f>SMALL(SimData5000!$C$9:$C$5008,2556)</f>
        <v>0.51009358099599922</v>
      </c>
      <c r="K7564">
        <f>1/(COUNT(SimData5000!$C$9:$C$5008)-1)+$K$7563</f>
        <v>0.51110222044410691</v>
      </c>
    </row>
    <row r="7565" spans="8:11">
      <c r="H7565">
        <f>SMALL(SimData5000!$B$9:$B$5008,2557)</f>
        <v>0.51138986686584298</v>
      </c>
      <c r="I7565">
        <f>1/(COUNT(SimData5000!$B$9:$B$5008)-1)+$I$7564</f>
        <v>0.51130226045210847</v>
      </c>
      <c r="J7565">
        <f>SMALL(SimData5000!$C$9:$C$5008,2557)</f>
        <v>0.51009998907557019</v>
      </c>
      <c r="K7565">
        <f>1/(COUNT(SimData5000!$C$9:$C$5008)-1)+$K$7564</f>
        <v>0.51130226045210847</v>
      </c>
    </row>
    <row r="7566" spans="8:11">
      <c r="H7566">
        <f>SMALL(SimData5000!$B$9:$B$5008,2558)</f>
        <v>0.5114151072169224</v>
      </c>
      <c r="I7566">
        <f>1/(COUNT(SimData5000!$B$9:$B$5008)-1)+$I$7565</f>
        <v>0.51150230046011003</v>
      </c>
      <c r="J7566">
        <f>SMALL(SimData5000!$C$9:$C$5008,2558)</f>
        <v>0.51024631009022414</v>
      </c>
      <c r="K7566">
        <f>1/(COUNT(SimData5000!$C$9:$C$5008)-1)+$K$7565</f>
        <v>0.51150230046011003</v>
      </c>
    </row>
    <row r="7567" spans="8:11">
      <c r="H7567">
        <f>SMALL(SimData5000!$B$9:$B$5008,2559)</f>
        <v>0.51160477290731032</v>
      </c>
      <c r="I7567">
        <f>1/(COUNT(SimData5000!$B$9:$B$5008)-1)+$I$7566</f>
        <v>0.51170234046811158</v>
      </c>
      <c r="J7567">
        <f>SMALL(SimData5000!$C$9:$C$5008,2559)</f>
        <v>0.51025711187503475</v>
      </c>
      <c r="K7567">
        <f>1/(COUNT(SimData5000!$C$9:$C$5008)-1)+$K$7566</f>
        <v>0.51170234046811158</v>
      </c>
    </row>
    <row r="7568" spans="8:11">
      <c r="H7568">
        <f>SMALL(SimData5000!$B$9:$B$5008,2560)</f>
        <v>0.51183138120170479</v>
      </c>
      <c r="I7568">
        <f>1/(COUNT(SimData5000!$B$9:$B$5008)-1)+$I$7567</f>
        <v>0.51190238047611314</v>
      </c>
      <c r="J7568">
        <f>SMALL(SimData5000!$C$9:$C$5008,2560)</f>
        <v>0.51040866349286773</v>
      </c>
      <c r="K7568">
        <f>1/(COUNT(SimData5000!$C$9:$C$5008)-1)+$K$7567</f>
        <v>0.51190238047611314</v>
      </c>
    </row>
    <row r="7569" spans="8:11">
      <c r="H7569">
        <f>SMALL(SimData5000!$B$9:$B$5008,2561)</f>
        <v>0.51206067857729753</v>
      </c>
      <c r="I7569">
        <f>1/(COUNT(SimData5000!$B$9:$B$5008)-1)+$I$7568</f>
        <v>0.5121024204841147</v>
      </c>
      <c r="J7569">
        <f>SMALL(SimData5000!$C$9:$C$5008,2561)</f>
        <v>0.51050765946092724</v>
      </c>
      <c r="K7569">
        <f>1/(COUNT(SimData5000!$C$9:$C$5008)-1)+$K$7568</f>
        <v>0.5121024204841147</v>
      </c>
    </row>
    <row r="7570" spans="8:11">
      <c r="H7570">
        <f>SMALL(SimData5000!$B$9:$B$5008,2562)</f>
        <v>0.51236316106099711</v>
      </c>
      <c r="I7570">
        <f>1/(COUNT(SimData5000!$B$9:$B$5008)-1)+$I$7569</f>
        <v>0.51230246049211625</v>
      </c>
      <c r="J7570">
        <f>SMALL(SimData5000!$C$9:$C$5008,2562)</f>
        <v>0.51076192471282411</v>
      </c>
      <c r="K7570">
        <f>1/(COUNT(SimData5000!$C$9:$C$5008)-1)+$K$7569</f>
        <v>0.51230246049211625</v>
      </c>
    </row>
    <row r="7571" spans="8:11">
      <c r="H7571">
        <f>SMALL(SimData5000!$B$9:$B$5008,2563)</f>
        <v>0.51258012448115742</v>
      </c>
      <c r="I7571">
        <f>1/(COUNT(SimData5000!$B$9:$B$5008)-1)+$I$7570</f>
        <v>0.51250250050011781</v>
      </c>
      <c r="J7571">
        <f>SMALL(SimData5000!$C$9:$C$5008,2563)</f>
        <v>0.51087869832281285</v>
      </c>
      <c r="K7571">
        <f>1/(COUNT(SimData5000!$C$9:$C$5008)-1)+$K$7570</f>
        <v>0.51250250050011781</v>
      </c>
    </row>
    <row r="7572" spans="8:11">
      <c r="H7572">
        <f>SMALL(SimData5000!$B$9:$B$5008,2564)</f>
        <v>0.5127784626823334</v>
      </c>
      <c r="I7572">
        <f>1/(COUNT(SimData5000!$B$9:$B$5008)-1)+$I$7571</f>
        <v>0.51270254050811936</v>
      </c>
      <c r="J7572">
        <f>SMALL(SimData5000!$C$9:$C$5008,2564)</f>
        <v>0.51101699944047141</v>
      </c>
      <c r="K7572">
        <f>1/(COUNT(SimData5000!$C$9:$C$5008)-1)+$K$7571</f>
        <v>0.51270254050811936</v>
      </c>
    </row>
    <row r="7573" spans="8:11">
      <c r="H7573">
        <f>SMALL(SimData5000!$B$9:$B$5008,2565)</f>
        <v>0.51286259595105943</v>
      </c>
      <c r="I7573">
        <f>1/(COUNT(SimData5000!$B$9:$B$5008)-1)+$I$7572</f>
        <v>0.51290258051612092</v>
      </c>
      <c r="J7573">
        <f>SMALL(SimData5000!$C$9:$C$5008,2565)</f>
        <v>0.51107802510068723</v>
      </c>
      <c r="K7573">
        <f>1/(COUNT(SimData5000!$C$9:$C$5008)-1)+$K$7572</f>
        <v>0.51290258051612092</v>
      </c>
    </row>
    <row r="7574" spans="8:11">
      <c r="H7574">
        <f>SMALL(SimData5000!$B$9:$B$5008,2566)</f>
        <v>0.51308344853233634</v>
      </c>
      <c r="I7574">
        <f>1/(COUNT(SimData5000!$B$9:$B$5008)-1)+$I$7573</f>
        <v>0.51310262052412248</v>
      </c>
      <c r="J7574">
        <f>SMALL(SimData5000!$C$9:$C$5008,2566)</f>
        <v>0.51110602308745001</v>
      </c>
      <c r="K7574">
        <f>1/(COUNT(SimData5000!$C$9:$C$5008)-1)+$K$7573</f>
        <v>0.51310262052412248</v>
      </c>
    </row>
    <row r="7575" spans="8:11">
      <c r="H7575">
        <f>SMALL(SimData5000!$B$9:$B$5008,2567)</f>
        <v>0.5133064998521718</v>
      </c>
      <c r="I7575">
        <f>1/(COUNT(SimData5000!$B$9:$B$5008)-1)+$I$7574</f>
        <v>0.51330266053212403</v>
      </c>
      <c r="J7575">
        <f>SMALL(SimData5000!$C$9:$C$5008,2567)</f>
        <v>0.5113525190645305</v>
      </c>
      <c r="K7575">
        <f>1/(COUNT(SimData5000!$C$9:$C$5008)-1)+$K$7574</f>
        <v>0.51330266053212403</v>
      </c>
    </row>
    <row r="7576" spans="8:11">
      <c r="H7576">
        <f>SMALL(SimData5000!$B$9:$B$5008,2568)</f>
        <v>0.51351624556591646</v>
      </c>
      <c r="I7576">
        <f>1/(COUNT(SimData5000!$B$9:$B$5008)-1)+$I$7575</f>
        <v>0.51350270054012559</v>
      </c>
      <c r="J7576">
        <f>SMALL(SimData5000!$C$9:$C$5008,2568)</f>
        <v>0.51168813468120788</v>
      </c>
      <c r="K7576">
        <f>1/(COUNT(SimData5000!$C$9:$C$5008)-1)+$K$7575</f>
        <v>0.51350270054012559</v>
      </c>
    </row>
    <row r="7577" spans="8:11">
      <c r="H7577">
        <f>SMALL(SimData5000!$B$9:$B$5008,2569)</f>
        <v>0.51370803635742246</v>
      </c>
      <c r="I7577">
        <f>1/(COUNT(SimData5000!$B$9:$B$5008)-1)+$I$7576</f>
        <v>0.51370274054812715</v>
      </c>
      <c r="J7577">
        <f>SMALL(SimData5000!$C$9:$C$5008,2569)</f>
        <v>0.51183955604210496</v>
      </c>
      <c r="K7577">
        <f>1/(COUNT(SimData5000!$C$9:$C$5008)-1)+$K$7576</f>
        <v>0.51370274054812715</v>
      </c>
    </row>
    <row r="7578" spans="8:11">
      <c r="H7578">
        <f>SMALL(SimData5000!$B$9:$B$5008,2570)</f>
        <v>0.51391093387401454</v>
      </c>
      <c r="I7578">
        <f>1/(COUNT(SimData5000!$B$9:$B$5008)-1)+$I$7577</f>
        <v>0.5139027805561287</v>
      </c>
      <c r="J7578">
        <f>SMALL(SimData5000!$C$9:$C$5008,2570)</f>
        <v>0.51185253364292294</v>
      </c>
      <c r="K7578">
        <f>1/(COUNT(SimData5000!$C$9:$C$5008)-1)+$K$7577</f>
        <v>0.5139027805561287</v>
      </c>
    </row>
    <row r="7579" spans="8:11">
      <c r="H7579">
        <f>SMALL(SimData5000!$B$9:$B$5008,2571)</f>
        <v>0.5140589791327852</v>
      </c>
      <c r="I7579">
        <f>1/(COUNT(SimData5000!$B$9:$B$5008)-1)+$I$7578</f>
        <v>0.51410282056413026</v>
      </c>
      <c r="J7579">
        <f>SMALL(SimData5000!$C$9:$C$5008,2571)</f>
        <v>0.51207403527769202</v>
      </c>
      <c r="K7579">
        <f>1/(COUNT(SimData5000!$C$9:$C$5008)-1)+$K$7578</f>
        <v>0.51410282056413026</v>
      </c>
    </row>
    <row r="7580" spans="8:11">
      <c r="H7580">
        <f>SMALL(SimData5000!$B$9:$B$5008,2572)</f>
        <v>0.51433091411360787</v>
      </c>
      <c r="I7580">
        <f>1/(COUNT(SimData5000!$B$9:$B$5008)-1)+$I$7579</f>
        <v>0.51430286057213181</v>
      </c>
      <c r="J7580">
        <f>SMALL(SimData5000!$C$9:$C$5008,2572)</f>
        <v>0.51213774752704921</v>
      </c>
      <c r="K7580">
        <f>1/(COUNT(SimData5000!$C$9:$C$5008)-1)+$K$7579</f>
        <v>0.51430286057213181</v>
      </c>
    </row>
    <row r="7581" spans="8:11">
      <c r="H7581">
        <f>SMALL(SimData5000!$B$9:$B$5008,2573)</f>
        <v>0.5145167490234871</v>
      </c>
      <c r="I7581">
        <f>1/(COUNT(SimData5000!$B$9:$B$5008)-1)+$I$7580</f>
        <v>0.51450290058013337</v>
      </c>
      <c r="J7581">
        <f>SMALL(SimData5000!$C$9:$C$5008,2573)</f>
        <v>0.51254456277820282</v>
      </c>
      <c r="K7581">
        <f>1/(COUNT(SimData5000!$C$9:$C$5008)-1)+$K$7580</f>
        <v>0.51450290058013337</v>
      </c>
    </row>
    <row r="7582" spans="8:11">
      <c r="H7582">
        <f>SMALL(SimData5000!$B$9:$B$5008,2574)</f>
        <v>0.51460759672485468</v>
      </c>
      <c r="I7582">
        <f>1/(COUNT(SimData5000!$B$9:$B$5008)-1)+$I$7581</f>
        <v>0.51470294058813493</v>
      </c>
      <c r="J7582">
        <f>SMALL(SimData5000!$C$9:$C$5008,2574)</f>
        <v>0.51268680919474718</v>
      </c>
      <c r="K7582">
        <f>1/(COUNT(SimData5000!$C$9:$C$5008)-1)+$K$7581</f>
        <v>0.51470294058813493</v>
      </c>
    </row>
    <row r="7583" spans="8:11">
      <c r="H7583">
        <f>SMALL(SimData5000!$B$9:$B$5008,2575)</f>
        <v>0.51493461517480543</v>
      </c>
      <c r="I7583">
        <f>1/(COUNT(SimData5000!$B$9:$B$5008)-1)+$I$7582</f>
        <v>0.51490298059613648</v>
      </c>
      <c r="J7583">
        <f>SMALL(SimData5000!$C$9:$C$5008,2575)</f>
        <v>0.51295808021770029</v>
      </c>
      <c r="K7583">
        <f>1/(COUNT(SimData5000!$C$9:$C$5008)-1)+$K$7582</f>
        <v>0.51490298059613648</v>
      </c>
    </row>
    <row r="7584" spans="8:11">
      <c r="H7584">
        <f>SMALL(SimData5000!$B$9:$B$5008,2576)</f>
        <v>0.51507380702790662</v>
      </c>
      <c r="I7584">
        <f>1/(COUNT(SimData5000!$B$9:$B$5008)-1)+$I$7583</f>
        <v>0.51510302060413804</v>
      </c>
      <c r="J7584">
        <f>SMALL(SimData5000!$C$9:$C$5008,2576)</f>
        <v>0.51306773558371788</v>
      </c>
      <c r="K7584">
        <f>1/(COUNT(SimData5000!$C$9:$C$5008)-1)+$K$7583</f>
        <v>0.51510302060413804</v>
      </c>
    </row>
    <row r="7585" spans="8:11">
      <c r="H7585">
        <f>SMALL(SimData5000!$B$9:$B$5008,2577)</f>
        <v>0.51537865077489486</v>
      </c>
      <c r="I7585">
        <f>1/(COUNT(SimData5000!$B$9:$B$5008)-1)+$I$7584</f>
        <v>0.5153030606121396</v>
      </c>
      <c r="J7585">
        <f>SMALL(SimData5000!$C$9:$C$5008,2577)</f>
        <v>0.51308635435816541</v>
      </c>
      <c r="K7585">
        <f>1/(COUNT(SimData5000!$C$9:$C$5008)-1)+$K$7584</f>
        <v>0.5153030606121396</v>
      </c>
    </row>
    <row r="7586" spans="8:11">
      <c r="H7586">
        <f>SMALL(SimData5000!$B$9:$B$5008,2578)</f>
        <v>0.51549733225798633</v>
      </c>
      <c r="I7586">
        <f>1/(COUNT(SimData5000!$B$9:$B$5008)-1)+$I$7585</f>
        <v>0.51550310062014115</v>
      </c>
      <c r="J7586">
        <f>SMALL(SimData5000!$C$9:$C$5008,2578)</f>
        <v>0.51322959463504958</v>
      </c>
      <c r="K7586">
        <f>1/(COUNT(SimData5000!$C$9:$C$5008)-1)+$K$7585</f>
        <v>0.51550310062014115</v>
      </c>
    </row>
    <row r="7587" spans="8:11">
      <c r="H7587">
        <f>SMALL(SimData5000!$B$9:$B$5008,2579)</f>
        <v>0.51562023785054223</v>
      </c>
      <c r="I7587">
        <f>1/(COUNT(SimData5000!$B$9:$B$5008)-1)+$I$7586</f>
        <v>0.51570314062814271</v>
      </c>
      <c r="J7587">
        <f>SMALL(SimData5000!$C$9:$C$5008,2579)</f>
        <v>0.51326178652834642</v>
      </c>
      <c r="K7587">
        <f>1/(COUNT(SimData5000!$C$9:$C$5008)-1)+$K$7586</f>
        <v>0.51570314062814271</v>
      </c>
    </row>
    <row r="7588" spans="8:11">
      <c r="H7588">
        <f>SMALL(SimData5000!$B$9:$B$5008,2580)</f>
        <v>0.51586498438009643</v>
      </c>
      <c r="I7588">
        <f>1/(COUNT(SimData5000!$B$9:$B$5008)-1)+$I$7587</f>
        <v>0.51590318063614427</v>
      </c>
      <c r="J7588">
        <f>SMALL(SimData5000!$C$9:$C$5008,2580)</f>
        <v>0.51364391247807362</v>
      </c>
      <c r="K7588">
        <f>1/(COUNT(SimData5000!$C$9:$C$5008)-1)+$K$7587</f>
        <v>0.51590318063614427</v>
      </c>
    </row>
    <row r="7589" spans="8:11">
      <c r="H7589">
        <f>SMALL(SimData5000!$B$9:$B$5008,2581)</f>
        <v>0.51615285881207151</v>
      </c>
      <c r="I7589">
        <f>1/(COUNT(SimData5000!$B$9:$B$5008)-1)+$I$7588</f>
        <v>0.51610322064414582</v>
      </c>
      <c r="J7589">
        <f>SMALL(SimData5000!$C$9:$C$5008,2581)</f>
        <v>0.51381288725860941</v>
      </c>
      <c r="K7589">
        <f>1/(COUNT(SimData5000!$C$9:$C$5008)-1)+$K$7588</f>
        <v>0.51610322064414582</v>
      </c>
    </row>
    <row r="7590" spans="8:11">
      <c r="H7590">
        <f>SMALL(SimData5000!$B$9:$B$5008,2582)</f>
        <v>0.51620408160523601</v>
      </c>
      <c r="I7590">
        <f>1/(COUNT(SimData5000!$B$9:$B$5008)-1)+$I$7589</f>
        <v>0.51630326065214738</v>
      </c>
      <c r="J7590">
        <f>SMALL(SimData5000!$C$9:$C$5008,2582)</f>
        <v>0.51389322922386782</v>
      </c>
      <c r="K7590">
        <f>1/(COUNT(SimData5000!$C$9:$C$5008)-1)+$K$7589</f>
        <v>0.51630326065214738</v>
      </c>
    </row>
    <row r="7591" spans="8:11">
      <c r="H7591">
        <f>SMALL(SimData5000!$B$9:$B$5008,2583)</f>
        <v>0.51654679687855465</v>
      </c>
      <c r="I7591">
        <f>1/(COUNT(SimData5000!$B$9:$B$5008)-1)+$I$7590</f>
        <v>0.51650330066014893</v>
      </c>
      <c r="J7591">
        <f>SMALL(SimData5000!$C$9:$C$5008,2583)</f>
        <v>0.51432209225822589</v>
      </c>
      <c r="K7591">
        <f>1/(COUNT(SimData5000!$C$9:$C$5008)-1)+$K$7590</f>
        <v>0.51650330066014893</v>
      </c>
    </row>
    <row r="7592" spans="8:11">
      <c r="H7592">
        <f>SMALL(SimData5000!$B$9:$B$5008,2584)</f>
        <v>0.51665143411733483</v>
      </c>
      <c r="I7592">
        <f>1/(COUNT(SimData5000!$B$9:$B$5008)-1)+$I$7591</f>
        <v>0.51670334066815049</v>
      </c>
      <c r="J7592">
        <f>SMALL(SimData5000!$C$9:$C$5008,2584)</f>
        <v>0.5144803661351034</v>
      </c>
      <c r="K7592">
        <f>1/(COUNT(SimData5000!$C$9:$C$5008)-1)+$K$7591</f>
        <v>0.51670334066815049</v>
      </c>
    </row>
    <row r="7593" spans="8:11">
      <c r="H7593">
        <f>SMALL(SimData5000!$B$9:$B$5008,2585)</f>
        <v>0.51690304928452313</v>
      </c>
      <c r="I7593">
        <f>1/(COUNT(SimData5000!$B$9:$B$5008)-1)+$I$7592</f>
        <v>0.51690338067615205</v>
      </c>
      <c r="J7593">
        <f>SMALL(SimData5000!$C$9:$C$5008,2585)</f>
        <v>0.51473407804405724</v>
      </c>
      <c r="K7593">
        <f>1/(COUNT(SimData5000!$C$9:$C$5008)-1)+$K$7592</f>
        <v>0.51690338067615205</v>
      </c>
    </row>
    <row r="7594" spans="8:11">
      <c r="H7594">
        <f>SMALL(SimData5000!$B$9:$B$5008,2586)</f>
        <v>0.51712534395584964</v>
      </c>
      <c r="I7594">
        <f>1/(COUNT(SimData5000!$B$9:$B$5008)-1)+$I$7593</f>
        <v>0.5171034206841536</v>
      </c>
      <c r="J7594">
        <f>SMALL(SimData5000!$C$9:$C$5008,2586)</f>
        <v>0.51477393097593449</v>
      </c>
      <c r="K7594">
        <f>1/(COUNT(SimData5000!$C$9:$C$5008)-1)+$K$7593</f>
        <v>0.5171034206841536</v>
      </c>
    </row>
    <row r="7595" spans="8:11">
      <c r="H7595">
        <f>SMALL(SimData5000!$B$9:$B$5008,2587)</f>
        <v>0.51734692028312634</v>
      </c>
      <c r="I7595">
        <f>1/(COUNT(SimData5000!$B$9:$B$5008)-1)+$I$7594</f>
        <v>0.51730346069215516</v>
      </c>
      <c r="J7595">
        <f>SMALL(SimData5000!$C$9:$C$5008,2587)</f>
        <v>0.51523928627830173</v>
      </c>
      <c r="K7595">
        <f>1/(COUNT(SimData5000!$C$9:$C$5008)-1)+$K$7594</f>
        <v>0.51730346069215516</v>
      </c>
    </row>
    <row r="7596" spans="8:11">
      <c r="H7596">
        <f>SMALL(SimData5000!$B$9:$B$5008,2588)</f>
        <v>0.517486486617589</v>
      </c>
      <c r="I7596">
        <f>1/(COUNT(SimData5000!$B$9:$B$5008)-1)+$I$7595</f>
        <v>0.51750350070015672</v>
      </c>
      <c r="J7596">
        <f>SMALL(SimData5000!$C$9:$C$5008,2588)</f>
        <v>0.51575561176650808</v>
      </c>
      <c r="K7596">
        <f>1/(COUNT(SimData5000!$C$9:$C$5008)-1)+$K$7595</f>
        <v>0.51750350070015672</v>
      </c>
    </row>
    <row r="7597" spans="8:11">
      <c r="H7597">
        <f>SMALL(SimData5000!$B$9:$B$5008,2589)</f>
        <v>0.51769661732653538</v>
      </c>
      <c r="I7597">
        <f>1/(COUNT(SimData5000!$B$9:$B$5008)-1)+$I$7596</f>
        <v>0.51770354070815827</v>
      </c>
      <c r="J7597">
        <f>SMALL(SimData5000!$C$9:$C$5008,2589)</f>
        <v>0.51591754826040415</v>
      </c>
      <c r="K7597">
        <f>1/(COUNT(SimData5000!$C$9:$C$5008)-1)+$K$7596</f>
        <v>0.51770354070815827</v>
      </c>
    </row>
    <row r="7598" spans="8:11">
      <c r="H7598">
        <f>SMALL(SimData5000!$B$9:$B$5008,2590)</f>
        <v>0.51789060373541218</v>
      </c>
      <c r="I7598">
        <f>1/(COUNT(SimData5000!$B$9:$B$5008)-1)+$I$7597</f>
        <v>0.51790358071615983</v>
      </c>
      <c r="J7598">
        <f>SMALL(SimData5000!$C$9:$C$5008,2590)</f>
        <v>0.51605915654636192</v>
      </c>
      <c r="K7598">
        <f>1/(COUNT(SimData5000!$C$9:$C$5008)-1)+$K$7597</f>
        <v>0.51790358071615983</v>
      </c>
    </row>
    <row r="7599" spans="8:11">
      <c r="H7599">
        <f>SMALL(SimData5000!$B$9:$B$5008,2591)</f>
        <v>0.51807560351525339</v>
      </c>
      <c r="I7599">
        <f>1/(COUNT(SimData5000!$B$9:$B$5008)-1)+$I$7598</f>
        <v>0.51810362072416138</v>
      </c>
      <c r="J7599">
        <f>SMALL(SimData5000!$C$9:$C$5008,2591)</f>
        <v>0.51627619816281367</v>
      </c>
      <c r="K7599">
        <f>1/(COUNT(SimData5000!$C$9:$C$5008)-1)+$K$7598</f>
        <v>0.51810362072416138</v>
      </c>
    </row>
    <row r="7600" spans="8:11">
      <c r="H7600">
        <f>SMALL(SimData5000!$B$9:$B$5008,2592)</f>
        <v>0.51835614477371705</v>
      </c>
      <c r="I7600">
        <f>1/(COUNT(SimData5000!$B$9:$B$5008)-1)+$I$7599</f>
        <v>0.51830366073216294</v>
      </c>
      <c r="J7600">
        <f>SMALL(SimData5000!$C$9:$C$5008,2592)</f>
        <v>0.51631755533344403</v>
      </c>
      <c r="K7600">
        <f>1/(COUNT(SimData5000!$C$9:$C$5008)-1)+$K$7599</f>
        <v>0.51830366073216294</v>
      </c>
    </row>
    <row r="7601" spans="8:11">
      <c r="H7601">
        <f>SMALL(SimData5000!$B$9:$B$5008,2593)</f>
        <v>0.51849906923484501</v>
      </c>
      <c r="I7601">
        <f>1/(COUNT(SimData5000!$B$9:$B$5008)-1)+$I$7600</f>
        <v>0.5185037007401645</v>
      </c>
      <c r="J7601">
        <f>SMALL(SimData5000!$C$9:$C$5008,2593)</f>
        <v>0.51655878912970365</v>
      </c>
      <c r="K7601">
        <f>1/(COUNT(SimData5000!$C$9:$C$5008)-1)+$K$7600</f>
        <v>0.5185037007401645</v>
      </c>
    </row>
    <row r="7602" spans="8:11">
      <c r="H7602">
        <f>SMALL(SimData5000!$B$9:$B$5008,2594)</f>
        <v>0.51878868691888369</v>
      </c>
      <c r="I7602">
        <f>1/(COUNT(SimData5000!$B$9:$B$5008)-1)+$I$7601</f>
        <v>0.51870374074816605</v>
      </c>
      <c r="J7602">
        <f>SMALL(SimData5000!$C$9:$C$5008,2594)</f>
        <v>0.51664850992074207</v>
      </c>
      <c r="K7602">
        <f>1/(COUNT(SimData5000!$C$9:$C$5008)-1)+$K$7601</f>
        <v>0.51870374074816605</v>
      </c>
    </row>
    <row r="7603" spans="8:11">
      <c r="H7603">
        <f>SMALL(SimData5000!$B$9:$B$5008,2595)</f>
        <v>0.51895315577223733</v>
      </c>
      <c r="I7603">
        <f>1/(COUNT(SimData5000!$B$9:$B$5008)-1)+$I$7602</f>
        <v>0.51890378075616761</v>
      </c>
      <c r="J7603">
        <f>SMALL(SimData5000!$C$9:$C$5008,2595)</f>
        <v>0.51668265822354442</v>
      </c>
      <c r="K7603">
        <f>1/(COUNT(SimData5000!$C$9:$C$5008)-1)+$K$7602</f>
        <v>0.51890378075616761</v>
      </c>
    </row>
    <row r="7604" spans="8:11">
      <c r="H7604">
        <f>SMALL(SimData5000!$B$9:$B$5008,2596)</f>
        <v>0.51916995986610881</v>
      </c>
      <c r="I7604">
        <f>1/(COUNT(SimData5000!$B$9:$B$5008)-1)+$I$7603</f>
        <v>0.51910382076416917</v>
      </c>
      <c r="J7604">
        <f>SMALL(SimData5000!$C$9:$C$5008,2596)</f>
        <v>0.51697191602943349</v>
      </c>
      <c r="K7604">
        <f>1/(COUNT(SimData5000!$C$9:$C$5008)-1)+$K$7603</f>
        <v>0.51910382076416917</v>
      </c>
    </row>
    <row r="7605" spans="8:11">
      <c r="H7605">
        <f>SMALL(SimData5000!$B$9:$B$5008,2597)</f>
        <v>0.51926428472275488</v>
      </c>
      <c r="I7605">
        <f>1/(COUNT(SimData5000!$B$9:$B$5008)-1)+$I$7604</f>
        <v>0.51930386077217072</v>
      </c>
      <c r="J7605">
        <f>SMALL(SimData5000!$C$9:$C$5008,2597)</f>
        <v>0.51699891930638842</v>
      </c>
      <c r="K7605">
        <f>1/(COUNT(SimData5000!$C$9:$C$5008)-1)+$K$7604</f>
        <v>0.51930386077217072</v>
      </c>
    </row>
    <row r="7606" spans="8:11">
      <c r="H7606">
        <f>SMALL(SimData5000!$B$9:$B$5008,2598)</f>
        <v>0.51949316952873337</v>
      </c>
      <c r="I7606">
        <f>1/(COUNT(SimData5000!$B$9:$B$5008)-1)+$I$7605</f>
        <v>0.51950390078017228</v>
      </c>
      <c r="J7606">
        <f>SMALL(SimData5000!$C$9:$C$5008,2598)</f>
        <v>0.51717695407569408</v>
      </c>
      <c r="K7606">
        <f>1/(COUNT(SimData5000!$C$9:$C$5008)-1)+$K$7605</f>
        <v>0.51950390078017228</v>
      </c>
    </row>
    <row r="7607" spans="8:11">
      <c r="H7607">
        <f>SMALL(SimData5000!$B$9:$B$5008,2599)</f>
        <v>0.51973038906616398</v>
      </c>
      <c r="I7607">
        <f>1/(COUNT(SimData5000!$B$9:$B$5008)-1)+$I$7606</f>
        <v>0.51970394078817383</v>
      </c>
      <c r="J7607">
        <f>SMALL(SimData5000!$C$9:$C$5008,2599)</f>
        <v>0.51725832172180031</v>
      </c>
      <c r="K7607">
        <f>1/(COUNT(SimData5000!$C$9:$C$5008)-1)+$K$7606</f>
        <v>0.51970394078817383</v>
      </c>
    </row>
    <row r="7608" spans="8:11">
      <c r="H7608">
        <f>SMALL(SimData5000!$B$9:$B$5008,2600)</f>
        <v>0.51992258935950764</v>
      </c>
      <c r="I7608">
        <f>1/(COUNT(SimData5000!$B$9:$B$5008)-1)+$I$7607</f>
        <v>0.51990398079617539</v>
      </c>
      <c r="J7608">
        <f>SMALL(SimData5000!$C$9:$C$5008,2600)</f>
        <v>0.51773637723454158</v>
      </c>
      <c r="K7608">
        <f>1/(COUNT(SimData5000!$C$9:$C$5008)-1)+$K$7607</f>
        <v>0.51990398079617539</v>
      </c>
    </row>
    <row r="7609" spans="8:11">
      <c r="H7609">
        <f>SMALL(SimData5000!$B$9:$B$5008,2601)</f>
        <v>0.52015956676107822</v>
      </c>
      <c r="I7609">
        <f>1/(COUNT(SimData5000!$B$9:$B$5008)-1)+$I$7608</f>
        <v>0.52010402080417695</v>
      </c>
      <c r="J7609">
        <f>SMALL(SimData5000!$C$9:$C$5008,2601)</f>
        <v>0.5180273084433793</v>
      </c>
      <c r="K7609">
        <f>1/(COUNT(SimData5000!$C$9:$C$5008)-1)+$K$7608</f>
        <v>0.52010402080417695</v>
      </c>
    </row>
    <row r="7610" spans="8:11">
      <c r="H7610">
        <f>SMALL(SimData5000!$B$9:$B$5008,2602)</f>
        <v>0.52036286079170246</v>
      </c>
      <c r="I7610">
        <f>1/(COUNT(SimData5000!$B$9:$B$5008)-1)+$I$7609</f>
        <v>0.5203040608121785</v>
      </c>
      <c r="J7610">
        <f>SMALL(SimData5000!$C$9:$C$5008,2602)</f>
        <v>0.51831447517088236</v>
      </c>
      <c r="K7610">
        <f>1/(COUNT(SimData5000!$C$9:$C$5008)-1)+$K$7609</f>
        <v>0.5203040608121785</v>
      </c>
    </row>
    <row r="7611" spans="8:11">
      <c r="H7611">
        <f>SMALL(SimData5000!$B$9:$B$5008,2603)</f>
        <v>0.52058204054692336</v>
      </c>
      <c r="I7611">
        <f>1/(COUNT(SimData5000!$B$9:$B$5008)-1)+$I$7610</f>
        <v>0.52050410082018006</v>
      </c>
      <c r="J7611">
        <f>SMALL(SimData5000!$C$9:$C$5008,2603)</f>
        <v>0.51876748531230987</v>
      </c>
      <c r="K7611">
        <f>1/(COUNT(SimData5000!$C$9:$C$5008)-1)+$K$7610</f>
        <v>0.52050410082018006</v>
      </c>
    </row>
    <row r="7612" spans="8:11">
      <c r="H7612">
        <f>SMALL(SimData5000!$B$9:$B$5008,2604)</f>
        <v>0.52074843778567115</v>
      </c>
      <c r="I7612">
        <f>1/(COUNT(SimData5000!$B$9:$B$5008)-1)+$I$7611</f>
        <v>0.52070414082818162</v>
      </c>
      <c r="J7612">
        <f>SMALL(SimData5000!$C$9:$C$5008,2604)</f>
        <v>0.51990246169862075</v>
      </c>
      <c r="K7612">
        <f>1/(COUNT(SimData5000!$C$9:$C$5008)-1)+$K$7611</f>
        <v>0.52070414082818162</v>
      </c>
    </row>
    <row r="7613" spans="8:11">
      <c r="H7613">
        <f>SMALL(SimData5000!$B$9:$B$5008,2605)</f>
        <v>0.52095405337255307</v>
      </c>
      <c r="I7613">
        <f>1/(COUNT(SimData5000!$B$9:$B$5008)-1)+$I$7612</f>
        <v>0.52090418083618317</v>
      </c>
      <c r="J7613">
        <f>SMALL(SimData5000!$C$9:$C$5008,2605)</f>
        <v>0.51999963516664138</v>
      </c>
      <c r="K7613">
        <f>1/(COUNT(SimData5000!$C$9:$C$5008)-1)+$K$7612</f>
        <v>0.52090418083618317</v>
      </c>
    </row>
    <row r="7614" spans="8:11">
      <c r="H7614">
        <f>SMALL(SimData5000!$B$9:$B$5008,2606)</f>
        <v>0.52116308443447645</v>
      </c>
      <c r="I7614">
        <f>1/(COUNT(SimData5000!$B$9:$B$5008)-1)+$I$7613</f>
        <v>0.52110422084418473</v>
      </c>
      <c r="J7614">
        <f>SMALL(SimData5000!$C$9:$C$5008,2606)</f>
        <v>0.52027701180304575</v>
      </c>
      <c r="K7614">
        <f>1/(COUNT(SimData5000!$C$9:$C$5008)-1)+$K$7613</f>
        <v>0.52110422084418473</v>
      </c>
    </row>
    <row r="7615" spans="8:11">
      <c r="H7615">
        <f>SMALL(SimData5000!$B$9:$B$5008,2607)</f>
        <v>0.52138563781212677</v>
      </c>
      <c r="I7615">
        <f>1/(COUNT(SimData5000!$B$9:$B$5008)-1)+$I$7614</f>
        <v>0.52130426085218629</v>
      </c>
      <c r="J7615">
        <f>SMALL(SimData5000!$C$9:$C$5008,2607)</f>
        <v>0.52064990815324563</v>
      </c>
      <c r="K7615">
        <f>1/(COUNT(SimData5000!$C$9:$C$5008)-1)+$K$7614</f>
        <v>0.52130426085218629</v>
      </c>
    </row>
    <row r="7616" spans="8:11">
      <c r="H7616">
        <f>SMALL(SimData5000!$B$9:$B$5008,2608)</f>
        <v>0.52150486261427975</v>
      </c>
      <c r="I7616">
        <f>1/(COUNT(SimData5000!$B$9:$B$5008)-1)+$I$7615</f>
        <v>0.52150430086018784</v>
      </c>
      <c r="J7616">
        <f>SMALL(SimData5000!$C$9:$C$5008,2608)</f>
        <v>0.5207230895957764</v>
      </c>
      <c r="K7616">
        <f>1/(COUNT(SimData5000!$C$9:$C$5008)-1)+$K$7615</f>
        <v>0.52150430086018784</v>
      </c>
    </row>
    <row r="7617" spans="8:11">
      <c r="H7617">
        <f>SMALL(SimData5000!$B$9:$B$5008,2609)</f>
        <v>0.52160594266639226</v>
      </c>
      <c r="I7617">
        <f>1/(COUNT(SimData5000!$B$9:$B$5008)-1)+$I$7616</f>
        <v>0.5217043408681894</v>
      </c>
      <c r="J7617">
        <f>SMALL(SimData5000!$C$9:$C$5008,2609)</f>
        <v>0.52146550468114583</v>
      </c>
      <c r="K7617">
        <f>1/(COUNT(SimData5000!$C$9:$C$5008)-1)+$K$7616</f>
        <v>0.5217043408681894</v>
      </c>
    </row>
    <row r="7618" spans="8:11">
      <c r="H7618">
        <f>SMALL(SimData5000!$B$9:$B$5008,2610)</f>
        <v>0.52188200249557426</v>
      </c>
      <c r="I7618">
        <f>1/(COUNT(SimData5000!$B$9:$B$5008)-1)+$I$7617</f>
        <v>0.52190438087619095</v>
      </c>
      <c r="J7618">
        <f>SMALL(SimData5000!$C$9:$C$5008,2610)</f>
        <v>0.52155820072769643</v>
      </c>
      <c r="K7618">
        <f>1/(COUNT(SimData5000!$C$9:$C$5008)-1)+$K$7617</f>
        <v>0.52190438087619095</v>
      </c>
    </row>
    <row r="7619" spans="8:11">
      <c r="H7619">
        <f>SMALL(SimData5000!$B$9:$B$5008,2611)</f>
        <v>0.52212789941512228</v>
      </c>
      <c r="I7619">
        <f>1/(COUNT(SimData5000!$B$9:$B$5008)-1)+$I$7618</f>
        <v>0.52210442088419251</v>
      </c>
      <c r="J7619">
        <f>SMALL(SimData5000!$C$9:$C$5008,2611)</f>
        <v>0.52186225381410623</v>
      </c>
      <c r="K7619">
        <f>1/(COUNT(SimData5000!$C$9:$C$5008)-1)+$K$7618</f>
        <v>0.52210442088419251</v>
      </c>
    </row>
    <row r="7620" spans="8:11">
      <c r="H7620">
        <f>SMALL(SimData5000!$B$9:$B$5008,2612)</f>
        <v>0.52227571806844231</v>
      </c>
      <c r="I7620">
        <f>1/(COUNT(SimData5000!$B$9:$B$5008)-1)+$I$7619</f>
        <v>0.52230446089219407</v>
      </c>
      <c r="J7620">
        <f>SMALL(SimData5000!$C$9:$C$5008,2612)</f>
        <v>0.52196608573194681</v>
      </c>
      <c r="K7620">
        <f>1/(COUNT(SimData5000!$C$9:$C$5008)-1)+$K$7619</f>
        <v>0.52230446089219407</v>
      </c>
    </row>
    <row r="7621" spans="8:11">
      <c r="H7621">
        <f>SMALL(SimData5000!$B$9:$B$5008,2613)</f>
        <v>0.52249892469288284</v>
      </c>
      <c r="I7621">
        <f>1/(COUNT(SimData5000!$B$9:$B$5008)-1)+$I$7620</f>
        <v>0.52250450090019562</v>
      </c>
      <c r="J7621">
        <f>SMALL(SimData5000!$C$9:$C$5008,2613)</f>
        <v>0.52202748496620188</v>
      </c>
      <c r="K7621">
        <f>1/(COUNT(SimData5000!$C$9:$C$5008)-1)+$K$7620</f>
        <v>0.52250450090019562</v>
      </c>
    </row>
    <row r="7622" spans="8:11">
      <c r="H7622">
        <f>SMALL(SimData5000!$B$9:$B$5008,2614)</f>
        <v>0.52263237613584668</v>
      </c>
      <c r="I7622">
        <f>1/(COUNT(SimData5000!$B$9:$B$5008)-1)+$I$7621</f>
        <v>0.52270454090819718</v>
      </c>
      <c r="J7622">
        <f>SMALL(SimData5000!$C$9:$C$5008,2614)</f>
        <v>0.52206532548552786</v>
      </c>
      <c r="K7622">
        <f>1/(COUNT(SimData5000!$C$9:$C$5008)-1)+$K$7621</f>
        <v>0.52270454090819718</v>
      </c>
    </row>
    <row r="7623" spans="8:11">
      <c r="H7623">
        <f>SMALL(SimData5000!$B$9:$B$5008,2615)</f>
        <v>0.52290741586897227</v>
      </c>
      <c r="I7623">
        <f>1/(COUNT(SimData5000!$B$9:$B$5008)-1)+$I$7622</f>
        <v>0.52290458091619874</v>
      </c>
      <c r="J7623">
        <f>SMALL(SimData5000!$C$9:$C$5008,2615)</f>
        <v>0.52211329945021134</v>
      </c>
      <c r="K7623">
        <f>1/(COUNT(SimData5000!$C$9:$C$5008)-1)+$K$7622</f>
        <v>0.52290458091619874</v>
      </c>
    </row>
    <row r="7624" spans="8:11">
      <c r="H7624">
        <f>SMALL(SimData5000!$B$9:$B$5008,2616)</f>
        <v>0.5231769559110927</v>
      </c>
      <c r="I7624">
        <f>1/(COUNT(SimData5000!$B$9:$B$5008)-1)+$I$7623</f>
        <v>0.52310462092420029</v>
      </c>
      <c r="J7624">
        <f>SMALL(SimData5000!$C$9:$C$5008,2616)</f>
        <v>0.5221321993994934</v>
      </c>
      <c r="K7624">
        <f>1/(COUNT(SimData5000!$C$9:$C$5008)-1)+$K$7623</f>
        <v>0.52310462092420029</v>
      </c>
    </row>
    <row r="7625" spans="8:11">
      <c r="H7625">
        <f>SMALL(SimData5000!$B$9:$B$5008,2617)</f>
        <v>0.52322015271159361</v>
      </c>
      <c r="I7625">
        <f>1/(COUNT(SimData5000!$B$9:$B$5008)-1)+$I$7624</f>
        <v>0.52330466093220185</v>
      </c>
      <c r="J7625">
        <f>SMALL(SimData5000!$C$9:$C$5008,2617)</f>
        <v>0.52217237783179371</v>
      </c>
      <c r="K7625">
        <f>1/(COUNT(SimData5000!$C$9:$C$5008)-1)+$K$7624</f>
        <v>0.52330466093220185</v>
      </c>
    </row>
    <row r="7626" spans="8:11">
      <c r="H7626">
        <f>SMALL(SimData5000!$B$9:$B$5008,2618)</f>
        <v>0.52353644894336726</v>
      </c>
      <c r="I7626">
        <f>1/(COUNT(SimData5000!$B$9:$B$5008)-1)+$I$7625</f>
        <v>0.5235047009402034</v>
      </c>
      <c r="J7626">
        <f>SMALL(SimData5000!$C$9:$C$5008,2618)</f>
        <v>0.52269720723143109</v>
      </c>
      <c r="K7626">
        <f>1/(COUNT(SimData5000!$C$9:$C$5008)-1)+$K$7625</f>
        <v>0.5235047009402034</v>
      </c>
    </row>
    <row r="7627" spans="8:11">
      <c r="H7627">
        <f>SMALL(SimData5000!$B$9:$B$5008,2619)</f>
        <v>0.52375639652781103</v>
      </c>
      <c r="I7627">
        <f>1/(COUNT(SimData5000!$B$9:$B$5008)-1)+$I$7626</f>
        <v>0.52370474094820496</v>
      </c>
      <c r="J7627">
        <f>SMALL(SimData5000!$C$9:$C$5008,2619)</f>
        <v>0.52300834218840464</v>
      </c>
      <c r="K7627">
        <f>1/(COUNT(SimData5000!$C$9:$C$5008)-1)+$K$7626</f>
        <v>0.52370474094820496</v>
      </c>
    </row>
    <row r="7628" spans="8:11">
      <c r="H7628">
        <f>SMALL(SimData5000!$B$9:$B$5008,2620)</f>
        <v>0.52394992924312833</v>
      </c>
      <c r="I7628">
        <f>1/(COUNT(SimData5000!$B$9:$B$5008)-1)+$I$7627</f>
        <v>0.52390478095620652</v>
      </c>
      <c r="J7628">
        <f>SMALL(SimData5000!$C$9:$C$5008,2620)</f>
        <v>0.52358198773163167</v>
      </c>
      <c r="K7628">
        <f>1/(COUNT(SimData5000!$C$9:$C$5008)-1)+$K$7627</f>
        <v>0.52390478095620652</v>
      </c>
    </row>
    <row r="7629" spans="8:11">
      <c r="H7629">
        <f>SMALL(SimData5000!$B$9:$B$5008,2621)</f>
        <v>0.52417879544118862</v>
      </c>
      <c r="I7629">
        <f>1/(COUNT(SimData5000!$B$9:$B$5008)-1)+$I$7628</f>
        <v>0.52410482096420807</v>
      </c>
      <c r="J7629">
        <f>SMALL(SimData5000!$C$9:$C$5008,2621)</f>
        <v>0.52368818576542253</v>
      </c>
      <c r="K7629">
        <f>1/(COUNT(SimData5000!$C$9:$C$5008)-1)+$K$7628</f>
        <v>0.52410482096420807</v>
      </c>
    </row>
    <row r="7630" spans="8:11">
      <c r="H7630">
        <f>SMALL(SimData5000!$B$9:$B$5008,2622)</f>
        <v>0.52438671623137467</v>
      </c>
      <c r="I7630">
        <f>1/(COUNT(SimData5000!$B$9:$B$5008)-1)+$I$7629</f>
        <v>0.52430486097220963</v>
      </c>
      <c r="J7630">
        <f>SMALL(SimData5000!$C$9:$C$5008,2622)</f>
        <v>0.52382546818807896</v>
      </c>
      <c r="K7630">
        <f>1/(COUNT(SimData5000!$C$9:$C$5008)-1)+$K$7629</f>
        <v>0.52430486097220963</v>
      </c>
    </row>
    <row r="7631" spans="8:11">
      <c r="H7631">
        <f>SMALL(SimData5000!$B$9:$B$5008,2623)</f>
        <v>0.52444449878713217</v>
      </c>
      <c r="I7631">
        <f>1/(COUNT(SimData5000!$B$9:$B$5008)-1)+$I$7630</f>
        <v>0.52450490098021119</v>
      </c>
      <c r="J7631">
        <f>SMALL(SimData5000!$C$9:$C$5008,2623)</f>
        <v>0.52408665712027869</v>
      </c>
      <c r="K7631">
        <f>1/(COUNT(SimData5000!$C$9:$C$5008)-1)+$K$7630</f>
        <v>0.52450490098021119</v>
      </c>
    </row>
    <row r="7632" spans="8:11">
      <c r="H7632">
        <f>SMALL(SimData5000!$B$9:$B$5008,2624)</f>
        <v>0.52472430089351818</v>
      </c>
      <c r="I7632">
        <f>1/(COUNT(SimData5000!$B$9:$B$5008)-1)+$I$7631</f>
        <v>0.52470494098821274</v>
      </c>
      <c r="J7632">
        <f>SMALL(SimData5000!$C$9:$C$5008,2624)</f>
        <v>0.52427890895341989</v>
      </c>
      <c r="K7632">
        <f>1/(COUNT(SimData5000!$C$9:$C$5008)-1)+$K$7631</f>
        <v>0.52470494098821274</v>
      </c>
    </row>
    <row r="7633" spans="8:11">
      <c r="H7633">
        <f>SMALL(SimData5000!$B$9:$B$5008,2625)</f>
        <v>0.52492482678320374</v>
      </c>
      <c r="I7633">
        <f>1/(COUNT(SimData5000!$B$9:$B$5008)-1)+$I$7632</f>
        <v>0.5249049809962143</v>
      </c>
      <c r="J7633">
        <f>SMALL(SimData5000!$C$9:$C$5008,2625)</f>
        <v>0.52442663361307496</v>
      </c>
      <c r="K7633">
        <f>1/(COUNT(SimData5000!$C$9:$C$5008)-1)+$K$7632</f>
        <v>0.5249049809962143</v>
      </c>
    </row>
    <row r="7634" spans="8:11">
      <c r="H7634">
        <f>SMALL(SimData5000!$B$9:$B$5008,2626)</f>
        <v>0.52506891361858432</v>
      </c>
      <c r="I7634">
        <f>1/(COUNT(SimData5000!$B$9:$B$5008)-1)+$I$7633</f>
        <v>0.52510502100421586</v>
      </c>
      <c r="J7634">
        <f>SMALL(SimData5000!$C$9:$C$5008,2626)</f>
        <v>0.52452575762526976</v>
      </c>
      <c r="K7634">
        <f>1/(COUNT(SimData5000!$C$9:$C$5008)-1)+$K$7633</f>
        <v>0.52510502100421586</v>
      </c>
    </row>
    <row r="7635" spans="8:11">
      <c r="H7635">
        <f>SMALL(SimData5000!$B$9:$B$5008,2627)</f>
        <v>0.52526281637797667</v>
      </c>
      <c r="I7635">
        <f>1/(COUNT(SimData5000!$B$9:$B$5008)-1)+$I$7634</f>
        <v>0.52530506101221741</v>
      </c>
      <c r="J7635">
        <f>SMALL(SimData5000!$C$9:$C$5008,2627)</f>
        <v>0.5248141727724942</v>
      </c>
      <c r="K7635">
        <f>1/(COUNT(SimData5000!$C$9:$C$5008)-1)+$K$7634</f>
        <v>0.52530506101221741</v>
      </c>
    </row>
    <row r="7636" spans="8:11">
      <c r="H7636">
        <f>SMALL(SimData5000!$B$9:$B$5008,2628)</f>
        <v>0.52559453718061433</v>
      </c>
      <c r="I7636">
        <f>1/(COUNT(SimData5000!$B$9:$B$5008)-1)+$I$7635</f>
        <v>0.52550510102021897</v>
      </c>
      <c r="J7636">
        <f>SMALL(SimData5000!$C$9:$C$5008,2628)</f>
        <v>0.52519779622434726</v>
      </c>
      <c r="K7636">
        <f>1/(COUNT(SimData5000!$C$9:$C$5008)-1)+$K$7635</f>
        <v>0.52550510102021897</v>
      </c>
    </row>
    <row r="7637" spans="8:11">
      <c r="H7637">
        <f>SMALL(SimData5000!$B$9:$B$5008,2629)</f>
        <v>0.52572161254610905</v>
      </c>
      <c r="I7637">
        <f>1/(COUNT(SimData5000!$B$9:$B$5008)-1)+$I$7636</f>
        <v>0.52570514102822052</v>
      </c>
      <c r="J7637">
        <f>SMALL(SimData5000!$C$9:$C$5008,2629)</f>
        <v>0.52547072761535674</v>
      </c>
      <c r="K7637">
        <f>1/(COUNT(SimData5000!$C$9:$C$5008)-1)+$K$7636</f>
        <v>0.52570514102822052</v>
      </c>
    </row>
    <row r="7638" spans="8:11">
      <c r="H7638">
        <f>SMALL(SimData5000!$B$9:$B$5008,2630)</f>
        <v>0.52595781851908141</v>
      </c>
      <c r="I7638">
        <f>1/(COUNT(SimData5000!$B$9:$B$5008)-1)+$I$7637</f>
        <v>0.52590518103622208</v>
      </c>
      <c r="J7638">
        <f>SMALL(SimData5000!$C$9:$C$5008,2630)</f>
        <v>0.52564376037480542</v>
      </c>
      <c r="K7638">
        <f>1/(COUNT(SimData5000!$C$9:$C$5008)-1)+$K$7637</f>
        <v>0.52590518103622208</v>
      </c>
    </row>
    <row r="7639" spans="8:11">
      <c r="H7639">
        <f>SMALL(SimData5000!$B$9:$B$5008,2631)</f>
        <v>0.52612733487941499</v>
      </c>
      <c r="I7639">
        <f>1/(COUNT(SimData5000!$B$9:$B$5008)-1)+$I$7638</f>
        <v>0.52610522104422364</v>
      </c>
      <c r="J7639">
        <f>SMALL(SimData5000!$C$9:$C$5008,2631)</f>
        <v>0.52572704509657342</v>
      </c>
      <c r="K7639">
        <f>1/(COUNT(SimData5000!$C$9:$C$5008)-1)+$K$7638</f>
        <v>0.52610522104422364</v>
      </c>
    </row>
    <row r="7640" spans="8:11">
      <c r="H7640">
        <f>SMALL(SimData5000!$B$9:$B$5008,2632)</f>
        <v>0.52633306785876244</v>
      </c>
      <c r="I7640">
        <f>1/(COUNT(SimData5000!$B$9:$B$5008)-1)+$I$7639</f>
        <v>0.52630526105222519</v>
      </c>
      <c r="J7640">
        <f>SMALL(SimData5000!$C$9:$C$5008,2632)</f>
        <v>0.52574632252981246</v>
      </c>
      <c r="K7640">
        <f>1/(COUNT(SimData5000!$C$9:$C$5008)-1)+$K$7639</f>
        <v>0.52630526105222519</v>
      </c>
    </row>
    <row r="7641" spans="8:11">
      <c r="H7641">
        <f>SMALL(SimData5000!$B$9:$B$5008,2633)</f>
        <v>0.52647261305490334</v>
      </c>
      <c r="I7641">
        <f>1/(COUNT(SimData5000!$B$9:$B$5008)-1)+$I$7640</f>
        <v>0.52650530106022675</v>
      </c>
      <c r="J7641">
        <f>SMALL(SimData5000!$C$9:$C$5008,2633)</f>
        <v>0.52578665423970961</v>
      </c>
      <c r="K7641">
        <f>1/(COUNT(SimData5000!$C$9:$C$5008)-1)+$K$7640</f>
        <v>0.52650530106022675</v>
      </c>
    </row>
    <row r="7642" spans="8:11">
      <c r="H7642">
        <f>SMALL(SimData5000!$B$9:$B$5008,2634)</f>
        <v>0.52675021196383764</v>
      </c>
      <c r="I7642">
        <f>1/(COUNT(SimData5000!$B$9:$B$5008)-1)+$I$7641</f>
        <v>0.52670534106822831</v>
      </c>
      <c r="J7642">
        <f>SMALL(SimData5000!$C$9:$C$5008,2634)</f>
        <v>0.52598160223533341</v>
      </c>
      <c r="K7642">
        <f>1/(COUNT(SimData5000!$C$9:$C$5008)-1)+$K$7641</f>
        <v>0.52670534106822831</v>
      </c>
    </row>
    <row r="7643" spans="8:11">
      <c r="H7643">
        <f>SMALL(SimData5000!$B$9:$B$5008,2635)</f>
        <v>0.52699102019434585</v>
      </c>
      <c r="I7643">
        <f>1/(COUNT(SimData5000!$B$9:$B$5008)-1)+$I$7642</f>
        <v>0.52690538107622986</v>
      </c>
      <c r="J7643">
        <f>SMALL(SimData5000!$C$9:$C$5008,2635)</f>
        <v>0.52611509421967639</v>
      </c>
      <c r="K7643">
        <f>1/(COUNT(SimData5000!$C$9:$C$5008)-1)+$K$7642</f>
        <v>0.52690538107622986</v>
      </c>
    </row>
    <row r="7644" spans="8:11">
      <c r="H7644">
        <f>SMALL(SimData5000!$B$9:$B$5008,2636)</f>
        <v>0.52700376420975759</v>
      </c>
      <c r="I7644">
        <f>1/(COUNT(SimData5000!$B$9:$B$5008)-1)+$I$7643</f>
        <v>0.52710542108423142</v>
      </c>
      <c r="J7644">
        <f>SMALL(SimData5000!$C$9:$C$5008,2636)</f>
        <v>0.52619277772737405</v>
      </c>
      <c r="K7644">
        <f>1/(COUNT(SimData5000!$C$9:$C$5008)-1)+$K$7643</f>
        <v>0.52710542108423142</v>
      </c>
    </row>
    <row r="7645" spans="8:11">
      <c r="H7645">
        <f>SMALL(SimData5000!$B$9:$B$5008,2637)</f>
        <v>0.52723594448627809</v>
      </c>
      <c r="I7645">
        <f>1/(COUNT(SimData5000!$B$9:$B$5008)-1)+$I$7644</f>
        <v>0.52730546109223297</v>
      </c>
      <c r="J7645">
        <f>SMALL(SimData5000!$C$9:$C$5008,2637)</f>
        <v>0.52629446023001947</v>
      </c>
      <c r="K7645">
        <f>1/(COUNT(SimData5000!$C$9:$C$5008)-1)+$K$7644</f>
        <v>0.52730546109223297</v>
      </c>
    </row>
    <row r="7646" spans="8:11">
      <c r="H7646">
        <f>SMALL(SimData5000!$B$9:$B$5008,2638)</f>
        <v>0.52745143422285368</v>
      </c>
      <c r="I7646">
        <f>1/(COUNT(SimData5000!$B$9:$B$5008)-1)+$I$7645</f>
        <v>0.52750550110023453</v>
      </c>
      <c r="J7646">
        <f>SMALL(SimData5000!$C$9:$C$5008,2638)</f>
        <v>0.52674949319225561</v>
      </c>
      <c r="K7646">
        <f>1/(COUNT(SimData5000!$C$9:$C$5008)-1)+$K$7645</f>
        <v>0.52750550110023453</v>
      </c>
    </row>
    <row r="7647" spans="8:11">
      <c r="H7647">
        <f>SMALL(SimData5000!$B$9:$B$5008,2639)</f>
        <v>0.52773269927635158</v>
      </c>
      <c r="I7647">
        <f>1/(COUNT(SimData5000!$B$9:$B$5008)-1)+$I$7646</f>
        <v>0.52770554110823609</v>
      </c>
      <c r="J7647">
        <f>SMALL(SimData5000!$C$9:$C$5008,2639)</f>
        <v>0.52715239648023271</v>
      </c>
      <c r="K7647">
        <f>1/(COUNT(SimData5000!$C$9:$C$5008)-1)+$K$7646</f>
        <v>0.52770554110823609</v>
      </c>
    </row>
    <row r="7648" spans="8:11">
      <c r="H7648">
        <f>SMALL(SimData5000!$B$9:$B$5008,2640)</f>
        <v>0.52796270586093019</v>
      </c>
      <c r="I7648">
        <f>1/(COUNT(SimData5000!$B$9:$B$5008)-1)+$I$7647</f>
        <v>0.52790558111623764</v>
      </c>
      <c r="J7648">
        <f>SMALL(SimData5000!$C$9:$C$5008,2640)</f>
        <v>0.52728619393383269</v>
      </c>
      <c r="K7648">
        <f>1/(COUNT(SimData5000!$C$9:$C$5008)-1)+$K$7647</f>
        <v>0.52790558111623764</v>
      </c>
    </row>
    <row r="7649" spans="8:11">
      <c r="H7649">
        <f>SMALL(SimData5000!$B$9:$B$5008,2641)</f>
        <v>0.52804056645958697</v>
      </c>
      <c r="I7649">
        <f>1/(COUNT(SimData5000!$B$9:$B$5008)-1)+$I$7648</f>
        <v>0.5281056211242392</v>
      </c>
      <c r="J7649">
        <f>SMALL(SimData5000!$C$9:$C$5008,2641)</f>
        <v>0.52815268087942968</v>
      </c>
      <c r="K7649">
        <f>1/(COUNT(SimData5000!$C$9:$C$5008)-1)+$K$7648</f>
        <v>0.5281056211242392</v>
      </c>
    </row>
    <row r="7650" spans="8:11">
      <c r="H7650">
        <f>SMALL(SimData5000!$B$9:$B$5008,2642)</f>
        <v>0.52825301294458404</v>
      </c>
      <c r="I7650">
        <f>1/(COUNT(SimData5000!$B$9:$B$5008)-1)+$I$7649</f>
        <v>0.52830566113224076</v>
      </c>
      <c r="J7650">
        <f>SMALL(SimData5000!$C$9:$C$5008,2642)</f>
        <v>0.52817299934395123</v>
      </c>
      <c r="K7650">
        <f>1/(COUNT(SimData5000!$C$9:$C$5008)-1)+$K$7649</f>
        <v>0.52830566113224076</v>
      </c>
    </row>
    <row r="7651" spans="8:11">
      <c r="H7651">
        <f>SMALL(SimData5000!$B$9:$B$5008,2643)</f>
        <v>0.52857838282989766</v>
      </c>
      <c r="I7651">
        <f>1/(COUNT(SimData5000!$B$9:$B$5008)-1)+$I$7650</f>
        <v>0.52850570114024231</v>
      </c>
      <c r="J7651">
        <f>SMALL(SimData5000!$C$9:$C$5008,2643)</f>
        <v>0.52856088337557594</v>
      </c>
      <c r="K7651">
        <f>1/(COUNT(SimData5000!$C$9:$C$5008)-1)+$K$7650</f>
        <v>0.52850570114024231</v>
      </c>
    </row>
    <row r="7652" spans="8:11">
      <c r="H7652">
        <f>SMALL(SimData5000!$B$9:$B$5008,2644)</f>
        <v>0.52867227199605482</v>
      </c>
      <c r="I7652">
        <f>1/(COUNT(SimData5000!$B$9:$B$5008)-1)+$I$7651</f>
        <v>0.52870574114824387</v>
      </c>
      <c r="J7652">
        <f>SMALL(SimData5000!$C$9:$C$5008,2644)</f>
        <v>0.52858457093589095</v>
      </c>
      <c r="K7652">
        <f>1/(COUNT(SimData5000!$C$9:$C$5008)-1)+$K$7651</f>
        <v>0.52870574114824387</v>
      </c>
    </row>
    <row r="7653" spans="8:11">
      <c r="H7653">
        <f>SMALL(SimData5000!$B$9:$B$5008,2645)</f>
        <v>0.52893144589185981</v>
      </c>
      <c r="I7653">
        <f>1/(COUNT(SimData5000!$B$9:$B$5008)-1)+$I$7652</f>
        <v>0.52890578115624542</v>
      </c>
      <c r="J7653">
        <f>SMALL(SimData5000!$C$9:$C$5008,2645)</f>
        <v>0.52872055001989793</v>
      </c>
      <c r="K7653">
        <f>1/(COUNT(SimData5000!$C$9:$C$5008)-1)+$K$7652</f>
        <v>0.52890578115624542</v>
      </c>
    </row>
    <row r="7654" spans="8:11">
      <c r="H7654">
        <f>SMALL(SimData5000!$B$9:$B$5008,2646)</f>
        <v>0.52900076232347659</v>
      </c>
      <c r="I7654">
        <f>1/(COUNT(SimData5000!$B$9:$B$5008)-1)+$I$7653</f>
        <v>0.52910582116424698</v>
      </c>
      <c r="J7654">
        <f>SMALL(SimData5000!$C$9:$C$5008,2646)</f>
        <v>0.52907478453880685</v>
      </c>
      <c r="K7654">
        <f>1/(COUNT(SimData5000!$C$9:$C$5008)-1)+$K$7653</f>
        <v>0.52910582116424698</v>
      </c>
    </row>
    <row r="7655" spans="8:11">
      <c r="H7655">
        <f>SMALL(SimData5000!$B$9:$B$5008,2647)</f>
        <v>0.52930550442978397</v>
      </c>
      <c r="I7655">
        <f>1/(COUNT(SimData5000!$B$9:$B$5008)-1)+$I$7654</f>
        <v>0.52930586117224854</v>
      </c>
      <c r="J7655">
        <f>SMALL(SimData5000!$C$9:$C$5008,2647)</f>
        <v>0.52955904840200674</v>
      </c>
      <c r="K7655">
        <f>1/(COUNT(SimData5000!$C$9:$C$5008)-1)+$K$7654</f>
        <v>0.52930586117224854</v>
      </c>
    </row>
    <row r="7656" spans="8:11">
      <c r="H7656">
        <f>SMALL(SimData5000!$B$9:$B$5008,2648)</f>
        <v>0.52940862156707058</v>
      </c>
      <c r="I7656">
        <f>1/(COUNT(SimData5000!$B$9:$B$5008)-1)+$I$7655</f>
        <v>0.52950590118025009</v>
      </c>
      <c r="J7656">
        <f>SMALL(SimData5000!$C$9:$C$5008,2648)</f>
        <v>0.52994104279514431</v>
      </c>
      <c r="K7656">
        <f>1/(COUNT(SimData5000!$C$9:$C$5008)-1)+$K$7655</f>
        <v>0.52950590118025009</v>
      </c>
    </row>
    <row r="7657" spans="8:11">
      <c r="H7657">
        <f>SMALL(SimData5000!$B$9:$B$5008,2649)</f>
        <v>0.52971174950779221</v>
      </c>
      <c r="I7657">
        <f>1/(COUNT(SimData5000!$B$9:$B$5008)-1)+$I$7656</f>
        <v>0.52970594118825165</v>
      </c>
      <c r="J7657">
        <f>SMALL(SimData5000!$C$9:$C$5008,2649)</f>
        <v>0.52996951087880007</v>
      </c>
      <c r="K7657">
        <f>1/(COUNT(SimData5000!$C$9:$C$5008)-1)+$K$7656</f>
        <v>0.52970594118825165</v>
      </c>
    </row>
    <row r="7658" spans="8:11">
      <c r="H7658">
        <f>SMALL(SimData5000!$B$9:$B$5008,2650)</f>
        <v>0.52995929118300777</v>
      </c>
      <c r="I7658">
        <f>1/(COUNT(SimData5000!$B$9:$B$5008)-1)+$I$7657</f>
        <v>0.52990598119625321</v>
      </c>
      <c r="J7658">
        <f>SMALL(SimData5000!$C$9:$C$5008,2650)</f>
        <v>0.53001656040487433</v>
      </c>
      <c r="K7658">
        <f>1/(COUNT(SimData5000!$C$9:$C$5008)-1)+$K$7657</f>
        <v>0.52990598119625321</v>
      </c>
    </row>
    <row r="7659" spans="8:11">
      <c r="H7659">
        <f>SMALL(SimData5000!$B$9:$B$5008,2651)</f>
        <v>0.5300249999652209</v>
      </c>
      <c r="I7659">
        <f>1/(COUNT(SimData5000!$B$9:$B$5008)-1)+$I$7658</f>
        <v>0.53010602120425476</v>
      </c>
      <c r="J7659">
        <f>SMALL(SimData5000!$C$9:$C$5008,2651)</f>
        <v>0.53042252919385646</v>
      </c>
      <c r="K7659">
        <f>1/(COUNT(SimData5000!$C$9:$C$5008)-1)+$K$7658</f>
        <v>0.53010602120425476</v>
      </c>
    </row>
    <row r="7660" spans="8:11">
      <c r="H7660">
        <f>SMALL(SimData5000!$B$9:$B$5008,2652)</f>
        <v>0.53024242571379121</v>
      </c>
      <c r="I7660">
        <f>1/(COUNT(SimData5000!$B$9:$B$5008)-1)+$I$7659</f>
        <v>0.53030606121225632</v>
      </c>
      <c r="J7660">
        <f>SMALL(SimData5000!$C$9:$C$5008,2652)</f>
        <v>0.53101815026639088</v>
      </c>
      <c r="K7660">
        <f>1/(COUNT(SimData5000!$C$9:$C$5008)-1)+$K$7659</f>
        <v>0.53030606121225632</v>
      </c>
    </row>
    <row r="7661" spans="8:11">
      <c r="H7661">
        <f>SMALL(SimData5000!$B$9:$B$5008,2653)</f>
        <v>0.53049108317668803</v>
      </c>
      <c r="I7661">
        <f>1/(COUNT(SimData5000!$B$9:$B$5008)-1)+$I$7660</f>
        <v>0.53050610122025788</v>
      </c>
      <c r="J7661">
        <f>SMALL(SimData5000!$C$9:$C$5008,2653)</f>
        <v>0.53106811478937743</v>
      </c>
      <c r="K7661">
        <f>1/(COUNT(SimData5000!$C$9:$C$5008)-1)+$K$7660</f>
        <v>0.53050610122025788</v>
      </c>
    </row>
    <row r="7662" spans="8:11">
      <c r="H7662">
        <f>SMALL(SimData5000!$B$9:$B$5008,2654)</f>
        <v>0.53069665741866834</v>
      </c>
      <c r="I7662">
        <f>1/(COUNT(SimData5000!$B$9:$B$5008)-1)+$I$7661</f>
        <v>0.53070614122825943</v>
      </c>
      <c r="J7662">
        <f>SMALL(SimData5000!$C$9:$C$5008,2654)</f>
        <v>0.53154779623855575</v>
      </c>
      <c r="K7662">
        <f>1/(COUNT(SimData5000!$C$9:$C$5008)-1)+$K$7661</f>
        <v>0.53070614122825943</v>
      </c>
    </row>
    <row r="7663" spans="8:11">
      <c r="H7663">
        <f>SMALL(SimData5000!$B$9:$B$5008,2655)</f>
        <v>0.53093107729599143</v>
      </c>
      <c r="I7663">
        <f>1/(COUNT(SimData5000!$B$9:$B$5008)-1)+$I$7662</f>
        <v>0.53090618123626099</v>
      </c>
      <c r="J7663">
        <f>SMALL(SimData5000!$C$9:$C$5008,2655)</f>
        <v>0.53164289512278629</v>
      </c>
      <c r="K7663">
        <f>1/(COUNT(SimData5000!$C$9:$C$5008)-1)+$K$7662</f>
        <v>0.53090618123626099</v>
      </c>
    </row>
    <row r="7664" spans="8:11">
      <c r="H7664">
        <f>SMALL(SimData5000!$B$9:$B$5008,2656)</f>
        <v>0.53113594446176104</v>
      </c>
      <c r="I7664">
        <f>1/(COUNT(SimData5000!$B$9:$B$5008)-1)+$I$7663</f>
        <v>0.53110622124426254</v>
      </c>
      <c r="J7664">
        <f>SMALL(SimData5000!$C$9:$C$5008,2656)</f>
        <v>0.53184547154707218</v>
      </c>
      <c r="K7664">
        <f>1/(COUNT(SimData5000!$C$9:$C$5008)-1)+$K$7663</f>
        <v>0.53110622124426254</v>
      </c>
    </row>
    <row r="7665" spans="8:11">
      <c r="H7665">
        <f>SMALL(SimData5000!$B$9:$B$5008,2657)</f>
        <v>0.53136547509086451</v>
      </c>
      <c r="I7665">
        <f>1/(COUNT(SimData5000!$B$9:$B$5008)-1)+$I$7664</f>
        <v>0.5313062612522641</v>
      </c>
      <c r="J7665">
        <f>SMALL(SimData5000!$C$9:$C$5008,2657)</f>
        <v>0.5327253751365788</v>
      </c>
      <c r="K7665">
        <f>1/(COUNT(SimData5000!$C$9:$C$5008)-1)+$K$7664</f>
        <v>0.5313062612522641</v>
      </c>
    </row>
    <row r="7666" spans="8:11">
      <c r="H7666">
        <f>SMALL(SimData5000!$B$9:$B$5008,2658)</f>
        <v>0.5315221129550417</v>
      </c>
      <c r="I7666">
        <f>1/(COUNT(SimData5000!$B$9:$B$5008)-1)+$I$7665</f>
        <v>0.53150630126026566</v>
      </c>
      <c r="J7666">
        <f>SMALL(SimData5000!$C$9:$C$5008,2658)</f>
        <v>0.53281563637574436</v>
      </c>
      <c r="K7666">
        <f>1/(COUNT(SimData5000!$C$9:$C$5008)-1)+$K$7665</f>
        <v>0.53150630126026566</v>
      </c>
    </row>
    <row r="7667" spans="8:11">
      <c r="H7667">
        <f>SMALL(SimData5000!$B$9:$B$5008,2659)</f>
        <v>0.53160047011626899</v>
      </c>
      <c r="I7667">
        <f>1/(COUNT(SimData5000!$B$9:$B$5008)-1)+$I$7666</f>
        <v>0.53170634126826721</v>
      </c>
      <c r="J7667">
        <f>SMALL(SimData5000!$C$9:$C$5008,2659)</f>
        <v>0.53301593129981484</v>
      </c>
      <c r="K7667">
        <f>1/(COUNT(SimData5000!$C$9:$C$5008)-1)+$K$7666</f>
        <v>0.53170634126826721</v>
      </c>
    </row>
    <row r="7668" spans="8:11">
      <c r="H7668">
        <f>SMALL(SimData5000!$B$9:$B$5008,2660)</f>
        <v>0.53196214076740711</v>
      </c>
      <c r="I7668">
        <f>1/(COUNT(SimData5000!$B$9:$B$5008)-1)+$I$7667</f>
        <v>0.53190638127626877</v>
      </c>
      <c r="J7668">
        <f>SMALL(SimData5000!$C$9:$C$5008,2660)</f>
        <v>0.53335899251760566</v>
      </c>
      <c r="K7668">
        <f>1/(COUNT(SimData5000!$C$9:$C$5008)-1)+$K$7667</f>
        <v>0.53190638127626877</v>
      </c>
    </row>
    <row r="7669" spans="8:11">
      <c r="H7669">
        <f>SMALL(SimData5000!$B$9:$B$5008,2661)</f>
        <v>0.53202055337871912</v>
      </c>
      <c r="I7669">
        <f>1/(COUNT(SimData5000!$B$9:$B$5008)-1)+$I$7668</f>
        <v>0.53210642128427033</v>
      </c>
      <c r="J7669">
        <f>SMALL(SimData5000!$C$9:$C$5008,2661)</f>
        <v>0.5336102813926118</v>
      </c>
      <c r="K7669">
        <f>1/(COUNT(SimData5000!$C$9:$C$5008)-1)+$K$7668</f>
        <v>0.53210642128427033</v>
      </c>
    </row>
    <row r="7670" spans="8:11">
      <c r="H7670">
        <f>SMALL(SimData5000!$B$9:$B$5008,2662)</f>
        <v>0.53236539223142088</v>
      </c>
      <c r="I7670">
        <f>1/(COUNT(SimData5000!$B$9:$B$5008)-1)+$I$7669</f>
        <v>0.53230646129227188</v>
      </c>
      <c r="J7670">
        <f>SMALL(SimData5000!$C$9:$C$5008,2662)</f>
        <v>0.53472656748363079</v>
      </c>
      <c r="K7670">
        <f>1/(COUNT(SimData5000!$C$9:$C$5008)-1)+$K$7669</f>
        <v>0.53230646129227188</v>
      </c>
    </row>
    <row r="7671" spans="8:11">
      <c r="H7671">
        <f>SMALL(SimData5000!$B$9:$B$5008,2663)</f>
        <v>0.53254403952018925</v>
      </c>
      <c r="I7671">
        <f>1/(COUNT(SimData5000!$B$9:$B$5008)-1)+$I$7670</f>
        <v>0.53250650130027344</v>
      </c>
      <c r="J7671">
        <f>SMALL(SimData5000!$C$9:$C$5008,2663)</f>
        <v>0.53482583837831044</v>
      </c>
      <c r="K7671">
        <f>1/(COUNT(SimData5000!$C$9:$C$5008)-1)+$K$7670</f>
        <v>0.53250650130027344</v>
      </c>
    </row>
    <row r="7672" spans="8:11">
      <c r="H7672">
        <f>SMALL(SimData5000!$B$9:$B$5008,2664)</f>
        <v>0.53262958997465426</v>
      </c>
      <c r="I7672">
        <f>1/(COUNT(SimData5000!$B$9:$B$5008)-1)+$I$7671</f>
        <v>0.53270654130827499</v>
      </c>
      <c r="J7672">
        <f>SMALL(SimData5000!$C$9:$C$5008,2664)</f>
        <v>0.53486727068229811</v>
      </c>
      <c r="K7672">
        <f>1/(COUNT(SimData5000!$C$9:$C$5008)-1)+$K$7671</f>
        <v>0.53270654130827499</v>
      </c>
    </row>
    <row r="7673" spans="8:11">
      <c r="H7673">
        <f>SMALL(SimData5000!$B$9:$B$5008,2665)</f>
        <v>0.53288478416667429</v>
      </c>
      <c r="I7673">
        <f>1/(COUNT(SimData5000!$B$9:$B$5008)-1)+$I$7672</f>
        <v>0.53290658131627655</v>
      </c>
      <c r="J7673">
        <f>SMALL(SimData5000!$C$9:$C$5008,2665)</f>
        <v>0.53493284273281461</v>
      </c>
      <c r="K7673">
        <f>1/(COUNT(SimData5000!$C$9:$C$5008)-1)+$K$7672</f>
        <v>0.53290658131627655</v>
      </c>
    </row>
    <row r="7674" spans="8:11">
      <c r="H7674">
        <f>SMALL(SimData5000!$B$9:$B$5008,2666)</f>
        <v>0.5330361680213912</v>
      </c>
      <c r="I7674">
        <f>1/(COUNT(SimData5000!$B$9:$B$5008)-1)+$I$7673</f>
        <v>0.53310662132427811</v>
      </c>
      <c r="J7674">
        <f>SMALL(SimData5000!$C$9:$C$5008,2666)</f>
        <v>0.53519935191616241</v>
      </c>
      <c r="K7674">
        <f>1/(COUNT(SimData5000!$C$9:$C$5008)-1)+$K$7673</f>
        <v>0.53310662132427811</v>
      </c>
    </row>
    <row r="7675" spans="8:11">
      <c r="H7675">
        <f>SMALL(SimData5000!$B$9:$B$5008,2667)</f>
        <v>0.53333186103923524</v>
      </c>
      <c r="I7675">
        <f>1/(COUNT(SimData5000!$B$9:$B$5008)-1)+$I$7674</f>
        <v>0.53330666133227966</v>
      </c>
      <c r="J7675">
        <f>SMALL(SimData5000!$C$9:$C$5008,2667)</f>
        <v>0.53550827463459427</v>
      </c>
      <c r="K7675">
        <f>1/(COUNT(SimData5000!$C$9:$C$5008)-1)+$K$7674</f>
        <v>0.53330666133227966</v>
      </c>
    </row>
    <row r="7676" spans="8:11">
      <c r="H7676">
        <f>SMALL(SimData5000!$B$9:$B$5008,2668)</f>
        <v>0.53352684717553833</v>
      </c>
      <c r="I7676">
        <f>1/(COUNT(SimData5000!$B$9:$B$5008)-1)+$I$7675</f>
        <v>0.53350670134028122</v>
      </c>
      <c r="J7676">
        <f>SMALL(SimData5000!$C$9:$C$5008,2668)</f>
        <v>0.53556127478077542</v>
      </c>
      <c r="K7676">
        <f>1/(COUNT(SimData5000!$C$9:$C$5008)-1)+$K$7675</f>
        <v>0.53350670134028122</v>
      </c>
    </row>
    <row r="7677" spans="8:11">
      <c r="H7677">
        <f>SMALL(SimData5000!$B$9:$B$5008,2669)</f>
        <v>0.5336092987526696</v>
      </c>
      <c r="I7677">
        <f>1/(COUNT(SimData5000!$B$9:$B$5008)-1)+$I$7676</f>
        <v>0.53370674134828278</v>
      </c>
      <c r="J7677">
        <f>SMALL(SimData5000!$C$9:$C$5008,2669)</f>
        <v>0.5356604633598181</v>
      </c>
      <c r="K7677">
        <f>1/(COUNT(SimData5000!$C$9:$C$5008)-1)+$K$7676</f>
        <v>0.53370674134828278</v>
      </c>
    </row>
    <row r="7678" spans="8:11">
      <c r="H7678">
        <f>SMALL(SimData5000!$B$9:$B$5008,2670)</f>
        <v>0.53393491897334688</v>
      </c>
      <c r="I7678">
        <f>1/(COUNT(SimData5000!$B$9:$B$5008)-1)+$I$7677</f>
        <v>0.53390678135628433</v>
      </c>
      <c r="J7678">
        <f>SMALL(SimData5000!$C$9:$C$5008,2670)</f>
        <v>0.53567904249393905</v>
      </c>
      <c r="K7678">
        <f>1/(COUNT(SimData5000!$C$9:$C$5008)-1)+$K$7677</f>
        <v>0.53390678135628433</v>
      </c>
    </row>
    <row r="7679" spans="8:11">
      <c r="H7679">
        <f>SMALL(SimData5000!$B$9:$B$5008,2671)</f>
        <v>0.5340358667052435</v>
      </c>
      <c r="I7679">
        <f>1/(COUNT(SimData5000!$B$9:$B$5008)-1)+$I$7678</f>
        <v>0.53410682136428589</v>
      </c>
      <c r="J7679">
        <f>SMALL(SimData5000!$C$9:$C$5008,2671)</f>
        <v>0.53572418076419126</v>
      </c>
      <c r="K7679">
        <f>1/(COUNT(SimData5000!$C$9:$C$5008)-1)+$K$7678</f>
        <v>0.53410682136428589</v>
      </c>
    </row>
    <row r="7680" spans="8:11">
      <c r="H7680">
        <f>SMALL(SimData5000!$B$9:$B$5008,2672)</f>
        <v>0.53430954996587465</v>
      </c>
      <c r="I7680">
        <f>1/(COUNT(SimData5000!$B$9:$B$5008)-1)+$I$7679</f>
        <v>0.53430686137228744</v>
      </c>
      <c r="J7680">
        <f>SMALL(SimData5000!$C$9:$C$5008,2672)</f>
        <v>0.53623671031255071</v>
      </c>
      <c r="K7680">
        <f>1/(COUNT(SimData5000!$C$9:$C$5008)-1)+$K$7679</f>
        <v>0.53430686137228744</v>
      </c>
    </row>
    <row r="7681" spans="8:11">
      <c r="H7681">
        <f>SMALL(SimData5000!$B$9:$B$5008,2673)</f>
        <v>0.53456007353941914</v>
      </c>
      <c r="I7681">
        <f>1/(COUNT(SimData5000!$B$9:$B$5008)-1)+$I$7680</f>
        <v>0.534506901380289</v>
      </c>
      <c r="J7681">
        <f>SMALL(SimData5000!$C$9:$C$5008,2673)</f>
        <v>0.53632008159729594</v>
      </c>
      <c r="K7681">
        <f>1/(COUNT(SimData5000!$C$9:$C$5008)-1)+$K$7680</f>
        <v>0.534506901380289</v>
      </c>
    </row>
    <row r="7682" spans="8:11">
      <c r="H7682">
        <f>SMALL(SimData5000!$B$9:$B$5008,2674)</f>
        <v>0.5346230472822262</v>
      </c>
      <c r="I7682">
        <f>1/(COUNT(SimData5000!$B$9:$B$5008)-1)+$I$7681</f>
        <v>0.53470694138829056</v>
      </c>
      <c r="J7682">
        <f>SMALL(SimData5000!$C$9:$C$5008,2674)</f>
        <v>0.53647137847656268</v>
      </c>
      <c r="K7682">
        <f>1/(COUNT(SimData5000!$C$9:$C$5008)-1)+$K$7681</f>
        <v>0.53470694138829056</v>
      </c>
    </row>
    <row r="7683" spans="8:11">
      <c r="H7683">
        <f>SMALL(SimData5000!$B$9:$B$5008,2675)</f>
        <v>0.53492287594222532</v>
      </c>
      <c r="I7683">
        <f>1/(COUNT(SimData5000!$B$9:$B$5008)-1)+$I$7682</f>
        <v>0.53490698139629211</v>
      </c>
      <c r="J7683">
        <f>SMALL(SimData5000!$C$9:$C$5008,2675)</f>
        <v>0.53653415479038813</v>
      </c>
      <c r="K7683">
        <f>1/(COUNT(SimData5000!$C$9:$C$5008)-1)+$K$7682</f>
        <v>0.53490698139629211</v>
      </c>
    </row>
    <row r="7684" spans="8:11">
      <c r="H7684">
        <f>SMALL(SimData5000!$B$9:$B$5008,2676)</f>
        <v>0.5351396236224425</v>
      </c>
      <c r="I7684">
        <f>1/(COUNT(SimData5000!$B$9:$B$5008)-1)+$I$7683</f>
        <v>0.53510702140429367</v>
      </c>
      <c r="J7684">
        <f>SMALL(SimData5000!$C$9:$C$5008,2676)</f>
        <v>0.53662301058739104</v>
      </c>
      <c r="K7684">
        <f>1/(COUNT(SimData5000!$C$9:$C$5008)-1)+$K$7683</f>
        <v>0.53510702140429367</v>
      </c>
    </row>
    <row r="7685" spans="8:11">
      <c r="H7685">
        <f>SMALL(SimData5000!$B$9:$B$5008,2677)</f>
        <v>0.53530946860939943</v>
      </c>
      <c r="I7685">
        <f>1/(COUNT(SimData5000!$B$9:$B$5008)-1)+$I$7684</f>
        <v>0.53530706141229523</v>
      </c>
      <c r="J7685">
        <f>SMALL(SimData5000!$C$9:$C$5008,2677)</f>
        <v>0.53673375607831986</v>
      </c>
      <c r="K7685">
        <f>1/(COUNT(SimData5000!$C$9:$C$5008)-1)+$K$7684</f>
        <v>0.53530706141229523</v>
      </c>
    </row>
    <row r="7686" spans="8:11">
      <c r="H7686">
        <f>SMALL(SimData5000!$B$9:$B$5008,2678)</f>
        <v>0.5354210254476921</v>
      </c>
      <c r="I7686">
        <f>1/(COUNT(SimData5000!$B$9:$B$5008)-1)+$I$7685</f>
        <v>0.53550710142029678</v>
      </c>
      <c r="J7686">
        <f>SMALL(SimData5000!$C$9:$C$5008,2678)</f>
        <v>0.53698225347397965</v>
      </c>
      <c r="K7686">
        <f>1/(COUNT(SimData5000!$C$9:$C$5008)-1)+$K$7685</f>
        <v>0.53550710142029678</v>
      </c>
    </row>
    <row r="7687" spans="8:11">
      <c r="H7687">
        <f>SMALL(SimData5000!$B$9:$B$5008,2679)</f>
        <v>0.53576097666597011</v>
      </c>
      <c r="I7687">
        <f>1/(COUNT(SimData5000!$B$9:$B$5008)-1)+$I$7686</f>
        <v>0.53570714142829834</v>
      </c>
      <c r="J7687">
        <f>SMALL(SimData5000!$C$9:$C$5008,2679)</f>
        <v>0.53712870576873684</v>
      </c>
      <c r="K7687">
        <f>1/(COUNT(SimData5000!$C$9:$C$5008)-1)+$K$7686</f>
        <v>0.53570714142829834</v>
      </c>
    </row>
    <row r="7688" spans="8:11">
      <c r="H7688">
        <f>SMALL(SimData5000!$B$9:$B$5008,2680)</f>
        <v>0.53583864292601091</v>
      </c>
      <c r="I7688">
        <f>1/(COUNT(SimData5000!$B$9:$B$5008)-1)+$I$7687</f>
        <v>0.5359071814362999</v>
      </c>
      <c r="J7688">
        <f>SMALL(SimData5000!$C$9:$C$5008,2680)</f>
        <v>0.53728019804293581</v>
      </c>
      <c r="K7688">
        <f>1/(COUNT(SimData5000!$C$9:$C$5008)-1)+$K$7687</f>
        <v>0.5359071814362999</v>
      </c>
    </row>
    <row r="7689" spans="8:11">
      <c r="H7689">
        <f>SMALL(SimData5000!$B$9:$B$5008,2681)</f>
        <v>0.53610334480891553</v>
      </c>
      <c r="I7689">
        <f>1/(COUNT(SimData5000!$B$9:$B$5008)-1)+$I$7688</f>
        <v>0.53610722144430145</v>
      </c>
      <c r="J7689">
        <f>SMALL(SimData5000!$C$9:$C$5008,2681)</f>
        <v>0.5373511854231765</v>
      </c>
      <c r="K7689">
        <f>1/(COUNT(SimData5000!$C$9:$C$5008)-1)+$K$7688</f>
        <v>0.53610722144430145</v>
      </c>
    </row>
    <row r="7690" spans="8:11">
      <c r="H7690">
        <f>SMALL(SimData5000!$B$9:$B$5008,2682)</f>
        <v>0.53628041615483357</v>
      </c>
      <c r="I7690">
        <f>1/(COUNT(SimData5000!$B$9:$B$5008)-1)+$I$7689</f>
        <v>0.53630726145230301</v>
      </c>
      <c r="J7690">
        <f>SMALL(SimData5000!$C$9:$C$5008,2682)</f>
        <v>0.53735248742214026</v>
      </c>
      <c r="K7690">
        <f>1/(COUNT(SimData5000!$C$9:$C$5008)-1)+$K$7689</f>
        <v>0.53630726145230301</v>
      </c>
    </row>
    <row r="7691" spans="8:11">
      <c r="H7691">
        <f>SMALL(SimData5000!$B$9:$B$5008,2683)</f>
        <v>0.53646018809775364</v>
      </c>
      <c r="I7691">
        <f>1/(COUNT(SimData5000!$B$9:$B$5008)-1)+$I$7690</f>
        <v>0.53650730146030456</v>
      </c>
      <c r="J7691">
        <f>SMALL(SimData5000!$C$9:$C$5008,2683)</f>
        <v>0.53744923224712693</v>
      </c>
      <c r="K7691">
        <f>1/(COUNT(SimData5000!$C$9:$C$5008)-1)+$K$7690</f>
        <v>0.53650730146030456</v>
      </c>
    </row>
    <row r="7692" spans="8:11">
      <c r="H7692">
        <f>SMALL(SimData5000!$B$9:$B$5008,2684)</f>
        <v>0.5366134562735011</v>
      </c>
      <c r="I7692">
        <f>1/(COUNT(SimData5000!$B$9:$B$5008)-1)+$I$7691</f>
        <v>0.53670734146830612</v>
      </c>
      <c r="J7692">
        <f>SMALL(SimData5000!$C$9:$C$5008,2684)</f>
        <v>0.53748810790514767</v>
      </c>
      <c r="K7692">
        <f>1/(COUNT(SimData5000!$C$9:$C$5008)-1)+$K$7691</f>
        <v>0.53670734146830612</v>
      </c>
    </row>
    <row r="7693" spans="8:11">
      <c r="H7693">
        <f>SMALL(SimData5000!$B$9:$B$5008,2685)</f>
        <v>0.53691629936083141</v>
      </c>
      <c r="I7693">
        <f>1/(COUNT(SimData5000!$B$9:$B$5008)-1)+$I$7692</f>
        <v>0.53690738147630768</v>
      </c>
      <c r="J7693">
        <f>SMALL(SimData5000!$C$9:$C$5008,2685)</f>
        <v>0.53750082553415268</v>
      </c>
      <c r="K7693">
        <f>1/(COUNT(SimData5000!$C$9:$C$5008)-1)+$K$7692</f>
        <v>0.53690738147630768</v>
      </c>
    </row>
    <row r="7694" spans="8:11">
      <c r="H7694">
        <f>SMALL(SimData5000!$B$9:$B$5008,2686)</f>
        <v>0.53710417243267972</v>
      </c>
      <c r="I7694">
        <f>1/(COUNT(SimData5000!$B$9:$B$5008)-1)+$I$7693</f>
        <v>0.53710742148430923</v>
      </c>
      <c r="J7694">
        <f>SMALL(SimData5000!$C$9:$C$5008,2686)</f>
        <v>0.53750558248884772</v>
      </c>
      <c r="K7694">
        <f>1/(COUNT(SimData5000!$C$9:$C$5008)-1)+$K$7693</f>
        <v>0.53710742148430923</v>
      </c>
    </row>
    <row r="7695" spans="8:11">
      <c r="H7695">
        <f>SMALL(SimData5000!$B$9:$B$5008,2687)</f>
        <v>0.53735520032671169</v>
      </c>
      <c r="I7695">
        <f>1/(COUNT(SimData5000!$B$9:$B$5008)-1)+$I$7694</f>
        <v>0.53730746149231079</v>
      </c>
      <c r="J7695">
        <f>SMALL(SimData5000!$C$9:$C$5008,2687)</f>
        <v>0.53761159824352944</v>
      </c>
      <c r="K7695">
        <f>1/(COUNT(SimData5000!$C$9:$C$5008)-1)+$K$7694</f>
        <v>0.53730746149231079</v>
      </c>
    </row>
    <row r="7696" spans="8:11">
      <c r="H7696">
        <f>SMALL(SimData5000!$B$9:$B$5008,2688)</f>
        <v>0.5375956623048046</v>
      </c>
      <c r="I7696">
        <f>1/(COUNT(SimData5000!$B$9:$B$5008)-1)+$I$7695</f>
        <v>0.53750750150031235</v>
      </c>
      <c r="J7696">
        <f>SMALL(SimData5000!$C$9:$C$5008,2688)</f>
        <v>0.53777920166248805</v>
      </c>
      <c r="K7696">
        <f>1/(COUNT(SimData5000!$C$9:$C$5008)-1)+$K$7695</f>
        <v>0.53750750150031235</v>
      </c>
    </row>
    <row r="7697" spans="8:11">
      <c r="H7697">
        <f>SMALL(SimData5000!$B$9:$B$5008,2689)</f>
        <v>0.53767793668747832</v>
      </c>
      <c r="I7697">
        <f>1/(COUNT(SimData5000!$B$9:$B$5008)-1)+$I$7696</f>
        <v>0.5377075415083139</v>
      </c>
      <c r="J7697">
        <f>SMALL(SimData5000!$C$9:$C$5008,2689)</f>
        <v>0.53789862807207101</v>
      </c>
      <c r="K7697">
        <f>1/(COUNT(SimData5000!$C$9:$C$5008)-1)+$K$7696</f>
        <v>0.5377075415083139</v>
      </c>
    </row>
    <row r="7698" spans="8:11">
      <c r="H7698">
        <f>SMALL(SimData5000!$B$9:$B$5008,2690)</f>
        <v>0.53789853198525928</v>
      </c>
      <c r="I7698">
        <f>1/(COUNT(SimData5000!$B$9:$B$5008)-1)+$I$7697</f>
        <v>0.53790758151631546</v>
      </c>
      <c r="J7698">
        <f>SMALL(SimData5000!$C$9:$C$5008,2690)</f>
        <v>0.53806643944426469</v>
      </c>
      <c r="K7698">
        <f>1/(COUNT(SimData5000!$C$9:$C$5008)-1)+$K$7697</f>
        <v>0.53790758151631546</v>
      </c>
    </row>
    <row r="7699" spans="8:11">
      <c r="H7699">
        <f>SMALL(SimData5000!$B$9:$B$5008,2691)</f>
        <v>0.53817385083403757</v>
      </c>
      <c r="I7699">
        <f>1/(COUNT(SimData5000!$B$9:$B$5008)-1)+$I$7698</f>
        <v>0.53810762152431701</v>
      </c>
      <c r="J7699">
        <f>SMALL(SimData5000!$C$9:$C$5008,2691)</f>
        <v>0.53820351494232455</v>
      </c>
      <c r="K7699">
        <f>1/(COUNT(SimData5000!$C$9:$C$5008)-1)+$K$7698</f>
        <v>0.53810762152431701</v>
      </c>
    </row>
    <row r="7700" spans="8:11">
      <c r="H7700">
        <f>SMALL(SimData5000!$B$9:$B$5008,2692)</f>
        <v>0.53836524950074149</v>
      </c>
      <c r="I7700">
        <f>1/(COUNT(SimData5000!$B$9:$B$5008)-1)+$I$7699</f>
        <v>0.53830766153231857</v>
      </c>
      <c r="J7700">
        <f>SMALL(SimData5000!$C$9:$C$5008,2692)</f>
        <v>0.53829912793389667</v>
      </c>
      <c r="K7700">
        <f>1/(COUNT(SimData5000!$C$9:$C$5008)-1)+$K$7699</f>
        <v>0.53830766153231857</v>
      </c>
    </row>
    <row r="7701" spans="8:11">
      <c r="H7701">
        <f>SMALL(SimData5000!$B$9:$B$5008,2693)</f>
        <v>0.53857780187269155</v>
      </c>
      <c r="I7701">
        <f>1/(COUNT(SimData5000!$B$9:$B$5008)-1)+$I$7700</f>
        <v>0.53850770154032013</v>
      </c>
      <c r="J7701">
        <f>SMALL(SimData5000!$C$9:$C$5008,2693)</f>
        <v>0.53865064532874385</v>
      </c>
      <c r="K7701">
        <f>1/(COUNT(SimData5000!$C$9:$C$5008)-1)+$K$7700</f>
        <v>0.53850770154032013</v>
      </c>
    </row>
    <row r="7702" spans="8:11">
      <c r="H7702">
        <f>SMALL(SimData5000!$B$9:$B$5008,2694)</f>
        <v>0.53878375452579552</v>
      </c>
      <c r="I7702">
        <f>1/(COUNT(SimData5000!$B$9:$B$5008)-1)+$I$7701</f>
        <v>0.53870774154832168</v>
      </c>
      <c r="J7702">
        <f>SMALL(SimData5000!$C$9:$C$5008,2694)</f>
        <v>0.53866925428337709</v>
      </c>
      <c r="K7702">
        <f>1/(COUNT(SimData5000!$C$9:$C$5008)-1)+$K$7701</f>
        <v>0.53870774154832168</v>
      </c>
    </row>
    <row r="7703" spans="8:11">
      <c r="H7703">
        <f>SMALL(SimData5000!$B$9:$B$5008,2695)</f>
        <v>0.5388470136963871</v>
      </c>
      <c r="I7703">
        <f>1/(COUNT(SimData5000!$B$9:$B$5008)-1)+$I$7702</f>
        <v>0.53890778155632324</v>
      </c>
      <c r="J7703">
        <f>SMALL(SimData5000!$C$9:$C$5008,2695)</f>
        <v>0.53876366340864479</v>
      </c>
      <c r="K7703">
        <f>1/(COUNT(SimData5000!$C$9:$C$5008)-1)+$K$7702</f>
        <v>0.53890778155632324</v>
      </c>
    </row>
    <row r="7704" spans="8:11">
      <c r="H7704">
        <f>SMALL(SimData5000!$B$9:$B$5008,2696)</f>
        <v>0.53904279141599376</v>
      </c>
      <c r="I7704">
        <f>1/(COUNT(SimData5000!$B$9:$B$5008)-1)+$I$7703</f>
        <v>0.5391078215643248</v>
      </c>
      <c r="J7704">
        <f>SMALL(SimData5000!$C$9:$C$5008,2696)</f>
        <v>0.53878809183427734</v>
      </c>
      <c r="K7704">
        <f>1/(COUNT(SimData5000!$C$9:$C$5008)-1)+$K$7703</f>
        <v>0.5391078215643248</v>
      </c>
    </row>
    <row r="7705" spans="8:11">
      <c r="H7705">
        <f>SMALL(SimData5000!$B$9:$B$5008,2697)</f>
        <v>0.5393025875931845</v>
      </c>
      <c r="I7705">
        <f>1/(COUNT(SimData5000!$B$9:$B$5008)-1)+$I$7704</f>
        <v>0.53930786157232635</v>
      </c>
      <c r="J7705">
        <f>SMALL(SimData5000!$C$9:$C$5008,2697)</f>
        <v>0.5390817907264136</v>
      </c>
      <c r="K7705">
        <f>1/(COUNT(SimData5000!$C$9:$C$5008)-1)+$K$7704</f>
        <v>0.53930786157232635</v>
      </c>
    </row>
    <row r="7706" spans="8:11">
      <c r="H7706">
        <f>SMALL(SimData5000!$B$9:$B$5008,2698)</f>
        <v>0.53943054749673014</v>
      </c>
      <c r="I7706">
        <f>1/(COUNT(SimData5000!$B$9:$B$5008)-1)+$I$7705</f>
        <v>0.53950790158032791</v>
      </c>
      <c r="J7706">
        <f>SMALL(SimData5000!$C$9:$C$5008,2698)</f>
        <v>0.53921615557010227</v>
      </c>
      <c r="K7706">
        <f>1/(COUNT(SimData5000!$C$9:$C$5008)-1)+$K$7705</f>
        <v>0.53950790158032791</v>
      </c>
    </row>
    <row r="7707" spans="8:11">
      <c r="H7707">
        <f>SMALL(SimData5000!$B$9:$B$5008,2699)</f>
        <v>0.53975519117316118</v>
      </c>
      <c r="I7707">
        <f>1/(COUNT(SimData5000!$B$9:$B$5008)-1)+$I$7706</f>
        <v>0.53970794158832947</v>
      </c>
      <c r="J7707">
        <f>SMALL(SimData5000!$C$9:$C$5008,2699)</f>
        <v>0.53930513803607028</v>
      </c>
      <c r="K7707">
        <f>1/(COUNT(SimData5000!$C$9:$C$5008)-1)+$K$7706</f>
        <v>0.53970794158832947</v>
      </c>
    </row>
    <row r="7708" spans="8:11">
      <c r="H7708">
        <f>SMALL(SimData5000!$B$9:$B$5008,2700)</f>
        <v>0.53998619319791585</v>
      </c>
      <c r="I7708">
        <f>1/(COUNT(SimData5000!$B$9:$B$5008)-1)+$I$7707</f>
        <v>0.53990798159633102</v>
      </c>
      <c r="J7708">
        <f>SMALL(SimData5000!$C$9:$C$5008,2700)</f>
        <v>0.53944659306398535</v>
      </c>
      <c r="K7708">
        <f>1/(COUNT(SimData5000!$C$9:$C$5008)-1)+$K$7707</f>
        <v>0.53990798159633102</v>
      </c>
    </row>
    <row r="7709" spans="8:11">
      <c r="H7709">
        <f>SMALL(SimData5000!$B$9:$B$5008,2701)</f>
        <v>0.54009989319194573</v>
      </c>
      <c r="I7709">
        <f>1/(COUNT(SimData5000!$B$9:$B$5008)-1)+$I$7708</f>
        <v>0.54010802160433258</v>
      </c>
      <c r="J7709">
        <f>SMALL(SimData5000!$C$9:$C$5008,2701)</f>
        <v>0.5397411464346078</v>
      </c>
      <c r="K7709">
        <f>1/(COUNT(SimData5000!$C$9:$C$5008)-1)+$K$7708</f>
        <v>0.54010802160433258</v>
      </c>
    </row>
    <row r="7710" spans="8:11">
      <c r="H7710">
        <f>SMALL(SimData5000!$B$9:$B$5008,2702)</f>
        <v>0.54028272014830325</v>
      </c>
      <c r="I7710">
        <f>1/(COUNT(SimData5000!$B$9:$B$5008)-1)+$I$7709</f>
        <v>0.54030806161233413</v>
      </c>
      <c r="J7710">
        <f>SMALL(SimData5000!$C$9:$C$5008,2702)</f>
        <v>0.5400217173009878</v>
      </c>
      <c r="K7710">
        <f>1/(COUNT(SimData5000!$C$9:$C$5008)-1)+$K$7709</f>
        <v>0.54030806161233413</v>
      </c>
    </row>
    <row r="7711" spans="8:11">
      <c r="H7711">
        <f>SMALL(SimData5000!$B$9:$B$5008,2703)</f>
        <v>0.54042143990677349</v>
      </c>
      <c r="I7711">
        <f>1/(COUNT(SimData5000!$B$9:$B$5008)-1)+$I$7710</f>
        <v>0.54050810162033569</v>
      </c>
      <c r="J7711">
        <f>SMALL(SimData5000!$C$9:$C$5008,2703)</f>
        <v>0.54015965882808814</v>
      </c>
      <c r="K7711">
        <f>1/(COUNT(SimData5000!$C$9:$C$5008)-1)+$K$7710</f>
        <v>0.54050810162033569</v>
      </c>
    </row>
    <row r="7712" spans="8:11">
      <c r="H7712">
        <f>SMALL(SimData5000!$B$9:$B$5008,2704)</f>
        <v>0.5407290211125112</v>
      </c>
      <c r="I7712">
        <f>1/(COUNT(SimData5000!$B$9:$B$5008)-1)+$I$7711</f>
        <v>0.54070814162833725</v>
      </c>
      <c r="J7712">
        <f>SMALL(SimData5000!$C$9:$C$5008,2704)</f>
        <v>0.54017102917896409</v>
      </c>
      <c r="K7712">
        <f>1/(COUNT(SimData5000!$C$9:$C$5008)-1)+$K$7711</f>
        <v>0.54070814162833725</v>
      </c>
    </row>
    <row r="7713" spans="8:11">
      <c r="H7713">
        <f>SMALL(SimData5000!$B$9:$B$5008,2705)</f>
        <v>0.54092289075132527</v>
      </c>
      <c r="I7713">
        <f>1/(COUNT(SimData5000!$B$9:$B$5008)-1)+$I$7712</f>
        <v>0.5409081816363388</v>
      </c>
      <c r="J7713">
        <f>SMALL(SimData5000!$C$9:$C$5008,2705)</f>
        <v>0.54027353523179045</v>
      </c>
      <c r="K7713">
        <f>1/(COUNT(SimData5000!$C$9:$C$5008)-1)+$K$7712</f>
        <v>0.5409081816363388</v>
      </c>
    </row>
    <row r="7714" spans="8:11">
      <c r="H7714">
        <f>SMALL(SimData5000!$B$9:$B$5008,2706)</f>
        <v>0.54109245350051027</v>
      </c>
      <c r="I7714">
        <f>1/(COUNT(SimData5000!$B$9:$B$5008)-1)+$I$7713</f>
        <v>0.54110822164434036</v>
      </c>
      <c r="J7714">
        <f>SMALL(SimData5000!$C$9:$C$5008,2706)</f>
        <v>0.54115331105822406</v>
      </c>
      <c r="K7714">
        <f>1/(COUNT(SimData5000!$C$9:$C$5008)-1)+$K$7713</f>
        <v>0.54110822164434036</v>
      </c>
    </row>
    <row r="7715" spans="8:11">
      <c r="H7715">
        <f>SMALL(SimData5000!$B$9:$B$5008,2707)</f>
        <v>0.54133168178585633</v>
      </c>
      <c r="I7715">
        <f>1/(COUNT(SimData5000!$B$9:$B$5008)-1)+$I$7714</f>
        <v>0.54130826165234192</v>
      </c>
      <c r="J7715">
        <f>SMALL(SimData5000!$C$9:$C$5008,2707)</f>
        <v>0.54150222578482499</v>
      </c>
      <c r="K7715">
        <f>1/(COUNT(SimData5000!$C$9:$C$5008)-1)+$K$7714</f>
        <v>0.54130826165234192</v>
      </c>
    </row>
    <row r="7716" spans="8:11">
      <c r="H7716">
        <f>SMALL(SimData5000!$B$9:$B$5008,2708)</f>
        <v>0.54151170793965264</v>
      </c>
      <c r="I7716">
        <f>1/(COUNT(SimData5000!$B$9:$B$5008)-1)+$I$7715</f>
        <v>0.54150830166034347</v>
      </c>
      <c r="J7716">
        <f>SMALL(SimData5000!$C$9:$C$5008,2708)</f>
        <v>0.54152165471168701</v>
      </c>
      <c r="K7716">
        <f>1/(COUNT(SimData5000!$C$9:$C$5008)-1)+$K$7715</f>
        <v>0.54150830166034347</v>
      </c>
    </row>
    <row r="7717" spans="8:11">
      <c r="H7717">
        <f>SMALL(SimData5000!$B$9:$B$5008,2709)</f>
        <v>0.54160243119499696</v>
      </c>
      <c r="I7717">
        <f>1/(COUNT(SimData5000!$B$9:$B$5008)-1)+$I$7716</f>
        <v>0.54170834166834503</v>
      </c>
      <c r="J7717">
        <f>SMALL(SimData5000!$C$9:$C$5008,2709)</f>
        <v>0.54164096373642678</v>
      </c>
      <c r="K7717">
        <f>1/(COUNT(SimData5000!$C$9:$C$5008)-1)+$K$7716</f>
        <v>0.54170834166834503</v>
      </c>
    </row>
    <row r="7718" spans="8:11">
      <c r="H7718">
        <f>SMALL(SimData5000!$B$9:$B$5008,2710)</f>
        <v>0.54185611959375823</v>
      </c>
      <c r="I7718">
        <f>1/(COUNT(SimData5000!$B$9:$B$5008)-1)+$I$7717</f>
        <v>0.54190838167634658</v>
      </c>
      <c r="J7718">
        <f>SMALL(SimData5000!$C$9:$C$5008,2710)</f>
        <v>0.54188345730563015</v>
      </c>
      <c r="K7718">
        <f>1/(COUNT(SimData5000!$C$9:$C$5008)-1)+$K$7717</f>
        <v>0.54190838167634658</v>
      </c>
    </row>
    <row r="7719" spans="8:11">
      <c r="H7719">
        <f>SMALL(SimData5000!$B$9:$B$5008,2711)</f>
        <v>0.54211451539451128</v>
      </c>
      <c r="I7719">
        <f>1/(COUNT(SimData5000!$B$9:$B$5008)-1)+$I$7718</f>
        <v>0.54210842168434814</v>
      </c>
      <c r="J7719">
        <f>SMALL(SimData5000!$C$9:$C$5008,2711)</f>
        <v>0.54263276202891575</v>
      </c>
      <c r="K7719">
        <f>1/(COUNT(SimData5000!$C$9:$C$5008)-1)+$K$7718</f>
        <v>0.54210842168434814</v>
      </c>
    </row>
    <row r="7720" spans="8:11">
      <c r="H7720">
        <f>SMALL(SimData5000!$B$9:$B$5008,2712)</f>
        <v>0.54222351494613652</v>
      </c>
      <c r="I7720">
        <f>1/(COUNT(SimData5000!$B$9:$B$5008)-1)+$I$7719</f>
        <v>0.5423084616923497</v>
      </c>
      <c r="J7720">
        <f>SMALL(SimData5000!$C$9:$C$5008,2712)</f>
        <v>0.5428184715219686</v>
      </c>
      <c r="K7720">
        <f>1/(COUNT(SimData5000!$C$9:$C$5008)-1)+$K$7719</f>
        <v>0.5423084616923497</v>
      </c>
    </row>
    <row r="7721" spans="8:11">
      <c r="H7721">
        <f>SMALL(SimData5000!$B$9:$B$5008,2713)</f>
        <v>0.54240571330674126</v>
      </c>
      <c r="I7721">
        <f>1/(COUNT(SimData5000!$B$9:$B$5008)-1)+$I$7720</f>
        <v>0.54250850170035125</v>
      </c>
      <c r="J7721">
        <f>SMALL(SimData5000!$C$9:$C$5008,2713)</f>
        <v>0.54282801971839945</v>
      </c>
      <c r="K7721">
        <f>1/(COUNT(SimData5000!$C$9:$C$5008)-1)+$K$7720</f>
        <v>0.54250850170035125</v>
      </c>
    </row>
    <row r="7722" spans="8:11">
      <c r="H7722">
        <f>SMALL(SimData5000!$B$9:$B$5008,2714)</f>
        <v>0.54278423984394975</v>
      </c>
      <c r="I7722">
        <f>1/(COUNT(SimData5000!$B$9:$B$5008)-1)+$I$7721</f>
        <v>0.54270854170835281</v>
      </c>
      <c r="J7722">
        <f>SMALL(SimData5000!$C$9:$C$5008,2714)</f>
        <v>0.54290931350351457</v>
      </c>
      <c r="K7722">
        <f>1/(COUNT(SimData5000!$C$9:$C$5008)-1)+$K$7721</f>
        <v>0.54270854170835281</v>
      </c>
    </row>
    <row r="7723" spans="8:11">
      <c r="H7723">
        <f>SMALL(SimData5000!$B$9:$B$5008,2715)</f>
        <v>0.54297782125179139</v>
      </c>
      <c r="I7723">
        <f>1/(COUNT(SimData5000!$B$9:$B$5008)-1)+$I$7722</f>
        <v>0.54290858171635437</v>
      </c>
      <c r="J7723">
        <f>SMALL(SimData5000!$C$9:$C$5008,2715)</f>
        <v>0.54302059284509596</v>
      </c>
      <c r="K7723">
        <f>1/(COUNT(SimData5000!$C$9:$C$5008)-1)+$K$7722</f>
        <v>0.54290858171635437</v>
      </c>
    </row>
    <row r="7724" spans="8:11">
      <c r="H7724">
        <f>SMALL(SimData5000!$B$9:$B$5008,2716)</f>
        <v>0.5430951526250446</v>
      </c>
      <c r="I7724">
        <f>1/(COUNT(SimData5000!$B$9:$B$5008)-1)+$I$7723</f>
        <v>0.54310862172435592</v>
      </c>
      <c r="J7724">
        <f>SMALL(SimData5000!$C$9:$C$5008,2716)</f>
        <v>0.54309036778522568</v>
      </c>
      <c r="K7724">
        <f>1/(COUNT(SimData5000!$C$9:$C$5008)-1)+$K$7723</f>
        <v>0.54310862172435592</v>
      </c>
    </row>
    <row r="7725" spans="8:11">
      <c r="H7725">
        <f>SMALL(SimData5000!$B$9:$B$5008,2717)</f>
        <v>0.5432491880329906</v>
      </c>
      <c r="I7725">
        <f>1/(COUNT(SimData5000!$B$9:$B$5008)-1)+$I$7724</f>
        <v>0.54330866173235748</v>
      </c>
      <c r="J7725">
        <f>SMALL(SimData5000!$C$9:$C$5008,2717)</f>
        <v>0.54321923145198525</v>
      </c>
      <c r="K7725">
        <f>1/(COUNT(SimData5000!$C$9:$C$5008)-1)+$K$7724</f>
        <v>0.54330866173235748</v>
      </c>
    </row>
    <row r="7726" spans="8:11">
      <c r="H7726">
        <f>SMALL(SimData5000!$B$9:$B$5008,2718)</f>
        <v>0.54344760205653675</v>
      </c>
      <c r="I7726">
        <f>1/(COUNT(SimData5000!$B$9:$B$5008)-1)+$I$7725</f>
        <v>0.54350870174035903</v>
      </c>
      <c r="J7726">
        <f>SMALL(SimData5000!$C$9:$C$5008,2718)</f>
        <v>0.54325978527685947</v>
      </c>
      <c r="K7726">
        <f>1/(COUNT(SimData5000!$C$9:$C$5008)-1)+$K$7725</f>
        <v>0.54350870174035903</v>
      </c>
    </row>
    <row r="7727" spans="8:11">
      <c r="H7727">
        <f>SMALL(SimData5000!$B$9:$B$5008,2719)</f>
        <v>0.54379252156582492</v>
      </c>
      <c r="I7727">
        <f>1/(COUNT(SimData5000!$B$9:$B$5008)-1)+$I$7726</f>
        <v>0.54370874174836059</v>
      </c>
      <c r="J7727">
        <f>SMALL(SimData5000!$C$9:$C$5008,2719)</f>
        <v>0.54337364757338946</v>
      </c>
      <c r="K7727">
        <f>1/(COUNT(SimData5000!$C$9:$C$5008)-1)+$K$7726</f>
        <v>0.54370874174836059</v>
      </c>
    </row>
    <row r="7728" spans="8:11">
      <c r="H7728">
        <f>SMALL(SimData5000!$B$9:$B$5008,2720)</f>
        <v>0.5439084221785675</v>
      </c>
      <c r="I7728">
        <f>1/(COUNT(SimData5000!$B$9:$B$5008)-1)+$I$7727</f>
        <v>0.54390878175636215</v>
      </c>
      <c r="J7728">
        <f>SMALL(SimData5000!$C$9:$C$5008,2720)</f>
        <v>0.54337501210375194</v>
      </c>
      <c r="K7728">
        <f>1/(COUNT(SimData5000!$C$9:$C$5008)-1)+$K$7727</f>
        <v>0.54390878175636215</v>
      </c>
    </row>
    <row r="7729" spans="8:11">
      <c r="H7729">
        <f>SMALL(SimData5000!$B$9:$B$5008,2721)</f>
        <v>0.54416123843881337</v>
      </c>
      <c r="I7729">
        <f>1/(COUNT(SimData5000!$B$9:$B$5008)-1)+$I$7728</f>
        <v>0.5441088217643637</v>
      </c>
      <c r="J7729">
        <f>SMALL(SimData5000!$C$9:$C$5008,2721)</f>
        <v>0.54409416044927639</v>
      </c>
      <c r="K7729">
        <f>1/(COUNT(SimData5000!$C$9:$C$5008)-1)+$K$7728</f>
        <v>0.5441088217643637</v>
      </c>
    </row>
    <row r="7730" spans="8:11">
      <c r="H7730">
        <f>SMALL(SimData5000!$B$9:$B$5008,2722)</f>
        <v>0.54425431478634811</v>
      </c>
      <c r="I7730">
        <f>1/(COUNT(SimData5000!$B$9:$B$5008)-1)+$I$7729</f>
        <v>0.54430886177236526</v>
      </c>
      <c r="J7730">
        <f>SMALL(SimData5000!$C$9:$C$5008,2722)</f>
        <v>0.54422877795877866</v>
      </c>
      <c r="K7730">
        <f>1/(COUNT(SimData5000!$C$9:$C$5008)-1)+$K$7729</f>
        <v>0.54430886177236526</v>
      </c>
    </row>
    <row r="7731" spans="8:11">
      <c r="H7731">
        <f>SMALL(SimData5000!$B$9:$B$5008,2723)</f>
        <v>0.54452877791713195</v>
      </c>
      <c r="I7731">
        <f>1/(COUNT(SimData5000!$B$9:$B$5008)-1)+$I$7730</f>
        <v>0.54450890178036682</v>
      </c>
      <c r="J7731">
        <f>SMALL(SimData5000!$C$9:$C$5008,2723)</f>
        <v>0.54423710814626247</v>
      </c>
      <c r="K7731">
        <f>1/(COUNT(SimData5000!$C$9:$C$5008)-1)+$K$7730</f>
        <v>0.54450890178036682</v>
      </c>
    </row>
    <row r="7732" spans="8:11">
      <c r="H7732">
        <f>SMALL(SimData5000!$B$9:$B$5008,2724)</f>
        <v>0.54463133903872951</v>
      </c>
      <c r="I7732">
        <f>1/(COUNT(SimData5000!$B$9:$B$5008)-1)+$I$7731</f>
        <v>0.54470894178836837</v>
      </c>
      <c r="J7732">
        <f>SMALL(SimData5000!$C$9:$C$5008,2724)</f>
        <v>0.54449180442861689</v>
      </c>
      <c r="K7732">
        <f>1/(COUNT(SimData5000!$C$9:$C$5008)-1)+$K$7731</f>
        <v>0.54470894178836837</v>
      </c>
    </row>
    <row r="7733" spans="8:11">
      <c r="H7733">
        <f>SMALL(SimData5000!$B$9:$B$5008,2725)</f>
        <v>0.54491119203137028</v>
      </c>
      <c r="I7733">
        <f>1/(COUNT(SimData5000!$B$9:$B$5008)-1)+$I$7732</f>
        <v>0.54490898179636993</v>
      </c>
      <c r="J7733">
        <f>SMALL(SimData5000!$C$9:$C$5008,2725)</f>
        <v>0.5452655013605181</v>
      </c>
      <c r="K7733">
        <f>1/(COUNT(SimData5000!$C$9:$C$5008)-1)+$K$7732</f>
        <v>0.54490898179636993</v>
      </c>
    </row>
    <row r="7734" spans="8:11">
      <c r="H7734">
        <f>SMALL(SimData5000!$B$9:$B$5008,2726)</f>
        <v>0.54509552924774951</v>
      </c>
      <c r="I7734">
        <f>1/(COUNT(SimData5000!$B$9:$B$5008)-1)+$I$7733</f>
        <v>0.54510902180437149</v>
      </c>
      <c r="J7734">
        <f>SMALL(SimData5000!$C$9:$C$5008,2726)</f>
        <v>0.54538365695589164</v>
      </c>
      <c r="K7734">
        <f>1/(COUNT(SimData5000!$C$9:$C$5008)-1)+$K$7733</f>
        <v>0.54510902180437149</v>
      </c>
    </row>
    <row r="7735" spans="8:11">
      <c r="H7735">
        <f>SMALL(SimData5000!$B$9:$B$5008,2727)</f>
        <v>0.54528156043055509</v>
      </c>
      <c r="I7735">
        <f>1/(COUNT(SimData5000!$B$9:$B$5008)-1)+$I$7734</f>
        <v>0.54530906181237304</v>
      </c>
      <c r="J7735">
        <f>SMALL(SimData5000!$C$9:$C$5008,2727)</f>
        <v>0.54544137120956293</v>
      </c>
      <c r="K7735">
        <f>1/(COUNT(SimData5000!$C$9:$C$5008)-1)+$K$7734</f>
        <v>0.54530906181237304</v>
      </c>
    </row>
    <row r="7736" spans="8:11">
      <c r="H7736">
        <f>SMALL(SimData5000!$B$9:$B$5008,2728)</f>
        <v>0.54550512751627367</v>
      </c>
      <c r="I7736">
        <f>1/(COUNT(SimData5000!$B$9:$B$5008)-1)+$I$7735</f>
        <v>0.5455091018203746</v>
      </c>
      <c r="J7736">
        <f>SMALL(SimData5000!$C$9:$C$5008,2728)</f>
        <v>0.54603797065283288</v>
      </c>
      <c r="K7736">
        <f>1/(COUNT(SimData5000!$C$9:$C$5008)-1)+$K$7735</f>
        <v>0.5455091018203746</v>
      </c>
    </row>
    <row r="7737" spans="8:11">
      <c r="H7737">
        <f>SMALL(SimData5000!$B$9:$B$5008,2729)</f>
        <v>0.54576467085456593</v>
      </c>
      <c r="I7737">
        <f>1/(COUNT(SimData5000!$B$9:$B$5008)-1)+$I$7736</f>
        <v>0.54570914182837615</v>
      </c>
      <c r="J7737">
        <f>SMALL(SimData5000!$C$9:$C$5008,2729)</f>
        <v>0.54608428392111819</v>
      </c>
      <c r="K7737">
        <f>1/(COUNT(SimData5000!$C$9:$C$5008)-1)+$K$7736</f>
        <v>0.54570914182837615</v>
      </c>
    </row>
    <row r="7738" spans="8:11">
      <c r="H7738">
        <f>SMALL(SimData5000!$B$9:$B$5008,2730)</f>
        <v>0.54596392182371678</v>
      </c>
      <c r="I7738">
        <f>1/(COUNT(SimData5000!$B$9:$B$5008)-1)+$I$7737</f>
        <v>0.54590918183637771</v>
      </c>
      <c r="J7738">
        <f>SMALL(SimData5000!$C$9:$C$5008,2730)</f>
        <v>0.54630326211554348</v>
      </c>
      <c r="K7738">
        <f>1/(COUNT(SimData5000!$C$9:$C$5008)-1)+$K$7737</f>
        <v>0.54590918183637771</v>
      </c>
    </row>
    <row r="7739" spans="8:11">
      <c r="H7739">
        <f>SMALL(SimData5000!$B$9:$B$5008,2731)</f>
        <v>0.54613523278719167</v>
      </c>
      <c r="I7739">
        <f>1/(COUNT(SimData5000!$B$9:$B$5008)-1)+$I$7738</f>
        <v>0.54610922184437927</v>
      </c>
      <c r="J7739">
        <f>SMALL(SimData5000!$C$9:$C$5008,2731)</f>
        <v>0.54658085156188463</v>
      </c>
      <c r="K7739">
        <f>1/(COUNT(SimData5000!$C$9:$C$5008)-1)+$K$7738</f>
        <v>0.54610922184437927</v>
      </c>
    </row>
    <row r="7740" spans="8:11">
      <c r="H7740">
        <f>SMALL(SimData5000!$B$9:$B$5008,2732)</f>
        <v>0.54633897322768787</v>
      </c>
      <c r="I7740">
        <f>1/(COUNT(SimData5000!$B$9:$B$5008)-1)+$I$7739</f>
        <v>0.54630926185238082</v>
      </c>
      <c r="J7740">
        <f>SMALL(SimData5000!$C$9:$C$5008,2732)</f>
        <v>0.54666900093889126</v>
      </c>
      <c r="K7740">
        <f>1/(COUNT(SimData5000!$C$9:$C$5008)-1)+$K$7739</f>
        <v>0.54630926185238082</v>
      </c>
    </row>
    <row r="7741" spans="8:11">
      <c r="H7741">
        <f>SMALL(SimData5000!$B$9:$B$5008,2733)</f>
        <v>0.5465645017978652</v>
      </c>
      <c r="I7741">
        <f>1/(COUNT(SimData5000!$B$9:$B$5008)-1)+$I$7740</f>
        <v>0.54650930186038238</v>
      </c>
      <c r="J7741">
        <f>SMALL(SimData5000!$C$9:$C$5008,2733)</f>
        <v>0.54680006953185512</v>
      </c>
      <c r="K7741">
        <f>1/(COUNT(SimData5000!$C$9:$C$5008)-1)+$K$7740</f>
        <v>0.54650930186038238</v>
      </c>
    </row>
    <row r="7742" spans="8:11">
      <c r="H7742">
        <f>SMALL(SimData5000!$B$9:$B$5008,2734)</f>
        <v>0.5467516891877986</v>
      </c>
      <c r="I7742">
        <f>1/(COUNT(SimData5000!$B$9:$B$5008)-1)+$I$7741</f>
        <v>0.54670934186838394</v>
      </c>
      <c r="J7742">
        <f>SMALL(SimData5000!$C$9:$C$5008,2734)</f>
        <v>0.54714960868295748</v>
      </c>
      <c r="K7742">
        <f>1/(COUNT(SimData5000!$C$9:$C$5008)-1)+$K$7741</f>
        <v>0.54670934186838394</v>
      </c>
    </row>
    <row r="7743" spans="8:11">
      <c r="H7743">
        <f>SMALL(SimData5000!$B$9:$B$5008,2735)</f>
        <v>0.54688867261681906</v>
      </c>
      <c r="I7743">
        <f>1/(COUNT(SimData5000!$B$9:$B$5008)-1)+$I$7742</f>
        <v>0.54690938187638549</v>
      </c>
      <c r="J7743">
        <f>SMALL(SimData5000!$C$9:$C$5008,2735)</f>
        <v>0.5474355383830698</v>
      </c>
      <c r="K7743">
        <f>1/(COUNT(SimData5000!$C$9:$C$5008)-1)+$K$7742</f>
        <v>0.54690938187638549</v>
      </c>
    </row>
    <row r="7744" spans="8:11">
      <c r="H7744">
        <f>SMALL(SimData5000!$B$9:$B$5008,2736)</f>
        <v>0.54711345990647409</v>
      </c>
      <c r="I7744">
        <f>1/(COUNT(SimData5000!$B$9:$B$5008)-1)+$I$7743</f>
        <v>0.54710942188438705</v>
      </c>
      <c r="J7744">
        <f>SMALL(SimData5000!$C$9:$C$5008,2736)</f>
        <v>0.54745901319165569</v>
      </c>
      <c r="K7744">
        <f>1/(COUNT(SimData5000!$C$9:$C$5008)-1)+$K$7743</f>
        <v>0.54710942188438705</v>
      </c>
    </row>
    <row r="7745" spans="8:11">
      <c r="H7745">
        <f>SMALL(SimData5000!$B$9:$B$5008,2737)</f>
        <v>0.54722270319448385</v>
      </c>
      <c r="I7745">
        <f>1/(COUNT(SimData5000!$B$9:$B$5008)-1)+$I$7744</f>
        <v>0.5473094618923886</v>
      </c>
      <c r="J7745">
        <f>SMALL(SimData5000!$C$9:$C$5008,2737)</f>
        <v>0.54756025349161064</v>
      </c>
      <c r="K7745">
        <f>1/(COUNT(SimData5000!$C$9:$C$5008)-1)+$K$7744</f>
        <v>0.5473094618923886</v>
      </c>
    </row>
    <row r="7746" spans="8:11">
      <c r="H7746">
        <f>SMALL(SimData5000!$B$9:$B$5008,2738)</f>
        <v>0.5474159086244218</v>
      </c>
      <c r="I7746">
        <f>1/(COUNT(SimData5000!$B$9:$B$5008)-1)+$I$7745</f>
        <v>0.54750950190039016</v>
      </c>
      <c r="J7746">
        <f>SMALL(SimData5000!$C$9:$C$5008,2738)</f>
        <v>0.54756097897373479</v>
      </c>
      <c r="K7746">
        <f>1/(COUNT(SimData5000!$C$9:$C$5008)-1)+$K$7745</f>
        <v>0.54750950190039016</v>
      </c>
    </row>
    <row r="7747" spans="8:11">
      <c r="H7747">
        <f>SMALL(SimData5000!$B$9:$B$5008,2739)</f>
        <v>0.547687536992153</v>
      </c>
      <c r="I7747">
        <f>1/(COUNT(SimData5000!$B$9:$B$5008)-1)+$I$7746</f>
        <v>0.54770954190839172</v>
      </c>
      <c r="J7747">
        <f>SMALL(SimData5000!$C$9:$C$5008,2739)</f>
        <v>0.54756992921375058</v>
      </c>
      <c r="K7747">
        <f>1/(COUNT(SimData5000!$C$9:$C$5008)-1)+$K$7746</f>
        <v>0.54770954190839172</v>
      </c>
    </row>
    <row r="7748" spans="8:11">
      <c r="H7748">
        <f>SMALL(SimData5000!$B$9:$B$5008,2740)</f>
        <v>0.54796018067820929</v>
      </c>
      <c r="I7748">
        <f>1/(COUNT(SimData5000!$B$9:$B$5008)-1)+$I$7747</f>
        <v>0.54790958191639327</v>
      </c>
      <c r="J7748">
        <f>SMALL(SimData5000!$C$9:$C$5008,2740)</f>
        <v>0.5477681214306358</v>
      </c>
      <c r="K7748">
        <f>1/(COUNT(SimData5000!$C$9:$C$5008)-1)+$K$7747</f>
        <v>0.54790958191639327</v>
      </c>
    </row>
    <row r="7749" spans="8:11">
      <c r="H7749">
        <f>SMALL(SimData5000!$B$9:$B$5008,2741)</f>
        <v>0.54814656316231625</v>
      </c>
      <c r="I7749">
        <f>1/(COUNT(SimData5000!$B$9:$B$5008)-1)+$I$7748</f>
        <v>0.54810962192439483</v>
      </c>
      <c r="J7749">
        <f>SMALL(SimData5000!$C$9:$C$5008,2741)</f>
        <v>0.54793129382690609</v>
      </c>
      <c r="K7749">
        <f>1/(COUNT(SimData5000!$C$9:$C$5008)-1)+$K$7748</f>
        <v>0.54810962192439483</v>
      </c>
    </row>
    <row r="7750" spans="8:11">
      <c r="H7750">
        <f>SMALL(SimData5000!$B$9:$B$5008,2742)</f>
        <v>0.54822297539730158</v>
      </c>
      <c r="I7750">
        <f>1/(COUNT(SimData5000!$B$9:$B$5008)-1)+$I$7749</f>
        <v>0.54830966193239639</v>
      </c>
      <c r="J7750">
        <f>SMALL(SimData5000!$C$9:$C$5008,2742)</f>
        <v>0.5480108211750121</v>
      </c>
      <c r="K7750">
        <f>1/(COUNT(SimData5000!$C$9:$C$5008)-1)+$K$7749</f>
        <v>0.54830966193239639</v>
      </c>
    </row>
    <row r="7751" spans="8:11">
      <c r="H7751">
        <f>SMALL(SimData5000!$B$9:$B$5008,2743)</f>
        <v>0.54840377988843336</v>
      </c>
      <c r="I7751">
        <f>1/(COUNT(SimData5000!$B$9:$B$5008)-1)+$I$7750</f>
        <v>0.54850970194039794</v>
      </c>
      <c r="J7751">
        <f>SMALL(SimData5000!$C$9:$C$5008,2743)</f>
        <v>0.54810426969561377</v>
      </c>
      <c r="K7751">
        <f>1/(COUNT(SimData5000!$C$9:$C$5008)-1)+$K$7750</f>
        <v>0.54850970194039794</v>
      </c>
    </row>
    <row r="7752" spans="8:11">
      <c r="H7752">
        <f>SMALL(SimData5000!$B$9:$B$5008,2744)</f>
        <v>0.54865801727312113</v>
      </c>
      <c r="I7752">
        <f>1/(COUNT(SimData5000!$B$9:$B$5008)-1)+$I$7751</f>
        <v>0.5487097419483995</v>
      </c>
      <c r="J7752">
        <f>SMALL(SimData5000!$C$9:$C$5008,2744)</f>
        <v>0.54815613231858151</v>
      </c>
      <c r="K7752">
        <f>1/(COUNT(SimData5000!$C$9:$C$5008)-1)+$K$7751</f>
        <v>0.5487097419483995</v>
      </c>
    </row>
    <row r="7753" spans="8:11">
      <c r="H7753">
        <f>SMALL(SimData5000!$B$9:$B$5008,2745)</f>
        <v>0.54891959995201778</v>
      </c>
      <c r="I7753">
        <f>1/(COUNT(SimData5000!$B$9:$B$5008)-1)+$I$7752</f>
        <v>0.54890978195640105</v>
      </c>
      <c r="J7753">
        <f>SMALL(SimData5000!$C$9:$C$5008,2745)</f>
        <v>0.54826319384665112</v>
      </c>
      <c r="K7753">
        <f>1/(COUNT(SimData5000!$C$9:$C$5008)-1)+$K$7752</f>
        <v>0.54890978195640105</v>
      </c>
    </row>
    <row r="7754" spans="8:11">
      <c r="H7754">
        <f>SMALL(SimData5000!$B$9:$B$5008,2746)</f>
        <v>0.54912128707969587</v>
      </c>
      <c r="I7754">
        <f>1/(COUNT(SimData5000!$B$9:$B$5008)-1)+$I$7753</f>
        <v>0.54910982196440261</v>
      </c>
      <c r="J7754">
        <f>SMALL(SimData5000!$C$9:$C$5008,2746)</f>
        <v>0.54827145288072643</v>
      </c>
      <c r="K7754">
        <f>1/(COUNT(SimData5000!$C$9:$C$5008)-1)+$K$7753</f>
        <v>0.54910982196440261</v>
      </c>
    </row>
    <row r="7755" spans="8:11">
      <c r="H7755">
        <f>SMALL(SimData5000!$B$9:$B$5008,2747)</f>
        <v>0.54931485183078677</v>
      </c>
      <c r="I7755">
        <f>1/(COUNT(SimData5000!$B$9:$B$5008)-1)+$I$7754</f>
        <v>0.54930986197240417</v>
      </c>
      <c r="J7755">
        <f>SMALL(SimData5000!$C$9:$C$5008,2747)</f>
        <v>0.54830402541847434</v>
      </c>
      <c r="K7755">
        <f>1/(COUNT(SimData5000!$C$9:$C$5008)-1)+$K$7754</f>
        <v>0.54930986197240417</v>
      </c>
    </row>
    <row r="7756" spans="8:11">
      <c r="H7756">
        <f>SMALL(SimData5000!$B$9:$B$5008,2748)</f>
        <v>0.54943456661916212</v>
      </c>
      <c r="I7756">
        <f>1/(COUNT(SimData5000!$B$9:$B$5008)-1)+$I$7755</f>
        <v>0.54950990198040572</v>
      </c>
      <c r="J7756">
        <f>SMALL(SimData5000!$C$9:$C$5008,2748)</f>
        <v>0.5483983798776535</v>
      </c>
      <c r="K7756">
        <f>1/(COUNT(SimData5000!$C$9:$C$5008)-1)+$K$7755</f>
        <v>0.54950990198040572</v>
      </c>
    </row>
    <row r="7757" spans="8:11">
      <c r="H7757">
        <f>SMALL(SimData5000!$B$9:$B$5008,2749)</f>
        <v>0.54966596386229294</v>
      </c>
      <c r="I7757">
        <f>1/(COUNT(SimData5000!$B$9:$B$5008)-1)+$I$7756</f>
        <v>0.54970994198840728</v>
      </c>
      <c r="J7757">
        <f>SMALL(SimData5000!$C$9:$C$5008,2749)</f>
        <v>0.54842647423356539</v>
      </c>
      <c r="K7757">
        <f>1/(COUNT(SimData5000!$C$9:$C$5008)-1)+$K$7756</f>
        <v>0.54970994198840728</v>
      </c>
    </row>
    <row r="7758" spans="8:11">
      <c r="H7758">
        <f>SMALL(SimData5000!$B$9:$B$5008,2750)</f>
        <v>0.54982446600790713</v>
      </c>
      <c r="I7758">
        <f>1/(COUNT(SimData5000!$B$9:$B$5008)-1)+$I$7757</f>
        <v>0.54990998199640884</v>
      </c>
      <c r="J7758">
        <f>SMALL(SimData5000!$C$9:$C$5008,2750)</f>
        <v>0.54852940552427754</v>
      </c>
      <c r="K7758">
        <f>1/(COUNT(SimData5000!$C$9:$C$5008)-1)+$K$7757</f>
        <v>0.54990998199640884</v>
      </c>
    </row>
    <row r="7759" spans="8:11">
      <c r="H7759">
        <f>SMALL(SimData5000!$B$9:$B$5008,2751)</f>
        <v>0.55009685957378174</v>
      </c>
      <c r="I7759">
        <f>1/(COUNT(SimData5000!$B$9:$B$5008)-1)+$I$7758</f>
        <v>0.55011002200441039</v>
      </c>
      <c r="J7759">
        <f>SMALL(SimData5000!$C$9:$C$5008,2751)</f>
        <v>0.54888950686836324</v>
      </c>
      <c r="K7759">
        <f>1/(COUNT(SimData5000!$C$9:$C$5008)-1)+$K$7758</f>
        <v>0.55011002200441039</v>
      </c>
    </row>
    <row r="7760" spans="8:11">
      <c r="H7760">
        <f>SMALL(SimData5000!$B$9:$B$5008,2752)</f>
        <v>0.55034347793225746</v>
      </c>
      <c r="I7760">
        <f>1/(COUNT(SimData5000!$B$9:$B$5008)-1)+$I$7759</f>
        <v>0.55031006201241195</v>
      </c>
      <c r="J7760">
        <f>SMALL(SimData5000!$C$9:$C$5008,2752)</f>
        <v>0.54937185848757508</v>
      </c>
      <c r="K7760">
        <f>1/(COUNT(SimData5000!$C$9:$C$5008)-1)+$K$7759</f>
        <v>0.55031006201241195</v>
      </c>
    </row>
    <row r="7761" spans="8:11">
      <c r="H7761">
        <f>SMALL(SimData5000!$B$9:$B$5008,2753)</f>
        <v>0.5504881958458312</v>
      </c>
      <c r="I7761">
        <f>1/(COUNT(SimData5000!$B$9:$B$5008)-1)+$I$7760</f>
        <v>0.55051010202041351</v>
      </c>
      <c r="J7761">
        <f>SMALL(SimData5000!$C$9:$C$5008,2753)</f>
        <v>0.55006397641230365</v>
      </c>
      <c r="K7761">
        <f>1/(COUNT(SimData5000!$C$9:$C$5008)-1)+$K$7760</f>
        <v>0.55051010202041351</v>
      </c>
    </row>
    <row r="7762" spans="8:11">
      <c r="H7762">
        <f>SMALL(SimData5000!$B$9:$B$5008,2754)</f>
        <v>0.55076353103149767</v>
      </c>
      <c r="I7762">
        <f>1/(COUNT(SimData5000!$B$9:$B$5008)-1)+$I$7761</f>
        <v>0.55071014202841506</v>
      </c>
      <c r="J7762">
        <f>SMALL(SimData5000!$C$9:$C$5008,2754)</f>
        <v>0.55009130010694207</v>
      </c>
      <c r="K7762">
        <f>1/(COUNT(SimData5000!$C$9:$C$5008)-1)+$K$7761</f>
        <v>0.55071014202841506</v>
      </c>
    </row>
    <row r="7763" spans="8:11">
      <c r="H7763">
        <f>SMALL(SimData5000!$B$9:$B$5008,2755)</f>
        <v>0.55097555873887039</v>
      </c>
      <c r="I7763">
        <f>1/(COUNT(SimData5000!$B$9:$B$5008)-1)+$I$7762</f>
        <v>0.55091018203641662</v>
      </c>
      <c r="J7763">
        <f>SMALL(SimData5000!$C$9:$C$5008,2755)</f>
        <v>0.55018419233692839</v>
      </c>
      <c r="K7763">
        <f>1/(COUNT(SimData5000!$C$9:$C$5008)-1)+$K$7762</f>
        <v>0.55091018203641662</v>
      </c>
    </row>
    <row r="7764" spans="8:11">
      <c r="H7764">
        <f>SMALL(SimData5000!$B$9:$B$5008,2756)</f>
        <v>0.55100648157047261</v>
      </c>
      <c r="I7764">
        <f>1/(COUNT(SimData5000!$B$9:$B$5008)-1)+$I$7763</f>
        <v>0.55111022204441817</v>
      </c>
      <c r="J7764">
        <f>SMALL(SimData5000!$C$9:$C$5008,2756)</f>
        <v>0.55082651928751147</v>
      </c>
      <c r="K7764">
        <f>1/(COUNT(SimData5000!$C$9:$C$5008)-1)+$K$7763</f>
        <v>0.55111022204441817</v>
      </c>
    </row>
    <row r="7765" spans="8:11">
      <c r="H7765">
        <f>SMALL(SimData5000!$B$9:$B$5008,2757)</f>
        <v>0.55139537937147431</v>
      </c>
      <c r="I7765">
        <f>1/(COUNT(SimData5000!$B$9:$B$5008)-1)+$I$7764</f>
        <v>0.55131026205241973</v>
      </c>
      <c r="J7765">
        <f>SMALL(SimData5000!$C$9:$C$5008,2757)</f>
        <v>0.55113871606499742</v>
      </c>
      <c r="K7765">
        <f>1/(COUNT(SimData5000!$C$9:$C$5008)-1)+$K$7764</f>
        <v>0.55131026205241973</v>
      </c>
    </row>
    <row r="7766" spans="8:11">
      <c r="H7766">
        <f>SMALL(SimData5000!$B$9:$B$5008,2758)</f>
        <v>0.55158016142211386</v>
      </c>
      <c r="I7766">
        <f>1/(COUNT(SimData5000!$B$9:$B$5008)-1)+$I$7765</f>
        <v>0.55151030206042129</v>
      </c>
      <c r="J7766">
        <f>SMALL(SimData5000!$C$9:$C$5008,2758)</f>
        <v>0.55136672871140036</v>
      </c>
      <c r="K7766">
        <f>1/(COUNT(SimData5000!$C$9:$C$5008)-1)+$K$7765</f>
        <v>0.55151030206042129</v>
      </c>
    </row>
    <row r="7767" spans="8:11">
      <c r="H7767">
        <f>SMALL(SimData5000!$B$9:$B$5008,2759)</f>
        <v>0.55169477333009587</v>
      </c>
      <c r="I7767">
        <f>1/(COUNT(SimData5000!$B$9:$B$5008)-1)+$I$7766</f>
        <v>0.55171034206842284</v>
      </c>
      <c r="J7767">
        <f>SMALL(SimData5000!$C$9:$C$5008,2759)</f>
        <v>0.55138625648578454</v>
      </c>
      <c r="K7767">
        <f>1/(COUNT(SimData5000!$C$9:$C$5008)-1)+$K$7766</f>
        <v>0.55171034206842284</v>
      </c>
    </row>
    <row r="7768" spans="8:11">
      <c r="H7768">
        <f>SMALL(SimData5000!$B$9:$B$5008,2760)</f>
        <v>0.55191199537057245</v>
      </c>
      <c r="I7768">
        <f>1/(COUNT(SimData5000!$B$9:$B$5008)-1)+$I$7767</f>
        <v>0.5519103820764244</v>
      </c>
      <c r="J7768">
        <f>SMALL(SimData5000!$C$9:$C$5008,2760)</f>
        <v>0.55148293861566344</v>
      </c>
      <c r="K7768">
        <f>1/(COUNT(SimData5000!$C$9:$C$5008)-1)+$K$7767</f>
        <v>0.5519103820764244</v>
      </c>
    </row>
    <row r="7769" spans="8:11">
      <c r="H7769">
        <f>SMALL(SimData5000!$B$9:$B$5008,2761)</f>
        <v>0.55202969204164798</v>
      </c>
      <c r="I7769">
        <f>1/(COUNT(SimData5000!$B$9:$B$5008)-1)+$I$7768</f>
        <v>0.55211042208442596</v>
      </c>
      <c r="J7769">
        <f>SMALL(SimData5000!$C$9:$C$5008,2761)</f>
        <v>0.55151134238349186</v>
      </c>
      <c r="K7769">
        <f>1/(COUNT(SimData5000!$C$9:$C$5008)-1)+$K$7768</f>
        <v>0.55211042208442596</v>
      </c>
    </row>
    <row r="7770" spans="8:11">
      <c r="H7770">
        <f>SMALL(SimData5000!$B$9:$B$5008,2762)</f>
        <v>0.55221392613579845</v>
      </c>
      <c r="I7770">
        <f>1/(COUNT(SimData5000!$B$9:$B$5008)-1)+$I$7769</f>
        <v>0.55231046209242751</v>
      </c>
      <c r="J7770">
        <f>SMALL(SimData5000!$C$9:$C$5008,2762)</f>
        <v>0.55158947854943108</v>
      </c>
      <c r="K7770">
        <f>1/(COUNT(SimData5000!$C$9:$C$5008)-1)+$K$7769</f>
        <v>0.55231046209242751</v>
      </c>
    </row>
    <row r="7771" spans="8:11">
      <c r="H7771">
        <f>SMALL(SimData5000!$B$9:$B$5008,2763)</f>
        <v>0.55246298914008374</v>
      </c>
      <c r="I7771">
        <f>1/(COUNT(SimData5000!$B$9:$B$5008)-1)+$I$7770</f>
        <v>0.55251050210042907</v>
      </c>
      <c r="J7771">
        <f>SMALL(SimData5000!$C$9:$C$5008,2763)</f>
        <v>0.55187957594353065</v>
      </c>
      <c r="K7771">
        <f>1/(COUNT(SimData5000!$C$9:$C$5008)-1)+$K$7770</f>
        <v>0.55251050210042907</v>
      </c>
    </row>
    <row r="7772" spans="8:11">
      <c r="H7772">
        <f>SMALL(SimData5000!$B$9:$B$5008,2764)</f>
        <v>0.55279526723497441</v>
      </c>
      <c r="I7772">
        <f>1/(COUNT(SimData5000!$B$9:$B$5008)-1)+$I$7771</f>
        <v>0.55271054210843062</v>
      </c>
      <c r="J7772">
        <f>SMALL(SimData5000!$C$9:$C$5008,2764)</f>
        <v>0.55210808675474254</v>
      </c>
      <c r="K7772">
        <f>1/(COUNT(SimData5000!$C$9:$C$5008)-1)+$K$7771</f>
        <v>0.55271054210843062</v>
      </c>
    </row>
    <row r="7773" spans="8:11">
      <c r="H7773">
        <f>SMALL(SimData5000!$B$9:$B$5008,2765)</f>
        <v>0.55283155505918702</v>
      </c>
      <c r="I7773">
        <f>1/(COUNT(SimData5000!$B$9:$B$5008)-1)+$I$7772</f>
        <v>0.55291058211643218</v>
      </c>
      <c r="J7773">
        <f>SMALL(SimData5000!$C$9:$C$5008,2765)</f>
        <v>0.55233734090415965</v>
      </c>
      <c r="K7773">
        <f>1/(COUNT(SimData5000!$C$9:$C$5008)-1)+$K$7772</f>
        <v>0.55291058211643218</v>
      </c>
    </row>
    <row r="7774" spans="8:11">
      <c r="H7774">
        <f>SMALL(SimData5000!$B$9:$B$5008,2766)</f>
        <v>0.55311454256780312</v>
      </c>
      <c r="I7774">
        <f>1/(COUNT(SimData5000!$B$9:$B$5008)-1)+$I$7773</f>
        <v>0.55311062212443374</v>
      </c>
      <c r="J7774">
        <f>SMALL(SimData5000!$C$9:$C$5008,2766)</f>
        <v>0.55289260746758373</v>
      </c>
      <c r="K7774">
        <f>1/(COUNT(SimData5000!$C$9:$C$5008)-1)+$K$7773</f>
        <v>0.55311062212443374</v>
      </c>
    </row>
    <row r="7775" spans="8:11">
      <c r="H7775">
        <f>SMALL(SimData5000!$B$9:$B$5008,2767)</f>
        <v>0.55328253292704055</v>
      </c>
      <c r="I7775">
        <f>1/(COUNT(SimData5000!$B$9:$B$5008)-1)+$I$7774</f>
        <v>0.55331066213243529</v>
      </c>
      <c r="J7775">
        <f>SMALL(SimData5000!$C$9:$C$5008,2767)</f>
        <v>0.55306087117878633</v>
      </c>
      <c r="K7775">
        <f>1/(COUNT(SimData5000!$C$9:$C$5008)-1)+$K$7774</f>
        <v>0.55331066213243529</v>
      </c>
    </row>
    <row r="7776" spans="8:11">
      <c r="H7776">
        <f>SMALL(SimData5000!$B$9:$B$5008,2768)</f>
        <v>0.55341442085742354</v>
      </c>
      <c r="I7776">
        <f>1/(COUNT(SimData5000!$B$9:$B$5008)-1)+$I$7775</f>
        <v>0.55351070214043685</v>
      </c>
      <c r="J7776">
        <f>SMALL(SimData5000!$C$9:$C$5008,2768)</f>
        <v>0.55310636752983555</v>
      </c>
      <c r="K7776">
        <f>1/(COUNT(SimData5000!$C$9:$C$5008)-1)+$K$7775</f>
        <v>0.55351070214043685</v>
      </c>
    </row>
    <row r="7777" spans="8:11">
      <c r="H7777">
        <f>SMALL(SimData5000!$B$9:$B$5008,2769)</f>
        <v>0.55371222589060476</v>
      </c>
      <c r="I7777">
        <f>1/(COUNT(SimData5000!$B$9:$B$5008)-1)+$I$7776</f>
        <v>0.55371074214843841</v>
      </c>
      <c r="J7777">
        <f>SMALL(SimData5000!$C$9:$C$5008,2769)</f>
        <v>0.55356359256529686</v>
      </c>
      <c r="K7777">
        <f>1/(COUNT(SimData5000!$C$9:$C$5008)-1)+$K$7776</f>
        <v>0.55371074214843841</v>
      </c>
    </row>
    <row r="7778" spans="8:11">
      <c r="H7778">
        <f>SMALL(SimData5000!$B$9:$B$5008,2770)</f>
        <v>0.55396201002899603</v>
      </c>
      <c r="I7778">
        <f>1/(COUNT(SimData5000!$B$9:$B$5008)-1)+$I$7777</f>
        <v>0.55391078215643996</v>
      </c>
      <c r="J7778">
        <f>SMALL(SimData5000!$C$9:$C$5008,2770)</f>
        <v>0.55378593200748583</v>
      </c>
      <c r="K7778">
        <f>1/(COUNT(SimData5000!$C$9:$C$5008)-1)+$K$7777</f>
        <v>0.55391078215643996</v>
      </c>
    </row>
    <row r="7779" spans="8:11">
      <c r="H7779">
        <f>SMALL(SimData5000!$B$9:$B$5008,2771)</f>
        <v>0.55416656939717157</v>
      </c>
      <c r="I7779">
        <f>1/(COUNT(SimData5000!$B$9:$B$5008)-1)+$I$7778</f>
        <v>0.55411082216444152</v>
      </c>
      <c r="J7779">
        <f>SMALL(SimData5000!$C$9:$C$5008,2771)</f>
        <v>0.55412924338725134</v>
      </c>
      <c r="K7779">
        <f>1/(COUNT(SimData5000!$C$9:$C$5008)-1)+$K$7778</f>
        <v>0.55411082216444152</v>
      </c>
    </row>
    <row r="7780" spans="8:11">
      <c r="H7780">
        <f>SMALL(SimData5000!$B$9:$B$5008,2772)</f>
        <v>0.554271471411798</v>
      </c>
      <c r="I7780">
        <f>1/(COUNT(SimData5000!$B$9:$B$5008)-1)+$I$7779</f>
        <v>0.55431086217244308</v>
      </c>
      <c r="J7780">
        <f>SMALL(SimData5000!$C$9:$C$5008,2772)</f>
        <v>0.55419966869430937</v>
      </c>
      <c r="K7780">
        <f>1/(COUNT(SimData5000!$C$9:$C$5008)-1)+$K$7779</f>
        <v>0.55431086217244308</v>
      </c>
    </row>
    <row r="7781" spans="8:11">
      <c r="H7781">
        <f>SMALL(SimData5000!$B$9:$B$5008,2773)</f>
        <v>0.55442958881716009</v>
      </c>
      <c r="I7781">
        <f>1/(COUNT(SimData5000!$B$9:$B$5008)-1)+$I$7780</f>
        <v>0.55451090218044463</v>
      </c>
      <c r="J7781">
        <f>SMALL(SimData5000!$C$9:$C$5008,2773)</f>
        <v>0.55449582887013094</v>
      </c>
      <c r="K7781">
        <f>1/(COUNT(SimData5000!$C$9:$C$5008)-1)+$K$7780</f>
        <v>0.55451090218044463</v>
      </c>
    </row>
    <row r="7782" spans="8:11">
      <c r="H7782">
        <f>SMALL(SimData5000!$B$9:$B$5008,2774)</f>
        <v>0.55468250370684136</v>
      </c>
      <c r="I7782">
        <f>1/(COUNT(SimData5000!$B$9:$B$5008)-1)+$I$7781</f>
        <v>0.55471094218844619</v>
      </c>
      <c r="J7782">
        <f>SMALL(SimData5000!$C$9:$C$5008,2774)</f>
        <v>0.55483967800682876</v>
      </c>
      <c r="K7782">
        <f>1/(COUNT(SimData5000!$C$9:$C$5008)-1)+$K$7781</f>
        <v>0.55471094218844619</v>
      </c>
    </row>
    <row r="7783" spans="8:11">
      <c r="H7783">
        <f>SMALL(SimData5000!$B$9:$B$5008,2775)</f>
        <v>0.55491399700914368</v>
      </c>
      <c r="I7783">
        <f>1/(COUNT(SimData5000!$B$9:$B$5008)-1)+$I$7782</f>
        <v>0.55491098219644774</v>
      </c>
      <c r="J7783">
        <f>SMALL(SimData5000!$C$9:$C$5008,2775)</f>
        <v>0.554966204320408</v>
      </c>
      <c r="K7783">
        <f>1/(COUNT(SimData5000!$C$9:$C$5008)-1)+$K$7782</f>
        <v>0.55491098219644774</v>
      </c>
    </row>
    <row r="7784" spans="8:11">
      <c r="H7784">
        <f>SMALL(SimData5000!$B$9:$B$5008,2776)</f>
        <v>0.55504241731093329</v>
      </c>
      <c r="I7784">
        <f>1/(COUNT(SimData5000!$B$9:$B$5008)-1)+$I$7783</f>
        <v>0.5551110222044493</v>
      </c>
      <c r="J7784">
        <f>SMALL(SimData5000!$C$9:$C$5008,2776)</f>
        <v>0.55522345359531755</v>
      </c>
      <c r="K7784">
        <f>1/(COUNT(SimData5000!$C$9:$C$5008)-1)+$K$7783</f>
        <v>0.5551110222044493</v>
      </c>
    </row>
    <row r="7785" spans="8:11">
      <c r="H7785">
        <f>SMALL(SimData5000!$B$9:$B$5008,2777)</f>
        <v>0.5552523674316826</v>
      </c>
      <c r="I7785">
        <f>1/(COUNT(SimData5000!$B$9:$B$5008)-1)+$I$7784</f>
        <v>0.55531106221245086</v>
      </c>
      <c r="J7785">
        <f>SMALL(SimData5000!$C$9:$C$5008,2777)</f>
        <v>0.55562833396743372</v>
      </c>
      <c r="K7785">
        <f>1/(COUNT(SimData5000!$C$9:$C$5008)-1)+$K$7784</f>
        <v>0.55531106221245086</v>
      </c>
    </row>
    <row r="7786" spans="8:11">
      <c r="H7786">
        <f>SMALL(SimData5000!$B$9:$B$5008,2778)</f>
        <v>0.55549974213105147</v>
      </c>
      <c r="I7786">
        <f>1/(COUNT(SimData5000!$B$9:$B$5008)-1)+$I$7785</f>
        <v>0.55551110222045241</v>
      </c>
      <c r="J7786">
        <f>SMALL(SimData5000!$C$9:$C$5008,2778)</f>
        <v>0.55566313789768174</v>
      </c>
      <c r="K7786">
        <f>1/(COUNT(SimData5000!$C$9:$C$5008)-1)+$K$7785</f>
        <v>0.55551110222045241</v>
      </c>
    </row>
    <row r="7787" spans="8:11">
      <c r="H7787">
        <f>SMALL(SimData5000!$B$9:$B$5008,2779)</f>
        <v>0.5557244634662114</v>
      </c>
      <c r="I7787">
        <f>1/(COUNT(SimData5000!$B$9:$B$5008)-1)+$I$7786</f>
        <v>0.55571114222845397</v>
      </c>
      <c r="J7787">
        <f>SMALL(SimData5000!$C$9:$C$5008,2779)</f>
        <v>0.55567502052781492</v>
      </c>
      <c r="K7787">
        <f>1/(COUNT(SimData5000!$C$9:$C$5008)-1)+$K$7786</f>
        <v>0.55571114222845397</v>
      </c>
    </row>
    <row r="7788" spans="8:11">
      <c r="H7788">
        <f>SMALL(SimData5000!$B$9:$B$5008,2780)</f>
        <v>0.55581654796000024</v>
      </c>
      <c r="I7788">
        <f>1/(COUNT(SimData5000!$B$9:$B$5008)-1)+$I$7787</f>
        <v>0.55591118223645553</v>
      </c>
      <c r="J7788">
        <f>SMALL(SimData5000!$C$9:$C$5008,2780)</f>
        <v>0.55568739260070288</v>
      </c>
      <c r="K7788">
        <f>1/(COUNT(SimData5000!$C$9:$C$5008)-1)+$K$7787</f>
        <v>0.55591118223645553</v>
      </c>
    </row>
    <row r="7789" spans="8:11">
      <c r="H7789">
        <f>SMALL(SimData5000!$B$9:$B$5008,2781)</f>
        <v>0.55608719618392344</v>
      </c>
      <c r="I7789">
        <f>1/(COUNT(SimData5000!$B$9:$B$5008)-1)+$I$7788</f>
        <v>0.55611122224445708</v>
      </c>
      <c r="J7789">
        <f>SMALL(SimData5000!$C$9:$C$5008,2781)</f>
        <v>0.55583441438648151</v>
      </c>
      <c r="K7789">
        <f>1/(COUNT(SimData5000!$C$9:$C$5008)-1)+$K$7788</f>
        <v>0.55611122224445708</v>
      </c>
    </row>
    <row r="7790" spans="8:11">
      <c r="H7790">
        <f>SMALL(SimData5000!$B$9:$B$5008,2782)</f>
        <v>0.55632757913584996</v>
      </c>
      <c r="I7790">
        <f>1/(COUNT(SimData5000!$B$9:$B$5008)-1)+$I$7789</f>
        <v>0.55631126225245864</v>
      </c>
      <c r="J7790">
        <f>SMALL(SimData5000!$C$9:$C$5008,2782)</f>
        <v>0.55592451662414533</v>
      </c>
      <c r="K7790">
        <f>1/(COUNT(SimData5000!$C$9:$C$5008)-1)+$K$7789</f>
        <v>0.55631126225245864</v>
      </c>
    </row>
    <row r="7791" spans="8:11">
      <c r="H7791">
        <f>SMALL(SimData5000!$B$9:$B$5008,2783)</f>
        <v>0.55651582074358963</v>
      </c>
      <c r="I7791">
        <f>1/(COUNT(SimData5000!$B$9:$B$5008)-1)+$I$7790</f>
        <v>0.55651130226046019</v>
      </c>
      <c r="J7791">
        <f>SMALL(SimData5000!$C$9:$C$5008,2783)</f>
        <v>0.55626691534234851</v>
      </c>
      <c r="K7791">
        <f>1/(COUNT(SimData5000!$C$9:$C$5008)-1)+$K$7790</f>
        <v>0.55651130226046019</v>
      </c>
    </row>
    <row r="7792" spans="8:11">
      <c r="H7792">
        <f>SMALL(SimData5000!$B$9:$B$5008,2784)</f>
        <v>0.5567590342898292</v>
      </c>
      <c r="I7792">
        <f>1/(COUNT(SimData5000!$B$9:$B$5008)-1)+$I$7791</f>
        <v>0.55671134226846175</v>
      </c>
      <c r="J7792">
        <f>SMALL(SimData5000!$C$9:$C$5008,2784)</f>
        <v>0.55684972960807499</v>
      </c>
      <c r="K7792">
        <f>1/(COUNT(SimData5000!$C$9:$C$5008)-1)+$K$7791</f>
        <v>0.55671134226846175</v>
      </c>
    </row>
    <row r="7793" spans="8:11">
      <c r="H7793">
        <f>SMALL(SimData5000!$B$9:$B$5008,2785)</f>
        <v>0.55683002687809757</v>
      </c>
      <c r="I7793">
        <f>1/(COUNT(SimData5000!$B$9:$B$5008)-1)+$I$7792</f>
        <v>0.55691138227646331</v>
      </c>
      <c r="J7793">
        <f>SMALL(SimData5000!$C$9:$C$5008,2785)</f>
        <v>0.55691593211486179</v>
      </c>
      <c r="K7793">
        <f>1/(COUNT(SimData5000!$C$9:$C$5008)-1)+$K$7792</f>
        <v>0.55691138227646331</v>
      </c>
    </row>
    <row r="7794" spans="8:11">
      <c r="H7794">
        <f>SMALL(SimData5000!$B$9:$B$5008,2786)</f>
        <v>0.55701361904978142</v>
      </c>
      <c r="I7794">
        <f>1/(COUNT(SimData5000!$B$9:$B$5008)-1)+$I$7793</f>
        <v>0.55711142228446486</v>
      </c>
      <c r="J7794">
        <f>SMALL(SimData5000!$C$9:$C$5008,2786)</f>
        <v>0.55704517567482981</v>
      </c>
      <c r="K7794">
        <f>1/(COUNT(SimData5000!$C$9:$C$5008)-1)+$K$7793</f>
        <v>0.55711142228446486</v>
      </c>
    </row>
    <row r="7795" spans="8:11">
      <c r="H7795">
        <f>SMALL(SimData5000!$B$9:$B$5008,2787)</f>
        <v>0.55734499488830214</v>
      </c>
      <c r="I7795">
        <f>1/(COUNT(SimData5000!$B$9:$B$5008)-1)+$I$7794</f>
        <v>0.55731146229246642</v>
      </c>
      <c r="J7795">
        <f>SMALL(SimData5000!$C$9:$C$5008,2787)</f>
        <v>0.55713473375635658</v>
      </c>
      <c r="K7795">
        <f>1/(COUNT(SimData5000!$C$9:$C$5008)-1)+$K$7794</f>
        <v>0.55731146229246642</v>
      </c>
    </row>
    <row r="7796" spans="8:11">
      <c r="H7796">
        <f>SMALL(SimData5000!$B$9:$B$5008,2788)</f>
        <v>0.55742611165024014</v>
      </c>
      <c r="I7796">
        <f>1/(COUNT(SimData5000!$B$9:$B$5008)-1)+$I$7795</f>
        <v>0.55751150230046798</v>
      </c>
      <c r="J7796">
        <f>SMALL(SimData5000!$C$9:$C$5008,2788)</f>
        <v>0.55762414241780789</v>
      </c>
      <c r="K7796">
        <f>1/(COUNT(SimData5000!$C$9:$C$5008)-1)+$K$7795</f>
        <v>0.55751150230046798</v>
      </c>
    </row>
    <row r="7797" spans="8:11">
      <c r="H7797">
        <f>SMALL(SimData5000!$B$9:$B$5008,2789)</f>
        <v>0.55760999151831725</v>
      </c>
      <c r="I7797">
        <f>1/(COUNT(SimData5000!$B$9:$B$5008)-1)+$I$7796</f>
        <v>0.55771154230846953</v>
      </c>
      <c r="J7797">
        <f>SMALL(SimData5000!$C$9:$C$5008,2789)</f>
        <v>0.55783415031874029</v>
      </c>
      <c r="K7797">
        <f>1/(COUNT(SimData5000!$C$9:$C$5008)-1)+$K$7796</f>
        <v>0.55771154230846953</v>
      </c>
    </row>
    <row r="7798" spans="8:11">
      <c r="H7798">
        <f>SMALL(SimData5000!$B$9:$B$5008,2790)</f>
        <v>0.5579553923521553</v>
      </c>
      <c r="I7798">
        <f>1/(COUNT(SimData5000!$B$9:$B$5008)-1)+$I$7797</f>
        <v>0.55791158231647109</v>
      </c>
      <c r="J7798">
        <f>SMALL(SimData5000!$C$9:$C$5008,2790)</f>
        <v>0.55805716883696732</v>
      </c>
      <c r="K7798">
        <f>1/(COUNT(SimData5000!$C$9:$C$5008)-1)+$K$7797</f>
        <v>0.55791158231647109</v>
      </c>
    </row>
    <row r="7799" spans="8:11">
      <c r="H7799">
        <f>SMALL(SimData5000!$B$9:$B$5008,2791)</f>
        <v>0.5581027021948487</v>
      </c>
      <c r="I7799">
        <f>1/(COUNT(SimData5000!$B$9:$B$5008)-1)+$I$7798</f>
        <v>0.55811162232447264</v>
      </c>
      <c r="J7799">
        <f>SMALL(SimData5000!$C$9:$C$5008,2791)</f>
        <v>0.55829765318503632</v>
      </c>
      <c r="K7799">
        <f>1/(COUNT(SimData5000!$C$9:$C$5008)-1)+$K$7798</f>
        <v>0.55811162232447264</v>
      </c>
    </row>
    <row r="7800" spans="8:11">
      <c r="H7800">
        <f>SMALL(SimData5000!$B$9:$B$5008,2792)</f>
        <v>0.5582611157744799</v>
      </c>
      <c r="I7800">
        <f>1/(COUNT(SimData5000!$B$9:$B$5008)-1)+$I$7799</f>
        <v>0.5583116623324742</v>
      </c>
      <c r="J7800">
        <f>SMALL(SimData5000!$C$9:$C$5008,2792)</f>
        <v>0.55832551232015248</v>
      </c>
      <c r="K7800">
        <f>1/(COUNT(SimData5000!$C$9:$C$5008)-1)+$K$7799</f>
        <v>0.5583116623324742</v>
      </c>
    </row>
    <row r="7801" spans="8:11">
      <c r="H7801">
        <f>SMALL(SimData5000!$B$9:$B$5008,2793)</f>
        <v>0.55846243670439877</v>
      </c>
      <c r="I7801">
        <f>1/(COUNT(SimData5000!$B$9:$B$5008)-1)+$I$7800</f>
        <v>0.55851170234047576</v>
      </c>
      <c r="J7801">
        <f>SMALL(SimData5000!$C$9:$C$5008,2793)</f>
        <v>0.55855521740795666</v>
      </c>
      <c r="K7801">
        <f>1/(COUNT(SimData5000!$C$9:$C$5008)-1)+$K$7800</f>
        <v>0.55851170234047576</v>
      </c>
    </row>
    <row r="7802" spans="8:11">
      <c r="H7802">
        <f>SMALL(SimData5000!$B$9:$B$5008,2794)</f>
        <v>0.55863882084242966</v>
      </c>
      <c r="I7802">
        <f>1/(COUNT(SimData5000!$B$9:$B$5008)-1)+$I$7801</f>
        <v>0.55871174234847731</v>
      </c>
      <c r="J7802">
        <f>SMALL(SimData5000!$C$9:$C$5008,2794)</f>
        <v>0.5589154053841412</v>
      </c>
      <c r="K7802">
        <f>1/(COUNT(SimData5000!$C$9:$C$5008)-1)+$K$7801</f>
        <v>0.55871174234847731</v>
      </c>
    </row>
    <row r="7803" spans="8:11">
      <c r="H7803">
        <f>SMALL(SimData5000!$B$9:$B$5008,2795)</f>
        <v>0.55898819928336618</v>
      </c>
      <c r="I7803">
        <f>1/(COUNT(SimData5000!$B$9:$B$5008)-1)+$I$7802</f>
        <v>0.55891178235647887</v>
      </c>
      <c r="J7803">
        <f>SMALL(SimData5000!$C$9:$C$5008,2795)</f>
        <v>0.55895638383029222</v>
      </c>
      <c r="K7803">
        <f>1/(COUNT(SimData5000!$C$9:$C$5008)-1)+$K$7802</f>
        <v>0.55891178235647887</v>
      </c>
    </row>
    <row r="7804" spans="8:11">
      <c r="H7804">
        <f>SMALL(SimData5000!$B$9:$B$5008,2796)</f>
        <v>0.55907660613508814</v>
      </c>
      <c r="I7804">
        <f>1/(COUNT(SimData5000!$B$9:$B$5008)-1)+$I$7803</f>
        <v>0.55911182236448043</v>
      </c>
      <c r="J7804">
        <f>SMALL(SimData5000!$C$9:$C$5008,2796)</f>
        <v>0.5595095110420516</v>
      </c>
      <c r="K7804">
        <f>1/(COUNT(SimData5000!$C$9:$C$5008)-1)+$K$7803</f>
        <v>0.55911182236448043</v>
      </c>
    </row>
    <row r="7805" spans="8:11">
      <c r="H7805">
        <f>SMALL(SimData5000!$B$9:$B$5008,2797)</f>
        <v>0.55925082824645811</v>
      </c>
      <c r="I7805">
        <f>1/(COUNT(SimData5000!$B$9:$B$5008)-1)+$I$7804</f>
        <v>0.55931186237248198</v>
      </c>
      <c r="J7805">
        <f>SMALL(SimData5000!$C$9:$C$5008,2797)</f>
        <v>0.55976869211372104</v>
      </c>
      <c r="K7805">
        <f>1/(COUNT(SimData5000!$C$9:$C$5008)-1)+$K$7804</f>
        <v>0.55931186237248198</v>
      </c>
    </row>
    <row r="7806" spans="8:11">
      <c r="H7806">
        <f>SMALL(SimData5000!$B$9:$B$5008,2798)</f>
        <v>0.55948717131160364</v>
      </c>
      <c r="I7806">
        <f>1/(COUNT(SimData5000!$B$9:$B$5008)-1)+$I$7805</f>
        <v>0.55951190238048354</v>
      </c>
      <c r="J7806">
        <f>SMALL(SimData5000!$C$9:$C$5008,2798)</f>
        <v>0.55988095999236975</v>
      </c>
      <c r="K7806">
        <f>1/(COUNT(SimData5000!$C$9:$C$5008)-1)+$K$7805</f>
        <v>0.55951190238048354</v>
      </c>
    </row>
    <row r="7807" spans="8:11">
      <c r="H7807">
        <f>SMALL(SimData5000!$B$9:$B$5008,2799)</f>
        <v>0.55972041750897661</v>
      </c>
      <c r="I7807">
        <f>1/(COUNT(SimData5000!$B$9:$B$5008)-1)+$I$7806</f>
        <v>0.5597119423884851</v>
      </c>
      <c r="J7807">
        <f>SMALL(SimData5000!$C$9:$C$5008,2799)</f>
        <v>0.55988985445765138</v>
      </c>
      <c r="K7807">
        <f>1/(COUNT(SimData5000!$C$9:$C$5008)-1)+$K$7806</f>
        <v>0.5597119423884851</v>
      </c>
    </row>
    <row r="7808" spans="8:11">
      <c r="H7808">
        <f>SMALL(SimData5000!$B$9:$B$5008,2800)</f>
        <v>0.55985504201083791</v>
      </c>
      <c r="I7808">
        <f>1/(COUNT(SimData5000!$B$9:$B$5008)-1)+$I$7807</f>
        <v>0.55991198239648665</v>
      </c>
      <c r="J7808">
        <f>SMALL(SimData5000!$C$9:$C$5008,2800)</f>
        <v>0.5603183315070055</v>
      </c>
      <c r="K7808">
        <f>1/(COUNT(SimData5000!$C$9:$C$5008)-1)+$K$7807</f>
        <v>0.55991198239648665</v>
      </c>
    </row>
    <row r="7809" spans="8:11">
      <c r="H7809">
        <f>SMALL(SimData5000!$B$9:$B$5008,2801)</f>
        <v>0.5600040347379176</v>
      </c>
      <c r="I7809">
        <f>1/(COUNT(SimData5000!$B$9:$B$5008)-1)+$I$7808</f>
        <v>0.56011202240448821</v>
      </c>
      <c r="J7809">
        <f>SMALL(SimData5000!$C$9:$C$5008,2801)</f>
        <v>0.56047434501124371</v>
      </c>
      <c r="K7809">
        <f>1/(COUNT(SimData5000!$C$9:$C$5008)-1)+$K$7808</f>
        <v>0.56011202240448821</v>
      </c>
    </row>
    <row r="7810" spans="8:11">
      <c r="H7810">
        <f>SMALL(SimData5000!$B$9:$B$5008,2802)</f>
        <v>0.56020106161041217</v>
      </c>
      <c r="I7810">
        <f>1/(COUNT(SimData5000!$B$9:$B$5008)-1)+$I$7809</f>
        <v>0.56031206241248976</v>
      </c>
      <c r="J7810">
        <f>SMALL(SimData5000!$C$9:$C$5008,2802)</f>
        <v>0.56069833392484725</v>
      </c>
      <c r="K7810">
        <f>1/(COUNT(SimData5000!$C$9:$C$5008)-1)+$K$7809</f>
        <v>0.56031206241248976</v>
      </c>
    </row>
    <row r="7811" spans="8:11">
      <c r="H7811">
        <f>SMALL(SimData5000!$B$9:$B$5008,2803)</f>
        <v>0.56048225779945082</v>
      </c>
      <c r="I7811">
        <f>1/(COUNT(SimData5000!$B$9:$B$5008)-1)+$I$7810</f>
        <v>0.56051210242049132</v>
      </c>
      <c r="J7811">
        <f>SMALL(SimData5000!$C$9:$C$5008,2803)</f>
        <v>0.56073083781393507</v>
      </c>
      <c r="K7811">
        <f>1/(COUNT(SimData5000!$C$9:$C$5008)-1)+$K$7810</f>
        <v>0.56051210242049132</v>
      </c>
    </row>
    <row r="7812" spans="8:11">
      <c r="H7812">
        <f>SMALL(SimData5000!$B$9:$B$5008,2804)</f>
        <v>0.56063159104814553</v>
      </c>
      <c r="I7812">
        <f>1/(COUNT(SimData5000!$B$9:$B$5008)-1)+$I$7811</f>
        <v>0.56071214242849288</v>
      </c>
      <c r="J7812">
        <f>SMALL(SimData5000!$C$9:$C$5008,2804)</f>
        <v>0.56082607488860958</v>
      </c>
      <c r="K7812">
        <f>1/(COUNT(SimData5000!$C$9:$C$5008)-1)+$K$7811</f>
        <v>0.56071214242849288</v>
      </c>
    </row>
    <row r="7813" spans="8:11">
      <c r="H7813">
        <f>SMALL(SimData5000!$B$9:$B$5008,2805)</f>
        <v>0.56098577868621469</v>
      </c>
      <c r="I7813">
        <f>1/(COUNT(SimData5000!$B$9:$B$5008)-1)+$I$7812</f>
        <v>0.56091218243649443</v>
      </c>
      <c r="J7813">
        <f>SMALL(SimData5000!$C$9:$C$5008,2805)</f>
        <v>0.56085341631023766</v>
      </c>
      <c r="K7813">
        <f>1/(COUNT(SimData5000!$C$9:$C$5008)-1)+$K$7812</f>
        <v>0.56091218243649443</v>
      </c>
    </row>
    <row r="7814" spans="8:11">
      <c r="H7814">
        <f>SMALL(SimData5000!$B$9:$B$5008,2806)</f>
        <v>0.56101952456604209</v>
      </c>
      <c r="I7814">
        <f>1/(COUNT(SimData5000!$B$9:$B$5008)-1)+$I$7813</f>
        <v>0.56111222244449599</v>
      </c>
      <c r="J7814">
        <f>SMALL(SimData5000!$C$9:$C$5008,2806)</f>
        <v>0.56109758331695048</v>
      </c>
      <c r="K7814">
        <f>1/(COUNT(SimData5000!$C$9:$C$5008)-1)+$K$7813</f>
        <v>0.56111222244449599</v>
      </c>
    </row>
    <row r="7815" spans="8:11">
      <c r="H7815">
        <f>SMALL(SimData5000!$B$9:$B$5008,2807)</f>
        <v>0.56128727642066945</v>
      </c>
      <c r="I7815">
        <f>1/(COUNT(SimData5000!$B$9:$B$5008)-1)+$I$7814</f>
        <v>0.56131226245249755</v>
      </c>
      <c r="J7815">
        <f>SMALL(SimData5000!$C$9:$C$5008,2807)</f>
        <v>0.56143718603289017</v>
      </c>
      <c r="K7815">
        <f>1/(COUNT(SimData5000!$C$9:$C$5008)-1)+$K$7814</f>
        <v>0.56131226245249755</v>
      </c>
    </row>
    <row r="7816" spans="8:11">
      <c r="H7816">
        <f>SMALL(SimData5000!$B$9:$B$5008,2808)</f>
        <v>0.56146112877010856</v>
      </c>
      <c r="I7816">
        <f>1/(COUNT(SimData5000!$B$9:$B$5008)-1)+$I$7815</f>
        <v>0.5615123024604991</v>
      </c>
      <c r="J7816">
        <f>SMALL(SimData5000!$C$9:$C$5008,2808)</f>
        <v>0.56171373194047192</v>
      </c>
      <c r="K7816">
        <f>1/(COUNT(SimData5000!$C$9:$C$5008)-1)+$K$7815</f>
        <v>0.5615123024604991</v>
      </c>
    </row>
    <row r="7817" spans="8:11">
      <c r="H7817">
        <f>SMALL(SimData5000!$B$9:$B$5008,2809)</f>
        <v>0.56168459769861878</v>
      </c>
      <c r="I7817">
        <f>1/(COUNT(SimData5000!$B$9:$B$5008)-1)+$I$7816</f>
        <v>0.56171234246850066</v>
      </c>
      <c r="J7817">
        <f>SMALL(SimData5000!$C$9:$C$5008,2809)</f>
        <v>0.56183967153720005</v>
      </c>
      <c r="K7817">
        <f>1/(COUNT(SimData5000!$C$9:$C$5008)-1)+$K$7816</f>
        <v>0.56171234246850066</v>
      </c>
    </row>
    <row r="7818" spans="8:11">
      <c r="H7818">
        <f>SMALL(SimData5000!$B$9:$B$5008,2810)</f>
        <v>0.5618657311172377</v>
      </c>
      <c r="I7818">
        <f>1/(COUNT(SimData5000!$B$9:$B$5008)-1)+$I$7817</f>
        <v>0.56191238247650221</v>
      </c>
      <c r="J7818">
        <f>SMALL(SimData5000!$C$9:$C$5008,2810)</f>
        <v>0.56192948943498777</v>
      </c>
      <c r="K7818">
        <f>1/(COUNT(SimData5000!$C$9:$C$5008)-1)+$K$7817</f>
        <v>0.56191238247650221</v>
      </c>
    </row>
    <row r="7819" spans="8:11">
      <c r="H7819">
        <f>SMALL(SimData5000!$B$9:$B$5008,2811)</f>
        <v>0.56217499381782832</v>
      </c>
      <c r="I7819">
        <f>1/(COUNT(SimData5000!$B$9:$B$5008)-1)+$I$7818</f>
        <v>0.56211242248450377</v>
      </c>
      <c r="J7819">
        <f>SMALL(SimData5000!$C$9:$C$5008,2811)</f>
        <v>0.56210830407417234</v>
      </c>
      <c r="K7819">
        <f>1/(COUNT(SimData5000!$C$9:$C$5008)-1)+$K$7818</f>
        <v>0.56211242248450377</v>
      </c>
    </row>
    <row r="7820" spans="8:11">
      <c r="H7820">
        <f>SMALL(SimData5000!$B$9:$B$5008,2812)</f>
        <v>0.56238430753158974</v>
      </c>
      <c r="I7820">
        <f>1/(COUNT(SimData5000!$B$9:$B$5008)-1)+$I$7819</f>
        <v>0.56231246249250533</v>
      </c>
      <c r="J7820">
        <f>SMALL(SimData5000!$C$9:$C$5008,2812)</f>
        <v>0.56251583134780958</v>
      </c>
      <c r="K7820">
        <f>1/(COUNT(SimData5000!$C$9:$C$5008)-1)+$K$7819</f>
        <v>0.56231246249250533</v>
      </c>
    </row>
    <row r="7821" spans="8:11">
      <c r="H7821">
        <f>SMALL(SimData5000!$B$9:$B$5008,2813)</f>
        <v>0.56255807984754402</v>
      </c>
      <c r="I7821">
        <f>1/(COUNT(SimData5000!$B$9:$B$5008)-1)+$I$7820</f>
        <v>0.56251250250050688</v>
      </c>
      <c r="J7821">
        <f>SMALL(SimData5000!$C$9:$C$5008,2813)</f>
        <v>0.56276372065258329</v>
      </c>
      <c r="K7821">
        <f>1/(COUNT(SimData5000!$C$9:$C$5008)-1)+$K$7820</f>
        <v>0.56251250250050688</v>
      </c>
    </row>
    <row r="7822" spans="8:11">
      <c r="H7822">
        <f>SMALL(SimData5000!$B$9:$B$5008,2814)</f>
        <v>0.56265237912611388</v>
      </c>
      <c r="I7822">
        <f>1/(COUNT(SimData5000!$B$9:$B$5008)-1)+$I$7821</f>
        <v>0.56271254250850844</v>
      </c>
      <c r="J7822">
        <f>SMALL(SimData5000!$C$9:$C$5008,2814)</f>
        <v>0.56283868515492941</v>
      </c>
      <c r="K7822">
        <f>1/(COUNT(SimData5000!$C$9:$C$5008)-1)+$K$7821</f>
        <v>0.56271254250850844</v>
      </c>
    </row>
    <row r="7823" spans="8:11">
      <c r="H7823">
        <f>SMALL(SimData5000!$B$9:$B$5008,2815)</f>
        <v>0.56299099957565568</v>
      </c>
      <c r="I7823">
        <f>1/(COUNT(SimData5000!$B$9:$B$5008)-1)+$I$7822</f>
        <v>0.56291258251651</v>
      </c>
      <c r="J7823">
        <f>SMALL(SimData5000!$C$9:$C$5008,2815)</f>
        <v>0.56285554617352318</v>
      </c>
      <c r="K7823">
        <f>1/(COUNT(SimData5000!$C$9:$C$5008)-1)+$K$7822</f>
        <v>0.56291258251651</v>
      </c>
    </row>
    <row r="7824" spans="8:11">
      <c r="H7824">
        <f>SMALL(SimData5000!$B$9:$B$5008,2816)</f>
        <v>0.5630426513205381</v>
      </c>
      <c r="I7824">
        <f>1/(COUNT(SimData5000!$B$9:$B$5008)-1)+$I$7823</f>
        <v>0.56311262252451155</v>
      </c>
      <c r="J7824">
        <f>SMALL(SimData5000!$C$9:$C$5008,2816)</f>
        <v>0.56298773848266137</v>
      </c>
      <c r="K7824">
        <f>1/(COUNT(SimData5000!$C$9:$C$5008)-1)+$K$7823</f>
        <v>0.56311262252451155</v>
      </c>
    </row>
    <row r="7825" spans="8:11">
      <c r="H7825">
        <f>SMALL(SimData5000!$B$9:$B$5008,2817)</f>
        <v>0.56328662151863951</v>
      </c>
      <c r="I7825">
        <f>1/(COUNT(SimData5000!$B$9:$B$5008)-1)+$I$7824</f>
        <v>0.56331266253251311</v>
      </c>
      <c r="J7825">
        <f>SMALL(SimData5000!$C$9:$C$5008,2817)</f>
        <v>0.56367821195271972</v>
      </c>
      <c r="K7825">
        <f>1/(COUNT(SimData5000!$C$9:$C$5008)-1)+$K$7824</f>
        <v>0.56331266253251311</v>
      </c>
    </row>
    <row r="7826" spans="8:11">
      <c r="H7826">
        <f>SMALL(SimData5000!$B$9:$B$5008,2818)</f>
        <v>0.56356775654637437</v>
      </c>
      <c r="I7826">
        <f>1/(COUNT(SimData5000!$B$9:$B$5008)-1)+$I$7825</f>
        <v>0.56351270254051467</v>
      </c>
      <c r="J7826">
        <f>SMALL(SimData5000!$C$9:$C$5008,2818)</f>
        <v>0.56371296426732442</v>
      </c>
      <c r="K7826">
        <f>1/(COUNT(SimData5000!$C$9:$C$5008)-1)+$K$7825</f>
        <v>0.56351270254051467</v>
      </c>
    </row>
    <row r="7827" spans="8:11">
      <c r="H7827">
        <f>SMALL(SimData5000!$B$9:$B$5008,2819)</f>
        <v>0.56362283033682559</v>
      </c>
      <c r="I7827">
        <f>1/(COUNT(SimData5000!$B$9:$B$5008)-1)+$I$7826</f>
        <v>0.56371274254851622</v>
      </c>
      <c r="J7827">
        <f>SMALL(SimData5000!$C$9:$C$5008,2819)</f>
        <v>0.56382995858621143</v>
      </c>
      <c r="K7827">
        <f>1/(COUNT(SimData5000!$C$9:$C$5008)-1)+$K$7826</f>
        <v>0.56371274254851622</v>
      </c>
    </row>
    <row r="7828" spans="8:11">
      <c r="H7828">
        <f>SMALL(SimData5000!$B$9:$B$5008,2820)</f>
        <v>0.56392214509568228</v>
      </c>
      <c r="I7828">
        <f>1/(COUNT(SimData5000!$B$9:$B$5008)-1)+$I$7827</f>
        <v>0.56391278255651778</v>
      </c>
      <c r="J7828">
        <f>SMALL(SimData5000!$C$9:$C$5008,2820)</f>
        <v>0.56394303170600324</v>
      </c>
      <c r="K7828">
        <f>1/(COUNT(SimData5000!$C$9:$C$5008)-1)+$K$7827</f>
        <v>0.56391278255651778</v>
      </c>
    </row>
    <row r="7829" spans="8:11">
      <c r="H7829">
        <f>SMALL(SimData5000!$B$9:$B$5008,2821)</f>
        <v>0.56404840740939799</v>
      </c>
      <c r="I7829">
        <f>1/(COUNT(SimData5000!$B$9:$B$5008)-1)+$I$7828</f>
        <v>0.56411282256451933</v>
      </c>
      <c r="J7829">
        <f>SMALL(SimData5000!$C$9:$C$5008,2821)</f>
        <v>0.56400251069953811</v>
      </c>
      <c r="K7829">
        <f>1/(COUNT(SimData5000!$C$9:$C$5008)-1)+$K$7828</f>
        <v>0.56411282256451933</v>
      </c>
    </row>
    <row r="7830" spans="8:11">
      <c r="H7830">
        <f>SMALL(SimData5000!$B$9:$B$5008,2822)</f>
        <v>0.56433075397944332</v>
      </c>
      <c r="I7830">
        <f>1/(COUNT(SimData5000!$B$9:$B$5008)-1)+$I$7829</f>
        <v>0.56431286257252089</v>
      </c>
      <c r="J7830">
        <f>SMALL(SimData5000!$C$9:$C$5008,2822)</f>
        <v>0.56404960104555357</v>
      </c>
      <c r="K7830">
        <f>1/(COUNT(SimData5000!$C$9:$C$5008)-1)+$K$7829</f>
        <v>0.56431286257252089</v>
      </c>
    </row>
    <row r="7831" spans="8:11">
      <c r="H7831">
        <f>SMALL(SimData5000!$B$9:$B$5008,2823)</f>
        <v>0.56454596094790521</v>
      </c>
      <c r="I7831">
        <f>1/(COUNT(SimData5000!$B$9:$B$5008)-1)+$I$7830</f>
        <v>0.56451290258052245</v>
      </c>
      <c r="J7831">
        <f>SMALL(SimData5000!$C$9:$C$5008,2823)</f>
        <v>0.56409739100217848</v>
      </c>
      <c r="K7831">
        <f>1/(COUNT(SimData5000!$C$9:$C$5008)-1)+$K$7830</f>
        <v>0.56451290258052245</v>
      </c>
    </row>
    <row r="7832" spans="8:11">
      <c r="H7832">
        <f>SMALL(SimData5000!$B$9:$B$5008,2824)</f>
        <v>0.5646704096542835</v>
      </c>
      <c r="I7832">
        <f>1/(COUNT(SimData5000!$B$9:$B$5008)-1)+$I$7831</f>
        <v>0.564712942588524</v>
      </c>
      <c r="J7832">
        <f>SMALL(SimData5000!$C$9:$C$5008,2824)</f>
        <v>0.56426082267171296</v>
      </c>
      <c r="K7832">
        <f>1/(COUNT(SimData5000!$C$9:$C$5008)-1)+$K$7831</f>
        <v>0.564712942588524</v>
      </c>
    </row>
    <row r="7833" spans="8:11">
      <c r="H7833">
        <f>SMALL(SimData5000!$B$9:$B$5008,2825)</f>
        <v>0.56482903782069427</v>
      </c>
      <c r="I7833">
        <f>1/(COUNT(SimData5000!$B$9:$B$5008)-1)+$I$7832</f>
        <v>0.56491298259652556</v>
      </c>
      <c r="J7833">
        <f>SMALL(SimData5000!$C$9:$C$5008,2825)</f>
        <v>0.56467581708238868</v>
      </c>
      <c r="K7833">
        <f>1/(COUNT(SimData5000!$C$9:$C$5008)-1)+$K$7832</f>
        <v>0.56491298259652556</v>
      </c>
    </row>
    <row r="7834" spans="8:11">
      <c r="H7834">
        <f>SMALL(SimData5000!$B$9:$B$5008,2826)</f>
        <v>0.5650998305163113</v>
      </c>
      <c r="I7834">
        <f>1/(COUNT(SimData5000!$B$9:$B$5008)-1)+$I$7833</f>
        <v>0.56511302260452712</v>
      </c>
      <c r="J7834">
        <f>SMALL(SimData5000!$C$9:$C$5008,2826)</f>
        <v>0.56481011770938494</v>
      </c>
      <c r="K7834">
        <f>1/(COUNT(SimData5000!$C$9:$C$5008)-1)+$K$7833</f>
        <v>0.56511302260452712</v>
      </c>
    </row>
    <row r="7835" spans="8:11">
      <c r="H7835">
        <f>SMALL(SimData5000!$B$9:$B$5008,2827)</f>
        <v>0.56529696072086155</v>
      </c>
      <c r="I7835">
        <f>1/(COUNT(SimData5000!$B$9:$B$5008)-1)+$I$7834</f>
        <v>0.56531306261252867</v>
      </c>
      <c r="J7835">
        <f>SMALL(SimData5000!$C$9:$C$5008,2827)</f>
        <v>0.56482290662006562</v>
      </c>
      <c r="K7835">
        <f>1/(COUNT(SimData5000!$C$9:$C$5008)-1)+$K$7834</f>
        <v>0.56531306261252867</v>
      </c>
    </row>
    <row r="7836" spans="8:11">
      <c r="H7836">
        <f>SMALL(SimData5000!$B$9:$B$5008,2828)</f>
        <v>0.56546315809359382</v>
      </c>
      <c r="I7836">
        <f>1/(COUNT(SimData5000!$B$9:$B$5008)-1)+$I$7835</f>
        <v>0.56551310262053023</v>
      </c>
      <c r="J7836">
        <f>SMALL(SimData5000!$C$9:$C$5008,2828)</f>
        <v>0.56483600286446745</v>
      </c>
      <c r="K7836">
        <f>1/(COUNT(SimData5000!$C$9:$C$5008)-1)+$K$7835</f>
        <v>0.56551310262053023</v>
      </c>
    </row>
    <row r="7837" spans="8:11">
      <c r="H7837">
        <f>SMALL(SimData5000!$B$9:$B$5008,2829)</f>
        <v>0.56579306176188238</v>
      </c>
      <c r="I7837">
        <f>1/(COUNT(SimData5000!$B$9:$B$5008)-1)+$I$7836</f>
        <v>0.56571314262853178</v>
      </c>
      <c r="J7837">
        <f>SMALL(SimData5000!$C$9:$C$5008,2829)</f>
        <v>0.56487696022486489</v>
      </c>
      <c r="K7837">
        <f>1/(COUNT(SimData5000!$C$9:$C$5008)-1)+$K$7836</f>
        <v>0.56571314262853178</v>
      </c>
    </row>
    <row r="7838" spans="8:11">
      <c r="H7838">
        <f>SMALL(SimData5000!$B$9:$B$5008,2830)</f>
        <v>0.56583282906935384</v>
      </c>
      <c r="I7838">
        <f>1/(COUNT(SimData5000!$B$9:$B$5008)-1)+$I$7837</f>
        <v>0.56591318263653334</v>
      </c>
      <c r="J7838">
        <f>SMALL(SimData5000!$C$9:$C$5008,2830)</f>
        <v>0.56542381881445181</v>
      </c>
      <c r="K7838">
        <f>1/(COUNT(SimData5000!$C$9:$C$5008)-1)+$K$7837</f>
        <v>0.56591318263653334</v>
      </c>
    </row>
    <row r="7839" spans="8:11">
      <c r="H7839">
        <f>SMALL(SimData5000!$B$9:$B$5008,2831)</f>
        <v>0.5660100370849972</v>
      </c>
      <c r="I7839">
        <f>1/(COUNT(SimData5000!$B$9:$B$5008)-1)+$I$7838</f>
        <v>0.5661132226445349</v>
      </c>
      <c r="J7839">
        <f>SMALL(SimData5000!$C$9:$C$5008,2831)</f>
        <v>0.56542582192378177</v>
      </c>
      <c r="K7839">
        <f>1/(COUNT(SimData5000!$C$9:$C$5008)-1)+$K$7838</f>
        <v>0.5661132226445349</v>
      </c>
    </row>
    <row r="7840" spans="8:11">
      <c r="H7840">
        <f>SMALL(SimData5000!$B$9:$B$5008,2832)</f>
        <v>0.56627039878765828</v>
      </c>
      <c r="I7840">
        <f>1/(COUNT(SimData5000!$B$9:$B$5008)-1)+$I$7839</f>
        <v>0.56631326265253645</v>
      </c>
      <c r="J7840">
        <f>SMALL(SimData5000!$C$9:$C$5008,2832)</f>
        <v>0.56560347944559908</v>
      </c>
      <c r="K7840">
        <f>1/(COUNT(SimData5000!$C$9:$C$5008)-1)+$K$7839</f>
        <v>0.56631326265253645</v>
      </c>
    </row>
    <row r="7841" spans="8:11">
      <c r="H7841">
        <f>SMALL(SimData5000!$B$9:$B$5008,2833)</f>
        <v>0.56652310402466055</v>
      </c>
      <c r="I7841">
        <f>1/(COUNT(SimData5000!$B$9:$B$5008)-1)+$I$7840</f>
        <v>0.56651330266053801</v>
      </c>
      <c r="J7841">
        <f>SMALL(SimData5000!$C$9:$C$5008,2833)</f>
        <v>0.56561784299992723</v>
      </c>
      <c r="K7841">
        <f>1/(COUNT(SimData5000!$C$9:$C$5008)-1)+$K$7840</f>
        <v>0.56651330266053801</v>
      </c>
    </row>
    <row r="7842" spans="8:11">
      <c r="H7842">
        <f>SMALL(SimData5000!$B$9:$B$5008,2834)</f>
        <v>0.56665119138426412</v>
      </c>
      <c r="I7842">
        <f>1/(COUNT(SimData5000!$B$9:$B$5008)-1)+$I$7841</f>
        <v>0.56671334266853957</v>
      </c>
      <c r="J7842">
        <f>SMALL(SimData5000!$C$9:$C$5008,2834)</f>
        <v>0.56584691911302798</v>
      </c>
      <c r="K7842">
        <f>1/(COUNT(SimData5000!$C$9:$C$5008)-1)+$K$7841</f>
        <v>0.56671334266853957</v>
      </c>
    </row>
    <row r="7843" spans="8:11">
      <c r="H7843">
        <f>SMALL(SimData5000!$B$9:$B$5008,2835)</f>
        <v>0.56686704182696235</v>
      </c>
      <c r="I7843">
        <f>1/(COUNT(SimData5000!$B$9:$B$5008)-1)+$I$7842</f>
        <v>0.56691338267654112</v>
      </c>
      <c r="J7843">
        <f>SMALL(SimData5000!$C$9:$C$5008,2835)</f>
        <v>0.56629142164820223</v>
      </c>
      <c r="K7843">
        <f>1/(COUNT(SimData5000!$C$9:$C$5008)-1)+$K$7842</f>
        <v>0.56691338267654112</v>
      </c>
    </row>
    <row r="7844" spans="8:11">
      <c r="H7844">
        <f>SMALL(SimData5000!$B$9:$B$5008,2836)</f>
        <v>0.56712477953194751</v>
      </c>
      <c r="I7844">
        <f>1/(COUNT(SimData5000!$B$9:$B$5008)-1)+$I$7843</f>
        <v>0.56711342268454268</v>
      </c>
      <c r="J7844">
        <f>SMALL(SimData5000!$C$9:$C$5008,2836)</f>
        <v>0.5663300571450236</v>
      </c>
      <c r="K7844">
        <f>1/(COUNT(SimData5000!$C$9:$C$5008)-1)+$K$7843</f>
        <v>0.56711342268454268</v>
      </c>
    </row>
    <row r="7845" spans="8:11">
      <c r="H7845">
        <f>SMALL(SimData5000!$B$9:$B$5008,2837)</f>
        <v>0.56736180151155258</v>
      </c>
      <c r="I7845">
        <f>1/(COUNT(SimData5000!$B$9:$B$5008)-1)+$I$7844</f>
        <v>0.56731346269254423</v>
      </c>
      <c r="J7845">
        <f>SMALL(SimData5000!$C$9:$C$5008,2837)</f>
        <v>0.56646260330580844</v>
      </c>
      <c r="K7845">
        <f>1/(COUNT(SimData5000!$C$9:$C$5008)-1)+$K$7844</f>
        <v>0.56731346269254423</v>
      </c>
    </row>
    <row r="7846" spans="8:11">
      <c r="H7846">
        <f>SMALL(SimData5000!$B$9:$B$5008,2838)</f>
        <v>0.56740201324904382</v>
      </c>
      <c r="I7846">
        <f>1/(COUNT(SimData5000!$B$9:$B$5008)-1)+$I$7845</f>
        <v>0.56751350270054579</v>
      </c>
      <c r="J7846">
        <f>SMALL(SimData5000!$C$9:$C$5008,2838)</f>
        <v>0.56656348290016467</v>
      </c>
      <c r="K7846">
        <f>1/(COUNT(SimData5000!$C$9:$C$5008)-1)+$K$7845</f>
        <v>0.56751350270054579</v>
      </c>
    </row>
    <row r="7847" spans="8:11">
      <c r="H7847">
        <f>SMALL(SimData5000!$B$9:$B$5008,2839)</f>
        <v>0.56760651416685581</v>
      </c>
      <c r="I7847">
        <f>1/(COUNT(SimData5000!$B$9:$B$5008)-1)+$I$7846</f>
        <v>0.56771354270854735</v>
      </c>
      <c r="J7847">
        <f>SMALL(SimData5000!$C$9:$C$5008,2839)</f>
        <v>0.56684209234845184</v>
      </c>
      <c r="K7847">
        <f>1/(COUNT(SimData5000!$C$9:$C$5008)-1)+$K$7846</f>
        <v>0.56771354270854735</v>
      </c>
    </row>
    <row r="7848" spans="8:11">
      <c r="H7848">
        <f>SMALL(SimData5000!$B$9:$B$5008,2840)</f>
        <v>0.56780640277648486</v>
      </c>
      <c r="I7848">
        <f>1/(COUNT(SimData5000!$B$9:$B$5008)-1)+$I$7847</f>
        <v>0.5679135827165489</v>
      </c>
      <c r="J7848">
        <f>SMALL(SimData5000!$C$9:$C$5008,2840)</f>
        <v>0.5671612708192697</v>
      </c>
      <c r="K7848">
        <f>1/(COUNT(SimData5000!$C$9:$C$5008)-1)+$K$7847</f>
        <v>0.5679135827165489</v>
      </c>
    </row>
    <row r="7849" spans="8:11">
      <c r="H7849">
        <f>SMALL(SimData5000!$B$9:$B$5008,2841)</f>
        <v>0.56803739209404158</v>
      </c>
      <c r="I7849">
        <f>1/(COUNT(SimData5000!$B$9:$B$5008)-1)+$I$7848</f>
        <v>0.56811362272455046</v>
      </c>
      <c r="J7849">
        <f>SMALL(SimData5000!$C$9:$C$5008,2841)</f>
        <v>0.56724363408284262</v>
      </c>
      <c r="K7849">
        <f>1/(COUNT(SimData5000!$C$9:$C$5008)-1)+$K$7848</f>
        <v>0.56811362272455046</v>
      </c>
    </row>
    <row r="7850" spans="8:11">
      <c r="H7850">
        <f>SMALL(SimData5000!$B$9:$B$5008,2842)</f>
        <v>0.56828593983605646</v>
      </c>
      <c r="I7850">
        <f>1/(COUNT(SimData5000!$B$9:$B$5008)-1)+$I$7849</f>
        <v>0.56831366273255202</v>
      </c>
      <c r="J7850">
        <f>SMALL(SimData5000!$C$9:$C$5008,2842)</f>
        <v>0.56726560306833562</v>
      </c>
      <c r="K7850">
        <f>1/(COUNT(SimData5000!$C$9:$C$5008)-1)+$K$7849</f>
        <v>0.56831366273255202</v>
      </c>
    </row>
    <row r="7851" spans="8:11">
      <c r="H7851">
        <f>SMALL(SimData5000!$B$9:$B$5008,2843)</f>
        <v>0.56840286333179169</v>
      </c>
      <c r="I7851">
        <f>1/(COUNT(SimData5000!$B$9:$B$5008)-1)+$I$7850</f>
        <v>0.56851370274055357</v>
      </c>
      <c r="J7851">
        <f>SMALL(SimData5000!$C$9:$C$5008,2843)</f>
        <v>0.56756522617524752</v>
      </c>
      <c r="K7851">
        <f>1/(COUNT(SimData5000!$C$9:$C$5008)-1)+$K$7850</f>
        <v>0.56851370274055357</v>
      </c>
    </row>
    <row r="7852" spans="8:11">
      <c r="H7852">
        <f>SMALL(SimData5000!$B$9:$B$5008,2844)</f>
        <v>0.56865065964489492</v>
      </c>
      <c r="I7852">
        <f>1/(COUNT(SimData5000!$B$9:$B$5008)-1)+$I$7851</f>
        <v>0.56871374274855513</v>
      </c>
      <c r="J7852">
        <f>SMALL(SimData5000!$C$9:$C$5008,2844)</f>
        <v>0.56763298302939802</v>
      </c>
      <c r="K7852">
        <f>1/(COUNT(SimData5000!$C$9:$C$5008)-1)+$K$7851</f>
        <v>0.56871374274855513</v>
      </c>
    </row>
    <row r="7853" spans="8:11">
      <c r="H7853">
        <f>SMALL(SimData5000!$B$9:$B$5008,2845)</f>
        <v>0.5688084219334667</v>
      </c>
      <c r="I7853">
        <f>1/(COUNT(SimData5000!$B$9:$B$5008)-1)+$I$7852</f>
        <v>0.56891378275655669</v>
      </c>
      <c r="J7853">
        <f>SMALL(SimData5000!$C$9:$C$5008,2845)</f>
        <v>0.56794854319650767</v>
      </c>
      <c r="K7853">
        <f>1/(COUNT(SimData5000!$C$9:$C$5008)-1)+$K$7852</f>
        <v>0.56891378275655669</v>
      </c>
    </row>
    <row r="7854" spans="8:11">
      <c r="H7854">
        <f>SMALL(SimData5000!$B$9:$B$5008,2846)</f>
        <v>0.56912267883124823</v>
      </c>
      <c r="I7854">
        <f>1/(COUNT(SimData5000!$B$9:$B$5008)-1)+$I$7853</f>
        <v>0.56911382276455824</v>
      </c>
      <c r="J7854">
        <f>SMALL(SimData5000!$C$9:$C$5008,2846)</f>
        <v>0.56796547222711524</v>
      </c>
      <c r="K7854">
        <f>1/(COUNT(SimData5000!$C$9:$C$5008)-1)+$K$7853</f>
        <v>0.56911382276455824</v>
      </c>
    </row>
    <row r="7855" spans="8:11">
      <c r="H7855">
        <f>SMALL(SimData5000!$B$9:$B$5008,2847)</f>
        <v>0.56927681672309449</v>
      </c>
      <c r="I7855">
        <f>1/(COUNT(SimData5000!$B$9:$B$5008)-1)+$I$7854</f>
        <v>0.5693138627725598</v>
      </c>
      <c r="J7855">
        <f>SMALL(SimData5000!$C$9:$C$5008,2847)</f>
        <v>0.56814106901947525</v>
      </c>
      <c r="K7855">
        <f>1/(COUNT(SimData5000!$C$9:$C$5008)-1)+$K$7854</f>
        <v>0.5693138627725598</v>
      </c>
    </row>
    <row r="7856" spans="8:11">
      <c r="H7856">
        <f>SMALL(SimData5000!$B$9:$B$5008,2848)</f>
        <v>0.5695547565588156</v>
      </c>
      <c r="I7856">
        <f>1/(COUNT(SimData5000!$B$9:$B$5008)-1)+$I$7855</f>
        <v>0.56951390278056135</v>
      </c>
      <c r="J7856">
        <f>SMALL(SimData5000!$C$9:$C$5008,2848)</f>
        <v>0.5681885842277552</v>
      </c>
      <c r="K7856">
        <f>1/(COUNT(SimData5000!$C$9:$C$5008)-1)+$K$7855</f>
        <v>0.56951390278056135</v>
      </c>
    </row>
    <row r="7857" spans="8:11">
      <c r="H7857">
        <f>SMALL(SimData5000!$B$9:$B$5008,2849)</f>
        <v>0.56969408925243048</v>
      </c>
      <c r="I7857">
        <f>1/(COUNT(SimData5000!$B$9:$B$5008)-1)+$I$7856</f>
        <v>0.56971394278856291</v>
      </c>
      <c r="J7857">
        <f>SMALL(SimData5000!$C$9:$C$5008,2849)</f>
        <v>0.56824648177644121</v>
      </c>
      <c r="K7857">
        <f>1/(COUNT(SimData5000!$C$9:$C$5008)-1)+$K$7856</f>
        <v>0.56971394278856291</v>
      </c>
    </row>
    <row r="7858" spans="8:11">
      <c r="H7858">
        <f>SMALL(SimData5000!$B$9:$B$5008,2850)</f>
        <v>0.56996177301992701</v>
      </c>
      <c r="I7858">
        <f>1/(COUNT(SimData5000!$B$9:$B$5008)-1)+$I$7857</f>
        <v>0.56991398279656447</v>
      </c>
      <c r="J7858">
        <f>SMALL(SimData5000!$C$9:$C$5008,2850)</f>
        <v>0.56834049662666075</v>
      </c>
      <c r="K7858">
        <f>1/(COUNT(SimData5000!$C$9:$C$5008)-1)+$K$7857</f>
        <v>0.56991398279656447</v>
      </c>
    </row>
    <row r="7859" spans="8:11">
      <c r="H7859">
        <f>SMALL(SimData5000!$B$9:$B$5008,2851)</f>
        <v>0.57002554895133373</v>
      </c>
      <c r="I7859">
        <f>1/(COUNT(SimData5000!$B$9:$B$5008)-1)+$I$7858</f>
        <v>0.57011402280456602</v>
      </c>
      <c r="J7859">
        <f>SMALL(SimData5000!$C$9:$C$5008,2851)</f>
        <v>0.56844311294116778</v>
      </c>
      <c r="K7859">
        <f>1/(COUNT(SimData5000!$C$9:$C$5008)-1)+$K$7858</f>
        <v>0.57011402280456602</v>
      </c>
    </row>
    <row r="7860" spans="8:11">
      <c r="H7860">
        <f>SMALL(SimData5000!$B$9:$B$5008,2852)</f>
        <v>0.57025388059561466</v>
      </c>
      <c r="I7860">
        <f>1/(COUNT(SimData5000!$B$9:$B$5008)-1)+$I$7859</f>
        <v>0.57031406281256758</v>
      </c>
      <c r="J7860">
        <f>SMALL(SimData5000!$C$9:$C$5008,2852)</f>
        <v>0.56859565940521861</v>
      </c>
      <c r="K7860">
        <f>1/(COUNT(SimData5000!$C$9:$C$5008)-1)+$K$7859</f>
        <v>0.57031406281256758</v>
      </c>
    </row>
    <row r="7861" spans="8:11">
      <c r="H7861">
        <f>SMALL(SimData5000!$B$9:$B$5008,2853)</f>
        <v>0.57058909029764804</v>
      </c>
      <c r="I7861">
        <f>1/(COUNT(SimData5000!$B$9:$B$5008)-1)+$I$7860</f>
        <v>0.57051410282056914</v>
      </c>
      <c r="J7861">
        <f>SMALL(SimData5000!$C$9:$C$5008,2853)</f>
        <v>0.5693817860674244</v>
      </c>
      <c r="K7861">
        <f>1/(COUNT(SimData5000!$C$9:$C$5008)-1)+$K$7860</f>
        <v>0.57051410282056914</v>
      </c>
    </row>
    <row r="7862" spans="8:11">
      <c r="H7862">
        <f>SMALL(SimData5000!$B$9:$B$5008,2854)</f>
        <v>0.57076501971673332</v>
      </c>
      <c r="I7862">
        <f>1/(COUNT(SimData5000!$B$9:$B$5008)-1)+$I$7861</f>
        <v>0.57071414282857069</v>
      </c>
      <c r="J7862">
        <f>SMALL(SimData5000!$C$9:$C$5008,2854)</f>
        <v>0.56963334984811809</v>
      </c>
      <c r="K7862">
        <f>1/(COUNT(SimData5000!$C$9:$C$5008)-1)+$K$7861</f>
        <v>0.57071414282857069</v>
      </c>
    </row>
    <row r="7863" spans="8:11">
      <c r="H7863">
        <f>SMALL(SimData5000!$B$9:$B$5008,2855)</f>
        <v>0.57086863662294784</v>
      </c>
      <c r="I7863">
        <f>1/(COUNT(SimData5000!$B$9:$B$5008)-1)+$I$7862</f>
        <v>0.57091418283657225</v>
      </c>
      <c r="J7863">
        <f>SMALL(SimData5000!$C$9:$C$5008,2855)</f>
        <v>0.56963954298043973</v>
      </c>
      <c r="K7863">
        <f>1/(COUNT(SimData5000!$C$9:$C$5008)-1)+$K$7862</f>
        <v>0.57091418283657225</v>
      </c>
    </row>
    <row r="7864" spans="8:11">
      <c r="H7864">
        <f>SMALL(SimData5000!$B$9:$B$5008,2856)</f>
        <v>0.57107118235744325</v>
      </c>
      <c r="I7864">
        <f>1/(COUNT(SimData5000!$B$9:$B$5008)-1)+$I$7863</f>
        <v>0.5711142228445738</v>
      </c>
      <c r="J7864">
        <f>SMALL(SimData5000!$C$9:$C$5008,2856)</f>
        <v>0.56990706131819024</v>
      </c>
      <c r="K7864">
        <f>1/(COUNT(SimData5000!$C$9:$C$5008)-1)+$K$7863</f>
        <v>0.5711142228445738</v>
      </c>
    </row>
    <row r="7865" spans="8:11">
      <c r="H7865">
        <f>SMALL(SimData5000!$B$9:$B$5008,2857)</f>
        <v>0.57134805072507544</v>
      </c>
      <c r="I7865">
        <f>1/(COUNT(SimData5000!$B$9:$B$5008)-1)+$I$7864</f>
        <v>0.57131426285257536</v>
      </c>
      <c r="J7865">
        <f>SMALL(SimData5000!$C$9:$C$5008,2857)</f>
        <v>0.570103976291648</v>
      </c>
      <c r="K7865">
        <f>1/(COUNT(SimData5000!$C$9:$C$5008)-1)+$K$7864</f>
        <v>0.57131426285257536</v>
      </c>
    </row>
    <row r="7866" spans="8:11">
      <c r="H7866">
        <f>SMALL(SimData5000!$B$9:$B$5008,2858)</f>
        <v>0.57157001377110606</v>
      </c>
      <c r="I7866">
        <f>1/(COUNT(SimData5000!$B$9:$B$5008)-1)+$I$7865</f>
        <v>0.57151430286057692</v>
      </c>
      <c r="J7866">
        <f>SMALL(SimData5000!$C$9:$C$5008,2858)</f>
        <v>0.57087953576319705</v>
      </c>
      <c r="K7866">
        <f>1/(COUNT(SimData5000!$C$9:$C$5008)-1)+$K$7865</f>
        <v>0.57151430286057692</v>
      </c>
    </row>
    <row r="7867" spans="8:11">
      <c r="H7867">
        <f>SMALL(SimData5000!$B$9:$B$5008,2859)</f>
        <v>0.5716035931129948</v>
      </c>
      <c r="I7867">
        <f>1/(COUNT(SimData5000!$B$9:$B$5008)-1)+$I$7866</f>
        <v>0.57171434286857847</v>
      </c>
      <c r="J7867">
        <f>SMALL(SimData5000!$C$9:$C$5008,2859)</f>
        <v>0.57106988981286122</v>
      </c>
      <c r="K7867">
        <f>1/(COUNT(SimData5000!$C$9:$C$5008)-1)+$K$7866</f>
        <v>0.57171434286857847</v>
      </c>
    </row>
    <row r="7868" spans="8:11">
      <c r="H7868">
        <f>SMALL(SimData5000!$B$9:$B$5008,2860)</f>
        <v>0.57199457172523127</v>
      </c>
      <c r="I7868">
        <f>1/(COUNT(SimData5000!$B$9:$B$5008)-1)+$I$7867</f>
        <v>0.57191438287658003</v>
      </c>
      <c r="J7868">
        <f>SMALL(SimData5000!$C$9:$C$5008,2860)</f>
        <v>0.571176019196173</v>
      </c>
      <c r="K7868">
        <f>1/(COUNT(SimData5000!$C$9:$C$5008)-1)+$K$7867</f>
        <v>0.57191438287658003</v>
      </c>
    </row>
    <row r="7869" spans="8:11">
      <c r="H7869">
        <f>SMALL(SimData5000!$B$9:$B$5008,2861)</f>
        <v>0.57201023783269578</v>
      </c>
      <c r="I7869">
        <f>1/(COUNT(SimData5000!$B$9:$B$5008)-1)+$I$7868</f>
        <v>0.57211442288458159</v>
      </c>
      <c r="J7869">
        <f>SMALL(SimData5000!$C$9:$C$5008,2861)</f>
        <v>0.57157482484751654</v>
      </c>
      <c r="K7869">
        <f>1/(COUNT(SimData5000!$C$9:$C$5008)-1)+$K$7868</f>
        <v>0.57211442288458159</v>
      </c>
    </row>
    <row r="7870" spans="8:11">
      <c r="H7870">
        <f>SMALL(SimData5000!$B$9:$B$5008,2862)</f>
        <v>0.57233682013348131</v>
      </c>
      <c r="I7870">
        <f>1/(COUNT(SimData5000!$B$9:$B$5008)-1)+$I$7869</f>
        <v>0.57231446289258314</v>
      </c>
      <c r="J7870">
        <f>SMALL(SimData5000!$C$9:$C$5008,2862)</f>
        <v>0.57160244995429821</v>
      </c>
      <c r="K7870">
        <f>1/(COUNT(SimData5000!$C$9:$C$5008)-1)+$K$7869</f>
        <v>0.57231446289258314</v>
      </c>
    </row>
    <row r="7871" spans="8:11">
      <c r="H7871">
        <f>SMALL(SimData5000!$B$9:$B$5008,2863)</f>
        <v>0.57242783840606637</v>
      </c>
      <c r="I7871">
        <f>1/(COUNT(SimData5000!$B$9:$B$5008)-1)+$I$7870</f>
        <v>0.5725145029005847</v>
      </c>
      <c r="J7871">
        <f>SMALL(SimData5000!$C$9:$C$5008,2863)</f>
        <v>0.57237865009938105</v>
      </c>
      <c r="K7871">
        <f>1/(COUNT(SimData5000!$C$9:$C$5008)-1)+$K$7870</f>
        <v>0.5725145029005847</v>
      </c>
    </row>
    <row r="7872" spans="8:11">
      <c r="H7872">
        <f>SMALL(SimData5000!$B$9:$B$5008,2864)</f>
        <v>0.57278316310317801</v>
      </c>
      <c r="I7872">
        <f>1/(COUNT(SimData5000!$B$9:$B$5008)-1)+$I$7871</f>
        <v>0.57271454290858625</v>
      </c>
      <c r="J7872">
        <f>SMALL(SimData5000!$C$9:$C$5008,2864)</f>
        <v>0.57255790618910396</v>
      </c>
      <c r="K7872">
        <f>1/(COUNT(SimData5000!$C$9:$C$5008)-1)+$K$7871</f>
        <v>0.57271454290858625</v>
      </c>
    </row>
    <row r="7873" spans="8:11">
      <c r="H7873">
        <f>SMALL(SimData5000!$B$9:$B$5008,2865)</f>
        <v>0.57287879435417222</v>
      </c>
      <c r="I7873">
        <f>1/(COUNT(SimData5000!$B$9:$B$5008)-1)+$I$7872</f>
        <v>0.57291458291658781</v>
      </c>
      <c r="J7873">
        <f>SMALL(SimData5000!$C$9:$C$5008,2865)</f>
        <v>0.57301677679151908</v>
      </c>
      <c r="K7873">
        <f>1/(COUNT(SimData5000!$C$9:$C$5008)-1)+$K$7872</f>
        <v>0.57291458291658781</v>
      </c>
    </row>
    <row r="7874" spans="8:11">
      <c r="H7874">
        <f>SMALL(SimData5000!$B$9:$B$5008,2866)</f>
        <v>0.57307457021341535</v>
      </c>
      <c r="I7874">
        <f>1/(COUNT(SimData5000!$B$9:$B$5008)-1)+$I$7873</f>
        <v>0.57311462292458937</v>
      </c>
      <c r="J7874">
        <f>SMALL(SimData5000!$C$9:$C$5008,2866)</f>
        <v>0.57403898958909849</v>
      </c>
      <c r="K7874">
        <f>1/(COUNT(SimData5000!$C$9:$C$5008)-1)+$K$7873</f>
        <v>0.57311462292458937</v>
      </c>
    </row>
    <row r="7875" spans="8:11">
      <c r="H7875">
        <f>SMALL(SimData5000!$B$9:$B$5008,2867)</f>
        <v>0.57322734137466813</v>
      </c>
      <c r="I7875">
        <f>1/(COUNT(SimData5000!$B$9:$B$5008)-1)+$I$7874</f>
        <v>0.57331466293259092</v>
      </c>
      <c r="J7875">
        <f>SMALL(SimData5000!$C$9:$C$5008,2867)</f>
        <v>0.57412185861448961</v>
      </c>
      <c r="K7875">
        <f>1/(COUNT(SimData5000!$C$9:$C$5008)-1)+$K$7874</f>
        <v>0.57331466293259092</v>
      </c>
    </row>
    <row r="7876" spans="8:11">
      <c r="H7876">
        <f>SMALL(SimData5000!$B$9:$B$5008,2868)</f>
        <v>0.57346819538023985</v>
      </c>
      <c r="I7876">
        <f>1/(COUNT(SimData5000!$B$9:$B$5008)-1)+$I$7875</f>
        <v>0.57351470294059248</v>
      </c>
      <c r="J7876">
        <f>SMALL(SimData5000!$C$9:$C$5008,2868)</f>
        <v>0.57434483296219696</v>
      </c>
      <c r="K7876">
        <f>1/(COUNT(SimData5000!$C$9:$C$5008)-1)+$K$7875</f>
        <v>0.57351470294059248</v>
      </c>
    </row>
    <row r="7877" spans="8:11">
      <c r="H7877">
        <f>SMALL(SimData5000!$B$9:$B$5008,2869)</f>
        <v>0.5736457386884013</v>
      </c>
      <c r="I7877">
        <f>1/(COUNT(SimData5000!$B$9:$B$5008)-1)+$I$7876</f>
        <v>0.57371474294859404</v>
      </c>
      <c r="J7877">
        <f>SMALL(SimData5000!$C$9:$C$5008,2869)</f>
        <v>0.57480299146118341</v>
      </c>
      <c r="K7877">
        <f>1/(COUNT(SimData5000!$C$9:$C$5008)-1)+$K$7876</f>
        <v>0.57371474294859404</v>
      </c>
    </row>
    <row r="7878" spans="8:11">
      <c r="H7878">
        <f>SMALL(SimData5000!$B$9:$B$5008,2870)</f>
        <v>0.57397160468906427</v>
      </c>
      <c r="I7878">
        <f>1/(COUNT(SimData5000!$B$9:$B$5008)-1)+$I$7877</f>
        <v>0.57391478295659559</v>
      </c>
      <c r="J7878">
        <f>SMALL(SimData5000!$C$9:$C$5008,2870)</f>
        <v>0.57509807521273615</v>
      </c>
      <c r="K7878">
        <f>1/(COUNT(SimData5000!$C$9:$C$5008)-1)+$K$7877</f>
        <v>0.57391478295659559</v>
      </c>
    </row>
    <row r="7879" spans="8:11">
      <c r="H7879">
        <f>SMALL(SimData5000!$B$9:$B$5008,2871)</f>
        <v>0.57416469962656613</v>
      </c>
      <c r="I7879">
        <f>1/(COUNT(SimData5000!$B$9:$B$5008)-1)+$I$7878</f>
        <v>0.57411482296459715</v>
      </c>
      <c r="J7879">
        <f>SMALL(SimData5000!$C$9:$C$5008,2871)</f>
        <v>0.57530155756649037</v>
      </c>
      <c r="K7879">
        <f>1/(COUNT(SimData5000!$C$9:$C$5008)-1)+$K$7878</f>
        <v>0.57411482296459715</v>
      </c>
    </row>
    <row r="7880" spans="8:11">
      <c r="H7880">
        <f>SMALL(SimData5000!$B$9:$B$5008,2872)</f>
        <v>0.57434617572560587</v>
      </c>
      <c r="I7880">
        <f>1/(COUNT(SimData5000!$B$9:$B$5008)-1)+$I$7879</f>
        <v>0.57431486297259871</v>
      </c>
      <c r="J7880">
        <f>SMALL(SimData5000!$C$9:$C$5008,2872)</f>
        <v>0.57584858040900144</v>
      </c>
      <c r="K7880">
        <f>1/(COUNT(SimData5000!$C$9:$C$5008)-1)+$K$7879</f>
        <v>0.57431486297259871</v>
      </c>
    </row>
    <row r="7881" spans="8:11">
      <c r="H7881">
        <f>SMALL(SimData5000!$B$9:$B$5008,2873)</f>
        <v>0.57459832805544098</v>
      </c>
      <c r="I7881">
        <f>1/(COUNT(SimData5000!$B$9:$B$5008)-1)+$I$7880</f>
        <v>0.57451490298060026</v>
      </c>
      <c r="J7881">
        <f>SMALL(SimData5000!$C$9:$C$5008,2873)</f>
        <v>0.57629159590760537</v>
      </c>
      <c r="K7881">
        <f>1/(COUNT(SimData5000!$C$9:$C$5008)-1)+$K$7880</f>
        <v>0.57451490298060026</v>
      </c>
    </row>
    <row r="7882" spans="8:11">
      <c r="H7882">
        <f>SMALL(SimData5000!$B$9:$B$5008,2874)</f>
        <v>0.57469478063036106</v>
      </c>
      <c r="I7882">
        <f>1/(COUNT(SimData5000!$B$9:$B$5008)-1)+$I$7881</f>
        <v>0.57471494298860182</v>
      </c>
      <c r="J7882">
        <f>SMALL(SimData5000!$C$9:$C$5008,2874)</f>
        <v>0.57636232711047342</v>
      </c>
      <c r="K7882">
        <f>1/(COUNT(SimData5000!$C$9:$C$5008)-1)+$K$7881</f>
        <v>0.57471494298860182</v>
      </c>
    </row>
    <row r="7883" spans="8:11">
      <c r="H7883">
        <f>SMALL(SimData5000!$B$9:$B$5008,2875)</f>
        <v>0.5749692502787731</v>
      </c>
      <c r="I7883">
        <f>1/(COUNT(SimData5000!$B$9:$B$5008)-1)+$I$7882</f>
        <v>0.57491498299660337</v>
      </c>
      <c r="J7883">
        <f>SMALL(SimData5000!$C$9:$C$5008,2875)</f>
        <v>0.57655200786302885</v>
      </c>
      <c r="K7883">
        <f>1/(COUNT(SimData5000!$C$9:$C$5008)-1)+$K$7882</f>
        <v>0.57491498299660337</v>
      </c>
    </row>
    <row r="7884" spans="8:11">
      <c r="H7884">
        <f>SMALL(SimData5000!$B$9:$B$5008,2876)</f>
        <v>0.57510464357992275</v>
      </c>
      <c r="I7884">
        <f>1/(COUNT(SimData5000!$B$9:$B$5008)-1)+$I$7883</f>
        <v>0.57511502300460493</v>
      </c>
      <c r="J7884">
        <f>SMALL(SimData5000!$C$9:$C$5008,2876)</f>
        <v>0.5765748212361359</v>
      </c>
      <c r="K7884">
        <f>1/(COUNT(SimData5000!$C$9:$C$5008)-1)+$K$7883</f>
        <v>0.57511502300460493</v>
      </c>
    </row>
    <row r="7885" spans="8:11">
      <c r="H7885">
        <f>SMALL(SimData5000!$B$9:$B$5008,2877)</f>
        <v>0.57531262105645442</v>
      </c>
      <c r="I7885">
        <f>1/(COUNT(SimData5000!$B$9:$B$5008)-1)+$I$7884</f>
        <v>0.57531506301260649</v>
      </c>
      <c r="J7885">
        <f>SMALL(SimData5000!$C$9:$C$5008,2877)</f>
        <v>0.57666065352987061</v>
      </c>
      <c r="K7885">
        <f>1/(COUNT(SimData5000!$C$9:$C$5008)-1)+$K$7884</f>
        <v>0.57531506301260649</v>
      </c>
    </row>
    <row r="7886" spans="8:11">
      <c r="H7886">
        <f>SMALL(SimData5000!$B$9:$B$5008,2878)</f>
        <v>0.57544010761288</v>
      </c>
      <c r="I7886">
        <f>1/(COUNT(SimData5000!$B$9:$B$5008)-1)+$I$7885</f>
        <v>0.57551510302060804</v>
      </c>
      <c r="J7886">
        <f>SMALL(SimData5000!$C$9:$C$5008,2878)</f>
        <v>0.57671662182110595</v>
      </c>
      <c r="K7886">
        <f>1/(COUNT(SimData5000!$C$9:$C$5008)-1)+$K$7885</f>
        <v>0.57551510302060804</v>
      </c>
    </row>
    <row r="7887" spans="8:11">
      <c r="H7887">
        <f>SMALL(SimData5000!$B$9:$B$5008,2879)</f>
        <v>0.57568470188236909</v>
      </c>
      <c r="I7887">
        <f>1/(COUNT(SimData5000!$B$9:$B$5008)-1)+$I$7886</f>
        <v>0.5757151430286096</v>
      </c>
      <c r="J7887">
        <f>SMALL(SimData5000!$C$9:$C$5008,2879)</f>
        <v>0.57672068249667063</v>
      </c>
      <c r="K7887">
        <f>1/(COUNT(SimData5000!$C$9:$C$5008)-1)+$K$7886</f>
        <v>0.5757151430286096</v>
      </c>
    </row>
    <row r="7888" spans="8:11">
      <c r="H7888">
        <f>SMALL(SimData5000!$B$9:$B$5008,2880)</f>
        <v>0.57588814350587514</v>
      </c>
      <c r="I7888">
        <f>1/(COUNT(SimData5000!$B$9:$B$5008)-1)+$I$7887</f>
        <v>0.57591518303661116</v>
      </c>
      <c r="J7888">
        <f>SMALL(SimData5000!$C$9:$C$5008,2880)</f>
        <v>0.57689957459118091</v>
      </c>
      <c r="K7888">
        <f>1/(COUNT(SimData5000!$C$9:$C$5008)-1)+$K$7887</f>
        <v>0.57591518303661116</v>
      </c>
    </row>
    <row r="7889" spans="8:11">
      <c r="H7889">
        <f>SMALL(SimData5000!$B$9:$B$5008,2881)</f>
        <v>0.57613798473434008</v>
      </c>
      <c r="I7889">
        <f>1/(COUNT(SimData5000!$B$9:$B$5008)-1)+$I$7888</f>
        <v>0.57611522304461271</v>
      </c>
      <c r="J7889">
        <f>SMALL(SimData5000!$C$9:$C$5008,2881)</f>
        <v>0.57726421457664401</v>
      </c>
      <c r="K7889">
        <f>1/(COUNT(SimData5000!$C$9:$C$5008)-1)+$K$7888</f>
        <v>0.57611522304461271</v>
      </c>
    </row>
    <row r="7890" spans="8:11">
      <c r="H7890">
        <f>SMALL(SimData5000!$B$9:$B$5008,2882)</f>
        <v>0.57636974167497124</v>
      </c>
      <c r="I7890">
        <f>1/(COUNT(SimData5000!$B$9:$B$5008)-1)+$I$7889</f>
        <v>0.57631526305261427</v>
      </c>
      <c r="J7890">
        <f>SMALL(SimData5000!$C$9:$C$5008,2882)</f>
        <v>0.57752082402748783</v>
      </c>
      <c r="K7890">
        <f>1/(COUNT(SimData5000!$C$9:$C$5008)-1)+$K$7889</f>
        <v>0.57631526305261427</v>
      </c>
    </row>
    <row r="7891" spans="8:11">
      <c r="H7891">
        <f>SMALL(SimData5000!$B$9:$B$5008,2883)</f>
        <v>0.57652726277786481</v>
      </c>
      <c r="I7891">
        <f>1/(COUNT(SimData5000!$B$9:$B$5008)-1)+$I$7890</f>
        <v>0.57651530306061582</v>
      </c>
      <c r="J7891">
        <f>SMALL(SimData5000!$C$9:$C$5008,2883)</f>
        <v>0.57828766620514216</v>
      </c>
      <c r="K7891">
        <f>1/(COUNT(SimData5000!$C$9:$C$5008)-1)+$K$7890</f>
        <v>0.57651530306061582</v>
      </c>
    </row>
    <row r="7892" spans="8:11">
      <c r="H7892">
        <f>SMALL(SimData5000!$B$9:$B$5008,2884)</f>
        <v>0.57679869223087998</v>
      </c>
      <c r="I7892">
        <f>1/(COUNT(SimData5000!$B$9:$B$5008)-1)+$I$7891</f>
        <v>0.57671534306861738</v>
      </c>
      <c r="J7892">
        <f>SMALL(SimData5000!$C$9:$C$5008,2884)</f>
        <v>0.57837213110997254</v>
      </c>
      <c r="K7892">
        <f>1/(COUNT(SimData5000!$C$9:$C$5008)-1)+$K$7891</f>
        <v>0.57671534306861738</v>
      </c>
    </row>
    <row r="7893" spans="8:11">
      <c r="H7893">
        <f>SMALL(SimData5000!$B$9:$B$5008,2885)</f>
        <v>0.57686950178231799</v>
      </c>
      <c r="I7893">
        <f>1/(COUNT(SimData5000!$B$9:$B$5008)-1)+$I$7892</f>
        <v>0.57691538307661894</v>
      </c>
      <c r="J7893">
        <f>SMALL(SimData5000!$C$9:$C$5008,2885)</f>
        <v>0.57838593924498127</v>
      </c>
      <c r="K7893">
        <f>1/(COUNT(SimData5000!$C$9:$C$5008)-1)+$K$7892</f>
        <v>0.57691538307661894</v>
      </c>
    </row>
    <row r="7894" spans="8:11">
      <c r="H7894">
        <f>SMALL(SimData5000!$B$9:$B$5008,2886)</f>
        <v>0.57700081735169528</v>
      </c>
      <c r="I7894">
        <f>1/(COUNT(SimData5000!$B$9:$B$5008)-1)+$I$7893</f>
        <v>0.57711542308462049</v>
      </c>
      <c r="J7894">
        <f>SMALL(SimData5000!$C$9:$C$5008,2886)</f>
        <v>0.57891297095738992</v>
      </c>
      <c r="K7894">
        <f>1/(COUNT(SimData5000!$C$9:$C$5008)-1)+$K$7893</f>
        <v>0.57711542308462049</v>
      </c>
    </row>
    <row r="7895" spans="8:11">
      <c r="H7895">
        <f>SMALL(SimData5000!$B$9:$B$5008,2887)</f>
        <v>0.57733156171094901</v>
      </c>
      <c r="I7895">
        <f>1/(COUNT(SimData5000!$B$9:$B$5008)-1)+$I$7894</f>
        <v>0.57731546309262205</v>
      </c>
      <c r="J7895">
        <f>SMALL(SimData5000!$C$9:$C$5008,2887)</f>
        <v>0.57908025400502083</v>
      </c>
      <c r="K7895">
        <f>1/(COUNT(SimData5000!$C$9:$C$5008)-1)+$K$7894</f>
        <v>0.57731546309262205</v>
      </c>
    </row>
    <row r="7896" spans="8:11">
      <c r="H7896">
        <f>SMALL(SimData5000!$B$9:$B$5008,2888)</f>
        <v>0.57758461760012081</v>
      </c>
      <c r="I7896">
        <f>1/(COUNT(SimData5000!$B$9:$B$5008)-1)+$I$7895</f>
        <v>0.57751550310062361</v>
      </c>
      <c r="J7896">
        <f>SMALL(SimData5000!$C$9:$C$5008,2888)</f>
        <v>0.57923667211252905</v>
      </c>
      <c r="K7896">
        <f>1/(COUNT(SimData5000!$C$9:$C$5008)-1)+$K$7895</f>
        <v>0.57751550310062361</v>
      </c>
    </row>
    <row r="7897" spans="8:11">
      <c r="H7897">
        <f>SMALL(SimData5000!$B$9:$B$5008,2889)</f>
        <v>0.57773703472529003</v>
      </c>
      <c r="I7897">
        <f>1/(COUNT(SimData5000!$B$9:$B$5008)-1)+$I$7896</f>
        <v>0.57771554310862516</v>
      </c>
      <c r="J7897">
        <f>SMALL(SimData5000!$C$9:$C$5008,2889)</f>
        <v>0.57946427618935559</v>
      </c>
      <c r="K7897">
        <f>1/(COUNT(SimData5000!$C$9:$C$5008)-1)+$K$7896</f>
        <v>0.57771554310862516</v>
      </c>
    </row>
    <row r="7898" spans="8:11">
      <c r="H7898">
        <f>SMALL(SimData5000!$B$9:$B$5008,2890)</f>
        <v>0.57782985520107433</v>
      </c>
      <c r="I7898">
        <f>1/(COUNT(SimData5000!$B$9:$B$5008)-1)+$I$7897</f>
        <v>0.57791558311662672</v>
      </c>
      <c r="J7898">
        <f>SMALL(SimData5000!$C$9:$C$5008,2890)</f>
        <v>0.57994924127706327</v>
      </c>
      <c r="K7898">
        <f>1/(COUNT(SimData5000!$C$9:$C$5008)-1)+$K$7897</f>
        <v>0.57791558311662672</v>
      </c>
    </row>
    <row r="7899" spans="8:11">
      <c r="H7899">
        <f>SMALL(SimData5000!$B$9:$B$5008,2891)</f>
        <v>0.57811510237858521</v>
      </c>
      <c r="I7899">
        <f>1/(COUNT(SimData5000!$B$9:$B$5008)-1)+$I$7898</f>
        <v>0.57811562312462828</v>
      </c>
      <c r="J7899">
        <f>SMALL(SimData5000!$C$9:$C$5008,2891)</f>
        <v>0.58053458867016161</v>
      </c>
      <c r="K7899">
        <f>1/(COUNT(SimData5000!$C$9:$C$5008)-1)+$K$7898</f>
        <v>0.57811562312462828</v>
      </c>
    </row>
    <row r="7900" spans="8:11">
      <c r="H7900">
        <f>SMALL(SimData5000!$B$9:$B$5008,2892)</f>
        <v>0.57839303170470358</v>
      </c>
      <c r="I7900">
        <f>1/(COUNT(SimData5000!$B$9:$B$5008)-1)+$I$7899</f>
        <v>0.57831566313262983</v>
      </c>
      <c r="J7900">
        <f>SMALL(SimData5000!$C$9:$C$5008,2892)</f>
        <v>0.58055136655639217</v>
      </c>
      <c r="K7900">
        <f>1/(COUNT(SimData5000!$C$9:$C$5008)-1)+$K$7899</f>
        <v>0.57831566313262983</v>
      </c>
    </row>
    <row r="7901" spans="8:11">
      <c r="H7901">
        <f>SMALL(SimData5000!$B$9:$B$5008,2893)</f>
        <v>0.57841868414795461</v>
      </c>
      <c r="I7901">
        <f>1/(COUNT(SimData5000!$B$9:$B$5008)-1)+$I$7900</f>
        <v>0.57851570314063139</v>
      </c>
      <c r="J7901">
        <f>SMALL(SimData5000!$C$9:$C$5008,2893)</f>
        <v>0.58073077735025436</v>
      </c>
      <c r="K7901">
        <f>1/(COUNT(SimData5000!$C$9:$C$5008)-1)+$K$7900</f>
        <v>0.57851570314063139</v>
      </c>
    </row>
    <row r="7902" spans="8:11">
      <c r="H7902">
        <f>SMALL(SimData5000!$B$9:$B$5008,2894)</f>
        <v>0.57871095542272344</v>
      </c>
      <c r="I7902">
        <f>1/(COUNT(SimData5000!$B$9:$B$5008)-1)+$I$7901</f>
        <v>0.57871574314863294</v>
      </c>
      <c r="J7902">
        <f>SMALL(SimData5000!$C$9:$C$5008,2894)</f>
        <v>0.58091477986999962</v>
      </c>
      <c r="K7902">
        <f>1/(COUNT(SimData5000!$C$9:$C$5008)-1)+$K$7901</f>
        <v>0.57871574314863294</v>
      </c>
    </row>
    <row r="7903" spans="8:11">
      <c r="H7903">
        <f>SMALL(SimData5000!$B$9:$B$5008,2895)</f>
        <v>0.57888361620183182</v>
      </c>
      <c r="I7903">
        <f>1/(COUNT(SimData5000!$B$9:$B$5008)-1)+$I$7902</f>
        <v>0.5789157831566345</v>
      </c>
      <c r="J7903">
        <f>SMALL(SimData5000!$C$9:$C$5008,2895)</f>
        <v>0.58165220560476882</v>
      </c>
      <c r="K7903">
        <f>1/(COUNT(SimData5000!$C$9:$C$5008)-1)+$K$7902</f>
        <v>0.5789157831566345</v>
      </c>
    </row>
    <row r="7904" spans="8:11">
      <c r="H7904">
        <f>SMALL(SimData5000!$B$9:$B$5008,2896)</f>
        <v>0.57903673196915462</v>
      </c>
      <c r="I7904">
        <f>1/(COUNT(SimData5000!$B$9:$B$5008)-1)+$I$7903</f>
        <v>0.57911582316463606</v>
      </c>
      <c r="J7904">
        <f>SMALL(SimData5000!$C$9:$C$5008,2896)</f>
        <v>0.58169265030619499</v>
      </c>
      <c r="K7904">
        <f>1/(COUNT(SimData5000!$C$9:$C$5008)-1)+$K$7903</f>
        <v>0.57911582316463606</v>
      </c>
    </row>
    <row r="7905" spans="8:11">
      <c r="H7905">
        <f>SMALL(SimData5000!$B$9:$B$5008,2897)</f>
        <v>0.57923559284574244</v>
      </c>
      <c r="I7905">
        <f>1/(COUNT(SimData5000!$B$9:$B$5008)-1)+$I$7904</f>
        <v>0.57931586317263761</v>
      </c>
      <c r="J7905">
        <f>SMALL(SimData5000!$C$9:$C$5008,2897)</f>
        <v>0.58172121656299947</v>
      </c>
      <c r="K7905">
        <f>1/(COUNT(SimData5000!$C$9:$C$5008)-1)+$K$7904</f>
        <v>0.57931586317263761</v>
      </c>
    </row>
    <row r="7906" spans="8:11">
      <c r="H7906">
        <f>SMALL(SimData5000!$B$9:$B$5008,2898)</f>
        <v>0.57944966232433204</v>
      </c>
      <c r="I7906">
        <f>1/(COUNT(SimData5000!$B$9:$B$5008)-1)+$I$7905</f>
        <v>0.57951590318063917</v>
      </c>
      <c r="J7906">
        <f>SMALL(SimData5000!$C$9:$C$5008,2898)</f>
        <v>0.58197869852847361</v>
      </c>
      <c r="K7906">
        <f>1/(COUNT(SimData5000!$C$9:$C$5008)-1)+$K$7905</f>
        <v>0.57951590318063917</v>
      </c>
    </row>
    <row r="7907" spans="8:11">
      <c r="H7907">
        <f>SMALL(SimData5000!$B$9:$B$5008,2899)</f>
        <v>0.57975495169483016</v>
      </c>
      <c r="I7907">
        <f>1/(COUNT(SimData5000!$B$9:$B$5008)-1)+$I$7906</f>
        <v>0.57971594318864073</v>
      </c>
      <c r="J7907">
        <f>SMALL(SimData5000!$C$9:$C$5008,2899)</f>
        <v>0.58214253178539366</v>
      </c>
      <c r="K7907">
        <f>1/(COUNT(SimData5000!$C$9:$C$5008)-1)+$K$7906</f>
        <v>0.57971594318864073</v>
      </c>
    </row>
    <row r="7908" spans="8:11">
      <c r="H7908">
        <f>SMALL(SimData5000!$B$9:$B$5008,2900)</f>
        <v>0.57998692221268711</v>
      </c>
      <c r="I7908">
        <f>1/(COUNT(SimData5000!$B$9:$B$5008)-1)+$I$7907</f>
        <v>0.57991598319664228</v>
      </c>
      <c r="J7908">
        <f>SMALL(SimData5000!$C$9:$C$5008,2900)</f>
        <v>0.58278993685689784</v>
      </c>
      <c r="K7908">
        <f>1/(COUNT(SimData5000!$C$9:$C$5008)-1)+$K$7907</f>
        <v>0.57991598319664228</v>
      </c>
    </row>
    <row r="7909" spans="8:11">
      <c r="H7909">
        <f>SMALL(SimData5000!$B$9:$B$5008,2901)</f>
        <v>0.58010464889688995</v>
      </c>
      <c r="I7909">
        <f>1/(COUNT(SimData5000!$B$9:$B$5008)-1)+$I$7908</f>
        <v>0.58011602320464384</v>
      </c>
      <c r="J7909">
        <f>SMALL(SimData5000!$C$9:$C$5008,2901)</f>
        <v>0.58293187230447074</v>
      </c>
      <c r="K7909">
        <f>1/(COUNT(SimData5000!$C$9:$C$5008)-1)+$K$7908</f>
        <v>0.58011602320464384</v>
      </c>
    </row>
    <row r="7910" spans="8:11">
      <c r="H7910">
        <f>SMALL(SimData5000!$B$9:$B$5008,2902)</f>
        <v>0.58035201909215006</v>
      </c>
      <c r="I7910">
        <f>1/(COUNT(SimData5000!$B$9:$B$5008)-1)+$I$7909</f>
        <v>0.58031606321264539</v>
      </c>
      <c r="J7910">
        <f>SMALL(SimData5000!$C$9:$C$5008,2902)</f>
        <v>0.58297514402056549</v>
      </c>
      <c r="K7910">
        <f>1/(COUNT(SimData5000!$C$9:$C$5008)-1)+$K$7909</f>
        <v>0.58031606321264539</v>
      </c>
    </row>
    <row r="7911" spans="8:11">
      <c r="H7911">
        <f>SMALL(SimData5000!$B$9:$B$5008,2903)</f>
        <v>0.58056570845487654</v>
      </c>
      <c r="I7911">
        <f>1/(COUNT(SimData5000!$B$9:$B$5008)-1)+$I$7910</f>
        <v>0.58051610322064695</v>
      </c>
      <c r="J7911">
        <f>SMALL(SimData5000!$C$9:$C$5008,2903)</f>
        <v>0.58313069428095332</v>
      </c>
      <c r="K7911">
        <f>1/(COUNT(SimData5000!$C$9:$C$5008)-1)+$K$7910</f>
        <v>0.58051610322064695</v>
      </c>
    </row>
    <row r="7912" spans="8:11">
      <c r="H7912">
        <f>SMALL(SimData5000!$B$9:$B$5008,2904)</f>
        <v>0.58077533395364311</v>
      </c>
      <c r="I7912">
        <f>1/(COUNT(SimData5000!$B$9:$B$5008)-1)+$I$7911</f>
        <v>0.58071614322864851</v>
      </c>
      <c r="J7912">
        <f>SMALL(SimData5000!$C$9:$C$5008,2904)</f>
        <v>0.58327591138640855</v>
      </c>
      <c r="K7912">
        <f>1/(COUNT(SimData5000!$C$9:$C$5008)-1)+$K$7911</f>
        <v>0.58071614322864851</v>
      </c>
    </row>
    <row r="7913" spans="8:11">
      <c r="H7913">
        <f>SMALL(SimData5000!$B$9:$B$5008,2905)</f>
        <v>0.58093615853538183</v>
      </c>
      <c r="I7913">
        <f>1/(COUNT(SimData5000!$B$9:$B$5008)-1)+$I$7912</f>
        <v>0.58091618323665006</v>
      </c>
      <c r="J7913">
        <f>SMALL(SimData5000!$C$9:$C$5008,2905)</f>
        <v>0.58350566048829933</v>
      </c>
      <c r="K7913">
        <f>1/(COUNT(SimData5000!$C$9:$C$5008)-1)+$K$7912</f>
        <v>0.58091618323665006</v>
      </c>
    </row>
    <row r="7914" spans="8:11">
      <c r="H7914">
        <f>SMALL(SimData5000!$B$9:$B$5008,2906)</f>
        <v>0.58111985462157056</v>
      </c>
      <c r="I7914">
        <f>1/(COUNT(SimData5000!$B$9:$B$5008)-1)+$I$7913</f>
        <v>0.58111622324465162</v>
      </c>
      <c r="J7914">
        <f>SMALL(SimData5000!$C$9:$C$5008,2906)</f>
        <v>0.58391308364934957</v>
      </c>
      <c r="K7914">
        <f>1/(COUNT(SimData5000!$C$9:$C$5008)-1)+$K$7913</f>
        <v>0.58111622324465162</v>
      </c>
    </row>
    <row r="7915" spans="8:11">
      <c r="H7915">
        <f>SMALL(SimData5000!$B$9:$B$5008,2907)</f>
        <v>0.58129222291440052</v>
      </c>
      <c r="I7915">
        <f>1/(COUNT(SimData5000!$B$9:$B$5008)-1)+$I$7914</f>
        <v>0.58131626325265318</v>
      </c>
      <c r="J7915">
        <f>SMALL(SimData5000!$C$9:$C$5008,2907)</f>
        <v>0.58394689856049808</v>
      </c>
      <c r="K7915">
        <f>1/(COUNT(SimData5000!$C$9:$C$5008)-1)+$K$7914</f>
        <v>0.58131626325265318</v>
      </c>
    </row>
    <row r="7916" spans="8:11">
      <c r="H7916">
        <f>SMALL(SimData5000!$B$9:$B$5008,2908)</f>
        <v>0.58159520949390608</v>
      </c>
      <c r="I7916">
        <f>1/(COUNT(SimData5000!$B$9:$B$5008)-1)+$I$7915</f>
        <v>0.58151630326065473</v>
      </c>
      <c r="J7916">
        <f>SMALL(SimData5000!$C$9:$C$5008,2908)</f>
        <v>0.58406216361254337</v>
      </c>
      <c r="K7916">
        <f>1/(COUNT(SimData5000!$C$9:$C$5008)-1)+$K$7915</f>
        <v>0.58151630326065473</v>
      </c>
    </row>
    <row r="7917" spans="8:11">
      <c r="H7917">
        <f>SMALL(SimData5000!$B$9:$B$5008,2909)</f>
        <v>0.58178972523207539</v>
      </c>
      <c r="I7917">
        <f>1/(COUNT(SimData5000!$B$9:$B$5008)-1)+$I$7916</f>
        <v>0.58171634326865629</v>
      </c>
      <c r="J7917">
        <f>SMALL(SimData5000!$C$9:$C$5008,2909)</f>
        <v>0.58424485067644127</v>
      </c>
      <c r="K7917">
        <f>1/(COUNT(SimData5000!$C$9:$C$5008)-1)+$K$7916</f>
        <v>0.58171634326865629</v>
      </c>
    </row>
    <row r="7918" spans="8:11">
      <c r="H7918">
        <f>SMALL(SimData5000!$B$9:$B$5008,2910)</f>
        <v>0.58187655340970412</v>
      </c>
      <c r="I7918">
        <f>1/(COUNT(SimData5000!$B$9:$B$5008)-1)+$I$7917</f>
        <v>0.58191638327665784</v>
      </c>
      <c r="J7918">
        <f>SMALL(SimData5000!$C$9:$C$5008,2910)</f>
        <v>0.58439843873929931</v>
      </c>
      <c r="K7918">
        <f>1/(COUNT(SimData5000!$C$9:$C$5008)-1)+$K$7917</f>
        <v>0.58191638327665784</v>
      </c>
    </row>
    <row r="7919" spans="8:11">
      <c r="H7919">
        <f>SMALL(SimData5000!$B$9:$B$5008,2911)</f>
        <v>0.58216767641603195</v>
      </c>
      <c r="I7919">
        <f>1/(COUNT(SimData5000!$B$9:$B$5008)-1)+$I$7918</f>
        <v>0.5821164232846594</v>
      </c>
      <c r="J7919">
        <f>SMALL(SimData5000!$C$9:$C$5008,2911)</f>
        <v>0.5844122098023945</v>
      </c>
      <c r="K7919">
        <f>1/(COUNT(SimData5000!$C$9:$C$5008)-1)+$K$7918</f>
        <v>0.5821164232846594</v>
      </c>
    </row>
    <row r="7920" spans="8:11">
      <c r="H7920">
        <f>SMALL(SimData5000!$B$9:$B$5008,2912)</f>
        <v>0.58229639017109214</v>
      </c>
      <c r="I7920">
        <f>1/(COUNT(SimData5000!$B$9:$B$5008)-1)+$I$7919</f>
        <v>0.58231646329266096</v>
      </c>
      <c r="J7920">
        <f>SMALL(SimData5000!$C$9:$C$5008,2912)</f>
        <v>0.58446697913132084</v>
      </c>
      <c r="K7920">
        <f>1/(COUNT(SimData5000!$C$9:$C$5008)-1)+$K$7919</f>
        <v>0.58231646329266096</v>
      </c>
    </row>
    <row r="7921" spans="8:11">
      <c r="H7921">
        <f>SMALL(SimData5000!$B$9:$B$5008,2913)</f>
        <v>0.58254531882883642</v>
      </c>
      <c r="I7921">
        <f>1/(COUNT(SimData5000!$B$9:$B$5008)-1)+$I$7920</f>
        <v>0.58251650330066251</v>
      </c>
      <c r="J7921">
        <f>SMALL(SimData5000!$C$9:$C$5008,2913)</f>
        <v>0.58470761919033976</v>
      </c>
      <c r="K7921">
        <f>1/(COUNT(SimData5000!$C$9:$C$5008)-1)+$K$7920</f>
        <v>0.58251650330066251</v>
      </c>
    </row>
    <row r="7922" spans="8:11">
      <c r="H7922">
        <f>SMALL(SimData5000!$B$9:$B$5008,2914)</f>
        <v>0.58269831972101205</v>
      </c>
      <c r="I7922">
        <f>1/(COUNT(SimData5000!$B$9:$B$5008)-1)+$I$7921</f>
        <v>0.58271654330866407</v>
      </c>
      <c r="J7922">
        <f>SMALL(SimData5000!$C$9:$C$5008,2914)</f>
        <v>0.58489146145714699</v>
      </c>
      <c r="K7922">
        <f>1/(COUNT(SimData5000!$C$9:$C$5008)-1)+$K$7921</f>
        <v>0.58271654330866407</v>
      </c>
    </row>
    <row r="7923" spans="8:11">
      <c r="H7923">
        <f>SMALL(SimData5000!$B$9:$B$5008,2915)</f>
        <v>0.58296656939549518</v>
      </c>
      <c r="I7923">
        <f>1/(COUNT(SimData5000!$B$9:$B$5008)-1)+$I$7922</f>
        <v>0.58291658331666563</v>
      </c>
      <c r="J7923">
        <f>SMALL(SimData5000!$C$9:$C$5008,2915)</f>
        <v>0.58493961633212166</v>
      </c>
      <c r="K7923">
        <f>1/(COUNT(SimData5000!$C$9:$C$5008)-1)+$K$7922</f>
        <v>0.58291658331666563</v>
      </c>
    </row>
    <row r="7924" spans="8:11">
      <c r="H7924">
        <f>SMALL(SimData5000!$B$9:$B$5008,2916)</f>
        <v>0.5830673748337355</v>
      </c>
      <c r="I7924">
        <f>1/(COUNT(SimData5000!$B$9:$B$5008)-1)+$I$7923</f>
        <v>0.58311662332466718</v>
      </c>
      <c r="J7924">
        <f>SMALL(SimData5000!$C$9:$C$5008,2916)</f>
        <v>0.58524070083876722</v>
      </c>
      <c r="K7924">
        <f>1/(COUNT(SimData5000!$C$9:$C$5008)-1)+$K$7923</f>
        <v>0.58311662332466718</v>
      </c>
    </row>
    <row r="7925" spans="8:11">
      <c r="H7925">
        <f>SMALL(SimData5000!$B$9:$B$5008,2917)</f>
        <v>0.58321261365968091</v>
      </c>
      <c r="I7925">
        <f>1/(COUNT(SimData5000!$B$9:$B$5008)-1)+$I$7924</f>
        <v>0.58331666333266874</v>
      </c>
      <c r="J7925">
        <f>SMALL(SimData5000!$C$9:$C$5008,2917)</f>
        <v>0.58529127045767382</v>
      </c>
      <c r="K7925">
        <f>1/(COUNT(SimData5000!$C$9:$C$5008)-1)+$K$7924</f>
        <v>0.58331666333266874</v>
      </c>
    </row>
    <row r="7926" spans="8:11">
      <c r="H7926">
        <f>SMALL(SimData5000!$B$9:$B$5008,2918)</f>
        <v>0.58352919675971593</v>
      </c>
      <c r="I7926">
        <f>1/(COUNT(SimData5000!$B$9:$B$5008)-1)+$I$7925</f>
        <v>0.5835167033406703</v>
      </c>
      <c r="J7926">
        <f>SMALL(SimData5000!$C$9:$C$5008,2918)</f>
        <v>0.58556716435759881</v>
      </c>
      <c r="K7926">
        <f>1/(COUNT(SimData5000!$C$9:$C$5008)-1)+$K$7925</f>
        <v>0.5835167033406703</v>
      </c>
    </row>
    <row r="7927" spans="8:11">
      <c r="H7927">
        <f>SMALL(SimData5000!$B$9:$B$5008,2919)</f>
        <v>0.58377610879735464</v>
      </c>
      <c r="I7927">
        <f>1/(COUNT(SimData5000!$B$9:$B$5008)-1)+$I$7926</f>
        <v>0.58371674334867185</v>
      </c>
      <c r="J7927">
        <f>SMALL(SimData5000!$C$9:$C$5008,2919)</f>
        <v>0.58576158259802469</v>
      </c>
      <c r="K7927">
        <f>1/(COUNT(SimData5000!$C$9:$C$5008)-1)+$K$7926</f>
        <v>0.58371674334867185</v>
      </c>
    </row>
    <row r="7928" spans="8:11">
      <c r="H7928">
        <f>SMALL(SimData5000!$B$9:$B$5008,2920)</f>
        <v>0.58393207008380721</v>
      </c>
      <c r="I7928">
        <f>1/(COUNT(SimData5000!$B$9:$B$5008)-1)+$I$7927</f>
        <v>0.58391678335667341</v>
      </c>
      <c r="J7928">
        <f>SMALL(SimData5000!$C$9:$C$5008,2920)</f>
        <v>0.58582058319370844</v>
      </c>
      <c r="K7928">
        <f>1/(COUNT(SimData5000!$C$9:$C$5008)-1)+$K$7927</f>
        <v>0.58391678335667341</v>
      </c>
    </row>
    <row r="7929" spans="8:11">
      <c r="H7929">
        <f>SMALL(SimData5000!$B$9:$B$5008,2921)</f>
        <v>0.58406676050044293</v>
      </c>
      <c r="I7929">
        <f>1/(COUNT(SimData5000!$B$9:$B$5008)-1)+$I$7928</f>
        <v>0.58411682336467496</v>
      </c>
      <c r="J7929">
        <f>SMALL(SimData5000!$C$9:$C$5008,2921)</f>
        <v>0.58584747906388657</v>
      </c>
      <c r="K7929">
        <f>1/(COUNT(SimData5000!$C$9:$C$5008)-1)+$K$7928</f>
        <v>0.58411682336467496</v>
      </c>
    </row>
    <row r="7930" spans="8:11">
      <c r="H7930">
        <f>SMALL(SimData5000!$B$9:$B$5008,2922)</f>
        <v>0.58425456855852498</v>
      </c>
      <c r="I7930">
        <f>1/(COUNT(SimData5000!$B$9:$B$5008)-1)+$I$7929</f>
        <v>0.58431686337267652</v>
      </c>
      <c r="J7930">
        <f>SMALL(SimData5000!$C$9:$C$5008,2922)</f>
        <v>0.58599537513055111</v>
      </c>
      <c r="K7930">
        <f>1/(COUNT(SimData5000!$C$9:$C$5008)-1)+$K$7929</f>
        <v>0.58431686337267652</v>
      </c>
    </row>
    <row r="7931" spans="8:11">
      <c r="H7931">
        <f>SMALL(SimData5000!$B$9:$B$5008,2923)</f>
        <v>0.58455387006969051</v>
      </c>
      <c r="I7931">
        <f>1/(COUNT(SimData5000!$B$9:$B$5008)-1)+$I$7930</f>
        <v>0.58451690338067808</v>
      </c>
      <c r="J7931">
        <f>SMALL(SimData5000!$C$9:$C$5008,2923)</f>
        <v>0.5860245366293384</v>
      </c>
      <c r="K7931">
        <f>1/(COUNT(SimData5000!$C$9:$C$5008)-1)+$K$7930</f>
        <v>0.58451690338067808</v>
      </c>
    </row>
    <row r="7932" spans="8:11">
      <c r="H7932">
        <f>SMALL(SimData5000!$B$9:$B$5008,2924)</f>
        <v>0.5847952075933095</v>
      </c>
      <c r="I7932">
        <f>1/(COUNT(SimData5000!$B$9:$B$5008)-1)+$I$7931</f>
        <v>0.58471694338867963</v>
      </c>
      <c r="J7932">
        <f>SMALL(SimData5000!$C$9:$C$5008,2924)</f>
        <v>0.58628454395784502</v>
      </c>
      <c r="K7932">
        <f>1/(COUNT(SimData5000!$C$9:$C$5008)-1)+$K$7931</f>
        <v>0.58471694338867963</v>
      </c>
    </row>
    <row r="7933" spans="8:11">
      <c r="H7933">
        <f>SMALL(SimData5000!$B$9:$B$5008,2925)</f>
        <v>0.58484236107138965</v>
      </c>
      <c r="I7933">
        <f>1/(COUNT(SimData5000!$B$9:$B$5008)-1)+$I$7932</f>
        <v>0.58491698339668119</v>
      </c>
      <c r="J7933">
        <f>SMALL(SimData5000!$C$9:$C$5008,2925)</f>
        <v>0.58636306774133118</v>
      </c>
      <c r="K7933">
        <f>1/(COUNT(SimData5000!$C$9:$C$5008)-1)+$K$7932</f>
        <v>0.58491698339668119</v>
      </c>
    </row>
    <row r="7934" spans="8:11">
      <c r="H7934">
        <f>SMALL(SimData5000!$B$9:$B$5008,2926)</f>
        <v>0.5850365934554107</v>
      </c>
      <c r="I7934">
        <f>1/(COUNT(SimData5000!$B$9:$B$5008)-1)+$I$7933</f>
        <v>0.58511702340468275</v>
      </c>
      <c r="J7934">
        <f>SMALL(SimData5000!$C$9:$C$5008,2926)</f>
        <v>0.5863781033676787</v>
      </c>
      <c r="K7934">
        <f>1/(COUNT(SimData5000!$C$9:$C$5008)-1)+$K$7933</f>
        <v>0.58511702340468275</v>
      </c>
    </row>
    <row r="7935" spans="8:11">
      <c r="H7935">
        <f>SMALL(SimData5000!$B$9:$B$5008,2927)</f>
        <v>0.5852882155274246</v>
      </c>
      <c r="I7935">
        <f>1/(COUNT(SimData5000!$B$9:$B$5008)-1)+$I$7934</f>
        <v>0.5853170634126843</v>
      </c>
      <c r="J7935">
        <f>SMALL(SimData5000!$C$9:$C$5008,2927)</f>
        <v>0.5865313050817349</v>
      </c>
      <c r="K7935">
        <f>1/(COUNT(SimData5000!$C$9:$C$5008)-1)+$K$7934</f>
        <v>0.5853170634126843</v>
      </c>
    </row>
    <row r="7936" spans="8:11">
      <c r="H7936">
        <f>SMALL(SimData5000!$B$9:$B$5008,2928)</f>
        <v>0.58546218192015353</v>
      </c>
      <c r="I7936">
        <f>1/(COUNT(SimData5000!$B$9:$B$5008)-1)+$I$7935</f>
        <v>0.58551710342068586</v>
      </c>
      <c r="J7936">
        <f>SMALL(SimData5000!$C$9:$C$5008,2928)</f>
        <v>0.58653146702272352</v>
      </c>
      <c r="K7936">
        <f>1/(COUNT(SimData5000!$C$9:$C$5008)-1)+$K$7935</f>
        <v>0.58551710342068586</v>
      </c>
    </row>
    <row r="7937" spans="8:11">
      <c r="H7937">
        <f>SMALL(SimData5000!$B$9:$B$5008,2929)</f>
        <v>0.58568170641136397</v>
      </c>
      <c r="I7937">
        <f>1/(COUNT(SimData5000!$B$9:$B$5008)-1)+$I$7936</f>
        <v>0.58571714342868741</v>
      </c>
      <c r="J7937">
        <f>SMALL(SimData5000!$C$9:$C$5008,2929)</f>
        <v>0.58734158754486998</v>
      </c>
      <c r="K7937">
        <f>1/(COUNT(SimData5000!$C$9:$C$5008)-1)+$K$7936</f>
        <v>0.58571714342868741</v>
      </c>
    </row>
    <row r="7938" spans="8:11">
      <c r="H7938">
        <f>SMALL(SimData5000!$B$9:$B$5008,2930)</f>
        <v>0.58599249756396576</v>
      </c>
      <c r="I7938">
        <f>1/(COUNT(SimData5000!$B$9:$B$5008)-1)+$I$7937</f>
        <v>0.58591718343668897</v>
      </c>
      <c r="J7938">
        <f>SMALL(SimData5000!$C$9:$C$5008,2930)</f>
        <v>0.58742708308454894</v>
      </c>
      <c r="K7938">
        <f>1/(COUNT(SimData5000!$C$9:$C$5008)-1)+$K$7937</f>
        <v>0.58591718343668897</v>
      </c>
    </row>
    <row r="7939" spans="8:11">
      <c r="H7939">
        <f>SMALL(SimData5000!$B$9:$B$5008,2931)</f>
        <v>0.58600159857487344</v>
      </c>
      <c r="I7939">
        <f>1/(COUNT(SimData5000!$B$9:$B$5008)-1)+$I$7938</f>
        <v>0.58611722344469053</v>
      </c>
      <c r="J7939">
        <f>SMALL(SimData5000!$C$9:$C$5008,2931)</f>
        <v>0.58768415267695673</v>
      </c>
      <c r="K7939">
        <f>1/(COUNT(SimData5000!$C$9:$C$5008)-1)+$K$7938</f>
        <v>0.58611722344469053</v>
      </c>
    </row>
    <row r="7940" spans="8:11">
      <c r="H7940">
        <f>SMALL(SimData5000!$B$9:$B$5008,2932)</f>
        <v>0.58639667501170112</v>
      </c>
      <c r="I7940">
        <f>1/(COUNT(SimData5000!$B$9:$B$5008)-1)+$I$7939</f>
        <v>0.58631726345269208</v>
      </c>
      <c r="J7940">
        <f>SMALL(SimData5000!$C$9:$C$5008,2932)</f>
        <v>0.5877963095153973</v>
      </c>
      <c r="K7940">
        <f>1/(COUNT(SimData5000!$C$9:$C$5008)-1)+$K$7939</f>
        <v>0.58631726345269208</v>
      </c>
    </row>
    <row r="7941" spans="8:11">
      <c r="H7941">
        <f>SMALL(SimData5000!$B$9:$B$5008,2933)</f>
        <v>0.58657352997529633</v>
      </c>
      <c r="I7941">
        <f>1/(COUNT(SimData5000!$B$9:$B$5008)-1)+$I$7940</f>
        <v>0.58651730346069364</v>
      </c>
      <c r="J7941">
        <f>SMALL(SimData5000!$C$9:$C$5008,2933)</f>
        <v>0.58803603400519933</v>
      </c>
      <c r="K7941">
        <f>1/(COUNT(SimData5000!$C$9:$C$5008)-1)+$K$7940</f>
        <v>0.58651730346069364</v>
      </c>
    </row>
    <row r="7942" spans="8:11">
      <c r="H7942">
        <f>SMALL(SimData5000!$B$9:$B$5008,2934)</f>
        <v>0.58663939155718303</v>
      </c>
      <c r="I7942">
        <f>1/(COUNT(SimData5000!$B$9:$B$5008)-1)+$I$7941</f>
        <v>0.5867173434686952</v>
      </c>
      <c r="J7942">
        <f>SMALL(SimData5000!$C$9:$C$5008,2934)</f>
        <v>0.58827879981981823</v>
      </c>
      <c r="K7942">
        <f>1/(COUNT(SimData5000!$C$9:$C$5008)-1)+$K$7941</f>
        <v>0.5867173434686952</v>
      </c>
    </row>
    <row r="7943" spans="8:11">
      <c r="H7943">
        <f>SMALL(SimData5000!$B$9:$B$5008,2935)</f>
        <v>0.58680644236649537</v>
      </c>
      <c r="I7943">
        <f>1/(COUNT(SimData5000!$B$9:$B$5008)-1)+$I$7942</f>
        <v>0.58691738347669675</v>
      </c>
      <c r="J7943">
        <f>SMALL(SimData5000!$C$9:$C$5008,2935)</f>
        <v>0.58867677885382363</v>
      </c>
      <c r="K7943">
        <f>1/(COUNT(SimData5000!$C$9:$C$5008)-1)+$K$7942</f>
        <v>0.58691738347669675</v>
      </c>
    </row>
    <row r="7944" spans="8:11">
      <c r="H7944">
        <f>SMALL(SimData5000!$B$9:$B$5008,2936)</f>
        <v>0.58707360195328329</v>
      </c>
      <c r="I7944">
        <f>1/(COUNT(SimData5000!$B$9:$B$5008)-1)+$I$7943</f>
        <v>0.58711742348469831</v>
      </c>
      <c r="J7944">
        <f>SMALL(SimData5000!$C$9:$C$5008,2936)</f>
        <v>0.58889319717491162</v>
      </c>
      <c r="K7944">
        <f>1/(COUNT(SimData5000!$C$9:$C$5008)-1)+$K$7943</f>
        <v>0.58711742348469831</v>
      </c>
    </row>
    <row r="7945" spans="8:11">
      <c r="H7945">
        <f>SMALL(SimData5000!$B$9:$B$5008,2937)</f>
        <v>0.58732393162607299</v>
      </c>
      <c r="I7945">
        <f>1/(COUNT(SimData5000!$B$9:$B$5008)-1)+$I$7944</f>
        <v>0.58731746349269986</v>
      </c>
      <c r="J7945">
        <f>SMALL(SimData5000!$C$9:$C$5008,2937)</f>
        <v>0.58889674614420073</v>
      </c>
      <c r="K7945">
        <f>1/(COUNT(SimData5000!$C$9:$C$5008)-1)+$K$7944</f>
        <v>0.58731746349269986</v>
      </c>
    </row>
    <row r="7946" spans="8:11">
      <c r="H7946">
        <f>SMALL(SimData5000!$B$9:$B$5008,2938)</f>
        <v>0.58753169673288508</v>
      </c>
      <c r="I7946">
        <f>1/(COUNT(SimData5000!$B$9:$B$5008)-1)+$I$7945</f>
        <v>0.58751750350070142</v>
      </c>
      <c r="J7946">
        <f>SMALL(SimData5000!$C$9:$C$5008,2938)</f>
        <v>0.5892846630895292</v>
      </c>
      <c r="K7946">
        <f>1/(COUNT(SimData5000!$C$9:$C$5008)-1)+$K$7945</f>
        <v>0.58751750350070142</v>
      </c>
    </row>
    <row r="7947" spans="8:11">
      <c r="H7947">
        <f>SMALL(SimData5000!$B$9:$B$5008,2939)</f>
        <v>0.58762391111772128</v>
      </c>
      <c r="I7947">
        <f>1/(COUNT(SimData5000!$B$9:$B$5008)-1)+$I$7946</f>
        <v>0.58771754350870298</v>
      </c>
      <c r="J7947">
        <f>SMALL(SimData5000!$C$9:$C$5008,2939)</f>
        <v>0.58932698080297996</v>
      </c>
      <c r="K7947">
        <f>1/(COUNT(SimData5000!$C$9:$C$5008)-1)+$K$7946</f>
        <v>0.58771754350870298</v>
      </c>
    </row>
    <row r="7948" spans="8:11">
      <c r="H7948">
        <f>SMALL(SimData5000!$B$9:$B$5008,2940)</f>
        <v>0.58797181085668782</v>
      </c>
      <c r="I7948">
        <f>1/(COUNT(SimData5000!$B$9:$B$5008)-1)+$I$7947</f>
        <v>0.58791758351670453</v>
      </c>
      <c r="J7948">
        <f>SMALL(SimData5000!$C$9:$C$5008,2940)</f>
        <v>0.5893275664839166</v>
      </c>
      <c r="K7948">
        <f>1/(COUNT(SimData5000!$C$9:$C$5008)-1)+$K$7947</f>
        <v>0.58791758351670453</v>
      </c>
    </row>
    <row r="7949" spans="8:11">
      <c r="H7949">
        <f>SMALL(SimData5000!$B$9:$B$5008,2941)</f>
        <v>0.58807569272701532</v>
      </c>
      <c r="I7949">
        <f>1/(COUNT(SimData5000!$B$9:$B$5008)-1)+$I$7948</f>
        <v>0.58811762352470609</v>
      </c>
      <c r="J7949">
        <f>SMALL(SimData5000!$C$9:$C$5008,2941)</f>
        <v>0.58947206539141916</v>
      </c>
      <c r="K7949">
        <f>1/(COUNT(SimData5000!$C$9:$C$5008)-1)+$K$7948</f>
        <v>0.58811762352470609</v>
      </c>
    </row>
    <row r="7950" spans="8:11">
      <c r="H7950">
        <f>SMALL(SimData5000!$B$9:$B$5008,2942)</f>
        <v>0.58822733273893302</v>
      </c>
      <c r="I7950">
        <f>1/(COUNT(SimData5000!$B$9:$B$5008)-1)+$I$7949</f>
        <v>0.58831766353270765</v>
      </c>
      <c r="J7950">
        <f>SMALL(SimData5000!$C$9:$C$5008,2942)</f>
        <v>0.58955614351361874</v>
      </c>
      <c r="K7950">
        <f>1/(COUNT(SimData5000!$C$9:$C$5008)-1)+$K$7949</f>
        <v>0.58831766353270765</v>
      </c>
    </row>
    <row r="7951" spans="8:11">
      <c r="H7951">
        <f>SMALL(SimData5000!$B$9:$B$5008,2943)</f>
        <v>0.58843949814155683</v>
      </c>
      <c r="I7951">
        <f>1/(COUNT(SimData5000!$B$9:$B$5008)-1)+$I$7950</f>
        <v>0.5885177035407092</v>
      </c>
      <c r="J7951">
        <f>SMALL(SimData5000!$C$9:$C$5008,2943)</f>
        <v>0.58960981535892643</v>
      </c>
      <c r="K7951">
        <f>1/(COUNT(SimData5000!$C$9:$C$5008)-1)+$K$7950</f>
        <v>0.5885177035407092</v>
      </c>
    </row>
    <row r="7952" spans="8:11">
      <c r="H7952">
        <f>SMALL(SimData5000!$B$9:$B$5008,2944)</f>
        <v>0.58876213701739022</v>
      </c>
      <c r="I7952">
        <f>1/(COUNT(SimData5000!$B$9:$B$5008)-1)+$I$7951</f>
        <v>0.58871774354871076</v>
      </c>
      <c r="J7952">
        <f>SMALL(SimData5000!$C$9:$C$5008,2944)</f>
        <v>0.58979065918720153</v>
      </c>
      <c r="K7952">
        <f>1/(COUNT(SimData5000!$C$9:$C$5008)-1)+$K$7951</f>
        <v>0.58871774354871076</v>
      </c>
    </row>
    <row r="7953" spans="8:11">
      <c r="H7953">
        <f>SMALL(SimData5000!$B$9:$B$5008,2945)</f>
        <v>0.58897267337212633</v>
      </c>
      <c r="I7953">
        <f>1/(COUNT(SimData5000!$B$9:$B$5008)-1)+$I$7952</f>
        <v>0.58891778355671232</v>
      </c>
      <c r="J7953">
        <f>SMALL(SimData5000!$C$9:$C$5008,2945)</f>
        <v>0.58980572207110527</v>
      </c>
      <c r="K7953">
        <f>1/(COUNT(SimData5000!$C$9:$C$5008)-1)+$K$7952</f>
        <v>0.58891778355671232</v>
      </c>
    </row>
    <row r="7954" spans="8:11">
      <c r="H7954">
        <f>SMALL(SimData5000!$B$9:$B$5008,2946)</f>
        <v>0.58914482869872475</v>
      </c>
      <c r="I7954">
        <f>1/(COUNT(SimData5000!$B$9:$B$5008)-1)+$I$7953</f>
        <v>0.58911782356471387</v>
      </c>
      <c r="J7954">
        <f>SMALL(SimData5000!$C$9:$C$5008,2946)</f>
        <v>0.58984742242137145</v>
      </c>
      <c r="K7954">
        <f>1/(COUNT(SimData5000!$C$9:$C$5008)-1)+$K$7953</f>
        <v>0.58911782356471387</v>
      </c>
    </row>
    <row r="7955" spans="8:11">
      <c r="H7955">
        <f>SMALL(SimData5000!$B$9:$B$5008,2947)</f>
        <v>0.58931773634108653</v>
      </c>
      <c r="I7955">
        <f>1/(COUNT(SimData5000!$B$9:$B$5008)-1)+$I$7954</f>
        <v>0.58931786357271543</v>
      </c>
      <c r="J7955">
        <f>SMALL(SimData5000!$C$9:$C$5008,2947)</f>
        <v>0.59017636327916989</v>
      </c>
      <c r="K7955">
        <f>1/(COUNT(SimData5000!$C$9:$C$5008)-1)+$K$7954</f>
        <v>0.58931786357271543</v>
      </c>
    </row>
    <row r="7956" spans="8:11">
      <c r="H7956">
        <f>SMALL(SimData5000!$B$9:$B$5008,2948)</f>
        <v>0.58957008566823088</v>
      </c>
      <c r="I7956">
        <f>1/(COUNT(SimData5000!$B$9:$B$5008)-1)+$I$7955</f>
        <v>0.58951790358071698</v>
      </c>
      <c r="J7956">
        <f>SMALL(SimData5000!$C$9:$C$5008,2948)</f>
        <v>0.59054561421999097</v>
      </c>
      <c r="K7956">
        <f>1/(COUNT(SimData5000!$C$9:$C$5008)-1)+$K$7955</f>
        <v>0.58951790358071698</v>
      </c>
    </row>
    <row r="7957" spans="8:11">
      <c r="H7957">
        <f>SMALL(SimData5000!$B$9:$B$5008,2949)</f>
        <v>0.5896977866675932</v>
      </c>
      <c r="I7957">
        <f>1/(COUNT(SimData5000!$B$9:$B$5008)-1)+$I$7956</f>
        <v>0.58971794358871854</v>
      </c>
      <c r="J7957">
        <f>SMALL(SimData5000!$C$9:$C$5008,2949)</f>
        <v>0.59082566124925506</v>
      </c>
      <c r="K7957">
        <f>1/(COUNT(SimData5000!$C$9:$C$5008)-1)+$K$7956</f>
        <v>0.58971794358871854</v>
      </c>
    </row>
    <row r="7958" spans="8:11">
      <c r="H7958">
        <f>SMALL(SimData5000!$B$9:$B$5008,2950)</f>
        <v>0.58991189293319168</v>
      </c>
      <c r="I7958">
        <f>1/(COUNT(SimData5000!$B$9:$B$5008)-1)+$I$7957</f>
        <v>0.5899179835967201</v>
      </c>
      <c r="J7958">
        <f>SMALL(SimData5000!$C$9:$C$5008,2950)</f>
        <v>0.59089906575900386</v>
      </c>
      <c r="K7958">
        <f>1/(COUNT(SimData5000!$C$9:$C$5008)-1)+$K$7957</f>
        <v>0.5899179835967201</v>
      </c>
    </row>
    <row r="7959" spans="8:11">
      <c r="H7959">
        <f>SMALL(SimData5000!$B$9:$B$5008,2951)</f>
        <v>0.59011088462046135</v>
      </c>
      <c r="I7959">
        <f>1/(COUNT(SimData5000!$B$9:$B$5008)-1)+$I$7958</f>
        <v>0.59011802360472165</v>
      </c>
      <c r="J7959">
        <f>SMALL(SimData5000!$C$9:$C$5008,2951)</f>
        <v>0.59106254714515671</v>
      </c>
      <c r="K7959">
        <f>1/(COUNT(SimData5000!$C$9:$C$5008)-1)+$K$7958</f>
        <v>0.59011802360472165</v>
      </c>
    </row>
    <row r="7960" spans="8:11">
      <c r="H7960">
        <f>SMALL(SimData5000!$B$9:$B$5008,2952)</f>
        <v>0.59034943683923913</v>
      </c>
      <c r="I7960">
        <f>1/(COUNT(SimData5000!$B$9:$B$5008)-1)+$I$7959</f>
        <v>0.59031806361272321</v>
      </c>
      <c r="J7960">
        <f>SMALL(SimData5000!$C$9:$C$5008,2952)</f>
        <v>0.59109368553799868</v>
      </c>
      <c r="K7960">
        <f>1/(COUNT(SimData5000!$C$9:$C$5008)-1)+$K$7959</f>
        <v>0.59031806361272321</v>
      </c>
    </row>
    <row r="7961" spans="8:11">
      <c r="H7961">
        <f>SMALL(SimData5000!$B$9:$B$5008,2953)</f>
        <v>0.5905866707640669</v>
      </c>
      <c r="I7961">
        <f>1/(COUNT(SimData5000!$B$9:$B$5008)-1)+$I$7960</f>
        <v>0.59051810362072477</v>
      </c>
      <c r="J7961">
        <f>SMALL(SimData5000!$C$9:$C$5008,2953)</f>
        <v>0.59138293353862537</v>
      </c>
      <c r="K7961">
        <f>1/(COUNT(SimData5000!$C$9:$C$5008)-1)+$K$7960</f>
        <v>0.59051810362072477</v>
      </c>
    </row>
    <row r="7962" spans="8:11">
      <c r="H7962">
        <f>SMALL(SimData5000!$B$9:$B$5008,2954)</f>
        <v>0.59062397564785174</v>
      </c>
      <c r="I7962">
        <f>1/(COUNT(SimData5000!$B$9:$B$5008)-1)+$I$7961</f>
        <v>0.59071814362872632</v>
      </c>
      <c r="J7962">
        <f>SMALL(SimData5000!$C$9:$C$5008,2954)</f>
        <v>0.59179525888248463</v>
      </c>
      <c r="K7962">
        <f>1/(COUNT(SimData5000!$C$9:$C$5008)-1)+$K$7961</f>
        <v>0.59071814362872632</v>
      </c>
    </row>
    <row r="7963" spans="8:11">
      <c r="H7963">
        <f>SMALL(SimData5000!$B$9:$B$5008,2955)</f>
        <v>0.59083301979075964</v>
      </c>
      <c r="I7963">
        <f>1/(COUNT(SimData5000!$B$9:$B$5008)-1)+$I$7962</f>
        <v>0.59091818363672788</v>
      </c>
      <c r="J7963">
        <f>SMALL(SimData5000!$C$9:$C$5008,2955)</f>
        <v>0.59179861192933458</v>
      </c>
      <c r="K7963">
        <f>1/(COUNT(SimData5000!$C$9:$C$5008)-1)+$K$7962</f>
        <v>0.59091818363672788</v>
      </c>
    </row>
    <row r="7964" spans="8:11">
      <c r="H7964">
        <f>SMALL(SimData5000!$B$9:$B$5008,2956)</f>
        <v>0.59117677848007921</v>
      </c>
      <c r="I7964">
        <f>1/(COUNT(SimData5000!$B$9:$B$5008)-1)+$I$7963</f>
        <v>0.59111822364472943</v>
      </c>
      <c r="J7964">
        <f>SMALL(SimData5000!$C$9:$C$5008,2956)</f>
        <v>0.59190671482156176</v>
      </c>
      <c r="K7964">
        <f>1/(COUNT(SimData5000!$C$9:$C$5008)-1)+$K$7963</f>
        <v>0.59111822364472943</v>
      </c>
    </row>
    <row r="7965" spans="8:11">
      <c r="H7965">
        <f>SMALL(SimData5000!$B$9:$B$5008,2957)</f>
        <v>0.59130235943414788</v>
      </c>
      <c r="I7965">
        <f>1/(COUNT(SimData5000!$B$9:$B$5008)-1)+$I$7964</f>
        <v>0.59131826365273099</v>
      </c>
      <c r="J7965">
        <f>SMALL(SimData5000!$C$9:$C$5008,2957)</f>
        <v>0.59215644241885457</v>
      </c>
      <c r="K7965">
        <f>1/(COUNT(SimData5000!$C$9:$C$5008)-1)+$K$7964</f>
        <v>0.59131826365273099</v>
      </c>
    </row>
    <row r="7966" spans="8:11">
      <c r="H7966">
        <f>SMALL(SimData5000!$B$9:$B$5008,2958)</f>
        <v>0.59156374959316194</v>
      </c>
      <c r="I7966">
        <f>1/(COUNT(SimData5000!$B$9:$B$5008)-1)+$I$7965</f>
        <v>0.59151830366073255</v>
      </c>
      <c r="J7966">
        <f>SMALL(SimData5000!$C$9:$C$5008,2958)</f>
        <v>0.59232293324021157</v>
      </c>
      <c r="K7966">
        <f>1/(COUNT(SimData5000!$C$9:$C$5008)-1)+$K$7965</f>
        <v>0.59151830366073255</v>
      </c>
    </row>
    <row r="7967" spans="8:11">
      <c r="H7967">
        <f>SMALL(SimData5000!$B$9:$B$5008,2959)</f>
        <v>0.59170338978658044</v>
      </c>
      <c r="I7967">
        <f>1/(COUNT(SimData5000!$B$9:$B$5008)-1)+$I$7966</f>
        <v>0.5917183436687341</v>
      </c>
      <c r="J7967">
        <f>SMALL(SimData5000!$C$9:$C$5008,2959)</f>
        <v>0.59237509711968528</v>
      </c>
      <c r="K7967">
        <f>1/(COUNT(SimData5000!$C$9:$C$5008)-1)+$K$7966</f>
        <v>0.5917183436687341</v>
      </c>
    </row>
    <row r="7968" spans="8:11">
      <c r="H7968">
        <f>SMALL(SimData5000!$B$9:$B$5008,2960)</f>
        <v>0.59184020186551856</v>
      </c>
      <c r="I7968">
        <f>1/(COUNT(SimData5000!$B$9:$B$5008)-1)+$I$7967</f>
        <v>0.59191838367673566</v>
      </c>
      <c r="J7968">
        <f>SMALL(SimData5000!$C$9:$C$5008,2960)</f>
        <v>0.59246083159814589</v>
      </c>
      <c r="K7968">
        <f>1/(COUNT(SimData5000!$C$9:$C$5008)-1)+$K$7967</f>
        <v>0.59191838367673566</v>
      </c>
    </row>
    <row r="7969" spans="8:11">
      <c r="H7969">
        <f>SMALL(SimData5000!$B$9:$B$5008,2961)</f>
        <v>0.59216477916663623</v>
      </c>
      <c r="I7969">
        <f>1/(COUNT(SimData5000!$B$9:$B$5008)-1)+$I$7968</f>
        <v>0.59211842368473722</v>
      </c>
      <c r="J7969">
        <f>SMALL(SimData5000!$C$9:$C$5008,2961)</f>
        <v>0.5928339207348472</v>
      </c>
      <c r="K7969">
        <f>1/(COUNT(SimData5000!$C$9:$C$5008)-1)+$K$7968</f>
        <v>0.59211842368473722</v>
      </c>
    </row>
    <row r="7970" spans="8:11">
      <c r="H7970">
        <f>SMALL(SimData5000!$B$9:$B$5008,2962)</f>
        <v>0.59234416316741711</v>
      </c>
      <c r="I7970">
        <f>1/(COUNT(SimData5000!$B$9:$B$5008)-1)+$I$7969</f>
        <v>0.59231846369273877</v>
      </c>
      <c r="J7970">
        <f>SMALL(SimData5000!$C$9:$C$5008,2962)</f>
        <v>0.59332676066969725</v>
      </c>
      <c r="K7970">
        <f>1/(COUNT(SimData5000!$C$9:$C$5008)-1)+$K$7969</f>
        <v>0.59231846369273877</v>
      </c>
    </row>
    <row r="7971" spans="8:11">
      <c r="H7971">
        <f>SMALL(SimData5000!$B$9:$B$5008,2963)</f>
        <v>0.59253276570395863</v>
      </c>
      <c r="I7971">
        <f>1/(COUNT(SimData5000!$B$9:$B$5008)-1)+$I$7970</f>
        <v>0.59251850370074033</v>
      </c>
      <c r="J7971">
        <f>SMALL(SimData5000!$C$9:$C$5008,2963)</f>
        <v>0.59350584230378445</v>
      </c>
      <c r="K7971">
        <f>1/(COUNT(SimData5000!$C$9:$C$5008)-1)+$K$7970</f>
        <v>0.59251850370074033</v>
      </c>
    </row>
    <row r="7972" spans="8:11">
      <c r="H7972">
        <f>SMALL(SimData5000!$B$9:$B$5008,2964)</f>
        <v>0.59279874437414082</v>
      </c>
      <c r="I7972">
        <f>1/(COUNT(SimData5000!$B$9:$B$5008)-1)+$I$7971</f>
        <v>0.59271854370874189</v>
      </c>
      <c r="J7972">
        <f>SMALL(SimData5000!$C$9:$C$5008,2964)</f>
        <v>0.59356482031671476</v>
      </c>
      <c r="K7972">
        <f>1/(COUNT(SimData5000!$C$9:$C$5008)-1)+$K$7971</f>
        <v>0.59271854370874189</v>
      </c>
    </row>
    <row r="7973" spans="8:11">
      <c r="H7973">
        <f>SMALL(SimData5000!$B$9:$B$5008,2965)</f>
        <v>0.59287385574622864</v>
      </c>
      <c r="I7973">
        <f>1/(COUNT(SimData5000!$B$9:$B$5008)-1)+$I$7972</f>
        <v>0.59291858371674344</v>
      </c>
      <c r="J7973">
        <f>SMALL(SimData5000!$C$9:$C$5008,2965)</f>
        <v>0.59390653266473237</v>
      </c>
      <c r="K7973">
        <f>1/(COUNT(SimData5000!$C$9:$C$5008)-1)+$K$7972</f>
        <v>0.59291858371674344</v>
      </c>
    </row>
    <row r="7974" spans="8:11">
      <c r="H7974">
        <f>SMALL(SimData5000!$B$9:$B$5008,2966)</f>
        <v>0.59317451254044995</v>
      </c>
      <c r="I7974">
        <f>1/(COUNT(SimData5000!$B$9:$B$5008)-1)+$I$7973</f>
        <v>0.593118623724745</v>
      </c>
      <c r="J7974">
        <f>SMALL(SimData5000!$C$9:$C$5008,2966)</f>
        <v>0.59402304426748742</v>
      </c>
      <c r="K7974">
        <f>1/(COUNT(SimData5000!$C$9:$C$5008)-1)+$K$7973</f>
        <v>0.593118623724745</v>
      </c>
    </row>
    <row r="7975" spans="8:11">
      <c r="H7975">
        <f>SMALL(SimData5000!$B$9:$B$5008,2967)</f>
        <v>0.59331943638104001</v>
      </c>
      <c r="I7975">
        <f>1/(COUNT(SimData5000!$B$9:$B$5008)-1)+$I$7974</f>
        <v>0.59331866373274655</v>
      </c>
      <c r="J7975">
        <f>SMALL(SimData5000!$C$9:$C$5008,2967)</f>
        <v>0.59428987804585631</v>
      </c>
      <c r="K7975">
        <f>1/(COUNT(SimData5000!$C$9:$C$5008)-1)+$K$7974</f>
        <v>0.59331866373274655</v>
      </c>
    </row>
    <row r="7976" spans="8:11">
      <c r="H7976">
        <f>SMALL(SimData5000!$B$9:$B$5008,2968)</f>
        <v>0.59356240781726377</v>
      </c>
      <c r="I7976">
        <f>1/(COUNT(SimData5000!$B$9:$B$5008)-1)+$I$7975</f>
        <v>0.59351870374074811</v>
      </c>
      <c r="J7976">
        <f>SMALL(SimData5000!$C$9:$C$5008,2968)</f>
        <v>0.59497242162433395</v>
      </c>
      <c r="K7976">
        <f>1/(COUNT(SimData5000!$C$9:$C$5008)-1)+$K$7975</f>
        <v>0.59351870374074811</v>
      </c>
    </row>
    <row r="7977" spans="8:11">
      <c r="H7977">
        <f>SMALL(SimData5000!$B$9:$B$5008,2969)</f>
        <v>0.59368064444900503</v>
      </c>
      <c r="I7977">
        <f>1/(COUNT(SimData5000!$B$9:$B$5008)-1)+$I$7976</f>
        <v>0.59371874374874967</v>
      </c>
      <c r="J7977">
        <f>SMALL(SimData5000!$C$9:$C$5008,2969)</f>
        <v>0.59522893056964676</v>
      </c>
      <c r="K7977">
        <f>1/(COUNT(SimData5000!$C$9:$C$5008)-1)+$K$7976</f>
        <v>0.59371874374874967</v>
      </c>
    </row>
    <row r="7978" spans="8:11">
      <c r="H7978">
        <f>SMALL(SimData5000!$B$9:$B$5008,2970)</f>
        <v>0.59382583892015406</v>
      </c>
      <c r="I7978">
        <f>1/(COUNT(SimData5000!$B$9:$B$5008)-1)+$I$7977</f>
        <v>0.59391878375675122</v>
      </c>
      <c r="J7978">
        <f>SMALL(SimData5000!$C$9:$C$5008,2970)</f>
        <v>0.59536371135800437</v>
      </c>
      <c r="K7978">
        <f>1/(COUNT(SimData5000!$C$9:$C$5008)-1)+$K$7977</f>
        <v>0.59391878375675122</v>
      </c>
    </row>
    <row r="7979" spans="8:11">
      <c r="H7979">
        <f>SMALL(SimData5000!$B$9:$B$5008,2971)</f>
        <v>0.59406165103159414</v>
      </c>
      <c r="I7979">
        <f>1/(COUNT(SimData5000!$B$9:$B$5008)-1)+$I$7978</f>
        <v>0.59411882376475278</v>
      </c>
      <c r="J7979">
        <f>SMALL(SimData5000!$C$9:$C$5008,2971)</f>
        <v>0.5954335507203723</v>
      </c>
      <c r="K7979">
        <f>1/(COUNT(SimData5000!$C$9:$C$5008)-1)+$K$7978</f>
        <v>0.59411882376475278</v>
      </c>
    </row>
    <row r="7980" spans="8:11">
      <c r="H7980">
        <f>SMALL(SimData5000!$B$9:$B$5008,2972)</f>
        <v>0.59423929596409186</v>
      </c>
      <c r="I7980">
        <f>1/(COUNT(SimData5000!$B$9:$B$5008)-1)+$I$7979</f>
        <v>0.59431886377275434</v>
      </c>
      <c r="J7980">
        <f>SMALL(SimData5000!$C$9:$C$5008,2972)</f>
        <v>0.59562045381062489</v>
      </c>
      <c r="K7980">
        <f>1/(COUNT(SimData5000!$C$9:$C$5008)-1)+$K$7979</f>
        <v>0.59431886377275434</v>
      </c>
    </row>
    <row r="7981" spans="8:11">
      <c r="H7981">
        <f>SMALL(SimData5000!$B$9:$B$5008,2973)</f>
        <v>0.59447362358487987</v>
      </c>
      <c r="I7981">
        <f>1/(COUNT(SimData5000!$B$9:$B$5008)-1)+$I$7980</f>
        <v>0.59451890378075589</v>
      </c>
      <c r="J7981">
        <f>SMALL(SimData5000!$C$9:$C$5008,2973)</f>
        <v>0.5957201425508174</v>
      </c>
      <c r="K7981">
        <f>1/(COUNT(SimData5000!$C$9:$C$5008)-1)+$K$7980</f>
        <v>0.59451890378075589</v>
      </c>
    </row>
    <row r="7982" spans="8:11">
      <c r="H7982">
        <f>SMALL(SimData5000!$B$9:$B$5008,2974)</f>
        <v>0.59469357764075825</v>
      </c>
      <c r="I7982">
        <f>1/(COUNT(SimData5000!$B$9:$B$5008)-1)+$I$7981</f>
        <v>0.59471894378875745</v>
      </c>
      <c r="J7982">
        <f>SMALL(SimData5000!$C$9:$C$5008,2974)</f>
        <v>0.59585438346402952</v>
      </c>
      <c r="K7982">
        <f>1/(COUNT(SimData5000!$C$9:$C$5008)-1)+$K$7981</f>
        <v>0.59471894378875745</v>
      </c>
    </row>
    <row r="7983" spans="8:11">
      <c r="H7983">
        <f>SMALL(SimData5000!$B$9:$B$5008,2975)</f>
        <v>0.59482257767348146</v>
      </c>
      <c r="I7983">
        <f>1/(COUNT(SimData5000!$B$9:$B$5008)-1)+$I$7982</f>
        <v>0.594918983796759</v>
      </c>
      <c r="J7983">
        <f>SMALL(SimData5000!$C$9:$C$5008,2975)</f>
        <v>0.59608140811360499</v>
      </c>
      <c r="K7983">
        <f>1/(COUNT(SimData5000!$C$9:$C$5008)-1)+$K$7982</f>
        <v>0.594918983796759</v>
      </c>
    </row>
    <row r="7984" spans="8:11">
      <c r="H7984">
        <f>SMALL(SimData5000!$B$9:$B$5008,2976)</f>
        <v>0.59511416520786331</v>
      </c>
      <c r="I7984">
        <f>1/(COUNT(SimData5000!$B$9:$B$5008)-1)+$I$7983</f>
        <v>0.59511902380476056</v>
      </c>
      <c r="J7984">
        <f>SMALL(SimData5000!$C$9:$C$5008,2976)</f>
        <v>0.59614454850088805</v>
      </c>
      <c r="K7984">
        <f>1/(COUNT(SimData5000!$C$9:$C$5008)-1)+$K$7983</f>
        <v>0.59511902380476056</v>
      </c>
    </row>
    <row r="7985" spans="8:11">
      <c r="H7985">
        <f>SMALL(SimData5000!$B$9:$B$5008,2977)</f>
        <v>0.59528278995782202</v>
      </c>
      <c r="I7985">
        <f>1/(COUNT(SimData5000!$B$9:$B$5008)-1)+$I$7984</f>
        <v>0.59531906381276212</v>
      </c>
      <c r="J7985">
        <f>SMALL(SimData5000!$C$9:$C$5008,2977)</f>
        <v>0.5962059639787185</v>
      </c>
      <c r="K7985">
        <f>1/(COUNT(SimData5000!$C$9:$C$5008)-1)+$K$7984</f>
        <v>0.59531906381276212</v>
      </c>
    </row>
    <row r="7986" spans="8:11">
      <c r="H7986">
        <f>SMALL(SimData5000!$B$9:$B$5008,2978)</f>
        <v>0.5955081151552285</v>
      </c>
      <c r="I7986">
        <f>1/(COUNT(SimData5000!$B$9:$B$5008)-1)+$I$7985</f>
        <v>0.59551910382076367</v>
      </c>
      <c r="J7986">
        <f>SMALL(SimData5000!$C$9:$C$5008,2978)</f>
        <v>0.59642756427638233</v>
      </c>
      <c r="K7986">
        <f>1/(COUNT(SimData5000!$C$9:$C$5008)-1)+$K$7985</f>
        <v>0.59551910382076367</v>
      </c>
    </row>
    <row r="7987" spans="8:11">
      <c r="H7987">
        <f>SMALL(SimData5000!$B$9:$B$5008,2979)</f>
        <v>0.59576706497184173</v>
      </c>
      <c r="I7987">
        <f>1/(COUNT(SimData5000!$B$9:$B$5008)-1)+$I$7986</f>
        <v>0.59571914382876523</v>
      </c>
      <c r="J7987">
        <f>SMALL(SimData5000!$C$9:$C$5008,2979)</f>
        <v>0.59659258708506968</v>
      </c>
      <c r="K7987">
        <f>1/(COUNT(SimData5000!$C$9:$C$5008)-1)+$K$7986</f>
        <v>0.59571914382876523</v>
      </c>
    </row>
    <row r="7988" spans="8:11">
      <c r="H7988">
        <f>SMALL(SimData5000!$B$9:$B$5008,2980)</f>
        <v>0.59597021575141007</v>
      </c>
      <c r="I7988">
        <f>1/(COUNT(SimData5000!$B$9:$B$5008)-1)+$I$7987</f>
        <v>0.59591918383676679</v>
      </c>
      <c r="J7988">
        <f>SMALL(SimData5000!$C$9:$C$5008,2980)</f>
        <v>0.59686700824386207</v>
      </c>
      <c r="K7988">
        <f>1/(COUNT(SimData5000!$C$9:$C$5008)-1)+$K$7987</f>
        <v>0.59591918383676679</v>
      </c>
    </row>
    <row r="7989" spans="8:11">
      <c r="H7989">
        <f>SMALL(SimData5000!$B$9:$B$5008,2981)</f>
        <v>0.59609122146100069</v>
      </c>
      <c r="I7989">
        <f>1/(COUNT(SimData5000!$B$9:$B$5008)-1)+$I$7988</f>
        <v>0.59611922384476834</v>
      </c>
      <c r="J7989">
        <f>SMALL(SimData5000!$C$9:$C$5008,2981)</f>
        <v>0.59689525342400884</v>
      </c>
      <c r="K7989">
        <f>1/(COUNT(SimData5000!$C$9:$C$5008)-1)+$K$7988</f>
        <v>0.59611922384476834</v>
      </c>
    </row>
    <row r="7990" spans="8:11">
      <c r="H7990">
        <f>SMALL(SimData5000!$B$9:$B$5008,2982)</f>
        <v>0.59639377087969192</v>
      </c>
      <c r="I7990">
        <f>1/(COUNT(SimData5000!$B$9:$B$5008)-1)+$I$7989</f>
        <v>0.5963192638527699</v>
      </c>
      <c r="J7990">
        <f>SMALL(SimData5000!$C$9:$C$5008,2982)</f>
        <v>0.59711754604450107</v>
      </c>
      <c r="K7990">
        <f>1/(COUNT(SimData5000!$C$9:$C$5008)-1)+$K$7989</f>
        <v>0.5963192638527699</v>
      </c>
    </row>
    <row r="7991" spans="8:11">
      <c r="H7991">
        <f>SMALL(SimData5000!$B$9:$B$5008,2983)</f>
        <v>0.59659114568056326</v>
      </c>
      <c r="I7991">
        <f>1/(COUNT(SimData5000!$B$9:$B$5008)-1)+$I$7990</f>
        <v>0.59651930386077145</v>
      </c>
      <c r="J7991">
        <f>SMALL(SimData5000!$C$9:$C$5008,2983)</f>
        <v>0.59717717380863178</v>
      </c>
      <c r="K7991">
        <f>1/(COUNT(SimData5000!$C$9:$C$5008)-1)+$K$7990</f>
        <v>0.59651930386077145</v>
      </c>
    </row>
    <row r="7992" spans="8:11">
      <c r="H7992">
        <f>SMALL(SimData5000!$B$9:$B$5008,2984)</f>
        <v>0.59670024982204206</v>
      </c>
      <c r="I7992">
        <f>1/(COUNT(SimData5000!$B$9:$B$5008)-1)+$I$7991</f>
        <v>0.59671934386877301</v>
      </c>
      <c r="J7992">
        <f>SMALL(SimData5000!$C$9:$C$5008,2984)</f>
        <v>0.59721757601892023</v>
      </c>
      <c r="K7992">
        <f>1/(COUNT(SimData5000!$C$9:$C$5008)-1)+$K$7991</f>
        <v>0.59671934386877301</v>
      </c>
    </row>
    <row r="7993" spans="8:11">
      <c r="H7993">
        <f>SMALL(SimData5000!$B$9:$B$5008,2985)</f>
        <v>0.59699742668261691</v>
      </c>
      <c r="I7993">
        <f>1/(COUNT(SimData5000!$B$9:$B$5008)-1)+$I$7992</f>
        <v>0.59691938387677457</v>
      </c>
      <c r="J7993">
        <f>SMALL(SimData5000!$C$9:$C$5008,2985)</f>
        <v>0.5974112122439692</v>
      </c>
      <c r="K7993">
        <f>1/(COUNT(SimData5000!$C$9:$C$5008)-1)+$K$7992</f>
        <v>0.59691938387677457</v>
      </c>
    </row>
    <row r="7994" spans="8:11">
      <c r="H7994">
        <f>SMALL(SimData5000!$B$9:$B$5008,2986)</f>
        <v>0.59703623156534424</v>
      </c>
      <c r="I7994">
        <f>1/(COUNT(SimData5000!$B$9:$B$5008)-1)+$I$7993</f>
        <v>0.59711942388477612</v>
      </c>
      <c r="J7994">
        <f>SMALL(SimData5000!$C$9:$C$5008,2986)</f>
        <v>0.59753188959075487</v>
      </c>
      <c r="K7994">
        <f>1/(COUNT(SimData5000!$C$9:$C$5008)-1)+$K$7993</f>
        <v>0.59711942388477612</v>
      </c>
    </row>
    <row r="7995" spans="8:11">
      <c r="H7995">
        <f>SMALL(SimData5000!$B$9:$B$5008,2987)</f>
        <v>0.59732492501463863</v>
      </c>
      <c r="I7995">
        <f>1/(COUNT(SimData5000!$B$9:$B$5008)-1)+$I$7994</f>
        <v>0.59731946389277768</v>
      </c>
      <c r="J7995">
        <f>SMALL(SimData5000!$C$9:$C$5008,2987)</f>
        <v>0.59785240416022134</v>
      </c>
      <c r="K7995">
        <f>1/(COUNT(SimData5000!$C$9:$C$5008)-1)+$K$7994</f>
        <v>0.59731946389277768</v>
      </c>
    </row>
    <row r="7996" spans="8:11">
      <c r="H7996">
        <f>SMALL(SimData5000!$B$9:$B$5008,2988)</f>
        <v>0.59749102902135132</v>
      </c>
      <c r="I7996">
        <f>1/(COUNT(SimData5000!$B$9:$B$5008)-1)+$I$7995</f>
        <v>0.59751950390077924</v>
      </c>
      <c r="J7996">
        <f>SMALL(SimData5000!$C$9:$C$5008,2988)</f>
        <v>0.59793257002547762</v>
      </c>
      <c r="K7996">
        <f>1/(COUNT(SimData5000!$C$9:$C$5008)-1)+$K$7995</f>
        <v>0.59751950390077924</v>
      </c>
    </row>
    <row r="7997" spans="8:11">
      <c r="H7997">
        <f>SMALL(SimData5000!$B$9:$B$5008,2989)</f>
        <v>0.59764643233703596</v>
      </c>
      <c r="I7997">
        <f>1/(COUNT(SimData5000!$B$9:$B$5008)-1)+$I$7996</f>
        <v>0.59771954390878079</v>
      </c>
      <c r="J7997">
        <f>SMALL(SimData5000!$C$9:$C$5008,2989)</f>
        <v>0.5981009512061064</v>
      </c>
      <c r="K7997">
        <f>1/(COUNT(SimData5000!$C$9:$C$5008)-1)+$K$7996</f>
        <v>0.59771954390878079</v>
      </c>
    </row>
    <row r="7998" spans="8:11">
      <c r="H7998">
        <f>SMALL(SimData5000!$B$9:$B$5008,2990)</f>
        <v>0.59796791027303975</v>
      </c>
      <c r="I7998">
        <f>1/(COUNT(SimData5000!$B$9:$B$5008)-1)+$I$7997</f>
        <v>0.59791958391678235</v>
      </c>
      <c r="J7998">
        <f>SMALL(SimData5000!$C$9:$C$5008,2990)</f>
        <v>0.59832630666005571</v>
      </c>
      <c r="K7998">
        <f>1/(COUNT(SimData5000!$C$9:$C$5008)-1)+$K$7997</f>
        <v>0.59791958391678235</v>
      </c>
    </row>
    <row r="7999" spans="8:11">
      <c r="H7999">
        <f>SMALL(SimData5000!$B$9:$B$5008,2991)</f>
        <v>0.59811498419258624</v>
      </c>
      <c r="I7999">
        <f>1/(COUNT(SimData5000!$B$9:$B$5008)-1)+$I$7998</f>
        <v>0.59811962392478391</v>
      </c>
      <c r="J7999">
        <f>SMALL(SimData5000!$C$9:$C$5008,2991)</f>
        <v>0.59848464782044175</v>
      </c>
      <c r="K7999">
        <f>1/(COUNT(SimData5000!$C$9:$C$5008)-1)+$K$7998</f>
        <v>0.59811962392478391</v>
      </c>
    </row>
    <row r="8000" spans="8:11">
      <c r="H8000">
        <f>SMALL(SimData5000!$B$9:$B$5008,2992)</f>
        <v>0.59837572427205177</v>
      </c>
      <c r="I8000">
        <f>1/(COUNT(SimData5000!$B$9:$B$5008)-1)+$I$7999</f>
        <v>0.59831966393278546</v>
      </c>
      <c r="J8000">
        <f>SMALL(SimData5000!$C$9:$C$5008,2992)</f>
        <v>0.59889794493301451</v>
      </c>
      <c r="K8000">
        <f>1/(COUNT(SimData5000!$C$9:$C$5008)-1)+$K$7999</f>
        <v>0.59831966393278546</v>
      </c>
    </row>
    <row r="8001" spans="8:11">
      <c r="H8001">
        <f>SMALL(SimData5000!$B$9:$B$5008,2993)</f>
        <v>0.59856028600860389</v>
      </c>
      <c r="I8001">
        <f>1/(COUNT(SimData5000!$B$9:$B$5008)-1)+$I$8000</f>
        <v>0.59851970394078702</v>
      </c>
      <c r="J8001">
        <f>SMALL(SimData5000!$C$9:$C$5008,2993)</f>
        <v>0.59908156900928589</v>
      </c>
      <c r="K8001">
        <f>1/(COUNT(SimData5000!$C$9:$C$5008)-1)+$K$8000</f>
        <v>0.59851970394078702</v>
      </c>
    </row>
    <row r="8002" spans="8:11">
      <c r="H8002">
        <f>SMALL(SimData5000!$B$9:$B$5008,2994)</f>
        <v>0.59876234883823487</v>
      </c>
      <c r="I8002">
        <f>1/(COUNT(SimData5000!$B$9:$B$5008)-1)+$I$8001</f>
        <v>0.59871974394878857</v>
      </c>
      <c r="J8002">
        <f>SMALL(SimData5000!$C$9:$C$5008,2994)</f>
        <v>0.59931756589594443</v>
      </c>
      <c r="K8002">
        <f>1/(COUNT(SimData5000!$C$9:$C$5008)-1)+$K$8001</f>
        <v>0.59871974394878857</v>
      </c>
    </row>
    <row r="8003" spans="8:11">
      <c r="H8003">
        <f>SMALL(SimData5000!$B$9:$B$5008,2995)</f>
        <v>0.59892505749187552</v>
      </c>
      <c r="I8003">
        <f>1/(COUNT(SimData5000!$B$9:$B$5008)-1)+$I$8002</f>
        <v>0.59891978395679013</v>
      </c>
      <c r="J8003">
        <f>SMALL(SimData5000!$C$9:$C$5008,2995)</f>
        <v>0.59992068616065808</v>
      </c>
      <c r="K8003">
        <f>1/(COUNT(SimData5000!$C$9:$C$5008)-1)+$K$8002</f>
        <v>0.59891978395679013</v>
      </c>
    </row>
    <row r="8004" spans="8:11">
      <c r="H8004">
        <f>SMALL(SimData5000!$B$9:$B$5008,2996)</f>
        <v>0.59909997088571543</v>
      </c>
      <c r="I8004">
        <f>1/(COUNT(SimData5000!$B$9:$B$5008)-1)+$I$8003</f>
        <v>0.59911982396479169</v>
      </c>
      <c r="J8004">
        <f>SMALL(SimData5000!$C$9:$C$5008,2996)</f>
        <v>0.60065366425897082</v>
      </c>
      <c r="K8004">
        <f>1/(COUNT(SimData5000!$C$9:$C$5008)-1)+$K$8003</f>
        <v>0.59911982396479169</v>
      </c>
    </row>
    <row r="8005" spans="8:11">
      <c r="H8005">
        <f>SMALL(SimData5000!$B$9:$B$5008,2997)</f>
        <v>0.59925091201380143</v>
      </c>
      <c r="I8005">
        <f>1/(COUNT(SimData5000!$B$9:$B$5008)-1)+$I$8004</f>
        <v>0.59931986397279324</v>
      </c>
      <c r="J8005">
        <f>SMALL(SimData5000!$C$9:$C$5008,2997)</f>
        <v>0.60085221146528056</v>
      </c>
      <c r="K8005">
        <f>1/(COUNT(SimData5000!$C$9:$C$5008)-1)+$K$8004</f>
        <v>0.59931986397279324</v>
      </c>
    </row>
    <row r="8006" spans="8:11">
      <c r="H8006">
        <f>SMALL(SimData5000!$B$9:$B$5008,2998)</f>
        <v>0.59950773700543392</v>
      </c>
      <c r="I8006">
        <f>1/(COUNT(SimData5000!$B$9:$B$5008)-1)+$I$8005</f>
        <v>0.5995199039807948</v>
      </c>
      <c r="J8006">
        <f>SMALL(SimData5000!$C$9:$C$5008,2998)</f>
        <v>0.60116402828862192</v>
      </c>
      <c r="K8006">
        <f>1/(COUNT(SimData5000!$C$9:$C$5008)-1)+$K$8005</f>
        <v>0.5995199039807948</v>
      </c>
    </row>
    <row r="8007" spans="8:11">
      <c r="H8007">
        <f>SMALL(SimData5000!$B$9:$B$5008,2999)</f>
        <v>0.59962311289143355</v>
      </c>
      <c r="I8007">
        <f>1/(COUNT(SimData5000!$B$9:$B$5008)-1)+$I$8006</f>
        <v>0.59971994398879636</v>
      </c>
      <c r="J8007">
        <f>SMALL(SimData5000!$C$9:$C$5008,2999)</f>
        <v>0.60155674170800921</v>
      </c>
      <c r="K8007">
        <f>1/(COUNT(SimData5000!$C$9:$C$5008)-1)+$K$8006</f>
        <v>0.59971994398879636</v>
      </c>
    </row>
    <row r="8008" spans="8:11">
      <c r="H8008">
        <f>SMALL(SimData5000!$B$9:$B$5008,3000)</f>
        <v>0.59989284322501457</v>
      </c>
      <c r="I8008">
        <f>1/(COUNT(SimData5000!$B$9:$B$5008)-1)+$I$8007</f>
        <v>0.59991998399679791</v>
      </c>
      <c r="J8008">
        <f>SMALL(SimData5000!$C$9:$C$5008,3000)</f>
        <v>0.60186875034924014</v>
      </c>
      <c r="K8008">
        <f>1/(COUNT(SimData5000!$C$9:$C$5008)-1)+$K$8007</f>
        <v>0.59991998399679791</v>
      </c>
    </row>
    <row r="8009" spans="8:11">
      <c r="H8009">
        <f>SMALL(SimData5000!$B$9:$B$5008,3001)</f>
        <v>0.60012262680486839</v>
      </c>
      <c r="I8009">
        <f>1/(COUNT(SimData5000!$B$9:$B$5008)-1)+$I$8008</f>
        <v>0.60012002400479947</v>
      </c>
      <c r="J8009">
        <f>SMALL(SimData5000!$C$9:$C$5008,3001)</f>
        <v>0.60210729025220644</v>
      </c>
      <c r="K8009">
        <f>1/(COUNT(SimData5000!$C$9:$C$5008)-1)+$K$8008</f>
        <v>0.60012002400479947</v>
      </c>
    </row>
    <row r="8010" spans="8:11">
      <c r="H8010">
        <f>SMALL(SimData5000!$B$9:$B$5008,3002)</f>
        <v>0.60031507419457553</v>
      </c>
      <c r="I8010">
        <f>1/(COUNT(SimData5000!$B$9:$B$5008)-1)+$I$8009</f>
        <v>0.60032006401280102</v>
      </c>
      <c r="J8010">
        <f>SMALL(SimData5000!$C$9:$C$5008,3002)</f>
        <v>0.60230534098263888</v>
      </c>
      <c r="K8010">
        <f>1/(COUNT(SimData5000!$C$9:$C$5008)-1)+$K$8009</f>
        <v>0.60032006401280102</v>
      </c>
    </row>
    <row r="8011" spans="8:11">
      <c r="H8011">
        <f>SMALL(SimData5000!$B$9:$B$5008,3003)</f>
        <v>0.60054946738787685</v>
      </c>
      <c r="I8011">
        <f>1/(COUNT(SimData5000!$B$9:$B$5008)-1)+$I$8010</f>
        <v>0.60052010402080258</v>
      </c>
      <c r="J8011">
        <f>SMALL(SimData5000!$C$9:$C$5008,3003)</f>
        <v>0.60230758240140858</v>
      </c>
      <c r="K8011">
        <f>1/(COUNT(SimData5000!$C$9:$C$5008)-1)+$K$8010</f>
        <v>0.60052010402080258</v>
      </c>
    </row>
    <row r="8012" spans="8:11">
      <c r="H8012">
        <f>SMALL(SimData5000!$B$9:$B$5008,3004)</f>
        <v>0.60073765835145898</v>
      </c>
      <c r="I8012">
        <f>1/(COUNT(SimData5000!$B$9:$B$5008)-1)+$I$8011</f>
        <v>0.60072014402880414</v>
      </c>
      <c r="J8012">
        <f>SMALL(SimData5000!$C$9:$C$5008,3004)</f>
        <v>0.60277655341997161</v>
      </c>
      <c r="K8012">
        <f>1/(COUNT(SimData5000!$C$9:$C$5008)-1)+$K$8011</f>
        <v>0.60072014402880414</v>
      </c>
    </row>
    <row r="8013" spans="8:11">
      <c r="H8013">
        <f>SMALL(SimData5000!$B$9:$B$5008,3005)</f>
        <v>0.60091333881740305</v>
      </c>
      <c r="I8013">
        <f>1/(COUNT(SimData5000!$B$9:$B$5008)-1)+$I$8012</f>
        <v>0.60092018403680569</v>
      </c>
      <c r="J8013">
        <f>SMALL(SimData5000!$C$9:$C$5008,3005)</f>
        <v>0.60282323854426068</v>
      </c>
      <c r="K8013">
        <f>1/(COUNT(SimData5000!$C$9:$C$5008)-1)+$K$8012</f>
        <v>0.60092018403680569</v>
      </c>
    </row>
    <row r="8014" spans="8:11">
      <c r="H8014">
        <f>SMALL(SimData5000!$B$9:$B$5008,3006)</f>
        <v>0.60117085989699015</v>
      </c>
      <c r="I8014">
        <f>1/(COUNT(SimData5000!$B$9:$B$5008)-1)+$I$8013</f>
        <v>0.60112022404480725</v>
      </c>
      <c r="J8014">
        <f>SMALL(SimData5000!$C$9:$C$5008,3006)</f>
        <v>0.60320221052825218</v>
      </c>
      <c r="K8014">
        <f>1/(COUNT(SimData5000!$C$9:$C$5008)-1)+$K$8013</f>
        <v>0.60112022404480725</v>
      </c>
    </row>
    <row r="8015" spans="8:11">
      <c r="H8015">
        <f>SMALL(SimData5000!$B$9:$B$5008,3007)</f>
        <v>0.60121328986222233</v>
      </c>
      <c r="I8015">
        <f>1/(COUNT(SimData5000!$B$9:$B$5008)-1)+$I$8014</f>
        <v>0.60132026405280881</v>
      </c>
      <c r="J8015">
        <f>SMALL(SimData5000!$C$9:$C$5008,3007)</f>
        <v>0.60366364486253588</v>
      </c>
      <c r="K8015">
        <f>1/(COUNT(SimData5000!$C$9:$C$5008)-1)+$K$8014</f>
        <v>0.60132026405280881</v>
      </c>
    </row>
    <row r="8016" spans="8:11">
      <c r="H8016">
        <f>SMALL(SimData5000!$B$9:$B$5008,3008)</f>
        <v>0.60154962833513259</v>
      </c>
      <c r="I8016">
        <f>1/(COUNT(SimData5000!$B$9:$B$5008)-1)+$I$8015</f>
        <v>0.60152030406081036</v>
      </c>
      <c r="J8016">
        <f>SMALL(SimData5000!$C$9:$C$5008,3008)</f>
        <v>0.6039570086331878</v>
      </c>
      <c r="K8016">
        <f>1/(COUNT(SimData5000!$C$9:$C$5008)-1)+$K$8015</f>
        <v>0.60152030406081036</v>
      </c>
    </row>
    <row r="8017" spans="8:11">
      <c r="H8017">
        <f>SMALL(SimData5000!$B$9:$B$5008,3009)</f>
        <v>0.60163233817201867</v>
      </c>
      <c r="I8017">
        <f>1/(COUNT(SimData5000!$B$9:$B$5008)-1)+$I$8016</f>
        <v>0.60172034406881192</v>
      </c>
      <c r="J8017">
        <f>SMALL(SimData5000!$C$9:$C$5008,3009)</f>
        <v>0.60410840360873408</v>
      </c>
      <c r="K8017">
        <f>1/(COUNT(SimData5000!$C$9:$C$5008)-1)+$K$8016</f>
        <v>0.60172034406881192</v>
      </c>
    </row>
    <row r="8018" spans="8:11">
      <c r="H8018">
        <f>SMALL(SimData5000!$B$9:$B$5008,3010)</f>
        <v>0.60197085057561539</v>
      </c>
      <c r="I8018">
        <f>1/(COUNT(SimData5000!$B$9:$B$5008)-1)+$I$8017</f>
        <v>0.60192038407681348</v>
      </c>
      <c r="J8018">
        <f>SMALL(SimData5000!$C$9:$C$5008,3010)</f>
        <v>0.60451513439875271</v>
      </c>
      <c r="K8018">
        <f>1/(COUNT(SimData5000!$C$9:$C$5008)-1)+$K$8017</f>
        <v>0.60192038407681348</v>
      </c>
    </row>
    <row r="8019" spans="8:11">
      <c r="H8019">
        <f>SMALL(SimData5000!$B$9:$B$5008,3011)</f>
        <v>0.60217675761728928</v>
      </c>
      <c r="I8019">
        <f>1/(COUNT(SimData5000!$B$9:$B$5008)-1)+$I$8018</f>
        <v>0.60212042408481503</v>
      </c>
      <c r="J8019">
        <f>SMALL(SimData5000!$C$9:$C$5008,3011)</f>
        <v>0.60512678585109825</v>
      </c>
      <c r="K8019">
        <f>1/(COUNT(SimData5000!$C$9:$C$5008)-1)+$K$8018</f>
        <v>0.60212042408481503</v>
      </c>
    </row>
    <row r="8020" spans="8:11">
      <c r="H8020">
        <f>SMALL(SimData5000!$B$9:$B$5008,3012)</f>
        <v>0.60228947028799207</v>
      </c>
      <c r="I8020">
        <f>1/(COUNT(SimData5000!$B$9:$B$5008)-1)+$I$8019</f>
        <v>0.60232046409281659</v>
      </c>
      <c r="J8020">
        <f>SMALL(SimData5000!$C$9:$C$5008,3012)</f>
        <v>0.60518072668673994</v>
      </c>
      <c r="K8020">
        <f>1/(COUNT(SimData5000!$C$9:$C$5008)-1)+$K$8019</f>
        <v>0.60232046409281659</v>
      </c>
    </row>
    <row r="8021" spans="8:11">
      <c r="H8021">
        <f>SMALL(SimData5000!$B$9:$B$5008,3013)</f>
        <v>0.60256026561790155</v>
      </c>
      <c r="I8021">
        <f>1/(COUNT(SimData5000!$B$9:$B$5008)-1)+$I$8020</f>
        <v>0.60252050410081814</v>
      </c>
      <c r="J8021">
        <f>SMALL(SimData5000!$C$9:$C$5008,3013)</f>
        <v>0.6052624509893576</v>
      </c>
      <c r="K8021">
        <f>1/(COUNT(SimData5000!$C$9:$C$5008)-1)+$K$8020</f>
        <v>0.60252050410081814</v>
      </c>
    </row>
    <row r="8022" spans="8:11">
      <c r="H8022">
        <f>SMALL(SimData5000!$B$9:$B$5008,3014)</f>
        <v>0.60268458284090387</v>
      </c>
      <c r="I8022">
        <f>1/(COUNT(SimData5000!$B$9:$B$5008)-1)+$I$8021</f>
        <v>0.6027205441088197</v>
      </c>
      <c r="J8022">
        <f>SMALL(SimData5000!$C$9:$C$5008,3014)</f>
        <v>0.60557501536004565</v>
      </c>
      <c r="K8022">
        <f>1/(COUNT(SimData5000!$C$9:$C$5008)-1)+$K$8021</f>
        <v>0.6027205441088197</v>
      </c>
    </row>
    <row r="8023" spans="8:11">
      <c r="H8023">
        <f>SMALL(SimData5000!$B$9:$B$5008,3015)</f>
        <v>0.60281674716039957</v>
      </c>
      <c r="I8023">
        <f>1/(COUNT(SimData5000!$B$9:$B$5008)-1)+$I$8022</f>
        <v>0.60292058411682126</v>
      </c>
      <c r="J8023">
        <f>SMALL(SimData5000!$C$9:$C$5008,3015)</f>
        <v>0.60571464400527475</v>
      </c>
      <c r="K8023">
        <f>1/(COUNT(SimData5000!$C$9:$C$5008)-1)+$K$8022</f>
        <v>0.60292058411682126</v>
      </c>
    </row>
    <row r="8024" spans="8:11">
      <c r="H8024">
        <f>SMALL(SimData5000!$B$9:$B$5008,3016)</f>
        <v>0.60307456380917568</v>
      </c>
      <c r="I8024">
        <f>1/(COUNT(SimData5000!$B$9:$B$5008)-1)+$I$8023</f>
        <v>0.60312062412482281</v>
      </c>
      <c r="J8024">
        <f>SMALL(SimData5000!$C$9:$C$5008,3016)</f>
        <v>0.60603532188179088</v>
      </c>
      <c r="K8024">
        <f>1/(COUNT(SimData5000!$C$9:$C$5008)-1)+$K$8023</f>
        <v>0.60312062412482281</v>
      </c>
    </row>
    <row r="8025" spans="8:11">
      <c r="H8025">
        <f>SMALL(SimData5000!$B$9:$B$5008,3017)</f>
        <v>0.60328497740078835</v>
      </c>
      <c r="I8025">
        <f>1/(COUNT(SimData5000!$B$9:$B$5008)-1)+$I$8024</f>
        <v>0.60332066413282437</v>
      </c>
      <c r="J8025">
        <f>SMALL(SimData5000!$C$9:$C$5008,3017)</f>
        <v>0.60606047788405704</v>
      </c>
      <c r="K8025">
        <f>1/(COUNT(SimData5000!$C$9:$C$5008)-1)+$K$8024</f>
        <v>0.60332066413282437</v>
      </c>
    </row>
    <row r="8026" spans="8:11">
      <c r="H8026">
        <f>SMALL(SimData5000!$B$9:$B$5008,3018)</f>
        <v>0.60353871871124454</v>
      </c>
      <c r="I8026">
        <f>1/(COUNT(SimData5000!$B$9:$B$5008)-1)+$I$8025</f>
        <v>0.60352070414082593</v>
      </c>
      <c r="J8026">
        <f>SMALL(SimData5000!$C$9:$C$5008,3018)</f>
        <v>0.60607240068111423</v>
      </c>
      <c r="K8026">
        <f>1/(COUNT(SimData5000!$C$9:$C$5008)-1)+$K$8025</f>
        <v>0.60352070414082593</v>
      </c>
    </row>
    <row r="8027" spans="8:11">
      <c r="H8027">
        <f>SMALL(SimData5000!$B$9:$B$5008,3019)</f>
        <v>0.60371591852771023</v>
      </c>
      <c r="I8027">
        <f>1/(COUNT(SimData5000!$B$9:$B$5008)-1)+$I$8026</f>
        <v>0.60372074414882748</v>
      </c>
      <c r="J8027">
        <f>SMALL(SimData5000!$C$9:$C$5008,3019)</f>
        <v>0.60629876075836364</v>
      </c>
      <c r="K8027">
        <f>1/(COUNT(SimData5000!$C$9:$C$5008)-1)+$K$8026</f>
        <v>0.60372074414882748</v>
      </c>
    </row>
    <row r="8028" spans="8:11">
      <c r="H8028">
        <f>SMALL(SimData5000!$B$9:$B$5008,3020)</f>
        <v>0.6038851186057751</v>
      </c>
      <c r="I8028">
        <f>1/(COUNT(SimData5000!$B$9:$B$5008)-1)+$I$8027</f>
        <v>0.60392078415682904</v>
      </c>
      <c r="J8028">
        <f>SMALL(SimData5000!$C$9:$C$5008,3020)</f>
        <v>0.60642045097847586</v>
      </c>
      <c r="K8028">
        <f>1/(COUNT(SimData5000!$C$9:$C$5008)-1)+$K$8027</f>
        <v>0.60392078415682904</v>
      </c>
    </row>
    <row r="8029" spans="8:11">
      <c r="H8029">
        <f>SMALL(SimData5000!$B$9:$B$5008,3021)</f>
        <v>0.60414677466171485</v>
      </c>
      <c r="I8029">
        <f>1/(COUNT(SimData5000!$B$9:$B$5008)-1)+$I$8028</f>
        <v>0.60412082416483059</v>
      </c>
      <c r="J8029">
        <f>SMALL(SimData5000!$C$9:$C$5008,3021)</f>
        <v>0.60687865801264707</v>
      </c>
      <c r="K8029">
        <f>1/(COUNT(SimData5000!$C$9:$C$5008)-1)+$K$8028</f>
        <v>0.60412082416483059</v>
      </c>
    </row>
    <row r="8030" spans="8:11">
      <c r="H8030">
        <f>SMALL(SimData5000!$B$9:$B$5008,3022)</f>
        <v>0.60427169597262331</v>
      </c>
      <c r="I8030">
        <f>1/(COUNT(SimData5000!$B$9:$B$5008)-1)+$I$8029</f>
        <v>0.60432086417283215</v>
      </c>
      <c r="J8030">
        <f>SMALL(SimData5000!$C$9:$C$5008,3022)</f>
        <v>0.60707257372177992</v>
      </c>
      <c r="K8030">
        <f>1/(COUNT(SimData5000!$C$9:$C$5008)-1)+$K$8029</f>
        <v>0.60432086417283215</v>
      </c>
    </row>
    <row r="8031" spans="8:11">
      <c r="H8031">
        <f>SMALL(SimData5000!$B$9:$B$5008,3023)</f>
        <v>0.60443847857528332</v>
      </c>
      <c r="I8031">
        <f>1/(COUNT(SimData5000!$B$9:$B$5008)-1)+$I$8030</f>
        <v>0.60452090418083371</v>
      </c>
      <c r="J8031">
        <f>SMALL(SimData5000!$C$9:$C$5008,3023)</f>
        <v>0.60731532655518095</v>
      </c>
      <c r="K8031">
        <f>1/(COUNT(SimData5000!$C$9:$C$5008)-1)+$K$8030</f>
        <v>0.60452090418083371</v>
      </c>
    </row>
    <row r="8032" spans="8:11">
      <c r="H8032">
        <f>SMALL(SimData5000!$B$9:$B$5008,3024)</f>
        <v>0.60465068173023195</v>
      </c>
      <c r="I8032">
        <f>1/(COUNT(SimData5000!$B$9:$B$5008)-1)+$I$8031</f>
        <v>0.60472094418883526</v>
      </c>
      <c r="J8032">
        <f>SMALL(SimData5000!$C$9:$C$5008,3024)</f>
        <v>0.60732774499956577</v>
      </c>
      <c r="K8032">
        <f>1/(COUNT(SimData5000!$C$9:$C$5008)-1)+$K$8031</f>
        <v>0.60472094418883526</v>
      </c>
    </row>
    <row r="8033" spans="8:11">
      <c r="H8033">
        <f>SMALL(SimData5000!$B$9:$B$5008,3025)</f>
        <v>0.60485045471658239</v>
      </c>
      <c r="I8033">
        <f>1/(COUNT(SimData5000!$B$9:$B$5008)-1)+$I$8032</f>
        <v>0.60492098419683682</v>
      </c>
      <c r="J8033">
        <f>SMALL(SimData5000!$C$9:$C$5008,3025)</f>
        <v>0.60741649959118149</v>
      </c>
      <c r="K8033">
        <f>1/(COUNT(SimData5000!$C$9:$C$5008)-1)+$K$8032</f>
        <v>0.60492098419683682</v>
      </c>
    </row>
    <row r="8034" spans="8:11">
      <c r="H8034">
        <f>SMALL(SimData5000!$B$9:$B$5008,3026)</f>
        <v>0.60507496271111882</v>
      </c>
      <c r="I8034">
        <f>1/(COUNT(SimData5000!$B$9:$B$5008)-1)+$I$8033</f>
        <v>0.60512102420483838</v>
      </c>
      <c r="J8034">
        <f>SMALL(SimData5000!$C$9:$C$5008,3026)</f>
        <v>0.60768491498402</v>
      </c>
      <c r="K8034">
        <f>1/(COUNT(SimData5000!$C$9:$C$5008)-1)+$K$8033</f>
        <v>0.60512102420483838</v>
      </c>
    </row>
    <row r="8035" spans="8:11">
      <c r="H8035">
        <f>SMALL(SimData5000!$B$9:$B$5008,3027)</f>
        <v>0.60536654833312298</v>
      </c>
      <c r="I8035">
        <f>1/(COUNT(SimData5000!$B$9:$B$5008)-1)+$I$8034</f>
        <v>0.60532106421283993</v>
      </c>
      <c r="J8035">
        <f>SMALL(SimData5000!$C$9:$C$5008,3027)</f>
        <v>0.60817100399799529</v>
      </c>
      <c r="K8035">
        <f>1/(COUNT(SimData5000!$C$9:$C$5008)-1)+$K$8034</f>
        <v>0.60532106421283993</v>
      </c>
    </row>
    <row r="8036" spans="8:11">
      <c r="H8036">
        <f>SMALL(SimData5000!$B$9:$B$5008,3028)</f>
        <v>0.60550721434133759</v>
      </c>
      <c r="I8036">
        <f>1/(COUNT(SimData5000!$B$9:$B$5008)-1)+$I$8035</f>
        <v>0.60552110422084149</v>
      </c>
      <c r="J8036">
        <f>SMALL(SimData5000!$C$9:$C$5008,3028)</f>
        <v>0.60851160773017909</v>
      </c>
      <c r="K8036">
        <f>1/(COUNT(SimData5000!$C$9:$C$5008)-1)+$K$8035</f>
        <v>0.60552110422084149</v>
      </c>
    </row>
    <row r="8037" spans="8:11">
      <c r="H8037">
        <f>SMALL(SimData5000!$B$9:$B$5008,3029)</f>
        <v>0.60570050145576249</v>
      </c>
      <c r="I8037">
        <f>1/(COUNT(SimData5000!$B$9:$B$5008)-1)+$I$8036</f>
        <v>0.60572114422884304</v>
      </c>
      <c r="J8037">
        <f>SMALL(SimData5000!$C$9:$C$5008,3029)</f>
        <v>0.60873348362565594</v>
      </c>
      <c r="K8037">
        <f>1/(COUNT(SimData5000!$C$9:$C$5008)-1)+$K$8036</f>
        <v>0.60572114422884304</v>
      </c>
    </row>
    <row r="8038" spans="8:11">
      <c r="H8038">
        <f>SMALL(SimData5000!$B$9:$B$5008,3030)</f>
        <v>0.60585662961235653</v>
      </c>
      <c r="I8038">
        <f>1/(COUNT(SimData5000!$B$9:$B$5008)-1)+$I$8037</f>
        <v>0.6059211842368446</v>
      </c>
      <c r="J8038">
        <f>SMALL(SimData5000!$C$9:$C$5008,3030)</f>
        <v>0.60927700862976053</v>
      </c>
      <c r="K8038">
        <f>1/(COUNT(SimData5000!$C$9:$C$5008)-1)+$K$8037</f>
        <v>0.6059211842368446</v>
      </c>
    </row>
    <row r="8039" spans="8:11">
      <c r="H8039">
        <f>SMALL(SimData5000!$B$9:$B$5008,3031)</f>
        <v>0.60616431794244896</v>
      </c>
      <c r="I8039">
        <f>1/(COUNT(SimData5000!$B$9:$B$5008)-1)+$I$8038</f>
        <v>0.60612122424484616</v>
      </c>
      <c r="J8039">
        <f>SMALL(SimData5000!$C$9:$C$5008,3031)</f>
        <v>0.60932883003715688</v>
      </c>
      <c r="K8039">
        <f>1/(COUNT(SimData5000!$C$9:$C$5008)-1)+$K$8038</f>
        <v>0.60612122424484616</v>
      </c>
    </row>
    <row r="8040" spans="8:11">
      <c r="H8040">
        <f>SMALL(SimData5000!$B$9:$B$5008,3032)</f>
        <v>0.60636985697121593</v>
      </c>
      <c r="I8040">
        <f>1/(COUNT(SimData5000!$B$9:$B$5008)-1)+$I$8039</f>
        <v>0.60632126425284771</v>
      </c>
      <c r="J8040">
        <f>SMALL(SimData5000!$C$9:$C$5008,3032)</f>
        <v>0.60936533066796983</v>
      </c>
      <c r="K8040">
        <f>1/(COUNT(SimData5000!$C$9:$C$5008)-1)+$K$8039</f>
        <v>0.60632126425284771</v>
      </c>
    </row>
    <row r="8041" spans="8:11">
      <c r="H8041">
        <f>SMALL(SimData5000!$B$9:$B$5008,3033)</f>
        <v>0.60644969386715664</v>
      </c>
      <c r="I8041">
        <f>1/(COUNT(SimData5000!$B$9:$B$5008)-1)+$I$8040</f>
        <v>0.60652130426084927</v>
      </c>
      <c r="J8041">
        <f>SMALL(SimData5000!$C$9:$C$5008,3033)</f>
        <v>0.6099204088877741</v>
      </c>
      <c r="K8041">
        <f>1/(COUNT(SimData5000!$C$9:$C$5008)-1)+$K$8040</f>
        <v>0.60652130426084927</v>
      </c>
    </row>
    <row r="8042" spans="8:11">
      <c r="H8042">
        <f>SMALL(SimData5000!$B$9:$B$5008,3034)</f>
        <v>0.60676599561841371</v>
      </c>
      <c r="I8042">
        <f>1/(COUNT(SimData5000!$B$9:$B$5008)-1)+$I$8041</f>
        <v>0.60672134426885083</v>
      </c>
      <c r="J8042">
        <f>SMALL(SimData5000!$C$9:$C$5008,3034)</f>
        <v>0.61029652497472853</v>
      </c>
      <c r="K8042">
        <f>1/(COUNT(SimData5000!$C$9:$C$5008)-1)+$K$8041</f>
        <v>0.60672134426885083</v>
      </c>
    </row>
    <row r="8043" spans="8:11">
      <c r="H8043">
        <f>SMALL(SimData5000!$B$9:$B$5008,3035)</f>
        <v>0.60683152520373274</v>
      </c>
      <c r="I8043">
        <f>1/(COUNT(SimData5000!$B$9:$B$5008)-1)+$I$8042</f>
        <v>0.60692138427685238</v>
      </c>
      <c r="J8043">
        <f>SMALL(SimData5000!$C$9:$C$5008,3035)</f>
        <v>0.61074821721740591</v>
      </c>
      <c r="K8043">
        <f>1/(COUNT(SimData5000!$C$9:$C$5008)-1)+$K$8042</f>
        <v>0.60692138427685238</v>
      </c>
    </row>
    <row r="8044" spans="8:11">
      <c r="H8044">
        <f>SMALL(SimData5000!$B$9:$B$5008,3036)</f>
        <v>0.60711279216639535</v>
      </c>
      <c r="I8044">
        <f>1/(COUNT(SimData5000!$B$9:$B$5008)-1)+$I$8043</f>
        <v>0.60712142428485394</v>
      </c>
      <c r="J8044">
        <f>SMALL(SimData5000!$C$9:$C$5008,3036)</f>
        <v>0.61097198644347372</v>
      </c>
      <c r="K8044">
        <f>1/(COUNT(SimData5000!$C$9:$C$5008)-1)+$K$8043</f>
        <v>0.60712142428485394</v>
      </c>
    </row>
    <row r="8045" spans="8:11">
      <c r="H8045">
        <f>SMALL(SimData5000!$B$9:$B$5008,3037)</f>
        <v>0.60728010305438196</v>
      </c>
      <c r="I8045">
        <f>1/(COUNT(SimData5000!$B$9:$B$5008)-1)+$I$8044</f>
        <v>0.6073214642928555</v>
      </c>
      <c r="J8045">
        <f>SMALL(SimData5000!$C$9:$C$5008,3037)</f>
        <v>0.61113887115880061</v>
      </c>
      <c r="K8045">
        <f>1/(COUNT(SimData5000!$C$9:$C$5008)-1)+$K$8044</f>
        <v>0.6073214642928555</v>
      </c>
    </row>
    <row r="8046" spans="8:11">
      <c r="H8046">
        <f>SMALL(SimData5000!$B$9:$B$5008,3038)</f>
        <v>0.60750158582537006</v>
      </c>
      <c r="I8046">
        <f>1/(COUNT(SimData5000!$B$9:$B$5008)-1)+$I$8045</f>
        <v>0.60752150430085705</v>
      </c>
      <c r="J8046">
        <f>SMALL(SimData5000!$C$9:$C$5008,3038)</f>
        <v>0.61150294056960774</v>
      </c>
      <c r="K8046">
        <f>1/(COUNT(SimData5000!$C$9:$C$5008)-1)+$K$8045</f>
        <v>0.60752150430085705</v>
      </c>
    </row>
    <row r="8047" spans="8:11">
      <c r="H8047">
        <f>SMALL(SimData5000!$B$9:$B$5008,3039)</f>
        <v>0.60774350649396502</v>
      </c>
      <c r="I8047">
        <f>1/(COUNT(SimData5000!$B$9:$B$5008)-1)+$I$8046</f>
        <v>0.60772154430885861</v>
      </c>
      <c r="J8047">
        <f>SMALL(SimData5000!$C$9:$C$5008,3039)</f>
        <v>0.61156342496178695</v>
      </c>
      <c r="K8047">
        <f>1/(COUNT(SimData5000!$C$9:$C$5008)-1)+$K$8046</f>
        <v>0.60772154430885861</v>
      </c>
    </row>
    <row r="8048" spans="8:11">
      <c r="H8048">
        <f>SMALL(SimData5000!$B$9:$B$5008,3040)</f>
        <v>0.60781540657920186</v>
      </c>
      <c r="I8048">
        <f>1/(COUNT(SimData5000!$B$9:$B$5008)-1)+$I$8047</f>
        <v>0.60792158431686016</v>
      </c>
      <c r="J8048">
        <f>SMALL(SimData5000!$C$9:$C$5008,3040)</f>
        <v>0.61164384199582855</v>
      </c>
      <c r="K8048">
        <f>1/(COUNT(SimData5000!$C$9:$C$5008)-1)+$K$8047</f>
        <v>0.60792158431686016</v>
      </c>
    </row>
    <row r="8049" spans="8:11">
      <c r="H8049">
        <f>SMALL(SimData5000!$B$9:$B$5008,3041)</f>
        <v>0.60812160814812444</v>
      </c>
      <c r="I8049">
        <f>1/(COUNT(SimData5000!$B$9:$B$5008)-1)+$I$8048</f>
        <v>0.60812162432486172</v>
      </c>
      <c r="J8049">
        <f>SMALL(SimData5000!$C$9:$C$5008,3041)</f>
        <v>0.61191755906475009</v>
      </c>
      <c r="K8049">
        <f>1/(COUNT(SimData5000!$C$9:$C$5008)-1)+$K$8048</f>
        <v>0.60812162432486172</v>
      </c>
    </row>
    <row r="8050" spans="8:11">
      <c r="H8050">
        <f>SMALL(SimData5000!$B$9:$B$5008,3042)</f>
        <v>0.60838835021876458</v>
      </c>
      <c r="I8050">
        <f>1/(COUNT(SimData5000!$B$9:$B$5008)-1)+$I$8049</f>
        <v>0.60832166433286328</v>
      </c>
      <c r="J8050">
        <f>SMALL(SimData5000!$C$9:$C$5008,3042)</f>
        <v>0.61196544513313711</v>
      </c>
      <c r="K8050">
        <f>1/(COUNT(SimData5000!$C$9:$C$5008)-1)+$K$8049</f>
        <v>0.60832166433286328</v>
      </c>
    </row>
    <row r="8051" spans="8:11">
      <c r="H8051">
        <f>SMALL(SimData5000!$B$9:$B$5008,3043)</f>
        <v>0.60840022293883389</v>
      </c>
      <c r="I8051">
        <f>1/(COUNT(SimData5000!$B$9:$B$5008)-1)+$I$8050</f>
        <v>0.60852170434086483</v>
      </c>
      <c r="J8051">
        <f>SMALL(SimData5000!$C$9:$C$5008,3043)</f>
        <v>0.61210322157876362</v>
      </c>
      <c r="K8051">
        <f>1/(COUNT(SimData5000!$C$9:$C$5008)-1)+$K$8050</f>
        <v>0.60852170434086483</v>
      </c>
    </row>
    <row r="8052" spans="8:11">
      <c r="H8052">
        <f>SMALL(SimData5000!$B$9:$B$5008,3044)</f>
        <v>0.60879491788335027</v>
      </c>
      <c r="I8052">
        <f>1/(COUNT(SimData5000!$B$9:$B$5008)-1)+$I$8051</f>
        <v>0.60872174434886639</v>
      </c>
      <c r="J8052">
        <f>SMALL(SimData5000!$C$9:$C$5008,3044)</f>
        <v>0.6121546642634712</v>
      </c>
      <c r="K8052">
        <f>1/(COUNT(SimData5000!$C$9:$C$5008)-1)+$K$8051</f>
        <v>0.60872174434886639</v>
      </c>
    </row>
    <row r="8053" spans="8:11">
      <c r="H8053">
        <f>SMALL(SimData5000!$B$9:$B$5008,3045)</f>
        <v>0.60893672641151042</v>
      </c>
      <c r="I8053">
        <f>1/(COUNT(SimData5000!$B$9:$B$5008)-1)+$I$8052</f>
        <v>0.60892178435686795</v>
      </c>
      <c r="J8053">
        <f>SMALL(SimData5000!$C$9:$C$5008,3045)</f>
        <v>0.61241412407525786</v>
      </c>
      <c r="K8053">
        <f>1/(COUNT(SimData5000!$C$9:$C$5008)-1)+$K$8052</f>
        <v>0.60892178435686795</v>
      </c>
    </row>
    <row r="8054" spans="8:11">
      <c r="H8054">
        <f>SMALL(SimData5000!$B$9:$B$5008,3046)</f>
        <v>0.60901938454471982</v>
      </c>
      <c r="I8054">
        <f>1/(COUNT(SimData5000!$B$9:$B$5008)-1)+$I$8053</f>
        <v>0.6091218243648695</v>
      </c>
      <c r="J8054">
        <f>SMALL(SimData5000!$C$9:$C$5008,3046)</f>
        <v>0.61246279914303159</v>
      </c>
      <c r="K8054">
        <f>1/(COUNT(SimData5000!$C$9:$C$5008)-1)+$K$8053</f>
        <v>0.6091218243648695</v>
      </c>
    </row>
    <row r="8055" spans="8:11">
      <c r="H8055">
        <f>SMALL(SimData5000!$B$9:$B$5008,3047)</f>
        <v>0.60938064726008578</v>
      </c>
      <c r="I8055">
        <f>1/(COUNT(SimData5000!$B$9:$B$5008)-1)+$I$8054</f>
        <v>0.60932186437287106</v>
      </c>
      <c r="J8055">
        <f>SMALL(SimData5000!$C$9:$C$5008,3047)</f>
        <v>0.61251869866373454</v>
      </c>
      <c r="K8055">
        <f>1/(COUNT(SimData5000!$C$9:$C$5008)-1)+$K$8054</f>
        <v>0.60932186437287106</v>
      </c>
    </row>
    <row r="8056" spans="8:11">
      <c r="H8056">
        <f>SMALL(SimData5000!$B$9:$B$5008,3048)</f>
        <v>0.6095931810026507</v>
      </c>
      <c r="I8056">
        <f>1/(COUNT(SimData5000!$B$9:$B$5008)-1)+$I$8055</f>
        <v>0.60952190438087261</v>
      </c>
      <c r="J8056">
        <f>SMALL(SimData5000!$C$9:$C$5008,3048)</f>
        <v>0.61270421387416718</v>
      </c>
      <c r="K8056">
        <f>1/(COUNT(SimData5000!$C$9:$C$5008)-1)+$K$8055</f>
        <v>0.60952190438087261</v>
      </c>
    </row>
    <row r="8057" spans="8:11">
      <c r="H8057">
        <f>SMALL(SimData5000!$B$9:$B$5008,3049)</f>
        <v>0.60965606541835149</v>
      </c>
      <c r="I8057">
        <f>1/(COUNT(SimData5000!$B$9:$B$5008)-1)+$I$8056</f>
        <v>0.60972194438887417</v>
      </c>
      <c r="J8057">
        <f>SMALL(SimData5000!$C$9:$C$5008,3049)</f>
        <v>0.61352092668312252</v>
      </c>
      <c r="K8057">
        <f>1/(COUNT(SimData5000!$C$9:$C$5008)-1)+$K$8056</f>
        <v>0.60972194438887417</v>
      </c>
    </row>
    <row r="8058" spans="8:11">
      <c r="H8058">
        <f>SMALL(SimData5000!$B$9:$B$5008,3050)</f>
        <v>0.60991302832800731</v>
      </c>
      <c r="I8058">
        <f>1/(COUNT(SimData5000!$B$9:$B$5008)-1)+$I$8057</f>
        <v>0.60992198439687573</v>
      </c>
      <c r="J8058">
        <f>SMALL(SimData5000!$C$9:$C$5008,3050)</f>
        <v>0.61354306859539065</v>
      </c>
      <c r="K8058">
        <f>1/(COUNT(SimData5000!$C$9:$C$5008)-1)+$K$8057</f>
        <v>0.60992198439687573</v>
      </c>
    </row>
    <row r="8059" spans="8:11">
      <c r="H8059">
        <f>SMALL(SimData5000!$B$9:$B$5008,3051)</f>
        <v>0.61006300344803899</v>
      </c>
      <c r="I8059">
        <f>1/(COUNT(SimData5000!$B$9:$B$5008)-1)+$I$8058</f>
        <v>0.61012202440487728</v>
      </c>
      <c r="J8059">
        <f>SMALL(SimData5000!$C$9:$C$5008,3051)</f>
        <v>0.61360865774076956</v>
      </c>
      <c r="K8059">
        <f>1/(COUNT(SimData5000!$C$9:$C$5008)-1)+$K$8058</f>
        <v>0.61012202440487728</v>
      </c>
    </row>
    <row r="8060" spans="8:11">
      <c r="H8060">
        <f>SMALL(SimData5000!$B$9:$B$5008,3052)</f>
        <v>0.61038569947494792</v>
      </c>
      <c r="I8060">
        <f>1/(COUNT(SimData5000!$B$9:$B$5008)-1)+$I$8059</f>
        <v>0.61032206441287884</v>
      </c>
      <c r="J8060">
        <f>SMALL(SimData5000!$C$9:$C$5008,3052)</f>
        <v>0.61367966107630423</v>
      </c>
      <c r="K8060">
        <f>1/(COUNT(SimData5000!$C$9:$C$5008)-1)+$K$8059</f>
        <v>0.61032206441287884</v>
      </c>
    </row>
    <row r="8061" spans="8:11">
      <c r="H8061">
        <f>SMALL(SimData5000!$B$9:$B$5008,3053)</f>
        <v>0.61048545291113798</v>
      </c>
      <c r="I8061">
        <f>1/(COUNT(SimData5000!$B$9:$B$5008)-1)+$I$8060</f>
        <v>0.6105221044208804</v>
      </c>
      <c r="J8061">
        <f>SMALL(SimData5000!$C$9:$C$5008,3053)</f>
        <v>0.61375153526660142</v>
      </c>
      <c r="K8061">
        <f>1/(COUNT(SimData5000!$C$9:$C$5008)-1)+$K$8060</f>
        <v>0.6105221044208804</v>
      </c>
    </row>
    <row r="8062" spans="8:11">
      <c r="H8062">
        <f>SMALL(SimData5000!$B$9:$B$5008,3054)</f>
        <v>0.6107245814035005</v>
      </c>
      <c r="I8062">
        <f>1/(COUNT(SimData5000!$B$9:$B$5008)-1)+$I$8061</f>
        <v>0.61072214442888195</v>
      </c>
      <c r="J8062">
        <f>SMALL(SimData5000!$C$9:$C$5008,3054)</f>
        <v>0.61389763280021725</v>
      </c>
      <c r="K8062">
        <f>1/(COUNT(SimData5000!$C$9:$C$5008)-1)+$K$8061</f>
        <v>0.61072214442888195</v>
      </c>
    </row>
    <row r="8063" spans="8:11">
      <c r="H8063">
        <f>SMALL(SimData5000!$B$9:$B$5008,3055)</f>
        <v>0.61090773168176127</v>
      </c>
      <c r="I8063">
        <f>1/(COUNT(SimData5000!$B$9:$B$5008)-1)+$I$8062</f>
        <v>0.61092218443688351</v>
      </c>
      <c r="J8063">
        <f>SMALL(SimData5000!$C$9:$C$5008,3055)</f>
        <v>0.61404629919252329</v>
      </c>
      <c r="K8063">
        <f>1/(COUNT(SimData5000!$C$9:$C$5008)-1)+$K$8062</f>
        <v>0.61092218443688351</v>
      </c>
    </row>
    <row r="8064" spans="8:11">
      <c r="H8064">
        <f>SMALL(SimData5000!$B$9:$B$5008,3056)</f>
        <v>0.61115842782076413</v>
      </c>
      <c r="I8064">
        <f>1/(COUNT(SimData5000!$B$9:$B$5008)-1)+$I$8063</f>
        <v>0.61112222444488506</v>
      </c>
      <c r="J8064">
        <f>SMALL(SimData5000!$C$9:$C$5008,3056)</f>
        <v>0.61429466820027301</v>
      </c>
      <c r="K8064">
        <f>1/(COUNT(SimData5000!$C$9:$C$5008)-1)+$K$8063</f>
        <v>0.61112222444488506</v>
      </c>
    </row>
    <row r="8065" spans="8:11">
      <c r="H8065">
        <f>SMALL(SimData5000!$B$9:$B$5008,3057)</f>
        <v>0.61122245343314074</v>
      </c>
      <c r="I8065">
        <f>1/(COUNT(SimData5000!$B$9:$B$5008)-1)+$I$8064</f>
        <v>0.61132226445288662</v>
      </c>
      <c r="J8065">
        <f>SMALL(SimData5000!$C$9:$C$5008,3057)</f>
        <v>0.61484692279100273</v>
      </c>
      <c r="K8065">
        <f>1/(COUNT(SimData5000!$C$9:$C$5008)-1)+$K$8064</f>
        <v>0.61132226445288662</v>
      </c>
    </row>
    <row r="8066" spans="8:11">
      <c r="H8066">
        <f>SMALL(SimData5000!$B$9:$B$5008,3058)</f>
        <v>0.61155928654530067</v>
      </c>
      <c r="I8066">
        <f>1/(COUNT(SimData5000!$B$9:$B$5008)-1)+$I$8065</f>
        <v>0.61152230446088818</v>
      </c>
      <c r="J8066">
        <f>SMALL(SimData5000!$C$9:$C$5008,3058)</f>
        <v>0.6152389292483349</v>
      </c>
      <c r="K8066">
        <f>1/(COUNT(SimData5000!$C$9:$C$5008)-1)+$K$8065</f>
        <v>0.61152230446088818</v>
      </c>
    </row>
    <row r="8067" spans="8:11">
      <c r="H8067">
        <f>SMALL(SimData5000!$B$9:$B$5008,3059)</f>
        <v>0.61179856019215617</v>
      </c>
      <c r="I8067">
        <f>1/(COUNT(SimData5000!$B$9:$B$5008)-1)+$I$8066</f>
        <v>0.61172234446888973</v>
      </c>
      <c r="J8067">
        <f>SMALL(SimData5000!$C$9:$C$5008,3059)</f>
        <v>0.61532417955550045</v>
      </c>
      <c r="K8067">
        <f>1/(COUNT(SimData5000!$C$9:$C$5008)-1)+$K$8066</f>
        <v>0.61172234446888973</v>
      </c>
    </row>
    <row r="8068" spans="8:11">
      <c r="H8068">
        <f>SMALL(SimData5000!$B$9:$B$5008,3060)</f>
        <v>0.61198073672670428</v>
      </c>
      <c r="I8068">
        <f>1/(COUNT(SimData5000!$B$9:$B$5008)-1)+$I$8067</f>
        <v>0.61192238447689129</v>
      </c>
      <c r="J8068">
        <f>SMALL(SimData5000!$C$9:$C$5008,3060)</f>
        <v>0.61554519590390555</v>
      </c>
      <c r="K8068">
        <f>1/(COUNT(SimData5000!$C$9:$C$5008)-1)+$K$8067</f>
        <v>0.61192238447689129</v>
      </c>
    </row>
    <row r="8069" spans="8:11">
      <c r="H8069">
        <f>SMALL(SimData5000!$B$9:$B$5008,3061)</f>
        <v>0.61200505738724142</v>
      </c>
      <c r="I8069">
        <f>1/(COUNT(SimData5000!$B$9:$B$5008)-1)+$I$8068</f>
        <v>0.61212242448489285</v>
      </c>
      <c r="J8069">
        <f>SMALL(SimData5000!$C$9:$C$5008,3061)</f>
        <v>0.61607290472602472</v>
      </c>
      <c r="K8069">
        <f>1/(COUNT(SimData5000!$C$9:$C$5008)-1)+$K$8068</f>
        <v>0.61212242448489285</v>
      </c>
    </row>
    <row r="8070" spans="8:11">
      <c r="H8070">
        <f>SMALL(SimData5000!$B$9:$B$5008,3062)</f>
        <v>0.61223096053247128</v>
      </c>
      <c r="I8070">
        <f>1/(COUNT(SimData5000!$B$9:$B$5008)-1)+$I$8069</f>
        <v>0.6123224644928944</v>
      </c>
      <c r="J8070">
        <f>SMALL(SimData5000!$C$9:$C$5008,3062)</f>
        <v>0.61633212664946768</v>
      </c>
      <c r="K8070">
        <f>1/(COUNT(SimData5000!$C$9:$C$5008)-1)+$K$8069</f>
        <v>0.6123224644928944</v>
      </c>
    </row>
    <row r="8071" spans="8:11">
      <c r="H8071">
        <f>SMALL(SimData5000!$B$9:$B$5008,3063)</f>
        <v>0.61259065371565302</v>
      </c>
      <c r="I8071">
        <f>1/(COUNT(SimData5000!$B$9:$B$5008)-1)+$I$8070</f>
        <v>0.61252250450089596</v>
      </c>
      <c r="J8071">
        <f>SMALL(SimData5000!$C$9:$C$5008,3063)</f>
        <v>0.61669164046907099</v>
      </c>
      <c r="K8071">
        <f>1/(COUNT(SimData5000!$C$9:$C$5008)-1)+$K$8070</f>
        <v>0.61252250450089596</v>
      </c>
    </row>
    <row r="8072" spans="8:11">
      <c r="H8072">
        <f>SMALL(SimData5000!$B$9:$B$5008,3064)</f>
        <v>0.61269966505316542</v>
      </c>
      <c r="I8072">
        <f>1/(COUNT(SimData5000!$B$9:$B$5008)-1)+$I$8071</f>
        <v>0.61272254450889752</v>
      </c>
      <c r="J8072">
        <f>SMALL(SimData5000!$C$9:$C$5008,3064)</f>
        <v>0.61676381616143772</v>
      </c>
      <c r="K8072">
        <f>1/(COUNT(SimData5000!$C$9:$C$5008)-1)+$K$8071</f>
        <v>0.61272254450889752</v>
      </c>
    </row>
    <row r="8073" spans="8:11">
      <c r="H8073">
        <f>SMALL(SimData5000!$B$9:$B$5008,3065)</f>
        <v>0.61293601292440103</v>
      </c>
      <c r="I8073">
        <f>1/(COUNT(SimData5000!$B$9:$B$5008)-1)+$I$8072</f>
        <v>0.61292258451689907</v>
      </c>
      <c r="J8073">
        <f>SMALL(SimData5000!$C$9:$C$5008,3065)</f>
        <v>0.61686556505719636</v>
      </c>
      <c r="K8073">
        <f>1/(COUNT(SimData5000!$C$9:$C$5008)-1)+$K$8072</f>
        <v>0.61292258451689907</v>
      </c>
    </row>
    <row r="8074" spans="8:11">
      <c r="H8074">
        <f>SMALL(SimData5000!$B$9:$B$5008,3066)</f>
        <v>0.61313919018631313</v>
      </c>
      <c r="I8074">
        <f>1/(COUNT(SimData5000!$B$9:$B$5008)-1)+$I$8073</f>
        <v>0.61312262452490063</v>
      </c>
      <c r="J8074">
        <f>SMALL(SimData5000!$C$9:$C$5008,3066)</f>
        <v>0.61709807300849207</v>
      </c>
      <c r="K8074">
        <f>1/(COUNT(SimData5000!$C$9:$C$5008)-1)+$K$8073</f>
        <v>0.61312262452490063</v>
      </c>
    </row>
    <row r="8075" spans="8:11">
      <c r="H8075">
        <f>SMALL(SimData5000!$B$9:$B$5008,3067)</f>
        <v>0.61334253947533257</v>
      </c>
      <c r="I8075">
        <f>1/(COUNT(SimData5000!$B$9:$B$5008)-1)+$I$8074</f>
        <v>0.61332266453290218</v>
      </c>
      <c r="J8075">
        <f>SMALL(SimData5000!$C$9:$C$5008,3067)</f>
        <v>0.61736393837782089</v>
      </c>
      <c r="K8075">
        <f>1/(COUNT(SimData5000!$C$9:$C$5008)-1)+$K$8074</f>
        <v>0.61332266453290218</v>
      </c>
    </row>
    <row r="8076" spans="8:11">
      <c r="H8076">
        <f>SMALL(SimData5000!$B$9:$B$5008,3068)</f>
        <v>0.61340497424444307</v>
      </c>
      <c r="I8076">
        <f>1/(COUNT(SimData5000!$B$9:$B$5008)-1)+$I$8075</f>
        <v>0.61352270454090374</v>
      </c>
      <c r="J8076">
        <f>SMALL(SimData5000!$C$9:$C$5008,3068)</f>
        <v>0.61755912008629821</v>
      </c>
      <c r="K8076">
        <f>1/(COUNT(SimData5000!$C$9:$C$5008)-1)+$K$8075</f>
        <v>0.61352270454090374</v>
      </c>
    </row>
    <row r="8077" spans="8:11">
      <c r="H8077">
        <f>SMALL(SimData5000!$B$9:$B$5008,3069)</f>
        <v>0.61371712689584057</v>
      </c>
      <c r="I8077">
        <f>1/(COUNT(SimData5000!$B$9:$B$5008)-1)+$I$8076</f>
        <v>0.6137227445489053</v>
      </c>
      <c r="J8077">
        <f>SMALL(SimData5000!$C$9:$C$5008,3069)</f>
        <v>0.61756943736418179</v>
      </c>
      <c r="K8077">
        <f>1/(COUNT(SimData5000!$C$9:$C$5008)-1)+$K$8076</f>
        <v>0.6137227445489053</v>
      </c>
    </row>
    <row r="8078" spans="8:11">
      <c r="H8078">
        <f>SMALL(SimData5000!$B$9:$B$5008,3070)</f>
        <v>0.61394584218267023</v>
      </c>
      <c r="I8078">
        <f>1/(COUNT(SimData5000!$B$9:$B$5008)-1)+$I$8077</f>
        <v>0.61392278455690685</v>
      </c>
      <c r="J8078">
        <f>SMALL(SimData5000!$C$9:$C$5008,3070)</f>
        <v>0.6177691307857458</v>
      </c>
      <c r="K8078">
        <f>1/(COUNT(SimData5000!$C$9:$C$5008)-1)+$K$8077</f>
        <v>0.61392278455690685</v>
      </c>
    </row>
    <row r="8079" spans="8:11">
      <c r="H8079">
        <f>SMALL(SimData5000!$B$9:$B$5008,3071)</f>
        <v>0.61413578944046421</v>
      </c>
      <c r="I8079">
        <f>1/(COUNT(SimData5000!$B$9:$B$5008)-1)+$I$8078</f>
        <v>0.61412282456490841</v>
      </c>
      <c r="J8079">
        <f>SMALL(SimData5000!$C$9:$C$5008,3071)</f>
        <v>0.61785417037754087</v>
      </c>
      <c r="K8079">
        <f>1/(COUNT(SimData5000!$C$9:$C$5008)-1)+$K$8078</f>
        <v>0.61412282456490841</v>
      </c>
    </row>
    <row r="8080" spans="8:11">
      <c r="H8080">
        <f>SMALL(SimData5000!$B$9:$B$5008,3072)</f>
        <v>0.61434153552445148</v>
      </c>
      <c r="I8080">
        <f>1/(COUNT(SimData5000!$B$9:$B$5008)-1)+$I$8079</f>
        <v>0.61432286457290997</v>
      </c>
      <c r="J8080">
        <f>SMALL(SimData5000!$C$9:$C$5008,3072)</f>
        <v>0.6182807635559584</v>
      </c>
      <c r="K8080">
        <f>1/(COUNT(SimData5000!$C$9:$C$5008)-1)+$K$8079</f>
        <v>0.61432286457290997</v>
      </c>
    </row>
    <row r="8081" spans="8:11">
      <c r="H8081">
        <f>SMALL(SimData5000!$B$9:$B$5008,3073)</f>
        <v>0.61448005466896116</v>
      </c>
      <c r="I8081">
        <f>1/(COUNT(SimData5000!$B$9:$B$5008)-1)+$I$8080</f>
        <v>0.61452290458091152</v>
      </c>
      <c r="J8081">
        <f>SMALL(SimData5000!$C$9:$C$5008,3073)</f>
        <v>0.6183196552328809</v>
      </c>
      <c r="K8081">
        <f>1/(COUNT(SimData5000!$C$9:$C$5008)-1)+$K$8080</f>
        <v>0.61452290458091152</v>
      </c>
    </row>
    <row r="8082" spans="8:11">
      <c r="H8082">
        <f>SMALL(SimData5000!$B$9:$B$5008,3074)</f>
        <v>0.61462310037240919</v>
      </c>
      <c r="I8082">
        <f>1/(COUNT(SimData5000!$B$9:$B$5008)-1)+$I$8081</f>
        <v>0.61472294458891308</v>
      </c>
      <c r="J8082">
        <f>SMALL(SimData5000!$C$9:$C$5008,3074)</f>
        <v>0.6198442155828161</v>
      </c>
      <c r="K8082">
        <f>1/(COUNT(SimData5000!$C$9:$C$5008)-1)+$K$8081</f>
        <v>0.61472294458891308</v>
      </c>
    </row>
    <row r="8083" spans="8:11">
      <c r="H8083">
        <f>SMALL(SimData5000!$B$9:$B$5008,3075)</f>
        <v>0.61491711675965166</v>
      </c>
      <c r="I8083">
        <f>1/(COUNT(SimData5000!$B$9:$B$5008)-1)+$I$8082</f>
        <v>0.61492298459691463</v>
      </c>
      <c r="J8083">
        <f>SMALL(SimData5000!$C$9:$C$5008,3075)</f>
        <v>0.61989182158868061</v>
      </c>
      <c r="K8083">
        <f>1/(COUNT(SimData5000!$C$9:$C$5008)-1)+$K$8082</f>
        <v>0.61492298459691463</v>
      </c>
    </row>
    <row r="8084" spans="8:11">
      <c r="H8084">
        <f>SMALL(SimData5000!$B$9:$B$5008,3076)</f>
        <v>0.61508580210867481</v>
      </c>
      <c r="I8084">
        <f>1/(COUNT(SimData5000!$B$9:$B$5008)-1)+$I$8083</f>
        <v>0.61512302460491619</v>
      </c>
      <c r="J8084">
        <f>SMALL(SimData5000!$C$9:$C$5008,3076)</f>
        <v>0.61992957424808992</v>
      </c>
      <c r="K8084">
        <f>1/(COUNT(SimData5000!$C$9:$C$5008)-1)+$K$8083</f>
        <v>0.61512302460491619</v>
      </c>
    </row>
    <row r="8085" spans="8:11">
      <c r="H8085">
        <f>SMALL(SimData5000!$B$9:$B$5008,3077)</f>
        <v>0.61529426546457555</v>
      </c>
      <c r="I8085">
        <f>1/(COUNT(SimData5000!$B$9:$B$5008)-1)+$I$8084</f>
        <v>0.61532306461291775</v>
      </c>
      <c r="J8085">
        <f>SMALL(SimData5000!$C$9:$C$5008,3077)</f>
        <v>0.6201153956244525</v>
      </c>
      <c r="K8085">
        <f>1/(COUNT(SimData5000!$C$9:$C$5008)-1)+$K$8084</f>
        <v>0.61532306461291775</v>
      </c>
    </row>
    <row r="8086" spans="8:11">
      <c r="H8086">
        <f>SMALL(SimData5000!$B$9:$B$5008,3078)</f>
        <v>0.6154432517982189</v>
      </c>
      <c r="I8086">
        <f>1/(COUNT(SimData5000!$B$9:$B$5008)-1)+$I$8085</f>
        <v>0.6155231046209193</v>
      </c>
      <c r="J8086">
        <f>SMALL(SimData5000!$C$9:$C$5008,3078)</f>
        <v>0.62046787457802566</v>
      </c>
      <c r="K8086">
        <f>1/(COUNT(SimData5000!$C$9:$C$5008)-1)+$K$8085</f>
        <v>0.6155231046209193</v>
      </c>
    </row>
    <row r="8087" spans="8:11">
      <c r="H8087">
        <f>SMALL(SimData5000!$B$9:$B$5008,3079)</f>
        <v>0.61568596578149259</v>
      </c>
      <c r="I8087">
        <f>1/(COUNT(SimData5000!$B$9:$B$5008)-1)+$I$8086</f>
        <v>0.61572314462892086</v>
      </c>
      <c r="J8087">
        <f>SMALL(SimData5000!$C$9:$C$5008,3079)</f>
        <v>0.62047039762273926</v>
      </c>
      <c r="K8087">
        <f>1/(COUNT(SimData5000!$C$9:$C$5008)-1)+$K$8086</f>
        <v>0.61572314462892086</v>
      </c>
    </row>
    <row r="8088" spans="8:11">
      <c r="H8088">
        <f>SMALL(SimData5000!$B$9:$B$5008,3080)</f>
        <v>0.61595628688641735</v>
      </c>
      <c r="I8088">
        <f>1/(COUNT(SimData5000!$B$9:$B$5008)-1)+$I$8087</f>
        <v>0.61592318463692242</v>
      </c>
      <c r="J8088">
        <f>SMALL(SimData5000!$C$9:$C$5008,3080)</f>
        <v>0.62080967868132575</v>
      </c>
      <c r="K8088">
        <f>1/(COUNT(SimData5000!$C$9:$C$5008)-1)+$K$8087</f>
        <v>0.61592318463692242</v>
      </c>
    </row>
    <row r="8089" spans="8:11">
      <c r="H8089">
        <f>SMALL(SimData5000!$B$9:$B$5008,3081)</f>
        <v>0.61617833200385297</v>
      </c>
      <c r="I8089">
        <f>1/(COUNT(SimData5000!$B$9:$B$5008)-1)+$I$8088</f>
        <v>0.61612322464492397</v>
      </c>
      <c r="J8089">
        <f>SMALL(SimData5000!$C$9:$C$5008,3081)</f>
        <v>0.62090403880756639</v>
      </c>
      <c r="K8089">
        <f>1/(COUNT(SimData5000!$C$9:$C$5008)-1)+$K$8088</f>
        <v>0.61612322464492397</v>
      </c>
    </row>
    <row r="8090" spans="8:11">
      <c r="H8090">
        <f>SMALL(SimData5000!$B$9:$B$5008,3082)</f>
        <v>0.61631484993959662</v>
      </c>
      <c r="I8090">
        <f>1/(COUNT(SimData5000!$B$9:$B$5008)-1)+$I$8089</f>
        <v>0.61632326465292553</v>
      </c>
      <c r="J8090">
        <f>SMALL(SimData5000!$C$9:$C$5008,3082)</f>
        <v>0.6210153762713162</v>
      </c>
      <c r="K8090">
        <f>1/(COUNT(SimData5000!$C$9:$C$5008)-1)+$K$8089</f>
        <v>0.61632326465292553</v>
      </c>
    </row>
    <row r="8091" spans="8:11">
      <c r="H8091">
        <f>SMALL(SimData5000!$B$9:$B$5008,3083)</f>
        <v>0.61646031024699566</v>
      </c>
      <c r="I8091">
        <f>1/(COUNT(SimData5000!$B$9:$B$5008)-1)+$I$8090</f>
        <v>0.61652330466092709</v>
      </c>
      <c r="J8091">
        <f>SMALL(SimData5000!$C$9:$C$5008,3083)</f>
        <v>0.62102272125412128</v>
      </c>
      <c r="K8091">
        <f>1/(COUNT(SimData5000!$C$9:$C$5008)-1)+$K$8090</f>
        <v>0.61652330466092709</v>
      </c>
    </row>
    <row r="8092" spans="8:11">
      <c r="H8092">
        <f>SMALL(SimData5000!$B$9:$B$5008,3084)</f>
        <v>0.61663802094455755</v>
      </c>
      <c r="I8092">
        <f>1/(COUNT(SimData5000!$B$9:$B$5008)-1)+$I$8091</f>
        <v>0.61672334466892864</v>
      </c>
      <c r="J8092">
        <f>SMALL(SimData5000!$C$9:$C$5008,3084)</f>
        <v>0.62103925678457017</v>
      </c>
      <c r="K8092">
        <f>1/(COUNT(SimData5000!$C$9:$C$5008)-1)+$K$8091</f>
        <v>0.61672334466892864</v>
      </c>
    </row>
    <row r="8093" spans="8:11">
      <c r="H8093">
        <f>SMALL(SimData5000!$B$9:$B$5008,3085)</f>
        <v>0.61681868265192463</v>
      </c>
      <c r="I8093">
        <f>1/(COUNT(SimData5000!$B$9:$B$5008)-1)+$I$8092</f>
        <v>0.6169233846769302</v>
      </c>
      <c r="J8093">
        <f>SMALL(SimData5000!$C$9:$C$5008,3085)</f>
        <v>0.62111229233141785</v>
      </c>
      <c r="K8093">
        <f>1/(COUNT(SimData5000!$C$9:$C$5008)-1)+$K$8092</f>
        <v>0.6169233846769302</v>
      </c>
    </row>
    <row r="8094" spans="8:11">
      <c r="H8094">
        <f>SMALL(SimData5000!$B$9:$B$5008,3086)</f>
        <v>0.61711428185340822</v>
      </c>
      <c r="I8094">
        <f>1/(COUNT(SimData5000!$B$9:$B$5008)-1)+$I$8093</f>
        <v>0.61712342468493175</v>
      </c>
      <c r="J8094">
        <f>SMALL(SimData5000!$C$9:$C$5008,3086)</f>
        <v>0.62125451198335213</v>
      </c>
      <c r="K8094">
        <f>1/(COUNT(SimData5000!$C$9:$C$5008)-1)+$K$8093</f>
        <v>0.61712342468493175</v>
      </c>
    </row>
    <row r="8095" spans="8:11">
      <c r="H8095">
        <f>SMALL(SimData5000!$B$9:$B$5008,3087)</f>
        <v>0.61723328370271091</v>
      </c>
      <c r="I8095">
        <f>1/(COUNT(SimData5000!$B$9:$B$5008)-1)+$I$8094</f>
        <v>0.61732346469293331</v>
      </c>
      <c r="J8095">
        <f>SMALL(SimData5000!$C$9:$C$5008,3087)</f>
        <v>0.62145432813667867</v>
      </c>
      <c r="K8095">
        <f>1/(COUNT(SimData5000!$C$9:$C$5008)-1)+$K$8094</f>
        <v>0.61732346469293331</v>
      </c>
    </row>
    <row r="8096" spans="8:11">
      <c r="H8096">
        <f>SMALL(SimData5000!$B$9:$B$5008,3088)</f>
        <v>0.61757249679625326</v>
      </c>
      <c r="I8096">
        <f>1/(COUNT(SimData5000!$B$9:$B$5008)-1)+$I$8095</f>
        <v>0.61752350470093487</v>
      </c>
      <c r="J8096">
        <f>SMALL(SimData5000!$C$9:$C$5008,3088)</f>
        <v>0.6216393198028527</v>
      </c>
      <c r="K8096">
        <f>1/(COUNT(SimData5000!$C$9:$C$5008)-1)+$K$8095</f>
        <v>0.61752350470093487</v>
      </c>
    </row>
    <row r="8097" spans="8:11">
      <c r="H8097">
        <f>SMALL(SimData5000!$B$9:$B$5008,3089)</f>
        <v>0.61775996210737161</v>
      </c>
      <c r="I8097">
        <f>1/(COUNT(SimData5000!$B$9:$B$5008)-1)+$I$8096</f>
        <v>0.61772354470893642</v>
      </c>
      <c r="J8097">
        <f>SMALL(SimData5000!$C$9:$C$5008,3089)</f>
        <v>0.62192624406179675</v>
      </c>
      <c r="K8097">
        <f>1/(COUNT(SimData5000!$C$9:$C$5008)-1)+$K$8096</f>
        <v>0.61772354470893642</v>
      </c>
    </row>
    <row r="8098" spans="8:11">
      <c r="H8098">
        <f>SMALL(SimData5000!$B$9:$B$5008,3090)</f>
        <v>0.61784145535743829</v>
      </c>
      <c r="I8098">
        <f>1/(COUNT(SimData5000!$B$9:$B$5008)-1)+$I$8097</f>
        <v>0.61792358471693798</v>
      </c>
      <c r="J8098">
        <f>SMALL(SimData5000!$C$9:$C$5008,3090)</f>
        <v>0.62196455557023</v>
      </c>
      <c r="K8098">
        <f>1/(COUNT(SimData5000!$C$9:$C$5008)-1)+$K$8097</f>
        <v>0.61792358471693798</v>
      </c>
    </row>
    <row r="8099" spans="8:11">
      <c r="H8099">
        <f>SMALL(SimData5000!$B$9:$B$5008,3091)</f>
        <v>0.61817665235059727</v>
      </c>
      <c r="I8099">
        <f>1/(COUNT(SimData5000!$B$9:$B$5008)-1)+$I$8098</f>
        <v>0.61812362472493954</v>
      </c>
      <c r="J8099">
        <f>SMALL(SimData5000!$C$9:$C$5008,3091)</f>
        <v>0.62262412335167028</v>
      </c>
      <c r="K8099">
        <f>1/(COUNT(SimData5000!$C$9:$C$5008)-1)+$K$8098</f>
        <v>0.61812362472493954</v>
      </c>
    </row>
    <row r="8100" spans="8:11">
      <c r="H8100">
        <f>SMALL(SimData5000!$B$9:$B$5008,3092)</f>
        <v>0.61827024215368331</v>
      </c>
      <c r="I8100">
        <f>1/(COUNT(SimData5000!$B$9:$B$5008)-1)+$I$8099</f>
        <v>0.61832366473294109</v>
      </c>
      <c r="J8100">
        <f>SMALL(SimData5000!$C$9:$C$5008,3092)</f>
        <v>0.62269398784246732</v>
      </c>
      <c r="K8100">
        <f>1/(COUNT(SimData5000!$C$9:$C$5008)-1)+$K$8099</f>
        <v>0.61832366473294109</v>
      </c>
    </row>
    <row r="8101" spans="8:11">
      <c r="H8101">
        <f>SMALL(SimData5000!$B$9:$B$5008,3093)</f>
        <v>0.61855155957996644</v>
      </c>
      <c r="I8101">
        <f>1/(COUNT(SimData5000!$B$9:$B$5008)-1)+$I$8100</f>
        <v>0.61852370474094265</v>
      </c>
      <c r="J8101">
        <f>SMALL(SimData5000!$C$9:$C$5008,3093)</f>
        <v>0.6227340320501753</v>
      </c>
      <c r="K8101">
        <f>1/(COUNT(SimData5000!$C$9:$C$5008)-1)+$K$8100</f>
        <v>0.61852370474094265</v>
      </c>
    </row>
    <row r="8102" spans="8:11">
      <c r="H8102">
        <f>SMALL(SimData5000!$B$9:$B$5008,3094)</f>
        <v>0.61864015825824814</v>
      </c>
      <c r="I8102">
        <f>1/(COUNT(SimData5000!$B$9:$B$5008)-1)+$I$8101</f>
        <v>0.6187237447489442</v>
      </c>
      <c r="J8102">
        <f>SMALL(SimData5000!$C$9:$C$5008,3094)</f>
        <v>0.62281854825596383</v>
      </c>
      <c r="K8102">
        <f>1/(COUNT(SimData5000!$C$9:$C$5008)-1)+$K$8101</f>
        <v>0.6187237447489442</v>
      </c>
    </row>
    <row r="8103" spans="8:11">
      <c r="H8103">
        <f>SMALL(SimData5000!$B$9:$B$5008,3095)</f>
        <v>0.61890247144482624</v>
      </c>
      <c r="I8103">
        <f>1/(COUNT(SimData5000!$B$9:$B$5008)-1)+$I$8102</f>
        <v>0.61892378475694576</v>
      </c>
      <c r="J8103">
        <f>SMALL(SimData5000!$C$9:$C$5008,3095)</f>
        <v>0.62297589359241101</v>
      </c>
      <c r="K8103">
        <f>1/(COUNT(SimData5000!$C$9:$C$5008)-1)+$K$8102</f>
        <v>0.61892378475694576</v>
      </c>
    </row>
    <row r="8104" spans="8:11">
      <c r="H8104">
        <f>SMALL(SimData5000!$B$9:$B$5008,3096)</f>
        <v>0.61911925519512012</v>
      </c>
      <c r="I8104">
        <f>1/(COUNT(SimData5000!$B$9:$B$5008)-1)+$I$8103</f>
        <v>0.61912382476494732</v>
      </c>
      <c r="J8104">
        <f>SMALL(SimData5000!$C$9:$C$5008,3096)</f>
        <v>0.62301675759044883</v>
      </c>
      <c r="K8104">
        <f>1/(COUNT(SimData5000!$C$9:$C$5008)-1)+$K$8103</f>
        <v>0.61912382476494732</v>
      </c>
    </row>
    <row r="8105" spans="8:11">
      <c r="H8105">
        <f>SMALL(SimData5000!$B$9:$B$5008,3097)</f>
        <v>0.61931000863916941</v>
      </c>
      <c r="I8105">
        <f>1/(COUNT(SimData5000!$B$9:$B$5008)-1)+$I$8104</f>
        <v>0.61932386477294887</v>
      </c>
      <c r="J8105">
        <f>SMALL(SimData5000!$C$9:$C$5008,3097)</f>
        <v>0.62316090828880988</v>
      </c>
      <c r="K8105">
        <f>1/(COUNT(SimData5000!$C$9:$C$5008)-1)+$K$8104</f>
        <v>0.61932386477294887</v>
      </c>
    </row>
    <row r="8106" spans="8:11">
      <c r="H8106">
        <f>SMALL(SimData5000!$B$9:$B$5008,3098)</f>
        <v>0.61942376484163664</v>
      </c>
      <c r="I8106">
        <f>1/(COUNT(SimData5000!$B$9:$B$5008)-1)+$I$8105</f>
        <v>0.61952390478095043</v>
      </c>
      <c r="J8106">
        <f>SMALL(SimData5000!$C$9:$C$5008,3098)</f>
        <v>0.62333146895161917</v>
      </c>
      <c r="K8106">
        <f>1/(COUNT(SimData5000!$C$9:$C$5008)-1)+$K$8105</f>
        <v>0.61952390478095043</v>
      </c>
    </row>
    <row r="8107" spans="8:11">
      <c r="H8107">
        <f>SMALL(SimData5000!$B$9:$B$5008,3099)</f>
        <v>0.61976193572356419</v>
      </c>
      <c r="I8107">
        <f>1/(COUNT(SimData5000!$B$9:$B$5008)-1)+$I$8106</f>
        <v>0.61972394478895199</v>
      </c>
      <c r="J8107">
        <f>SMALL(SimData5000!$C$9:$C$5008,3099)</f>
        <v>0.62415727291136136</v>
      </c>
      <c r="K8107">
        <f>1/(COUNT(SimData5000!$C$9:$C$5008)-1)+$K$8106</f>
        <v>0.61972394478895199</v>
      </c>
    </row>
    <row r="8108" spans="8:11">
      <c r="H8108">
        <f>SMALL(SimData5000!$B$9:$B$5008,3100)</f>
        <v>0.61996505118947598</v>
      </c>
      <c r="I8108">
        <f>1/(COUNT(SimData5000!$B$9:$B$5008)-1)+$I$8107</f>
        <v>0.61992398479695354</v>
      </c>
      <c r="J8108">
        <f>SMALL(SimData5000!$C$9:$C$5008,3100)</f>
        <v>0.62429920679278439</v>
      </c>
      <c r="K8108">
        <f>1/(COUNT(SimData5000!$C$9:$C$5008)-1)+$K$8107</f>
        <v>0.61992398479695354</v>
      </c>
    </row>
    <row r="8109" spans="8:11">
      <c r="H8109">
        <f>SMALL(SimData5000!$B$9:$B$5008,3101)</f>
        <v>0.62006153108683926</v>
      </c>
      <c r="I8109">
        <f>1/(COUNT(SimData5000!$B$9:$B$5008)-1)+$I$8108</f>
        <v>0.6201240248049551</v>
      </c>
      <c r="J8109">
        <f>SMALL(SimData5000!$C$9:$C$5008,3101)</f>
        <v>0.6243491027107666</v>
      </c>
      <c r="K8109">
        <f>1/(COUNT(SimData5000!$C$9:$C$5008)-1)+$K$8108</f>
        <v>0.6201240248049551</v>
      </c>
    </row>
    <row r="8110" spans="8:11">
      <c r="H8110">
        <f>SMALL(SimData5000!$B$9:$B$5008,3102)</f>
        <v>0.62035345379862783</v>
      </c>
      <c r="I8110">
        <f>1/(COUNT(SimData5000!$B$9:$B$5008)-1)+$I$8109</f>
        <v>0.62032406481295665</v>
      </c>
      <c r="J8110">
        <f>SMALL(SimData5000!$C$9:$C$5008,3102)</f>
        <v>0.62445480888709426</v>
      </c>
      <c r="K8110">
        <f>1/(COUNT(SimData5000!$C$9:$C$5008)-1)+$K$8109</f>
        <v>0.62032406481295665</v>
      </c>
    </row>
    <row r="8111" spans="8:11">
      <c r="H8111">
        <f>SMALL(SimData5000!$B$9:$B$5008,3103)</f>
        <v>0.62059923399616945</v>
      </c>
      <c r="I8111">
        <f>1/(COUNT(SimData5000!$B$9:$B$5008)-1)+$I$8110</f>
        <v>0.62052410482095821</v>
      </c>
      <c r="J8111">
        <f>SMALL(SimData5000!$C$9:$C$5008,3103)</f>
        <v>0.62520805518488487</v>
      </c>
      <c r="K8111">
        <f>1/(COUNT(SimData5000!$C$9:$C$5008)-1)+$K$8110</f>
        <v>0.62052410482095821</v>
      </c>
    </row>
    <row r="8112" spans="8:11">
      <c r="H8112">
        <f>SMALL(SimData5000!$B$9:$B$5008,3104)</f>
        <v>0.62063255071212364</v>
      </c>
      <c r="I8112">
        <f>1/(COUNT(SimData5000!$B$9:$B$5008)-1)+$I$8111</f>
        <v>0.62072414482895977</v>
      </c>
      <c r="J8112">
        <f>SMALL(SimData5000!$C$9:$C$5008,3104)</f>
        <v>0.62571847764411359</v>
      </c>
      <c r="K8112">
        <f>1/(COUNT(SimData5000!$C$9:$C$5008)-1)+$K$8111</f>
        <v>0.62072414482895977</v>
      </c>
    </row>
    <row r="8113" spans="8:11">
      <c r="H8113">
        <f>SMALL(SimData5000!$B$9:$B$5008,3105)</f>
        <v>0.62082431878732147</v>
      </c>
      <c r="I8113">
        <f>1/(COUNT(SimData5000!$B$9:$B$5008)-1)+$I$8112</f>
        <v>0.62092418483696132</v>
      </c>
      <c r="J8113">
        <f>SMALL(SimData5000!$C$9:$C$5008,3105)</f>
        <v>0.62574004468297062</v>
      </c>
      <c r="K8113">
        <f>1/(COUNT(SimData5000!$C$9:$C$5008)-1)+$K$8112</f>
        <v>0.62092418483696132</v>
      </c>
    </row>
    <row r="8114" spans="8:11">
      <c r="H8114">
        <f>SMALL(SimData5000!$B$9:$B$5008,3106)</f>
        <v>0.62107398569441252</v>
      </c>
      <c r="I8114">
        <f>1/(COUNT(SimData5000!$B$9:$B$5008)-1)+$I$8113</f>
        <v>0.62112422484496288</v>
      </c>
      <c r="J8114">
        <f>SMALL(SimData5000!$C$9:$C$5008,3106)</f>
        <v>0.62576897569852008</v>
      </c>
      <c r="K8114">
        <f>1/(COUNT(SimData5000!$C$9:$C$5008)-1)+$K$8113</f>
        <v>0.62112422484496288</v>
      </c>
    </row>
    <row r="8115" spans="8:11">
      <c r="H8115">
        <f>SMALL(SimData5000!$B$9:$B$5008,3107)</f>
        <v>0.62134486935868505</v>
      </c>
      <c r="I8115">
        <f>1/(COUNT(SimData5000!$B$9:$B$5008)-1)+$I$8114</f>
        <v>0.62132426485296444</v>
      </c>
      <c r="J8115">
        <f>SMALL(SimData5000!$C$9:$C$5008,3107)</f>
        <v>0.62596664053216955</v>
      </c>
      <c r="K8115">
        <f>1/(COUNT(SimData5000!$C$9:$C$5008)-1)+$K$8114</f>
        <v>0.62132426485296444</v>
      </c>
    </row>
    <row r="8116" spans="8:11">
      <c r="H8116">
        <f>SMALL(SimData5000!$B$9:$B$5008,3108)</f>
        <v>0.62145317213820594</v>
      </c>
      <c r="I8116">
        <f>1/(COUNT(SimData5000!$B$9:$B$5008)-1)+$I$8115</f>
        <v>0.62152430486096599</v>
      </c>
      <c r="J8116">
        <f>SMALL(SimData5000!$C$9:$C$5008,3108)</f>
        <v>0.6262317070923018</v>
      </c>
      <c r="K8116">
        <f>1/(COUNT(SimData5000!$C$9:$C$5008)-1)+$K$8115</f>
        <v>0.62152430486096599</v>
      </c>
    </row>
    <row r="8117" spans="8:11">
      <c r="H8117">
        <f>SMALL(SimData5000!$B$9:$B$5008,3109)</f>
        <v>0.62163760157116632</v>
      </c>
      <c r="I8117">
        <f>1/(COUNT(SimData5000!$B$9:$B$5008)-1)+$I$8116</f>
        <v>0.62172434486896755</v>
      </c>
      <c r="J8117">
        <f>SMALL(SimData5000!$C$9:$C$5008,3109)</f>
        <v>0.62643631742685102</v>
      </c>
      <c r="K8117">
        <f>1/(COUNT(SimData5000!$C$9:$C$5008)-1)+$K$8116</f>
        <v>0.62172434486896755</v>
      </c>
    </row>
    <row r="8118" spans="8:11">
      <c r="H8118">
        <f>SMALL(SimData5000!$B$9:$B$5008,3110)</f>
        <v>0.62186998778383018</v>
      </c>
      <c r="I8118">
        <f>1/(COUNT(SimData5000!$B$9:$B$5008)-1)+$I$8117</f>
        <v>0.62192438487696911</v>
      </c>
      <c r="J8118">
        <f>SMALL(SimData5000!$C$9:$C$5008,3110)</f>
        <v>0.62646783114541904</v>
      </c>
      <c r="K8118">
        <f>1/(COUNT(SimData5000!$C$9:$C$5008)-1)+$K$8117</f>
        <v>0.62192438487696911</v>
      </c>
    </row>
    <row r="8119" spans="8:11">
      <c r="H8119">
        <f>SMALL(SimData5000!$B$9:$B$5008,3111)</f>
        <v>0.62203573250659638</v>
      </c>
      <c r="I8119">
        <f>1/(COUNT(SimData5000!$B$9:$B$5008)-1)+$I$8118</f>
        <v>0.62212442488497066</v>
      </c>
      <c r="J8119">
        <f>SMALL(SimData5000!$C$9:$C$5008,3111)</f>
        <v>0.62650408440003957</v>
      </c>
      <c r="K8119">
        <f>1/(COUNT(SimData5000!$C$9:$C$5008)-1)+$K$8118</f>
        <v>0.62212442488497066</v>
      </c>
    </row>
    <row r="8120" spans="8:11">
      <c r="H8120">
        <f>SMALL(SimData5000!$B$9:$B$5008,3112)</f>
        <v>0.6223766513606479</v>
      </c>
      <c r="I8120">
        <f>1/(COUNT(SimData5000!$B$9:$B$5008)-1)+$I$8119</f>
        <v>0.62232446489297222</v>
      </c>
      <c r="J8120">
        <f>SMALL(SimData5000!$C$9:$C$5008,3112)</f>
        <v>0.62665571020443167</v>
      </c>
      <c r="K8120">
        <f>1/(COUNT(SimData5000!$C$9:$C$5008)-1)+$K$8119</f>
        <v>0.62232446489297222</v>
      </c>
    </row>
    <row r="8121" spans="8:11">
      <c r="H8121">
        <f>SMALL(SimData5000!$B$9:$B$5008,3113)</f>
        <v>0.62254705582250536</v>
      </c>
      <c r="I8121">
        <f>1/(COUNT(SimData5000!$B$9:$B$5008)-1)+$I$8120</f>
        <v>0.62252450490097377</v>
      </c>
      <c r="J8121">
        <f>SMALL(SimData5000!$C$9:$C$5008,3113)</f>
        <v>0.62669920823464054</v>
      </c>
      <c r="K8121">
        <f>1/(COUNT(SimData5000!$C$9:$C$5008)-1)+$K$8120</f>
        <v>0.62252450490097377</v>
      </c>
    </row>
    <row r="8122" spans="8:11">
      <c r="H8122">
        <f>SMALL(SimData5000!$B$9:$B$5008,3114)</f>
        <v>0.62260484403297411</v>
      </c>
      <c r="I8122">
        <f>1/(COUNT(SimData5000!$B$9:$B$5008)-1)+$I$8121</f>
        <v>0.62272454490897533</v>
      </c>
      <c r="J8122">
        <f>SMALL(SimData5000!$C$9:$C$5008,3114)</f>
        <v>0.62675430243962182</v>
      </c>
      <c r="K8122">
        <f>1/(COUNT(SimData5000!$C$9:$C$5008)-1)+$K$8121</f>
        <v>0.62272454490897533</v>
      </c>
    </row>
    <row r="8123" spans="8:11">
      <c r="H8123">
        <f>SMALL(SimData5000!$B$9:$B$5008,3115)</f>
        <v>0.62293391164139233</v>
      </c>
      <c r="I8123">
        <f>1/(COUNT(SimData5000!$B$9:$B$5008)-1)+$I$8122</f>
        <v>0.62292458491697689</v>
      </c>
      <c r="J8123">
        <f>SMALL(SimData5000!$C$9:$C$5008,3115)</f>
        <v>0.62678935671738145</v>
      </c>
      <c r="K8123">
        <f>1/(COUNT(SimData5000!$C$9:$C$5008)-1)+$K$8122</f>
        <v>0.62292458491697689</v>
      </c>
    </row>
    <row r="8124" spans="8:11">
      <c r="H8124">
        <f>SMALL(SimData5000!$B$9:$B$5008,3116)</f>
        <v>0.62306282200414287</v>
      </c>
      <c r="I8124">
        <f>1/(COUNT(SimData5000!$B$9:$B$5008)-1)+$I$8123</f>
        <v>0.62312462492497844</v>
      </c>
      <c r="J8124">
        <f>SMALL(SimData5000!$C$9:$C$5008,3116)</f>
        <v>0.62695257786072034</v>
      </c>
      <c r="K8124">
        <f>1/(COUNT(SimData5000!$C$9:$C$5008)-1)+$K$8123</f>
        <v>0.62312462492497844</v>
      </c>
    </row>
    <row r="8125" spans="8:11">
      <c r="H8125">
        <f>SMALL(SimData5000!$B$9:$B$5008,3117)</f>
        <v>0.62332739406706006</v>
      </c>
      <c r="I8125">
        <f>1/(COUNT(SimData5000!$B$9:$B$5008)-1)+$I$8124</f>
        <v>0.62332466493298</v>
      </c>
      <c r="J8125">
        <f>SMALL(SimData5000!$C$9:$C$5008,3117)</f>
        <v>0.6269932471032007</v>
      </c>
      <c r="K8125">
        <f>1/(COUNT(SimData5000!$C$9:$C$5008)-1)+$K$8124</f>
        <v>0.62332466493298</v>
      </c>
    </row>
    <row r="8126" spans="8:11">
      <c r="H8126">
        <f>SMALL(SimData5000!$B$9:$B$5008,3118)</f>
        <v>0.623584035014078</v>
      </c>
      <c r="I8126">
        <f>1/(COUNT(SimData5000!$B$9:$B$5008)-1)+$I$8125</f>
        <v>0.62352470494098156</v>
      </c>
      <c r="J8126">
        <f>SMALL(SimData5000!$C$9:$C$5008,3118)</f>
        <v>0.62722564456726104</v>
      </c>
      <c r="K8126">
        <f>1/(COUNT(SimData5000!$C$9:$C$5008)-1)+$K$8125</f>
        <v>0.62352470494098156</v>
      </c>
    </row>
    <row r="8127" spans="8:11">
      <c r="H8127">
        <f>SMALL(SimData5000!$B$9:$B$5008,3119)</f>
        <v>0.6237374736871425</v>
      </c>
      <c r="I8127">
        <f>1/(COUNT(SimData5000!$B$9:$B$5008)-1)+$I$8126</f>
        <v>0.62372474494898311</v>
      </c>
      <c r="J8127">
        <f>SMALL(SimData5000!$C$9:$C$5008,3119)</f>
        <v>0.62761605678952037</v>
      </c>
      <c r="K8127">
        <f>1/(COUNT(SimData5000!$C$9:$C$5008)-1)+$K$8126</f>
        <v>0.62372474494898311</v>
      </c>
    </row>
    <row r="8128" spans="8:11">
      <c r="H8128">
        <f>SMALL(SimData5000!$B$9:$B$5008,3120)</f>
        <v>0.62387304997920823</v>
      </c>
      <c r="I8128">
        <f>1/(COUNT(SimData5000!$B$9:$B$5008)-1)+$I$8127</f>
        <v>0.62392478495698467</v>
      </c>
      <c r="J8128">
        <f>SMALL(SimData5000!$C$9:$C$5008,3120)</f>
        <v>0.6277251853780399</v>
      </c>
      <c r="K8128">
        <f>1/(COUNT(SimData5000!$C$9:$C$5008)-1)+$K$8127</f>
        <v>0.62392478495698467</v>
      </c>
    </row>
    <row r="8129" spans="8:11">
      <c r="H8129">
        <f>SMALL(SimData5000!$B$9:$B$5008,3121)</f>
        <v>0.62412378881362351</v>
      </c>
      <c r="I8129">
        <f>1/(COUNT(SimData5000!$B$9:$B$5008)-1)+$I$8128</f>
        <v>0.62412482496498622</v>
      </c>
      <c r="J8129">
        <f>SMALL(SimData5000!$C$9:$C$5008,3121)</f>
        <v>0.62772593875433813</v>
      </c>
      <c r="K8129">
        <f>1/(COUNT(SimData5000!$C$9:$C$5008)-1)+$K$8128</f>
        <v>0.62412482496498622</v>
      </c>
    </row>
    <row r="8130" spans="8:11">
      <c r="H8130">
        <f>SMALL(SimData5000!$B$9:$B$5008,3122)</f>
        <v>0.62434160974112851</v>
      </c>
      <c r="I8130">
        <f>1/(COUNT(SimData5000!$B$9:$B$5008)-1)+$I$8129</f>
        <v>0.62432486497298778</v>
      </c>
      <c r="J8130">
        <f>SMALL(SimData5000!$C$9:$C$5008,3122)</f>
        <v>0.62789276915736991</v>
      </c>
      <c r="K8130">
        <f>1/(COUNT(SimData5000!$C$9:$C$5008)-1)+$K$8129</f>
        <v>0.62432486497298778</v>
      </c>
    </row>
    <row r="8131" spans="8:11">
      <c r="H8131">
        <f>SMALL(SimData5000!$B$9:$B$5008,3123)</f>
        <v>0.62440301126148623</v>
      </c>
      <c r="I8131">
        <f>1/(COUNT(SimData5000!$B$9:$B$5008)-1)+$I$8130</f>
        <v>0.62452490498098934</v>
      </c>
      <c r="J8131">
        <f>SMALL(SimData5000!$C$9:$C$5008,3123)</f>
        <v>0.62791765978727199</v>
      </c>
      <c r="K8131">
        <f>1/(COUNT(SimData5000!$C$9:$C$5008)-1)+$K$8130</f>
        <v>0.62452490498098934</v>
      </c>
    </row>
    <row r="8132" spans="8:11">
      <c r="H8132">
        <f>SMALL(SimData5000!$B$9:$B$5008,3124)</f>
        <v>0.62472598494666776</v>
      </c>
      <c r="I8132">
        <f>1/(COUNT(SimData5000!$B$9:$B$5008)-1)+$I$8131</f>
        <v>0.62472494498899089</v>
      </c>
      <c r="J8132">
        <f>SMALL(SimData5000!$C$9:$C$5008,3124)</f>
        <v>0.6279904880302638</v>
      </c>
      <c r="K8132">
        <f>1/(COUNT(SimData5000!$C$9:$C$5008)-1)+$K$8131</f>
        <v>0.62472494498899089</v>
      </c>
    </row>
    <row r="8133" spans="8:11">
      <c r="H8133">
        <f>SMALL(SimData5000!$B$9:$B$5008,3125)</f>
        <v>0.62491785470240702</v>
      </c>
      <c r="I8133">
        <f>1/(COUNT(SimData5000!$B$9:$B$5008)-1)+$I$8132</f>
        <v>0.62492498499699245</v>
      </c>
      <c r="J8133">
        <f>SMALL(SimData5000!$C$9:$C$5008,3125)</f>
        <v>0.62812414743711997</v>
      </c>
      <c r="K8133">
        <f>1/(COUNT(SimData5000!$C$9:$C$5008)-1)+$K$8132</f>
        <v>0.62492498499699245</v>
      </c>
    </row>
    <row r="8134" spans="8:11">
      <c r="H8134">
        <f>SMALL(SimData5000!$B$9:$B$5008,3126)</f>
        <v>0.62518000826462639</v>
      </c>
      <c r="I8134">
        <f>1/(COUNT(SimData5000!$B$9:$B$5008)-1)+$I$8133</f>
        <v>0.62512502500499401</v>
      </c>
      <c r="J8134">
        <f>SMALL(SimData5000!$C$9:$C$5008,3126)</f>
        <v>0.62925557328890136</v>
      </c>
      <c r="K8134">
        <f>1/(COUNT(SimData5000!$C$9:$C$5008)-1)+$K$8133</f>
        <v>0.62512502500499401</v>
      </c>
    </row>
    <row r="8135" spans="8:11">
      <c r="H8135">
        <f>SMALL(SimData5000!$B$9:$B$5008,3127)</f>
        <v>0.62523375461381714</v>
      </c>
      <c r="I8135">
        <f>1/(COUNT(SimData5000!$B$9:$B$5008)-1)+$I$8134</f>
        <v>0.62532506501299556</v>
      </c>
      <c r="J8135">
        <f>SMALL(SimData5000!$C$9:$C$5008,3127)</f>
        <v>0.62952193232467835</v>
      </c>
      <c r="K8135">
        <f>1/(COUNT(SimData5000!$C$9:$C$5008)-1)+$K$8134</f>
        <v>0.62532506501299556</v>
      </c>
    </row>
    <row r="8136" spans="8:11">
      <c r="H8136">
        <f>SMALL(SimData5000!$B$9:$B$5008,3128)</f>
        <v>0.62559409506334784</v>
      </c>
      <c r="I8136">
        <f>1/(COUNT(SimData5000!$B$9:$B$5008)-1)+$I$8135</f>
        <v>0.62552510502099712</v>
      </c>
      <c r="J8136">
        <f>SMALL(SimData5000!$C$9:$C$5008,3128)</f>
        <v>0.62976563632855687</v>
      </c>
      <c r="K8136">
        <f>1/(COUNT(SimData5000!$C$9:$C$5008)-1)+$K$8135</f>
        <v>0.62552510502099712</v>
      </c>
    </row>
    <row r="8137" spans="8:11">
      <c r="H8137">
        <f>SMALL(SimData5000!$B$9:$B$5008,3129)</f>
        <v>0.62579329591938138</v>
      </c>
      <c r="I8137">
        <f>1/(COUNT(SimData5000!$B$9:$B$5008)-1)+$I$8136</f>
        <v>0.62572514502899867</v>
      </c>
      <c r="J8137">
        <f>SMALL(SimData5000!$C$9:$C$5008,3129)</f>
        <v>0.62980946497737023</v>
      </c>
      <c r="K8137">
        <f>1/(COUNT(SimData5000!$C$9:$C$5008)-1)+$K$8136</f>
        <v>0.62572514502899867</v>
      </c>
    </row>
    <row r="8138" spans="8:11">
      <c r="H8138">
        <f>SMALL(SimData5000!$B$9:$B$5008,3130)</f>
        <v>0.62580402418351821</v>
      </c>
      <c r="I8138">
        <f>1/(COUNT(SimData5000!$B$9:$B$5008)-1)+$I$8137</f>
        <v>0.62592518503700023</v>
      </c>
      <c r="J8138">
        <f>SMALL(SimData5000!$C$9:$C$5008,3130)</f>
        <v>0.62991097329359036</v>
      </c>
      <c r="K8138">
        <f>1/(COUNT(SimData5000!$C$9:$C$5008)-1)+$K$8137</f>
        <v>0.62592518503700023</v>
      </c>
    </row>
    <row r="8139" spans="8:11">
      <c r="H8139">
        <f>SMALL(SimData5000!$B$9:$B$5008,3131)</f>
        <v>0.62600804287898548</v>
      </c>
      <c r="I8139">
        <f>1/(COUNT(SimData5000!$B$9:$B$5008)-1)+$I$8138</f>
        <v>0.62612522504500179</v>
      </c>
      <c r="J8139">
        <f>SMALL(SimData5000!$C$9:$C$5008,3131)</f>
        <v>0.6299552057425899</v>
      </c>
      <c r="K8139">
        <f>1/(COUNT(SimData5000!$C$9:$C$5008)-1)+$K$8138</f>
        <v>0.62612522504500179</v>
      </c>
    </row>
    <row r="8140" spans="8:11">
      <c r="H8140">
        <f>SMALL(SimData5000!$B$9:$B$5008,3132)</f>
        <v>0.62635208146575649</v>
      </c>
      <c r="I8140">
        <f>1/(COUNT(SimData5000!$B$9:$B$5008)-1)+$I$8139</f>
        <v>0.62632526505300334</v>
      </c>
      <c r="J8140">
        <f>SMALL(SimData5000!$C$9:$C$5008,3132)</f>
        <v>0.63069531225937681</v>
      </c>
      <c r="K8140">
        <f>1/(COUNT(SimData5000!$C$9:$C$5008)-1)+$K$8139</f>
        <v>0.62632526505300334</v>
      </c>
    </row>
    <row r="8141" spans="8:11">
      <c r="H8141">
        <f>SMALL(SimData5000!$B$9:$B$5008,3133)</f>
        <v>0.62642683234969787</v>
      </c>
      <c r="I8141">
        <f>1/(COUNT(SimData5000!$B$9:$B$5008)-1)+$I$8140</f>
        <v>0.6265253050610049</v>
      </c>
      <c r="J8141">
        <f>SMALL(SimData5000!$C$9:$C$5008,3133)</f>
        <v>0.63076245929551078</v>
      </c>
      <c r="K8141">
        <f>1/(COUNT(SimData5000!$C$9:$C$5008)-1)+$K$8140</f>
        <v>0.6265253050610049</v>
      </c>
    </row>
    <row r="8142" spans="8:11">
      <c r="H8142">
        <f>SMALL(SimData5000!$B$9:$B$5008,3134)</f>
        <v>0.62677933641625083</v>
      </c>
      <c r="I8142">
        <f>1/(COUNT(SimData5000!$B$9:$B$5008)-1)+$I$8141</f>
        <v>0.62672534506900646</v>
      </c>
      <c r="J8142">
        <f>SMALL(SimData5000!$C$9:$C$5008,3134)</f>
        <v>0.63110813432194846</v>
      </c>
      <c r="K8142">
        <f>1/(COUNT(SimData5000!$C$9:$C$5008)-1)+$K$8141</f>
        <v>0.62672534506900646</v>
      </c>
    </row>
    <row r="8143" spans="8:11">
      <c r="H8143">
        <f>SMALL(SimData5000!$B$9:$B$5008,3135)</f>
        <v>0.62697018546964278</v>
      </c>
      <c r="I8143">
        <f>1/(COUNT(SimData5000!$B$9:$B$5008)-1)+$I$8142</f>
        <v>0.62692538507700801</v>
      </c>
      <c r="J8143">
        <f>SMALL(SimData5000!$C$9:$C$5008,3135)</f>
        <v>0.63131767740924261</v>
      </c>
      <c r="K8143">
        <f>1/(COUNT(SimData5000!$C$9:$C$5008)-1)+$K$8142</f>
        <v>0.62692538507700801</v>
      </c>
    </row>
    <row r="8144" spans="8:11">
      <c r="H8144">
        <f>SMALL(SimData5000!$B$9:$B$5008,3136)</f>
        <v>0.62705564013292436</v>
      </c>
      <c r="I8144">
        <f>1/(COUNT(SimData5000!$B$9:$B$5008)-1)+$I$8143</f>
        <v>0.62712542508500957</v>
      </c>
      <c r="J8144">
        <f>SMALL(SimData5000!$C$9:$C$5008,3136)</f>
        <v>0.63133818047208479</v>
      </c>
      <c r="K8144">
        <f>1/(COUNT(SimData5000!$C$9:$C$5008)-1)+$K$8143</f>
        <v>0.62712542508500957</v>
      </c>
    </row>
    <row r="8145" spans="8:11">
      <c r="H8145">
        <f>SMALL(SimData5000!$B$9:$B$5008,3137)</f>
        <v>0.62725847890378406</v>
      </c>
      <c r="I8145">
        <f>1/(COUNT(SimData5000!$B$9:$B$5008)-1)+$I$8144</f>
        <v>0.62732546509301113</v>
      </c>
      <c r="J8145">
        <f>SMALL(SimData5000!$C$9:$C$5008,3137)</f>
        <v>0.63136188851785846</v>
      </c>
      <c r="K8145">
        <f>1/(COUNT(SimData5000!$C$9:$C$5008)-1)+$K$8144</f>
        <v>0.62732546509301113</v>
      </c>
    </row>
    <row r="8146" spans="8:11">
      <c r="H8146">
        <f>SMALL(SimData5000!$B$9:$B$5008,3138)</f>
        <v>0.62740700934496874</v>
      </c>
      <c r="I8146">
        <f>1/(COUNT(SimData5000!$B$9:$B$5008)-1)+$I$8145</f>
        <v>0.62752550510101268</v>
      </c>
      <c r="J8146">
        <f>SMALL(SimData5000!$C$9:$C$5008,3138)</f>
        <v>0.63156996578072722</v>
      </c>
      <c r="K8146">
        <f>1/(COUNT(SimData5000!$C$9:$C$5008)-1)+$K$8145</f>
        <v>0.62752550510101268</v>
      </c>
    </row>
    <row r="8147" spans="8:11">
      <c r="H8147">
        <f>SMALL(SimData5000!$B$9:$B$5008,3139)</f>
        <v>0.62772411422602004</v>
      </c>
      <c r="I8147">
        <f>1/(COUNT(SimData5000!$B$9:$B$5008)-1)+$I$8146</f>
        <v>0.62772554510901424</v>
      </c>
      <c r="J8147">
        <f>SMALL(SimData5000!$C$9:$C$5008,3139)</f>
        <v>0.63182321243493789</v>
      </c>
      <c r="K8147">
        <f>1/(COUNT(SimData5000!$C$9:$C$5008)-1)+$K$8146</f>
        <v>0.62772554510901424</v>
      </c>
    </row>
    <row r="8148" spans="8:11">
      <c r="H8148">
        <f>SMALL(SimData5000!$B$9:$B$5008,3140)</f>
        <v>0.62788961924274667</v>
      </c>
      <c r="I8148">
        <f>1/(COUNT(SimData5000!$B$9:$B$5008)-1)+$I$8147</f>
        <v>0.62792558511701579</v>
      </c>
      <c r="J8148">
        <f>SMALL(SimData5000!$C$9:$C$5008,3140)</f>
        <v>0.6318489540799419</v>
      </c>
      <c r="K8148">
        <f>1/(COUNT(SimData5000!$C$9:$C$5008)-1)+$K$8147</f>
        <v>0.62792558511701579</v>
      </c>
    </row>
    <row r="8149" spans="8:11">
      <c r="H8149">
        <f>SMALL(SimData5000!$B$9:$B$5008,3141)</f>
        <v>0.62804835383511348</v>
      </c>
      <c r="I8149">
        <f>1/(COUNT(SimData5000!$B$9:$B$5008)-1)+$I$8148</f>
        <v>0.62812562512501735</v>
      </c>
      <c r="J8149">
        <f>SMALL(SimData5000!$C$9:$C$5008,3141)</f>
        <v>0.63186066413618391</v>
      </c>
      <c r="K8149">
        <f>1/(COUNT(SimData5000!$C$9:$C$5008)-1)+$K$8148</f>
        <v>0.62812562512501735</v>
      </c>
    </row>
    <row r="8150" spans="8:11">
      <c r="H8150">
        <f>SMALL(SimData5000!$B$9:$B$5008,3142)</f>
        <v>0.62827483176749088</v>
      </c>
      <c r="I8150">
        <f>1/(COUNT(SimData5000!$B$9:$B$5008)-1)+$I$8149</f>
        <v>0.62832566513301891</v>
      </c>
      <c r="J8150">
        <f>SMALL(SimData5000!$C$9:$C$5008,3142)</f>
        <v>0.63196938657347346</v>
      </c>
      <c r="K8150">
        <f>1/(COUNT(SimData5000!$C$9:$C$5008)-1)+$K$8149</f>
        <v>0.62832566513301891</v>
      </c>
    </row>
    <row r="8151" spans="8:11">
      <c r="H8151">
        <f>SMALL(SimData5000!$B$9:$B$5008,3143)</f>
        <v>0.62854224452174789</v>
      </c>
      <c r="I8151">
        <f>1/(COUNT(SimData5000!$B$9:$B$5008)-1)+$I$8150</f>
        <v>0.62852570514102046</v>
      </c>
      <c r="J8151">
        <f>SMALL(SimData5000!$C$9:$C$5008,3143)</f>
        <v>0.63219810440114088</v>
      </c>
      <c r="K8151">
        <f>1/(COUNT(SimData5000!$C$9:$C$5008)-1)+$K$8150</f>
        <v>0.62852570514102046</v>
      </c>
    </row>
    <row r="8152" spans="8:11">
      <c r="H8152">
        <f>SMALL(SimData5000!$B$9:$B$5008,3144)</f>
        <v>0.62861328128502081</v>
      </c>
      <c r="I8152">
        <f>1/(COUNT(SimData5000!$B$9:$B$5008)-1)+$I$8151</f>
        <v>0.62872574514902202</v>
      </c>
      <c r="J8152">
        <f>SMALL(SimData5000!$C$9:$C$5008,3144)</f>
        <v>0.63247889848571504</v>
      </c>
      <c r="K8152">
        <f>1/(COUNT(SimData5000!$C$9:$C$5008)-1)+$K$8151</f>
        <v>0.62872574514902202</v>
      </c>
    </row>
    <row r="8153" spans="8:11">
      <c r="H8153">
        <f>SMALL(SimData5000!$B$9:$B$5008,3145)</f>
        <v>0.62893960672573634</v>
      </c>
      <c r="I8153">
        <f>1/(COUNT(SimData5000!$B$9:$B$5008)-1)+$I$8152</f>
        <v>0.62892578515702358</v>
      </c>
      <c r="J8153">
        <f>SMALL(SimData5000!$C$9:$C$5008,3145)</f>
        <v>0.63258754399976169</v>
      </c>
      <c r="K8153">
        <f>1/(COUNT(SimData5000!$C$9:$C$5008)-1)+$K$8152</f>
        <v>0.62892578515702358</v>
      </c>
    </row>
    <row r="8154" spans="8:11">
      <c r="H8154">
        <f>SMALL(SimData5000!$B$9:$B$5008,3146)</f>
        <v>0.62902429957944528</v>
      </c>
      <c r="I8154">
        <f>1/(COUNT(SimData5000!$B$9:$B$5008)-1)+$I$8153</f>
        <v>0.62912582516502513</v>
      </c>
      <c r="J8154">
        <f>SMALL(SimData5000!$C$9:$C$5008,3146)</f>
        <v>0.63263987895334139</v>
      </c>
      <c r="K8154">
        <f>1/(COUNT(SimData5000!$C$9:$C$5008)-1)+$K$8153</f>
        <v>0.62912582516502513</v>
      </c>
    </row>
    <row r="8155" spans="8:11">
      <c r="H8155">
        <f>SMALL(SimData5000!$B$9:$B$5008,3147)</f>
        <v>0.62937742394762519</v>
      </c>
      <c r="I8155">
        <f>1/(COUNT(SimData5000!$B$9:$B$5008)-1)+$I$8154</f>
        <v>0.62932586517302669</v>
      </c>
      <c r="J8155">
        <f>SMALL(SimData5000!$C$9:$C$5008,3147)</f>
        <v>0.63279102917658747</v>
      </c>
      <c r="K8155">
        <f>1/(COUNT(SimData5000!$C$9:$C$5008)-1)+$K$8154</f>
        <v>0.62932586517302669</v>
      </c>
    </row>
    <row r="8156" spans="8:11">
      <c r="H8156">
        <f>SMALL(SimData5000!$B$9:$B$5008,3148)</f>
        <v>0.62953894716266989</v>
      </c>
      <c r="I8156">
        <f>1/(COUNT(SimData5000!$B$9:$B$5008)-1)+$I$8155</f>
        <v>0.62952590518102824</v>
      </c>
      <c r="J8156">
        <f>SMALL(SimData5000!$C$9:$C$5008,3148)</f>
        <v>0.63290249942656374</v>
      </c>
      <c r="K8156">
        <f>1/(COUNT(SimData5000!$C$9:$C$5008)-1)+$K$8155</f>
        <v>0.62952590518102824</v>
      </c>
    </row>
    <row r="8157" spans="8:11">
      <c r="H8157">
        <f>SMALL(SimData5000!$B$9:$B$5008,3149)</f>
        <v>0.62974071881313354</v>
      </c>
      <c r="I8157">
        <f>1/(COUNT(SimData5000!$B$9:$B$5008)-1)+$I$8156</f>
        <v>0.6297259451890298</v>
      </c>
      <c r="J8157">
        <f>SMALL(SimData5000!$C$9:$C$5008,3149)</f>
        <v>0.63294569116987986</v>
      </c>
      <c r="K8157">
        <f>1/(COUNT(SimData5000!$C$9:$C$5008)-1)+$K$8156</f>
        <v>0.6297259451890298</v>
      </c>
    </row>
    <row r="8158" spans="8:11">
      <c r="H8158">
        <f>SMALL(SimData5000!$B$9:$B$5008,3150)</f>
        <v>0.62981311251237371</v>
      </c>
      <c r="I8158">
        <f>1/(COUNT(SimData5000!$B$9:$B$5008)-1)+$I$8157</f>
        <v>0.62992598519703136</v>
      </c>
      <c r="J8158">
        <f>SMALL(SimData5000!$C$9:$C$5008,3150)</f>
        <v>0.63306114596161933</v>
      </c>
      <c r="K8158">
        <f>1/(COUNT(SimData5000!$C$9:$C$5008)-1)+$K$8157</f>
        <v>0.62992598519703136</v>
      </c>
    </row>
    <row r="8159" spans="8:11">
      <c r="H8159">
        <f>SMALL(SimData5000!$B$9:$B$5008,3151)</f>
        <v>0.63003720075004666</v>
      </c>
      <c r="I8159">
        <f>1/(COUNT(SimData5000!$B$9:$B$5008)-1)+$I$8158</f>
        <v>0.63012602520503291</v>
      </c>
      <c r="J8159">
        <f>SMALL(SimData5000!$C$9:$C$5008,3151)</f>
        <v>0.63383854573385179</v>
      </c>
      <c r="K8159">
        <f>1/(COUNT(SimData5000!$C$9:$C$5008)-1)+$K$8158</f>
        <v>0.63012602520503291</v>
      </c>
    </row>
    <row r="8160" spans="8:11">
      <c r="H8160">
        <f>SMALL(SimData5000!$B$9:$B$5008,3152)</f>
        <v>0.63032739671350624</v>
      </c>
      <c r="I8160">
        <f>1/(COUNT(SimData5000!$B$9:$B$5008)-1)+$I$8159</f>
        <v>0.63032606521303447</v>
      </c>
      <c r="J8160">
        <f>SMALL(SimData5000!$C$9:$C$5008,3152)</f>
        <v>0.63390036746750411</v>
      </c>
      <c r="K8160">
        <f>1/(COUNT(SimData5000!$C$9:$C$5008)-1)+$K$8159</f>
        <v>0.63032606521303447</v>
      </c>
    </row>
    <row r="8161" spans="8:11">
      <c r="H8161">
        <f>SMALL(SimData5000!$B$9:$B$5008,3153)</f>
        <v>0.63053234738142516</v>
      </c>
      <c r="I8161">
        <f>1/(COUNT(SimData5000!$B$9:$B$5008)-1)+$I$8160</f>
        <v>0.63052610522103603</v>
      </c>
      <c r="J8161">
        <f>SMALL(SimData5000!$C$9:$C$5008,3153)</f>
        <v>0.63411344898486277</v>
      </c>
      <c r="K8161">
        <f>1/(COUNT(SimData5000!$C$9:$C$5008)-1)+$K$8160</f>
        <v>0.63052610522103603</v>
      </c>
    </row>
    <row r="8162" spans="8:11">
      <c r="H8162">
        <f>SMALL(SimData5000!$B$9:$B$5008,3154)</f>
        <v>0.63072537213669289</v>
      </c>
      <c r="I8162">
        <f>1/(COUNT(SimData5000!$B$9:$B$5008)-1)+$I$8161</f>
        <v>0.63072614522903758</v>
      </c>
      <c r="J8162">
        <f>SMALL(SimData5000!$C$9:$C$5008,3154)</f>
        <v>0.63438332802979858</v>
      </c>
      <c r="K8162">
        <f>1/(COUNT(SimData5000!$C$9:$C$5008)-1)+$K$8161</f>
        <v>0.63072614522903758</v>
      </c>
    </row>
    <row r="8163" spans="8:11">
      <c r="H8163">
        <f>SMALL(SimData5000!$B$9:$B$5008,3155)</f>
        <v>0.63090772265799056</v>
      </c>
      <c r="I8163">
        <f>1/(COUNT(SimData5000!$B$9:$B$5008)-1)+$I$8162</f>
        <v>0.63092618523703914</v>
      </c>
      <c r="J8163">
        <f>SMALL(SimData5000!$C$9:$C$5008,3155)</f>
        <v>0.6345869620972735</v>
      </c>
      <c r="K8163">
        <f>1/(COUNT(SimData5000!$C$9:$C$5008)-1)+$K$8162</f>
        <v>0.63092618523703914</v>
      </c>
    </row>
    <row r="8164" spans="8:11">
      <c r="H8164">
        <f>SMALL(SimData5000!$B$9:$B$5008,3156)</f>
        <v>0.63114819539500122</v>
      </c>
      <c r="I8164">
        <f>1/(COUNT(SimData5000!$B$9:$B$5008)-1)+$I$8163</f>
        <v>0.6311262252450407</v>
      </c>
      <c r="J8164">
        <f>SMALL(SimData5000!$C$9:$C$5008,3156)</f>
        <v>0.63464478637979482</v>
      </c>
      <c r="K8164">
        <f>1/(COUNT(SimData5000!$C$9:$C$5008)-1)+$K$8163</f>
        <v>0.6311262252450407</v>
      </c>
    </row>
    <row r="8165" spans="8:11">
      <c r="H8165">
        <f>SMALL(SimData5000!$B$9:$B$5008,3157)</f>
        <v>0.63121198800858391</v>
      </c>
      <c r="I8165">
        <f>1/(COUNT(SimData5000!$B$9:$B$5008)-1)+$I$8164</f>
        <v>0.63132626525304225</v>
      </c>
      <c r="J8165">
        <f>SMALL(SimData5000!$C$9:$C$5008,3157)</f>
        <v>0.63465695811828482</v>
      </c>
      <c r="K8165">
        <f>1/(COUNT(SimData5000!$C$9:$C$5008)-1)+$K$8164</f>
        <v>0.63132626525304225</v>
      </c>
    </row>
    <row r="8166" spans="8:11">
      <c r="H8166">
        <f>SMALL(SimData5000!$B$9:$B$5008,3158)</f>
        <v>0.63150662203196128</v>
      </c>
      <c r="I8166">
        <f>1/(COUNT(SimData5000!$B$9:$B$5008)-1)+$I$8165</f>
        <v>0.63152630526104381</v>
      </c>
      <c r="J8166">
        <f>SMALL(SimData5000!$C$9:$C$5008,3158)</f>
        <v>0.63491058751969831</v>
      </c>
      <c r="K8166">
        <f>1/(COUNT(SimData5000!$C$9:$C$5008)-1)+$K$8165</f>
        <v>0.63152630526104381</v>
      </c>
    </row>
    <row r="8167" spans="8:11">
      <c r="H8167">
        <f>SMALL(SimData5000!$B$9:$B$5008,3159)</f>
        <v>0.63164492461212096</v>
      </c>
      <c r="I8167">
        <f>1/(COUNT(SimData5000!$B$9:$B$5008)-1)+$I$8166</f>
        <v>0.63172634526904536</v>
      </c>
      <c r="J8167">
        <f>SMALL(SimData5000!$C$9:$C$5008,3159)</f>
        <v>0.63512231929325935</v>
      </c>
      <c r="K8167">
        <f>1/(COUNT(SimData5000!$C$9:$C$5008)-1)+$K$8166</f>
        <v>0.63172634526904536</v>
      </c>
    </row>
    <row r="8168" spans="8:11">
      <c r="H8168">
        <f>SMALL(SimData5000!$B$9:$B$5008,3160)</f>
        <v>0.6319247155699238</v>
      </c>
      <c r="I8168">
        <f>1/(COUNT(SimData5000!$B$9:$B$5008)-1)+$I$8167</f>
        <v>0.63192638527704692</v>
      </c>
      <c r="J8168">
        <f>SMALL(SimData5000!$C$9:$C$5008,3160)</f>
        <v>0.63520139169941103</v>
      </c>
      <c r="K8168">
        <f>1/(COUNT(SimData5000!$C$9:$C$5008)-1)+$K$8167</f>
        <v>0.63192638527704692</v>
      </c>
    </row>
    <row r="8169" spans="8:11">
      <c r="H8169">
        <f>SMALL(SimData5000!$B$9:$B$5008,3161)</f>
        <v>0.63218672930933228</v>
      </c>
      <c r="I8169">
        <f>1/(COUNT(SimData5000!$B$9:$B$5008)-1)+$I$8168</f>
        <v>0.63212642528504848</v>
      </c>
      <c r="J8169">
        <f>SMALL(SimData5000!$C$9:$C$5008,3161)</f>
        <v>0.63526238566737447</v>
      </c>
      <c r="K8169">
        <f>1/(COUNT(SimData5000!$C$9:$C$5008)-1)+$K$8168</f>
        <v>0.63212642528504848</v>
      </c>
    </row>
    <row r="8170" spans="8:11">
      <c r="H8170">
        <f>SMALL(SimData5000!$B$9:$B$5008,3162)</f>
        <v>0.63235016375862763</v>
      </c>
      <c r="I8170">
        <f>1/(COUNT(SimData5000!$B$9:$B$5008)-1)+$I$8169</f>
        <v>0.63232646529305003</v>
      </c>
      <c r="J8170">
        <f>SMALL(SimData5000!$C$9:$C$5008,3162)</f>
        <v>0.63577432931560907</v>
      </c>
      <c r="K8170">
        <f>1/(COUNT(SimData5000!$C$9:$C$5008)-1)+$K$8169</f>
        <v>0.63232646529305003</v>
      </c>
    </row>
    <row r="8171" spans="8:11">
      <c r="H8171">
        <f>SMALL(SimData5000!$B$9:$B$5008,3163)</f>
        <v>0.63242561003580355</v>
      </c>
      <c r="I8171">
        <f>1/(COUNT(SimData5000!$B$9:$B$5008)-1)+$I$8170</f>
        <v>0.63252650530105159</v>
      </c>
      <c r="J8171">
        <f>SMALL(SimData5000!$C$9:$C$5008,3163)</f>
        <v>0.6358955152636554</v>
      </c>
      <c r="K8171">
        <f>1/(COUNT(SimData5000!$C$9:$C$5008)-1)+$K$8170</f>
        <v>0.63252650530105159</v>
      </c>
    </row>
    <row r="8172" spans="8:11">
      <c r="H8172">
        <f>SMALL(SimData5000!$B$9:$B$5008,3164)</f>
        <v>0.63267424455198329</v>
      </c>
      <c r="I8172">
        <f>1/(COUNT(SimData5000!$B$9:$B$5008)-1)+$I$8171</f>
        <v>0.63272654530905315</v>
      </c>
      <c r="J8172">
        <f>SMALL(SimData5000!$C$9:$C$5008,3164)</f>
        <v>0.6363138433698623</v>
      </c>
      <c r="K8172">
        <f>1/(COUNT(SimData5000!$C$9:$C$5008)-1)+$K$8171</f>
        <v>0.63272654530905315</v>
      </c>
    </row>
    <row r="8173" spans="8:11">
      <c r="H8173">
        <f>SMALL(SimData5000!$B$9:$B$5008,3165)</f>
        <v>0.63295072965634769</v>
      </c>
      <c r="I8173">
        <f>1/(COUNT(SimData5000!$B$9:$B$5008)-1)+$I$8172</f>
        <v>0.6329265853170547</v>
      </c>
      <c r="J8173">
        <f>SMALL(SimData5000!$C$9:$C$5008,3165)</f>
        <v>0.63651786802802235</v>
      </c>
      <c r="K8173">
        <f>1/(COUNT(SimData5000!$C$9:$C$5008)-1)+$K$8172</f>
        <v>0.6329265853170547</v>
      </c>
    </row>
    <row r="8174" spans="8:11">
      <c r="H8174">
        <f>SMALL(SimData5000!$B$9:$B$5008,3166)</f>
        <v>0.63305389705431969</v>
      </c>
      <c r="I8174">
        <f>1/(COUNT(SimData5000!$B$9:$B$5008)-1)+$I$8173</f>
        <v>0.63312662532505626</v>
      </c>
      <c r="J8174">
        <f>SMALL(SimData5000!$C$9:$C$5008,3166)</f>
        <v>0.63679028954720707</v>
      </c>
      <c r="K8174">
        <f>1/(COUNT(SimData5000!$C$9:$C$5008)-1)+$K$8173</f>
        <v>0.63312662532505626</v>
      </c>
    </row>
    <row r="8175" spans="8:11">
      <c r="H8175">
        <f>SMALL(SimData5000!$B$9:$B$5008,3167)</f>
        <v>0.63325783002936697</v>
      </c>
      <c r="I8175">
        <f>1/(COUNT(SimData5000!$B$9:$B$5008)-1)+$I$8174</f>
        <v>0.63332666533305781</v>
      </c>
      <c r="J8175">
        <f>SMALL(SimData5000!$C$9:$C$5008,3167)</f>
        <v>0.63693436146058957</v>
      </c>
      <c r="K8175">
        <f>1/(COUNT(SimData5000!$C$9:$C$5008)-1)+$K$8174</f>
        <v>0.63332666533305781</v>
      </c>
    </row>
    <row r="8176" spans="8:11">
      <c r="H8176">
        <f>SMALL(SimData5000!$B$9:$B$5008,3168)</f>
        <v>0.63344571627947632</v>
      </c>
      <c r="I8176">
        <f>1/(COUNT(SimData5000!$B$9:$B$5008)-1)+$I$8175</f>
        <v>0.63352670534105937</v>
      </c>
      <c r="J8176">
        <f>SMALL(SimData5000!$C$9:$C$5008,3168)</f>
        <v>0.63693852102460369</v>
      </c>
      <c r="K8176">
        <f>1/(COUNT(SimData5000!$C$9:$C$5008)-1)+$K$8175</f>
        <v>0.63352670534105937</v>
      </c>
    </row>
    <row r="8177" spans="8:11">
      <c r="H8177">
        <f>SMALL(SimData5000!$B$9:$B$5008,3169)</f>
        <v>0.63367814323917915</v>
      </c>
      <c r="I8177">
        <f>1/(COUNT(SimData5000!$B$9:$B$5008)-1)+$I$8176</f>
        <v>0.63372674534906093</v>
      </c>
      <c r="J8177">
        <f>SMALL(SimData5000!$C$9:$C$5008,3169)</f>
        <v>0.63712413770736021</v>
      </c>
      <c r="K8177">
        <f>1/(COUNT(SimData5000!$C$9:$C$5008)-1)+$K$8176</f>
        <v>0.63372674534906093</v>
      </c>
    </row>
    <row r="8178" spans="8:11">
      <c r="H8178">
        <f>SMALL(SimData5000!$B$9:$B$5008,3170)</f>
        <v>0.63395494498348681</v>
      </c>
      <c r="I8178">
        <f>1/(COUNT(SimData5000!$B$9:$B$5008)-1)+$I$8177</f>
        <v>0.63392678535706248</v>
      </c>
      <c r="J8178">
        <f>SMALL(SimData5000!$C$9:$C$5008,3170)</f>
        <v>0.63729670110842562</v>
      </c>
      <c r="K8178">
        <f>1/(COUNT(SimData5000!$C$9:$C$5008)-1)+$K$8177</f>
        <v>0.63392678535706248</v>
      </c>
    </row>
    <row r="8179" spans="8:11">
      <c r="H8179">
        <f>SMALL(SimData5000!$B$9:$B$5008,3171)</f>
        <v>0.63407584506945591</v>
      </c>
      <c r="I8179">
        <f>1/(COUNT(SimData5000!$B$9:$B$5008)-1)+$I$8178</f>
        <v>0.63412682536506404</v>
      </c>
      <c r="J8179">
        <f>SMALL(SimData5000!$C$9:$C$5008,3171)</f>
        <v>0.63770069098609383</v>
      </c>
      <c r="K8179">
        <f>1/(COUNT(SimData5000!$C$9:$C$5008)-1)+$K$8178</f>
        <v>0.63412682536506404</v>
      </c>
    </row>
    <row r="8180" spans="8:11">
      <c r="H8180">
        <f>SMALL(SimData5000!$B$9:$B$5008,3172)</f>
        <v>0.63426012921725872</v>
      </c>
      <c r="I8180">
        <f>1/(COUNT(SimData5000!$B$9:$B$5008)-1)+$I$8179</f>
        <v>0.6343268653730656</v>
      </c>
      <c r="J8180">
        <f>SMALL(SimData5000!$C$9:$C$5008,3172)</f>
        <v>0.63798038408731372</v>
      </c>
      <c r="K8180">
        <f>1/(COUNT(SimData5000!$C$9:$C$5008)-1)+$K$8179</f>
        <v>0.6343268653730656</v>
      </c>
    </row>
    <row r="8181" spans="8:11">
      <c r="H8181">
        <f>SMALL(SimData5000!$B$9:$B$5008,3173)</f>
        <v>0.63454910532309428</v>
      </c>
      <c r="I8181">
        <f>1/(COUNT(SimData5000!$B$9:$B$5008)-1)+$I$8180</f>
        <v>0.63452690538106715</v>
      </c>
      <c r="J8181">
        <f>SMALL(SimData5000!$C$9:$C$5008,3173)</f>
        <v>0.63801607207187772</v>
      </c>
      <c r="K8181">
        <f>1/(COUNT(SimData5000!$C$9:$C$5008)-1)+$K$8180</f>
        <v>0.63452690538106715</v>
      </c>
    </row>
    <row r="8182" spans="8:11">
      <c r="H8182">
        <f>SMALL(SimData5000!$B$9:$B$5008,3174)</f>
        <v>0.63472724579193796</v>
      </c>
      <c r="I8182">
        <f>1/(COUNT(SimData5000!$B$9:$B$5008)-1)+$I$8181</f>
        <v>0.63472694538906871</v>
      </c>
      <c r="J8182">
        <f>SMALL(SimData5000!$C$9:$C$5008,3174)</f>
        <v>0.63817315715914447</v>
      </c>
      <c r="K8182">
        <f>1/(COUNT(SimData5000!$C$9:$C$5008)-1)+$K$8181</f>
        <v>0.63472694538906871</v>
      </c>
    </row>
    <row r="8183" spans="8:11">
      <c r="H8183">
        <f>SMALL(SimData5000!$B$9:$B$5008,3175)</f>
        <v>0.63497399991372927</v>
      </c>
      <c r="I8183">
        <f>1/(COUNT(SimData5000!$B$9:$B$5008)-1)+$I$8182</f>
        <v>0.63492698539707026</v>
      </c>
      <c r="J8183">
        <f>SMALL(SimData5000!$C$9:$C$5008,3175)</f>
        <v>0.63853359263157472</v>
      </c>
      <c r="K8183">
        <f>1/(COUNT(SimData5000!$C$9:$C$5008)-1)+$K$8182</f>
        <v>0.63492698539707026</v>
      </c>
    </row>
    <row r="8184" spans="8:11">
      <c r="H8184">
        <f>SMALL(SimData5000!$B$9:$B$5008,3176)</f>
        <v>0.63506866989593691</v>
      </c>
      <c r="I8184">
        <f>1/(COUNT(SimData5000!$B$9:$B$5008)-1)+$I$8183</f>
        <v>0.63512702540507182</v>
      </c>
      <c r="J8184">
        <f>SMALL(SimData5000!$C$9:$C$5008,3176)</f>
        <v>0.63858585180153682</v>
      </c>
      <c r="K8184">
        <f>1/(COUNT(SimData5000!$C$9:$C$5008)-1)+$K$8183</f>
        <v>0.63512702540507182</v>
      </c>
    </row>
    <row r="8185" spans="8:11">
      <c r="H8185">
        <f>SMALL(SimData5000!$B$9:$B$5008,3177)</f>
        <v>0.63522783874897937</v>
      </c>
      <c r="I8185">
        <f>1/(COUNT(SimData5000!$B$9:$B$5008)-1)+$I$8184</f>
        <v>0.63532706541307338</v>
      </c>
      <c r="J8185">
        <f>SMALL(SimData5000!$C$9:$C$5008,3177)</f>
        <v>0.63874647372904292</v>
      </c>
      <c r="K8185">
        <f>1/(COUNT(SimData5000!$C$9:$C$5008)-1)+$K$8184</f>
        <v>0.63532706541307338</v>
      </c>
    </row>
    <row r="8186" spans="8:11">
      <c r="H8186">
        <f>SMALL(SimData5000!$B$9:$B$5008,3178)</f>
        <v>0.63542014728868856</v>
      </c>
      <c r="I8186">
        <f>1/(COUNT(SimData5000!$B$9:$B$5008)-1)+$I$8185</f>
        <v>0.63552710542107493</v>
      </c>
      <c r="J8186">
        <f>SMALL(SimData5000!$C$9:$C$5008,3178)</f>
        <v>0.63881002421931044</v>
      </c>
      <c r="K8186">
        <f>1/(COUNT(SimData5000!$C$9:$C$5008)-1)+$K$8185</f>
        <v>0.63552710542107493</v>
      </c>
    </row>
    <row r="8187" spans="8:11">
      <c r="H8187">
        <f>SMALL(SimData5000!$B$9:$B$5008,3179)</f>
        <v>0.63561269509867124</v>
      </c>
      <c r="I8187">
        <f>1/(COUNT(SimData5000!$B$9:$B$5008)-1)+$I$8186</f>
        <v>0.63572714542907649</v>
      </c>
      <c r="J8187">
        <f>SMALL(SimData5000!$C$9:$C$5008,3179)</f>
        <v>0.63888384740675974</v>
      </c>
      <c r="K8187">
        <f>1/(COUNT(SimData5000!$C$9:$C$5008)-1)+$K$8186</f>
        <v>0.63572714542907649</v>
      </c>
    </row>
    <row r="8188" spans="8:11">
      <c r="H8188">
        <f>SMALL(SimData5000!$B$9:$B$5008,3180)</f>
        <v>0.63595838159372986</v>
      </c>
      <c r="I8188">
        <f>1/(COUNT(SimData5000!$B$9:$B$5008)-1)+$I$8187</f>
        <v>0.63592718543707805</v>
      </c>
      <c r="J8188">
        <f>SMALL(SimData5000!$C$9:$C$5008,3180)</f>
        <v>0.63901752779929666</v>
      </c>
      <c r="K8188">
        <f>1/(COUNT(SimData5000!$C$9:$C$5008)-1)+$K$8187</f>
        <v>0.63592718543707805</v>
      </c>
    </row>
    <row r="8189" spans="8:11">
      <c r="H8189">
        <f>SMALL(SimData5000!$B$9:$B$5008,3181)</f>
        <v>0.63608795486122549</v>
      </c>
      <c r="I8189">
        <f>1/(COUNT(SimData5000!$B$9:$B$5008)-1)+$I$8188</f>
        <v>0.6361272254450796</v>
      </c>
      <c r="J8189">
        <f>SMALL(SimData5000!$C$9:$C$5008,3181)</f>
        <v>0.63929971338802716</v>
      </c>
      <c r="K8189">
        <f>1/(COUNT(SimData5000!$C$9:$C$5008)-1)+$K$8188</f>
        <v>0.6361272254450796</v>
      </c>
    </row>
    <row r="8190" spans="8:11">
      <c r="H8190">
        <f>SMALL(SimData5000!$B$9:$B$5008,3182)</f>
        <v>0.63633593425618851</v>
      </c>
      <c r="I8190">
        <f>1/(COUNT(SimData5000!$B$9:$B$5008)-1)+$I$8189</f>
        <v>0.63632726545308116</v>
      </c>
      <c r="J8190">
        <f>SMALL(SimData5000!$C$9:$C$5008,3182)</f>
        <v>0.63942694782417675</v>
      </c>
      <c r="K8190">
        <f>1/(COUNT(SimData5000!$C$9:$C$5008)-1)+$K$8189</f>
        <v>0.63632726545308116</v>
      </c>
    </row>
    <row r="8191" spans="8:11">
      <c r="H8191">
        <f>SMALL(SimData5000!$B$9:$B$5008,3183)</f>
        <v>0.63641218615458628</v>
      </c>
      <c r="I8191">
        <f>1/(COUNT(SimData5000!$B$9:$B$5008)-1)+$I$8190</f>
        <v>0.63652730546108272</v>
      </c>
      <c r="J8191">
        <f>SMALL(SimData5000!$C$9:$C$5008,3183)</f>
        <v>0.63955580163383274</v>
      </c>
      <c r="K8191">
        <f>1/(COUNT(SimData5000!$C$9:$C$5008)-1)+$K$8190</f>
        <v>0.63652730546108272</v>
      </c>
    </row>
    <row r="8192" spans="8:11">
      <c r="H8192">
        <f>SMALL(SimData5000!$B$9:$B$5008,3184)</f>
        <v>0.63671624236184088</v>
      </c>
      <c r="I8192">
        <f>1/(COUNT(SimData5000!$B$9:$B$5008)-1)+$I$8191</f>
        <v>0.63672734546908427</v>
      </c>
      <c r="J8192">
        <f>SMALL(SimData5000!$C$9:$C$5008,3184)</f>
        <v>0.63998945659841411</v>
      </c>
      <c r="K8192">
        <f>1/(COUNT(SimData5000!$C$9:$C$5008)-1)+$K$8191</f>
        <v>0.63672734546908427</v>
      </c>
    </row>
    <row r="8193" spans="8:11">
      <c r="H8193">
        <f>SMALL(SimData5000!$B$9:$B$5008,3185)</f>
        <v>0.63685382332598184</v>
      </c>
      <c r="I8193">
        <f>1/(COUNT(SimData5000!$B$9:$B$5008)-1)+$I$8192</f>
        <v>0.63692738547708583</v>
      </c>
      <c r="J8193">
        <f>SMALL(SimData5000!$C$9:$C$5008,3185)</f>
        <v>0.6402969234432021</v>
      </c>
      <c r="K8193">
        <f>1/(COUNT(SimData5000!$C$9:$C$5008)-1)+$K$8192</f>
        <v>0.63692738547708583</v>
      </c>
    </row>
    <row r="8194" spans="8:11">
      <c r="H8194">
        <f>SMALL(SimData5000!$B$9:$B$5008,3186)</f>
        <v>0.6371080719521055</v>
      </c>
      <c r="I8194">
        <f>1/(COUNT(SimData5000!$B$9:$B$5008)-1)+$I$8193</f>
        <v>0.63712742548508738</v>
      </c>
      <c r="J8194">
        <f>SMALL(SimData5000!$C$9:$C$5008,3186)</f>
        <v>0.64047898152057314</v>
      </c>
      <c r="K8194">
        <f>1/(COUNT(SimData5000!$C$9:$C$5008)-1)+$K$8193</f>
        <v>0.63712742548508738</v>
      </c>
    </row>
    <row r="8195" spans="8:11">
      <c r="H8195">
        <f>SMALL(SimData5000!$B$9:$B$5008,3187)</f>
        <v>0.63730762511033279</v>
      </c>
      <c r="I8195">
        <f>1/(COUNT(SimData5000!$B$9:$B$5008)-1)+$I$8194</f>
        <v>0.63732746549308894</v>
      </c>
      <c r="J8195">
        <f>SMALL(SimData5000!$C$9:$C$5008,3187)</f>
        <v>0.64057296054033941</v>
      </c>
      <c r="K8195">
        <f>1/(COUNT(SimData5000!$C$9:$C$5008)-1)+$K$8194</f>
        <v>0.63732746549308894</v>
      </c>
    </row>
    <row r="8196" spans="8:11">
      <c r="H8196">
        <f>SMALL(SimData5000!$B$9:$B$5008,3188)</f>
        <v>0.637506917350671</v>
      </c>
      <c r="I8196">
        <f>1/(COUNT(SimData5000!$B$9:$B$5008)-1)+$I$8195</f>
        <v>0.6375275055010905</v>
      </c>
      <c r="J8196">
        <f>SMALL(SimData5000!$C$9:$C$5008,3188)</f>
        <v>0.64083377890347037</v>
      </c>
      <c r="K8196">
        <f>1/(COUNT(SimData5000!$C$9:$C$5008)-1)+$K$8195</f>
        <v>0.6375275055010905</v>
      </c>
    </row>
    <row r="8197" spans="8:11">
      <c r="H8197">
        <f>SMALL(SimData5000!$B$9:$B$5008,3189)</f>
        <v>0.63761404815940514</v>
      </c>
      <c r="I8197">
        <f>1/(COUNT(SimData5000!$B$9:$B$5008)-1)+$I$8196</f>
        <v>0.63772754550909205</v>
      </c>
      <c r="J8197">
        <f>SMALL(SimData5000!$C$9:$C$5008,3189)</f>
        <v>0.64101324658804515</v>
      </c>
      <c r="K8197">
        <f>1/(COUNT(SimData5000!$C$9:$C$5008)-1)+$K$8196</f>
        <v>0.63772754550909205</v>
      </c>
    </row>
    <row r="8198" spans="8:11">
      <c r="H8198">
        <f>SMALL(SimData5000!$B$9:$B$5008,3190)</f>
        <v>0.63797229708073944</v>
      </c>
      <c r="I8198">
        <f>1/(COUNT(SimData5000!$B$9:$B$5008)-1)+$I$8197</f>
        <v>0.63792758551709361</v>
      </c>
      <c r="J8198">
        <f>SMALL(SimData5000!$C$9:$C$5008,3190)</f>
        <v>0.64147075636901718</v>
      </c>
      <c r="K8198">
        <f>1/(COUNT(SimData5000!$C$9:$C$5008)-1)+$K$8197</f>
        <v>0.63792758551709361</v>
      </c>
    </row>
    <row r="8199" spans="8:11">
      <c r="H8199">
        <f>SMALL(SimData5000!$B$9:$B$5008,3191)</f>
        <v>0.6380995202642632</v>
      </c>
      <c r="I8199">
        <f>1/(COUNT(SimData5000!$B$9:$B$5008)-1)+$I$8198</f>
        <v>0.63812762552509517</v>
      </c>
      <c r="J8199">
        <f>SMALL(SimData5000!$C$9:$C$5008,3191)</f>
        <v>0.64149120632373524</v>
      </c>
      <c r="K8199">
        <f>1/(COUNT(SimData5000!$C$9:$C$5008)-1)+$K$8198</f>
        <v>0.63812762552509517</v>
      </c>
    </row>
    <row r="8200" spans="8:11">
      <c r="H8200">
        <f>SMALL(SimData5000!$B$9:$B$5008,3192)</f>
        <v>0.63832204382329294</v>
      </c>
      <c r="I8200">
        <f>1/(COUNT(SimData5000!$B$9:$B$5008)-1)+$I$8199</f>
        <v>0.63832766553309672</v>
      </c>
      <c r="J8200">
        <f>SMALL(SimData5000!$C$9:$C$5008,3192)</f>
        <v>0.64167263485978765</v>
      </c>
      <c r="K8200">
        <f>1/(COUNT(SimData5000!$C$9:$C$5008)-1)+$K$8199</f>
        <v>0.63832766553309672</v>
      </c>
    </row>
    <row r="8201" spans="8:11">
      <c r="H8201">
        <f>SMALL(SimData5000!$B$9:$B$5008,3193)</f>
        <v>0.638488390956374</v>
      </c>
      <c r="I8201">
        <f>1/(COUNT(SimData5000!$B$9:$B$5008)-1)+$I$8200</f>
        <v>0.63852770554109828</v>
      </c>
      <c r="J8201">
        <f>SMALL(SimData5000!$C$9:$C$5008,3193)</f>
        <v>0.64199257985728764</v>
      </c>
      <c r="K8201">
        <f>1/(COUNT(SimData5000!$C$9:$C$5008)-1)+$K$8200</f>
        <v>0.63852770554109828</v>
      </c>
    </row>
    <row r="8202" spans="8:11">
      <c r="H8202">
        <f>SMALL(SimData5000!$B$9:$B$5008,3194)</f>
        <v>0.63871782376005271</v>
      </c>
      <c r="I8202">
        <f>1/(COUNT(SimData5000!$B$9:$B$5008)-1)+$I$8201</f>
        <v>0.63872774554909983</v>
      </c>
      <c r="J8202">
        <f>SMALL(SimData5000!$C$9:$C$5008,3194)</f>
        <v>0.64214554514546762</v>
      </c>
      <c r="K8202">
        <f>1/(COUNT(SimData5000!$C$9:$C$5008)-1)+$K$8201</f>
        <v>0.63872774554909983</v>
      </c>
    </row>
    <row r="8203" spans="8:11">
      <c r="H8203">
        <f>SMALL(SimData5000!$B$9:$B$5008,3195)</f>
        <v>0.63882348433356351</v>
      </c>
      <c r="I8203">
        <f>1/(COUNT(SimData5000!$B$9:$B$5008)-1)+$I$8202</f>
        <v>0.63892778555710139</v>
      </c>
      <c r="J8203">
        <f>SMALL(SimData5000!$C$9:$C$5008,3195)</f>
        <v>0.64310449462391261</v>
      </c>
      <c r="K8203">
        <f>1/(COUNT(SimData5000!$C$9:$C$5008)-1)+$K$8202</f>
        <v>0.63892778555710139</v>
      </c>
    </row>
    <row r="8204" spans="8:11">
      <c r="H8204">
        <f>SMALL(SimData5000!$B$9:$B$5008,3196)</f>
        <v>0.63919140749475722</v>
      </c>
      <c r="I8204">
        <f>1/(COUNT(SimData5000!$B$9:$B$5008)-1)+$I$8203</f>
        <v>0.63912782556510295</v>
      </c>
      <c r="J8204">
        <f>SMALL(SimData5000!$C$9:$C$5008,3196)</f>
        <v>0.64334876626071491</v>
      </c>
      <c r="K8204">
        <f>1/(COUNT(SimData5000!$C$9:$C$5008)-1)+$K$8203</f>
        <v>0.63912782556510295</v>
      </c>
    </row>
    <row r="8205" spans="8:11">
      <c r="H8205">
        <f>SMALL(SimData5000!$B$9:$B$5008,3197)</f>
        <v>0.6392787701063507</v>
      </c>
      <c r="I8205">
        <f>1/(COUNT(SimData5000!$B$9:$B$5008)-1)+$I$8204</f>
        <v>0.6393278655731045</v>
      </c>
      <c r="J8205">
        <f>SMALL(SimData5000!$C$9:$C$5008,3197)</f>
        <v>0.64344323333716602</v>
      </c>
      <c r="K8205">
        <f>1/(COUNT(SimData5000!$C$9:$C$5008)-1)+$K$8204</f>
        <v>0.6393278655731045</v>
      </c>
    </row>
    <row r="8206" spans="8:11">
      <c r="H8206">
        <f>SMALL(SimData5000!$B$9:$B$5008,3198)</f>
        <v>0.63944878165606611</v>
      </c>
      <c r="I8206">
        <f>1/(COUNT(SimData5000!$B$9:$B$5008)-1)+$I$8205</f>
        <v>0.63952790558110606</v>
      </c>
      <c r="J8206">
        <f>SMALL(SimData5000!$C$9:$C$5008,3198)</f>
        <v>0.64362932927360816</v>
      </c>
      <c r="K8206">
        <f>1/(COUNT(SimData5000!$C$9:$C$5008)-1)+$K$8205</f>
        <v>0.63952790558110606</v>
      </c>
    </row>
    <row r="8207" spans="8:11">
      <c r="H8207">
        <f>SMALL(SimData5000!$B$9:$B$5008,3199)</f>
        <v>0.63977917341468371</v>
      </c>
      <c r="I8207">
        <f>1/(COUNT(SimData5000!$B$9:$B$5008)-1)+$I$8206</f>
        <v>0.63972794558910762</v>
      </c>
      <c r="J8207">
        <f>SMALL(SimData5000!$C$9:$C$5008,3199)</f>
        <v>0.64374598679569317</v>
      </c>
      <c r="K8207">
        <f>1/(COUNT(SimData5000!$C$9:$C$5008)-1)+$K$8206</f>
        <v>0.63972794558910762</v>
      </c>
    </row>
    <row r="8208" spans="8:11">
      <c r="H8208">
        <f>SMALL(SimData5000!$B$9:$B$5008,3200)</f>
        <v>0.63997379569443269</v>
      </c>
      <c r="I8208">
        <f>1/(COUNT(SimData5000!$B$9:$B$5008)-1)+$I$8207</f>
        <v>0.63992798559710917</v>
      </c>
      <c r="J8208">
        <f>SMALL(SimData5000!$C$9:$C$5008,3200)</f>
        <v>0.64405194243590813</v>
      </c>
      <c r="K8208">
        <f>1/(COUNT(SimData5000!$C$9:$C$5008)-1)+$K$8207</f>
        <v>0.63992798559710917</v>
      </c>
    </row>
    <row r="8209" spans="8:11">
      <c r="H8209">
        <f>SMALL(SimData5000!$B$9:$B$5008,3201)</f>
        <v>0.64000771559793679</v>
      </c>
      <c r="I8209">
        <f>1/(COUNT(SimData5000!$B$9:$B$5008)-1)+$I$8208</f>
        <v>0.64012802560511073</v>
      </c>
      <c r="J8209">
        <f>SMALL(SimData5000!$C$9:$C$5008,3201)</f>
        <v>0.64420463130772987</v>
      </c>
      <c r="K8209">
        <f>1/(COUNT(SimData5000!$C$9:$C$5008)-1)+$K$8208</f>
        <v>0.64012802560511073</v>
      </c>
    </row>
    <row r="8210" spans="8:11">
      <c r="H8210">
        <f>SMALL(SimData5000!$B$9:$B$5008,3202)</f>
        <v>0.64038126089334979</v>
      </c>
      <c r="I8210">
        <f>1/(COUNT(SimData5000!$B$9:$B$5008)-1)+$I$8209</f>
        <v>0.64032806561311228</v>
      </c>
      <c r="J8210">
        <f>SMALL(SimData5000!$C$9:$C$5008,3202)</f>
        <v>0.64425793320242519</v>
      </c>
      <c r="K8210">
        <f>1/(COUNT(SimData5000!$C$9:$C$5008)-1)+$K$8209</f>
        <v>0.64032806561311228</v>
      </c>
    </row>
    <row r="8211" spans="8:11">
      <c r="H8211">
        <f>SMALL(SimData5000!$B$9:$B$5008,3203)</f>
        <v>0.64050224066639838</v>
      </c>
      <c r="I8211">
        <f>1/(COUNT(SimData5000!$B$9:$B$5008)-1)+$I$8210</f>
        <v>0.64052810562111384</v>
      </c>
      <c r="J8211">
        <f>SMALL(SimData5000!$C$9:$C$5008,3203)</f>
        <v>0.64447204535463243</v>
      </c>
      <c r="K8211">
        <f>1/(COUNT(SimData5000!$C$9:$C$5008)-1)+$K$8210</f>
        <v>0.64052810562111384</v>
      </c>
    </row>
    <row r="8212" spans="8:11">
      <c r="H8212">
        <f>SMALL(SimData5000!$B$9:$B$5008,3204)</f>
        <v>0.64068845260899709</v>
      </c>
      <c r="I8212">
        <f>1/(COUNT(SimData5000!$B$9:$B$5008)-1)+$I$8211</f>
        <v>0.6407281456291154</v>
      </c>
      <c r="J8212">
        <f>SMALL(SimData5000!$C$9:$C$5008,3204)</f>
        <v>0.6446496462185678</v>
      </c>
      <c r="K8212">
        <f>1/(COUNT(SimData5000!$C$9:$C$5008)-1)+$K$8211</f>
        <v>0.6407281456291154</v>
      </c>
    </row>
    <row r="8213" spans="8:11">
      <c r="H8213">
        <f>SMALL(SimData5000!$B$9:$B$5008,3205)</f>
        <v>0.64088132048265112</v>
      </c>
      <c r="I8213">
        <f>1/(COUNT(SimData5000!$B$9:$B$5008)-1)+$I$8212</f>
        <v>0.64092818563711695</v>
      </c>
      <c r="J8213">
        <f>SMALL(SimData5000!$C$9:$C$5008,3205)</f>
        <v>0.64465555019978638</v>
      </c>
      <c r="K8213">
        <f>1/(COUNT(SimData5000!$C$9:$C$5008)-1)+$K$8212</f>
        <v>0.64092818563711695</v>
      </c>
    </row>
    <row r="8214" spans="8:11">
      <c r="H8214">
        <f>SMALL(SimData5000!$B$9:$B$5008,3206)</f>
        <v>0.64107457915131805</v>
      </c>
      <c r="I8214">
        <f>1/(COUNT(SimData5000!$B$9:$B$5008)-1)+$I$8213</f>
        <v>0.64112822564511851</v>
      </c>
      <c r="J8214">
        <f>SMALL(SimData5000!$C$9:$C$5008,3206)</f>
        <v>0.64503515228079777</v>
      </c>
      <c r="K8214">
        <f>1/(COUNT(SimData5000!$C$9:$C$5008)-1)+$K$8213</f>
        <v>0.64112822564511851</v>
      </c>
    </row>
    <row r="8215" spans="8:11">
      <c r="H8215">
        <f>SMALL(SimData5000!$B$9:$B$5008,3207)</f>
        <v>0.64127609531108198</v>
      </c>
      <c r="I8215">
        <f>1/(COUNT(SimData5000!$B$9:$B$5008)-1)+$I$8214</f>
        <v>0.64132826565312007</v>
      </c>
      <c r="J8215">
        <f>SMALL(SimData5000!$C$9:$C$5008,3207)</f>
        <v>0.64548706817549828</v>
      </c>
      <c r="K8215">
        <f>1/(COUNT(SimData5000!$C$9:$C$5008)-1)+$K$8214</f>
        <v>0.64132826565312007</v>
      </c>
    </row>
    <row r="8216" spans="8:11">
      <c r="H8216">
        <f>SMALL(SimData5000!$B$9:$B$5008,3208)</f>
        <v>0.64153851640330128</v>
      </c>
      <c r="I8216">
        <f>1/(COUNT(SimData5000!$B$9:$B$5008)-1)+$I$8215</f>
        <v>0.64152830566112162</v>
      </c>
      <c r="J8216">
        <f>SMALL(SimData5000!$C$9:$C$5008,3208)</f>
        <v>0.64591756173012982</v>
      </c>
      <c r="K8216">
        <f>1/(COUNT(SimData5000!$C$9:$C$5008)-1)+$K$8215</f>
        <v>0.64152830566112162</v>
      </c>
    </row>
    <row r="8217" spans="8:11">
      <c r="H8217">
        <f>SMALL(SimData5000!$B$9:$B$5008,3209)</f>
        <v>0.64165305458694999</v>
      </c>
      <c r="I8217">
        <f>1/(COUNT(SimData5000!$B$9:$B$5008)-1)+$I$8216</f>
        <v>0.64172834566912318</v>
      </c>
      <c r="J8217">
        <f>SMALL(SimData5000!$C$9:$C$5008,3209)</f>
        <v>0.64615604978916963</v>
      </c>
      <c r="K8217">
        <f>1/(COUNT(SimData5000!$C$9:$C$5008)-1)+$K$8216</f>
        <v>0.64172834566912318</v>
      </c>
    </row>
    <row r="8218" spans="8:11">
      <c r="H8218">
        <f>SMALL(SimData5000!$B$9:$B$5008,3210)</f>
        <v>0.64185272255415393</v>
      </c>
      <c r="I8218">
        <f>1/(COUNT(SimData5000!$B$9:$B$5008)-1)+$I$8217</f>
        <v>0.64192838567712474</v>
      </c>
      <c r="J8218">
        <f>SMALL(SimData5000!$C$9:$C$5008,3210)</f>
        <v>0.64616829078931914</v>
      </c>
      <c r="K8218">
        <f>1/(COUNT(SimData5000!$C$9:$C$5008)-1)+$K$8217</f>
        <v>0.64192838567712474</v>
      </c>
    </row>
    <row r="8219" spans="8:11">
      <c r="H8219">
        <f>SMALL(SimData5000!$B$9:$B$5008,3211)</f>
        <v>0.64217637167069519</v>
      </c>
      <c r="I8219">
        <f>1/(COUNT(SimData5000!$B$9:$B$5008)-1)+$I$8218</f>
        <v>0.64212842568512629</v>
      </c>
      <c r="J8219">
        <f>SMALL(SimData5000!$C$9:$C$5008,3211)</f>
        <v>0.64688354766803968</v>
      </c>
      <c r="K8219">
        <f>1/(COUNT(SimData5000!$C$9:$C$5008)-1)+$K$8218</f>
        <v>0.64212842568512629</v>
      </c>
    </row>
    <row r="8220" spans="8:11">
      <c r="H8220">
        <f>SMALL(SimData5000!$B$9:$B$5008,3212)</f>
        <v>0.64222525287634358</v>
      </c>
      <c r="I8220">
        <f>1/(COUNT(SimData5000!$B$9:$B$5008)-1)+$I$8219</f>
        <v>0.64232846569312785</v>
      </c>
      <c r="J8220">
        <f>SMALL(SimData5000!$C$9:$C$5008,3212)</f>
        <v>0.64736693275244761</v>
      </c>
      <c r="K8220">
        <f>1/(COUNT(SimData5000!$C$9:$C$5008)-1)+$K$8219</f>
        <v>0.64232846569312785</v>
      </c>
    </row>
    <row r="8221" spans="8:11">
      <c r="H8221">
        <f>SMALL(SimData5000!$B$9:$B$5008,3213)</f>
        <v>0.64251492742968608</v>
      </c>
      <c r="I8221">
        <f>1/(COUNT(SimData5000!$B$9:$B$5008)-1)+$I$8220</f>
        <v>0.6425285057011294</v>
      </c>
      <c r="J8221">
        <f>SMALL(SimData5000!$C$9:$C$5008,3213)</f>
        <v>0.64746505896710005</v>
      </c>
      <c r="K8221">
        <f>1/(COUNT(SimData5000!$C$9:$C$5008)-1)+$K$8220</f>
        <v>0.6425285057011294</v>
      </c>
    </row>
    <row r="8222" spans="8:11">
      <c r="H8222">
        <f>SMALL(SimData5000!$B$9:$B$5008,3214)</f>
        <v>0.64267870137097283</v>
      </c>
      <c r="I8222">
        <f>1/(COUNT(SimData5000!$B$9:$B$5008)-1)+$I$8221</f>
        <v>0.64272854570913096</v>
      </c>
      <c r="J8222">
        <f>SMALL(SimData5000!$C$9:$C$5008,3214)</f>
        <v>0.64755538678036828</v>
      </c>
      <c r="K8222">
        <f>1/(COUNT(SimData5000!$C$9:$C$5008)-1)+$K$8221</f>
        <v>0.64272854570913096</v>
      </c>
    </row>
    <row r="8223" spans="8:11">
      <c r="H8223">
        <f>SMALL(SimData5000!$B$9:$B$5008,3215)</f>
        <v>0.64283938992974332</v>
      </c>
      <c r="I8223">
        <f>1/(COUNT(SimData5000!$B$9:$B$5008)-1)+$I$8222</f>
        <v>0.64292858571713252</v>
      </c>
      <c r="J8223">
        <f>SMALL(SimData5000!$C$9:$C$5008,3215)</f>
        <v>0.64759983002750232</v>
      </c>
      <c r="K8223">
        <f>1/(COUNT(SimData5000!$C$9:$C$5008)-1)+$K$8222</f>
        <v>0.64292858571713252</v>
      </c>
    </row>
    <row r="8224" spans="8:11">
      <c r="H8224">
        <f>SMALL(SimData5000!$B$9:$B$5008,3216)</f>
        <v>0.64311796397662679</v>
      </c>
      <c r="I8224">
        <f>1/(COUNT(SimData5000!$B$9:$B$5008)-1)+$I$8223</f>
        <v>0.64312862572513407</v>
      </c>
      <c r="J8224">
        <f>SMALL(SimData5000!$C$9:$C$5008,3216)</f>
        <v>0.64770088314071472</v>
      </c>
      <c r="K8224">
        <f>1/(COUNT(SimData5000!$C$9:$C$5008)-1)+$K$8223</f>
        <v>0.64312862572513407</v>
      </c>
    </row>
    <row r="8225" spans="8:11">
      <c r="H8225">
        <f>SMALL(SimData5000!$B$9:$B$5008,3217)</f>
        <v>0.64332663746227658</v>
      </c>
      <c r="I8225">
        <f>1/(COUNT(SimData5000!$B$9:$B$5008)-1)+$I$8224</f>
        <v>0.64332866573313563</v>
      </c>
      <c r="J8225">
        <f>SMALL(SimData5000!$C$9:$C$5008,3217)</f>
        <v>0.64772331460608257</v>
      </c>
      <c r="K8225">
        <f>1/(COUNT(SimData5000!$C$9:$C$5008)-1)+$K$8224</f>
        <v>0.64332866573313563</v>
      </c>
    </row>
    <row r="8226" spans="8:11">
      <c r="H8226">
        <f>SMALL(SimData5000!$B$9:$B$5008,3218)</f>
        <v>0.64356264603761082</v>
      </c>
      <c r="I8226">
        <f>1/(COUNT(SimData5000!$B$9:$B$5008)-1)+$I$8225</f>
        <v>0.64352870574113719</v>
      </c>
      <c r="J8226">
        <f>SMALL(SimData5000!$C$9:$C$5008,3218)</f>
        <v>0.64773695179428614</v>
      </c>
      <c r="K8226">
        <f>1/(COUNT(SimData5000!$C$9:$C$5008)-1)+$K$8225</f>
        <v>0.64352870574113719</v>
      </c>
    </row>
    <row r="8227" spans="8:11">
      <c r="H8227">
        <f>SMALL(SimData5000!$B$9:$B$5008,3219)</f>
        <v>0.64367947072900811</v>
      </c>
      <c r="I8227">
        <f>1/(COUNT(SimData5000!$B$9:$B$5008)-1)+$I$8226</f>
        <v>0.64372874574913874</v>
      </c>
      <c r="J8227">
        <f>SMALL(SimData5000!$C$9:$C$5008,3219)</f>
        <v>0.6477392204287753</v>
      </c>
      <c r="K8227">
        <f>1/(COUNT(SimData5000!$C$9:$C$5008)-1)+$K$8226</f>
        <v>0.64372874574913874</v>
      </c>
    </row>
    <row r="8228" spans="8:11">
      <c r="H8228">
        <f>SMALL(SimData5000!$B$9:$B$5008,3220)</f>
        <v>0.64394697570538773</v>
      </c>
      <c r="I8228">
        <f>1/(COUNT(SimData5000!$B$9:$B$5008)-1)+$I$8227</f>
        <v>0.6439287857571403</v>
      </c>
      <c r="J8228">
        <f>SMALL(SimData5000!$C$9:$C$5008,3220)</f>
        <v>0.6478640029718008</v>
      </c>
      <c r="K8228">
        <f>1/(COUNT(SimData5000!$C$9:$C$5008)-1)+$K$8227</f>
        <v>0.6439287857571403</v>
      </c>
    </row>
    <row r="8229" spans="8:11">
      <c r="H8229">
        <f>SMALL(SimData5000!$B$9:$B$5008,3221)</f>
        <v>0.64400863683731491</v>
      </c>
      <c r="I8229">
        <f>1/(COUNT(SimData5000!$B$9:$B$5008)-1)+$I$8228</f>
        <v>0.64412882576514185</v>
      </c>
      <c r="J8229">
        <f>SMALL(SimData5000!$C$9:$C$5008,3221)</f>
        <v>0.64795228740695165</v>
      </c>
      <c r="K8229">
        <f>1/(COUNT(SimData5000!$C$9:$C$5008)-1)+$K$8228</f>
        <v>0.64412882576514185</v>
      </c>
    </row>
    <row r="8230" spans="8:11">
      <c r="H8230">
        <f>SMALL(SimData5000!$B$9:$B$5008,3222)</f>
        <v>0.64423247798980032</v>
      </c>
      <c r="I8230">
        <f>1/(COUNT(SimData5000!$B$9:$B$5008)-1)+$I$8229</f>
        <v>0.64432886577314341</v>
      </c>
      <c r="J8230">
        <f>SMALL(SimData5000!$C$9:$C$5008,3222)</f>
        <v>0.64798381514629</v>
      </c>
      <c r="K8230">
        <f>1/(COUNT(SimData5000!$C$9:$C$5008)-1)+$K$8229</f>
        <v>0.64432886577314341</v>
      </c>
    </row>
    <row r="8231" spans="8:11">
      <c r="H8231">
        <f>SMALL(SimData5000!$B$9:$B$5008,3223)</f>
        <v>0.64459473632280595</v>
      </c>
      <c r="I8231">
        <f>1/(COUNT(SimData5000!$B$9:$B$5008)-1)+$I$8230</f>
        <v>0.64452890578114497</v>
      </c>
      <c r="J8231">
        <f>SMALL(SimData5000!$C$9:$C$5008,3223)</f>
        <v>0.64804476138851896</v>
      </c>
      <c r="K8231">
        <f>1/(COUNT(SimData5000!$C$9:$C$5008)-1)+$K$8230</f>
        <v>0.64452890578114497</v>
      </c>
    </row>
    <row r="8232" spans="8:11">
      <c r="H8232">
        <f>SMALL(SimData5000!$B$9:$B$5008,3224)</f>
        <v>0.64478222081339498</v>
      </c>
      <c r="I8232">
        <f>1/(COUNT(SimData5000!$B$9:$B$5008)-1)+$I$8231</f>
        <v>0.64472894578914652</v>
      </c>
      <c r="J8232">
        <f>SMALL(SimData5000!$C$9:$C$5008,3224)</f>
        <v>0.6484578935396712</v>
      </c>
      <c r="K8232">
        <f>1/(COUNT(SimData5000!$C$9:$C$5008)-1)+$K$8231</f>
        <v>0.64472894578914652</v>
      </c>
    </row>
    <row r="8233" spans="8:11">
      <c r="H8233">
        <f>SMALL(SimData5000!$B$9:$B$5008,3225)</f>
        <v>0.64494388230017941</v>
      </c>
      <c r="I8233">
        <f>1/(COUNT(SimData5000!$B$9:$B$5008)-1)+$I$8232</f>
        <v>0.64492898579714808</v>
      </c>
      <c r="J8233">
        <f>SMALL(SimData5000!$C$9:$C$5008,3225)</f>
        <v>0.64859682673977659</v>
      </c>
      <c r="K8233">
        <f>1/(COUNT(SimData5000!$C$9:$C$5008)-1)+$K$8232</f>
        <v>0.64492898579714808</v>
      </c>
    </row>
    <row r="8234" spans="8:11">
      <c r="H8234">
        <f>SMALL(SimData5000!$B$9:$B$5008,3226)</f>
        <v>0.64510987836632638</v>
      </c>
      <c r="I8234">
        <f>1/(COUNT(SimData5000!$B$9:$B$5008)-1)+$I$8233</f>
        <v>0.64512902580514964</v>
      </c>
      <c r="J8234">
        <f>SMALL(SimData5000!$C$9:$C$5008,3226)</f>
        <v>0.64861893097076972</v>
      </c>
      <c r="K8234">
        <f>1/(COUNT(SimData5000!$C$9:$C$5008)-1)+$K$8233</f>
        <v>0.64512902580514964</v>
      </c>
    </row>
    <row r="8235" spans="8:11">
      <c r="H8235">
        <f>SMALL(SimData5000!$B$9:$B$5008,3227)</f>
        <v>0.64525422108509911</v>
      </c>
      <c r="I8235">
        <f>1/(COUNT(SimData5000!$B$9:$B$5008)-1)+$I$8234</f>
        <v>0.64532906581315119</v>
      </c>
      <c r="J8235">
        <f>SMALL(SimData5000!$C$9:$C$5008,3227)</f>
        <v>0.64913291339053103</v>
      </c>
      <c r="K8235">
        <f>1/(COUNT(SimData5000!$C$9:$C$5008)-1)+$K$8234</f>
        <v>0.64532906581315119</v>
      </c>
    </row>
    <row r="8236" spans="8:11">
      <c r="H8236">
        <f>SMALL(SimData5000!$B$9:$B$5008,3228)</f>
        <v>0.64546365340609657</v>
      </c>
      <c r="I8236">
        <f>1/(COUNT(SimData5000!$B$9:$B$5008)-1)+$I$8235</f>
        <v>0.64552910582115275</v>
      </c>
      <c r="J8236">
        <f>SMALL(SimData5000!$C$9:$C$5008,3228)</f>
        <v>0.64946176553257828</v>
      </c>
      <c r="K8236">
        <f>1/(COUNT(SimData5000!$C$9:$C$5008)-1)+$K$8235</f>
        <v>0.64552910582115275</v>
      </c>
    </row>
    <row r="8237" spans="8:11">
      <c r="H8237">
        <f>SMALL(SimData5000!$B$9:$B$5008,3229)</f>
        <v>0.64568795057174</v>
      </c>
      <c r="I8237">
        <f>1/(COUNT(SimData5000!$B$9:$B$5008)-1)+$I$8236</f>
        <v>0.64572914582915431</v>
      </c>
      <c r="J8237">
        <f>SMALL(SimData5000!$C$9:$C$5008,3229)</f>
        <v>0.64959996666948427</v>
      </c>
      <c r="K8237">
        <f>1/(COUNT(SimData5000!$C$9:$C$5008)-1)+$K$8236</f>
        <v>0.64572914582915431</v>
      </c>
    </row>
    <row r="8238" spans="8:11">
      <c r="H8238">
        <f>SMALL(SimData5000!$B$9:$B$5008,3230)</f>
        <v>0.64580055649466817</v>
      </c>
      <c r="I8238">
        <f>1/(COUNT(SimData5000!$B$9:$B$5008)-1)+$I$8237</f>
        <v>0.64592918583715586</v>
      </c>
      <c r="J8238">
        <f>SMALL(SimData5000!$C$9:$C$5008,3230)</f>
        <v>0.64989015861920052</v>
      </c>
      <c r="K8238">
        <f>1/(COUNT(SimData5000!$C$9:$C$5008)-1)+$K$8237</f>
        <v>0.64592918583715586</v>
      </c>
    </row>
    <row r="8239" spans="8:11">
      <c r="H8239">
        <f>SMALL(SimData5000!$B$9:$B$5008,3231)</f>
        <v>0.64603338295771584</v>
      </c>
      <c r="I8239">
        <f>1/(COUNT(SimData5000!$B$9:$B$5008)-1)+$I$8238</f>
        <v>0.64612922584515742</v>
      </c>
      <c r="J8239">
        <f>SMALL(SimData5000!$C$9:$C$5008,3231)</f>
        <v>0.65039822784774515</v>
      </c>
      <c r="K8239">
        <f>1/(COUNT(SimData5000!$C$9:$C$5008)-1)+$K$8238</f>
        <v>0.64612922584515742</v>
      </c>
    </row>
    <row r="8240" spans="8:11">
      <c r="H8240">
        <f>SMALL(SimData5000!$B$9:$B$5008,3232)</f>
        <v>0.64624311798439427</v>
      </c>
      <c r="I8240">
        <f>1/(COUNT(SimData5000!$B$9:$B$5008)-1)+$I$8239</f>
        <v>0.64632926585315897</v>
      </c>
      <c r="J8240">
        <f>SMALL(SimData5000!$C$9:$C$5008,3232)</f>
        <v>0.6504073712940226</v>
      </c>
      <c r="K8240">
        <f>1/(COUNT(SimData5000!$C$9:$C$5008)-1)+$K$8239</f>
        <v>0.64632926585315897</v>
      </c>
    </row>
    <row r="8241" spans="8:11">
      <c r="H8241">
        <f>SMALL(SimData5000!$B$9:$B$5008,3233)</f>
        <v>0.64658721858267376</v>
      </c>
      <c r="I8241">
        <f>1/(COUNT(SimData5000!$B$9:$B$5008)-1)+$I$8240</f>
        <v>0.64652930586116053</v>
      </c>
      <c r="J8241">
        <f>SMALL(SimData5000!$C$9:$C$5008,3233)</f>
        <v>0.65049675598675094</v>
      </c>
      <c r="K8241">
        <f>1/(COUNT(SimData5000!$C$9:$C$5008)-1)+$K$8240</f>
        <v>0.64652930586116053</v>
      </c>
    </row>
    <row r="8242" spans="8:11">
      <c r="H8242">
        <f>SMALL(SimData5000!$B$9:$B$5008,3234)</f>
        <v>0.6467442545350045</v>
      </c>
      <c r="I8242">
        <f>1/(COUNT(SimData5000!$B$9:$B$5008)-1)+$I$8241</f>
        <v>0.64672934586916209</v>
      </c>
      <c r="J8242">
        <f>SMALL(SimData5000!$C$9:$C$5008,3234)</f>
        <v>0.65074855756483885</v>
      </c>
      <c r="K8242">
        <f>1/(COUNT(SimData5000!$C$9:$C$5008)-1)+$K$8241</f>
        <v>0.64672934586916209</v>
      </c>
    </row>
    <row r="8243" spans="8:11">
      <c r="H8243">
        <f>SMALL(SimData5000!$B$9:$B$5008,3235)</f>
        <v>0.64698345532989676</v>
      </c>
      <c r="I8243">
        <f>1/(COUNT(SimData5000!$B$9:$B$5008)-1)+$I$8242</f>
        <v>0.64692938587716364</v>
      </c>
      <c r="J8243">
        <f>SMALL(SimData5000!$C$9:$C$5008,3235)</f>
        <v>0.65088111836212192</v>
      </c>
      <c r="K8243">
        <f>1/(COUNT(SimData5000!$C$9:$C$5008)-1)+$K$8242</f>
        <v>0.64692938587716364</v>
      </c>
    </row>
    <row r="8244" spans="8:11">
      <c r="H8244">
        <f>SMALL(SimData5000!$B$9:$B$5008,3236)</f>
        <v>0.64716913972608026</v>
      </c>
      <c r="I8244">
        <f>1/(COUNT(SimData5000!$B$9:$B$5008)-1)+$I$8243</f>
        <v>0.6471294258851652</v>
      </c>
      <c r="J8244">
        <f>SMALL(SimData5000!$C$9:$C$5008,3236)</f>
        <v>0.65098515291811054</v>
      </c>
      <c r="K8244">
        <f>1/(COUNT(SimData5000!$C$9:$C$5008)-1)+$K$8243</f>
        <v>0.6471294258851652</v>
      </c>
    </row>
    <row r="8245" spans="8:11">
      <c r="H8245">
        <f>SMALL(SimData5000!$B$9:$B$5008,3237)</f>
        <v>0.6473469998870387</v>
      </c>
      <c r="I8245">
        <f>1/(COUNT(SimData5000!$B$9:$B$5008)-1)+$I$8244</f>
        <v>0.64732946589316676</v>
      </c>
      <c r="J8245">
        <f>SMALL(SimData5000!$C$9:$C$5008,3237)</f>
        <v>0.65137936515930051</v>
      </c>
      <c r="K8245">
        <f>1/(COUNT(SimData5000!$C$9:$C$5008)-1)+$K$8244</f>
        <v>0.64732946589316676</v>
      </c>
    </row>
    <row r="8246" spans="8:11">
      <c r="H8246">
        <f>SMALL(SimData5000!$B$9:$B$5008,3238)</f>
        <v>0.64750710121875332</v>
      </c>
      <c r="I8246">
        <f>1/(COUNT(SimData5000!$B$9:$B$5008)-1)+$I$8245</f>
        <v>0.64752950590116831</v>
      </c>
      <c r="J8246">
        <f>SMALL(SimData5000!$C$9:$C$5008,3238)</f>
        <v>0.65138503103025869</v>
      </c>
      <c r="K8246">
        <f>1/(COUNT(SimData5000!$C$9:$C$5008)-1)+$K$8245</f>
        <v>0.64752950590116831</v>
      </c>
    </row>
    <row r="8247" spans="8:11">
      <c r="H8247">
        <f>SMALL(SimData5000!$B$9:$B$5008,3239)</f>
        <v>0.64765273014159241</v>
      </c>
      <c r="I8247">
        <f>1/(COUNT(SimData5000!$B$9:$B$5008)-1)+$I$8246</f>
        <v>0.64772954590916987</v>
      </c>
      <c r="J8247">
        <f>SMALL(SimData5000!$C$9:$C$5008,3239)</f>
        <v>0.65145736999875226</v>
      </c>
      <c r="K8247">
        <f>1/(COUNT(SimData5000!$C$9:$C$5008)-1)+$K$8246</f>
        <v>0.64772954590916987</v>
      </c>
    </row>
    <row r="8248" spans="8:11">
      <c r="H8248">
        <f>SMALL(SimData5000!$B$9:$B$5008,3240)</f>
        <v>0.64787841332910545</v>
      </c>
      <c r="I8248">
        <f>1/(COUNT(SimData5000!$B$9:$B$5008)-1)+$I$8247</f>
        <v>0.64792958591717142</v>
      </c>
      <c r="J8248">
        <f>SMALL(SimData5000!$C$9:$C$5008,3240)</f>
        <v>0.65157422166339529</v>
      </c>
      <c r="K8248">
        <f>1/(COUNT(SimData5000!$C$9:$C$5008)-1)+$K$8247</f>
        <v>0.64792958591717142</v>
      </c>
    </row>
    <row r="8249" spans="8:11">
      <c r="H8249">
        <f>SMALL(SimData5000!$B$9:$B$5008,3241)</f>
        <v>0.64809710526720088</v>
      </c>
      <c r="I8249">
        <f>1/(COUNT(SimData5000!$B$9:$B$5008)-1)+$I$8248</f>
        <v>0.64812962592517298</v>
      </c>
      <c r="J8249">
        <f>SMALL(SimData5000!$C$9:$C$5008,3241)</f>
        <v>0.65248420831721887</v>
      </c>
      <c r="K8249">
        <f>1/(COUNT(SimData5000!$C$9:$C$5008)-1)+$K$8248</f>
        <v>0.64812962592517298</v>
      </c>
    </row>
    <row r="8250" spans="8:11">
      <c r="H8250">
        <f>SMALL(SimData5000!$B$9:$B$5008,3242)</f>
        <v>0.64831991060923788</v>
      </c>
      <c r="I8250">
        <f>1/(COUNT(SimData5000!$B$9:$B$5008)-1)+$I$8249</f>
        <v>0.64832966593317454</v>
      </c>
      <c r="J8250">
        <f>SMALL(SimData5000!$C$9:$C$5008,3242)</f>
        <v>0.65263010006583499</v>
      </c>
      <c r="K8250">
        <f>1/(COUNT(SimData5000!$C$9:$C$5008)-1)+$K$8249</f>
        <v>0.64832966593317454</v>
      </c>
    </row>
    <row r="8251" spans="8:11">
      <c r="H8251">
        <f>SMALL(SimData5000!$B$9:$B$5008,3243)</f>
        <v>0.64842808931205143</v>
      </c>
      <c r="I8251">
        <f>1/(COUNT(SimData5000!$B$9:$B$5008)-1)+$I$8250</f>
        <v>0.64852970594117609</v>
      </c>
      <c r="J8251">
        <f>SMALL(SimData5000!$C$9:$C$5008,3243)</f>
        <v>0.65276397989055113</v>
      </c>
      <c r="K8251">
        <f>1/(COUNT(SimData5000!$C$9:$C$5008)-1)+$K$8250</f>
        <v>0.64852970594117609</v>
      </c>
    </row>
    <row r="8252" spans="8:11">
      <c r="H8252">
        <f>SMALL(SimData5000!$B$9:$B$5008,3244)</f>
        <v>0.64865081316829909</v>
      </c>
      <c r="I8252">
        <f>1/(COUNT(SimData5000!$B$9:$B$5008)-1)+$I$8251</f>
        <v>0.64872974594917765</v>
      </c>
      <c r="J8252">
        <f>SMALL(SimData5000!$C$9:$C$5008,3244)</f>
        <v>0.65276910530155874</v>
      </c>
      <c r="K8252">
        <f>1/(COUNT(SimData5000!$C$9:$C$5008)-1)+$K$8251</f>
        <v>0.64872974594917765</v>
      </c>
    </row>
    <row r="8253" spans="8:11">
      <c r="H8253">
        <f>SMALL(SimData5000!$B$9:$B$5008,3245)</f>
        <v>0.6489287972285247</v>
      </c>
      <c r="I8253">
        <f>1/(COUNT(SimData5000!$B$9:$B$5008)-1)+$I$8252</f>
        <v>0.64892978595717921</v>
      </c>
      <c r="J8253">
        <f>SMALL(SimData5000!$C$9:$C$5008,3245)</f>
        <v>0.65301607678429718</v>
      </c>
      <c r="K8253">
        <f>1/(COUNT(SimData5000!$C$9:$C$5008)-1)+$K$8252</f>
        <v>0.64892978595717921</v>
      </c>
    </row>
    <row r="8254" spans="8:11">
      <c r="H8254">
        <f>SMALL(SimData5000!$B$9:$B$5008,3246)</f>
        <v>0.64911384454940302</v>
      </c>
      <c r="I8254">
        <f>1/(COUNT(SimData5000!$B$9:$B$5008)-1)+$I$8253</f>
        <v>0.64912982596518076</v>
      </c>
      <c r="J8254">
        <f>SMALL(SimData5000!$C$9:$C$5008,3246)</f>
        <v>0.65340669229863124</v>
      </c>
      <c r="K8254">
        <f>1/(COUNT(SimData5000!$C$9:$C$5008)-1)+$K$8253</f>
        <v>0.64912982596518076</v>
      </c>
    </row>
    <row r="8255" spans="8:11">
      <c r="H8255">
        <f>SMALL(SimData5000!$B$9:$B$5008,3247)</f>
        <v>0.64925105613000955</v>
      </c>
      <c r="I8255">
        <f>1/(COUNT(SimData5000!$B$9:$B$5008)-1)+$I$8254</f>
        <v>0.64932986597318232</v>
      </c>
      <c r="J8255">
        <f>SMALL(SimData5000!$C$9:$C$5008,3247)</f>
        <v>0.65349421946211805</v>
      </c>
      <c r="K8255">
        <f>1/(COUNT(SimData5000!$C$9:$C$5008)-1)+$K$8254</f>
        <v>0.64932986597318232</v>
      </c>
    </row>
    <row r="8256" spans="8:11">
      <c r="H8256">
        <f>SMALL(SimData5000!$B$9:$B$5008,3248)</f>
        <v>0.6495993104344232</v>
      </c>
      <c r="I8256">
        <f>1/(COUNT(SimData5000!$B$9:$B$5008)-1)+$I$8255</f>
        <v>0.64952990598118387</v>
      </c>
      <c r="J8256">
        <f>SMALL(SimData5000!$C$9:$C$5008,3248)</f>
        <v>0.65381082470685215</v>
      </c>
      <c r="K8256">
        <f>1/(COUNT(SimData5000!$C$9:$C$5008)-1)+$K$8255</f>
        <v>0.64952990598118387</v>
      </c>
    </row>
    <row r="8257" spans="8:11">
      <c r="H8257">
        <f>SMALL(SimData5000!$B$9:$B$5008,3249)</f>
        <v>0.64978135806303039</v>
      </c>
      <c r="I8257">
        <f>1/(COUNT(SimData5000!$B$9:$B$5008)-1)+$I$8256</f>
        <v>0.64972994598918543</v>
      </c>
      <c r="J8257">
        <f>SMALL(SimData5000!$C$9:$C$5008,3249)</f>
        <v>0.65386281361588772</v>
      </c>
      <c r="K8257">
        <f>1/(COUNT(SimData5000!$C$9:$C$5008)-1)+$K$8256</f>
        <v>0.64972994598918543</v>
      </c>
    </row>
    <row r="8258" spans="8:11">
      <c r="H8258">
        <f>SMALL(SimData5000!$B$9:$B$5008,3250)</f>
        <v>0.64985067748223679</v>
      </c>
      <c r="I8258">
        <f>1/(COUNT(SimData5000!$B$9:$B$5008)-1)+$I$8257</f>
        <v>0.64992998599718699</v>
      </c>
      <c r="J8258">
        <f>SMALL(SimData5000!$C$9:$C$5008,3250)</f>
        <v>0.65410616579538328</v>
      </c>
      <c r="K8258">
        <f>1/(COUNT(SimData5000!$C$9:$C$5008)-1)+$K$8257</f>
        <v>0.64992998599718699</v>
      </c>
    </row>
    <row r="8259" spans="8:11">
      <c r="H8259">
        <f>SMALL(SimData5000!$B$9:$B$5008,3251)</f>
        <v>0.6500380371420732</v>
      </c>
      <c r="I8259">
        <f>1/(COUNT(SimData5000!$B$9:$B$5008)-1)+$I$8258</f>
        <v>0.65013002600518854</v>
      </c>
      <c r="J8259">
        <f>SMALL(SimData5000!$C$9:$C$5008,3251)</f>
        <v>0.65422528525414236</v>
      </c>
      <c r="K8259">
        <f>1/(COUNT(SimData5000!$C$9:$C$5008)-1)+$K$8258</f>
        <v>0.65013002600518854</v>
      </c>
    </row>
    <row r="8260" spans="8:11">
      <c r="H8260">
        <f>SMALL(SimData5000!$B$9:$B$5008,3252)</f>
        <v>0.65025616055355784</v>
      </c>
      <c r="I8260">
        <f>1/(COUNT(SimData5000!$B$9:$B$5008)-1)+$I$8259</f>
        <v>0.6503300660131901</v>
      </c>
      <c r="J8260">
        <f>SMALL(SimData5000!$C$9:$C$5008,3252)</f>
        <v>0.65441194724917295</v>
      </c>
      <c r="K8260">
        <f>1/(COUNT(SimData5000!$C$9:$C$5008)-1)+$K$8259</f>
        <v>0.6503300660131901</v>
      </c>
    </row>
    <row r="8261" spans="8:11">
      <c r="H8261">
        <f>SMALL(SimData5000!$B$9:$B$5008,3253)</f>
        <v>0.65057738105630902</v>
      </c>
      <c r="I8261">
        <f>1/(COUNT(SimData5000!$B$9:$B$5008)-1)+$I$8260</f>
        <v>0.65053010602119166</v>
      </c>
      <c r="J8261">
        <f>SMALL(SimData5000!$C$9:$C$5008,3253)</f>
        <v>0.6545322368538109</v>
      </c>
      <c r="K8261">
        <f>1/(COUNT(SimData5000!$C$9:$C$5008)-1)+$K$8260</f>
        <v>0.65053010602119166</v>
      </c>
    </row>
    <row r="8262" spans="8:11">
      <c r="H8262">
        <f>SMALL(SimData5000!$B$9:$B$5008,3254)</f>
        <v>0.65061448009084311</v>
      </c>
      <c r="I8262">
        <f>1/(COUNT(SimData5000!$B$9:$B$5008)-1)+$I$8261</f>
        <v>0.65073014602919321</v>
      </c>
      <c r="J8262">
        <f>SMALL(SimData5000!$C$9:$C$5008,3254)</f>
        <v>0.65459899641064112</v>
      </c>
      <c r="K8262">
        <f>1/(COUNT(SimData5000!$C$9:$C$5008)-1)+$K$8261</f>
        <v>0.65073014602919321</v>
      </c>
    </row>
    <row r="8263" spans="8:11">
      <c r="H8263">
        <f>SMALL(SimData5000!$B$9:$B$5008,3255)</f>
        <v>0.65084824602008995</v>
      </c>
      <c r="I8263">
        <f>1/(COUNT(SimData5000!$B$9:$B$5008)-1)+$I$8262</f>
        <v>0.65093018603719477</v>
      </c>
      <c r="J8263">
        <f>SMALL(SimData5000!$C$9:$C$5008,3255)</f>
        <v>0.65460422031355847</v>
      </c>
      <c r="K8263">
        <f>1/(COUNT(SimData5000!$C$9:$C$5008)-1)+$K$8262</f>
        <v>0.65093018603719477</v>
      </c>
    </row>
    <row r="8264" spans="8:11">
      <c r="H8264">
        <f>SMALL(SimData5000!$B$9:$B$5008,3256)</f>
        <v>0.6510935322372926</v>
      </c>
      <c r="I8264">
        <f>1/(COUNT(SimData5000!$B$9:$B$5008)-1)+$I$8263</f>
        <v>0.65113022604519633</v>
      </c>
      <c r="J8264">
        <f>SMALL(SimData5000!$C$9:$C$5008,3256)</f>
        <v>0.65481827878556942</v>
      </c>
      <c r="K8264">
        <f>1/(COUNT(SimData5000!$C$9:$C$5008)-1)+$K$8263</f>
        <v>0.65113022604519633</v>
      </c>
    </row>
    <row r="8265" spans="8:11">
      <c r="H8265">
        <f>SMALL(SimData5000!$B$9:$B$5008,3257)</f>
        <v>0.65134370126317809</v>
      </c>
      <c r="I8265">
        <f>1/(COUNT(SimData5000!$B$9:$B$5008)-1)+$I$8264</f>
        <v>0.65133026605319788</v>
      </c>
      <c r="J8265">
        <f>SMALL(SimData5000!$C$9:$C$5008,3257)</f>
        <v>0.65493422199051565</v>
      </c>
      <c r="K8265">
        <f>1/(COUNT(SimData5000!$C$9:$C$5008)-1)+$K$8264</f>
        <v>0.65133026605319788</v>
      </c>
    </row>
    <row r="8266" spans="8:11">
      <c r="H8266">
        <f>SMALL(SimData5000!$B$9:$B$5008,3258)</f>
        <v>0.65154641301993899</v>
      </c>
      <c r="I8266">
        <f>1/(COUNT(SimData5000!$B$9:$B$5008)-1)+$I$8265</f>
        <v>0.65153030606119944</v>
      </c>
      <c r="J8266">
        <f>SMALL(SimData5000!$C$9:$C$5008,3258)</f>
        <v>0.65569163183317869</v>
      </c>
      <c r="K8266">
        <f>1/(COUNT(SimData5000!$C$9:$C$5008)-1)+$K$8265</f>
        <v>0.65153030606119944</v>
      </c>
    </row>
    <row r="8267" spans="8:11">
      <c r="H8267">
        <f>SMALL(SimData5000!$B$9:$B$5008,3259)</f>
        <v>0.65165175601701519</v>
      </c>
      <c r="I8267">
        <f>1/(COUNT(SimData5000!$B$9:$B$5008)-1)+$I$8266</f>
        <v>0.65173034606920099</v>
      </c>
      <c r="J8267">
        <f>SMALL(SimData5000!$C$9:$C$5008,3259)</f>
        <v>0.65578647204438312</v>
      </c>
      <c r="K8267">
        <f>1/(COUNT(SimData5000!$C$9:$C$5008)-1)+$K$8266</f>
        <v>0.65173034606920099</v>
      </c>
    </row>
    <row r="8268" spans="8:11">
      <c r="H8268">
        <f>SMALL(SimData5000!$B$9:$B$5008,3260)</f>
        <v>0.65196472710998843</v>
      </c>
      <c r="I8268">
        <f>1/(COUNT(SimData5000!$B$9:$B$5008)-1)+$I$8267</f>
        <v>0.65193038607720255</v>
      </c>
      <c r="J8268">
        <f>SMALL(SimData5000!$C$9:$C$5008,3260)</f>
        <v>0.65597886653449677</v>
      </c>
      <c r="K8268">
        <f>1/(COUNT(SimData5000!$C$9:$C$5008)-1)+$K$8267</f>
        <v>0.65193038607720255</v>
      </c>
    </row>
    <row r="8269" spans="8:11">
      <c r="H8269">
        <f>SMALL(SimData5000!$B$9:$B$5008,3261)</f>
        <v>0.65200716206086962</v>
      </c>
      <c r="I8269">
        <f>1/(COUNT(SimData5000!$B$9:$B$5008)-1)+$I$8268</f>
        <v>0.65213042608520411</v>
      </c>
      <c r="J8269">
        <f>SMALL(SimData5000!$C$9:$C$5008,3261)</f>
        <v>0.6560110690043075</v>
      </c>
      <c r="K8269">
        <f>1/(COUNT(SimData5000!$C$9:$C$5008)-1)+$K$8268</f>
        <v>0.65213042608520411</v>
      </c>
    </row>
    <row r="8270" spans="8:11">
      <c r="H8270">
        <f>SMALL(SimData5000!$B$9:$B$5008,3262)</f>
        <v>0.6522699220276601</v>
      </c>
      <c r="I8270">
        <f>1/(COUNT(SimData5000!$B$9:$B$5008)-1)+$I$8269</f>
        <v>0.65233046609320566</v>
      </c>
      <c r="J8270">
        <f>SMALL(SimData5000!$C$9:$C$5008,3262)</f>
        <v>0.65637454684383556</v>
      </c>
      <c r="K8270">
        <f>1/(COUNT(SimData5000!$C$9:$C$5008)-1)+$K$8269</f>
        <v>0.65233046609320566</v>
      </c>
    </row>
    <row r="8271" spans="8:11">
      <c r="H8271">
        <f>SMALL(SimData5000!$B$9:$B$5008,3263)</f>
        <v>0.6524955741008035</v>
      </c>
      <c r="I8271">
        <f>1/(COUNT(SimData5000!$B$9:$B$5008)-1)+$I$8270</f>
        <v>0.65253050610120722</v>
      </c>
      <c r="J8271">
        <f>SMALL(SimData5000!$C$9:$C$5008,3263)</f>
        <v>0.65646537432985497</v>
      </c>
      <c r="K8271">
        <f>1/(COUNT(SimData5000!$C$9:$C$5008)-1)+$K$8270</f>
        <v>0.65253050610120722</v>
      </c>
    </row>
    <row r="8272" spans="8:11">
      <c r="H8272">
        <f>SMALL(SimData5000!$B$9:$B$5008,3264)</f>
        <v>0.6526135395473367</v>
      </c>
      <c r="I8272">
        <f>1/(COUNT(SimData5000!$B$9:$B$5008)-1)+$I$8271</f>
        <v>0.65273054610920878</v>
      </c>
      <c r="J8272">
        <f>SMALL(SimData5000!$C$9:$C$5008,3264)</f>
        <v>0.65652716817112378</v>
      </c>
      <c r="K8272">
        <f>1/(COUNT(SimData5000!$C$9:$C$5008)-1)+$K$8271</f>
        <v>0.65273054610920878</v>
      </c>
    </row>
    <row r="8273" spans="8:11">
      <c r="H8273">
        <f>SMALL(SimData5000!$B$9:$B$5008,3265)</f>
        <v>0.65292612669079708</v>
      </c>
      <c r="I8273">
        <f>1/(COUNT(SimData5000!$B$9:$B$5008)-1)+$I$8272</f>
        <v>0.65293058611721033</v>
      </c>
      <c r="J8273">
        <f>SMALL(SimData5000!$C$9:$C$5008,3265)</f>
        <v>0.65656518874220637</v>
      </c>
      <c r="K8273">
        <f>1/(COUNT(SimData5000!$C$9:$C$5008)-1)+$K$8272</f>
        <v>0.65293058611721033</v>
      </c>
    </row>
    <row r="8274" spans="8:11">
      <c r="H8274">
        <f>SMALL(SimData5000!$B$9:$B$5008,3266)</f>
        <v>0.65312060556917473</v>
      </c>
      <c r="I8274">
        <f>1/(COUNT(SimData5000!$B$9:$B$5008)-1)+$I$8273</f>
        <v>0.65313062612521189</v>
      </c>
      <c r="J8274">
        <f>SMALL(SimData5000!$C$9:$C$5008,3266)</f>
        <v>0.65667006982312159</v>
      </c>
      <c r="K8274">
        <f>1/(COUNT(SimData5000!$C$9:$C$5008)-1)+$K$8273</f>
        <v>0.65313062612521189</v>
      </c>
    </row>
    <row r="8275" spans="8:11">
      <c r="H8275">
        <f>SMALL(SimData5000!$B$9:$B$5008,3267)</f>
        <v>0.65329533091618108</v>
      </c>
      <c r="I8275">
        <f>1/(COUNT(SimData5000!$B$9:$B$5008)-1)+$I$8274</f>
        <v>0.65333066613321344</v>
      </c>
      <c r="J8275">
        <f>SMALL(SimData5000!$C$9:$C$5008,3267)</f>
        <v>0.65670736382708128</v>
      </c>
      <c r="K8275">
        <f>1/(COUNT(SimData5000!$C$9:$C$5008)-1)+$K$8274</f>
        <v>0.65333066613321344</v>
      </c>
    </row>
    <row r="8276" spans="8:11">
      <c r="H8276">
        <f>SMALL(SimData5000!$B$9:$B$5008,3268)</f>
        <v>0.65359214540221544</v>
      </c>
      <c r="I8276">
        <f>1/(COUNT(SimData5000!$B$9:$B$5008)-1)+$I$8275</f>
        <v>0.653530706141215</v>
      </c>
      <c r="J8276">
        <f>SMALL(SimData5000!$C$9:$C$5008,3268)</f>
        <v>0.65683210726456309</v>
      </c>
      <c r="K8276">
        <f>1/(COUNT(SimData5000!$C$9:$C$5008)-1)+$K$8275</f>
        <v>0.653530706141215</v>
      </c>
    </row>
    <row r="8277" spans="8:11">
      <c r="H8277">
        <f>SMALL(SimData5000!$B$9:$B$5008,3269)</f>
        <v>0.65369038742242624</v>
      </c>
      <c r="I8277">
        <f>1/(COUNT(SimData5000!$B$9:$B$5008)-1)+$I$8276</f>
        <v>0.65373074614921656</v>
      </c>
      <c r="J8277">
        <f>SMALL(SimData5000!$C$9:$C$5008,3269)</f>
        <v>0.65691023690305883</v>
      </c>
      <c r="K8277">
        <f>1/(COUNT(SimData5000!$C$9:$C$5008)-1)+$K$8276</f>
        <v>0.65373074614921656</v>
      </c>
    </row>
    <row r="8278" spans="8:11">
      <c r="H8278">
        <f>SMALL(SimData5000!$B$9:$B$5008,3270)</f>
        <v>0.65385443862035275</v>
      </c>
      <c r="I8278">
        <f>1/(COUNT(SimData5000!$B$9:$B$5008)-1)+$I$8277</f>
        <v>0.65393078615721811</v>
      </c>
      <c r="J8278">
        <f>SMALL(SimData5000!$C$9:$C$5008,3270)</f>
        <v>0.65739139548531966</v>
      </c>
      <c r="K8278">
        <f>1/(COUNT(SimData5000!$C$9:$C$5008)-1)+$K$8277</f>
        <v>0.65393078615721811</v>
      </c>
    </row>
    <row r="8279" spans="8:11">
      <c r="H8279">
        <f>SMALL(SimData5000!$B$9:$B$5008,3271)</f>
        <v>0.65407733227738118</v>
      </c>
      <c r="I8279">
        <f>1/(COUNT(SimData5000!$B$9:$B$5008)-1)+$I$8278</f>
        <v>0.65413082616521967</v>
      </c>
      <c r="J8279">
        <f>SMALL(SimData5000!$C$9:$C$5008,3271)</f>
        <v>0.65760676363061066</v>
      </c>
      <c r="K8279">
        <f>1/(COUNT(SimData5000!$C$9:$C$5008)-1)+$K$8278</f>
        <v>0.65413082616521967</v>
      </c>
    </row>
    <row r="8280" spans="8:11">
      <c r="H8280">
        <f>SMALL(SimData5000!$B$9:$B$5008,3272)</f>
        <v>0.65421835362860425</v>
      </c>
      <c r="I8280">
        <f>1/(COUNT(SimData5000!$B$9:$B$5008)-1)+$I$8279</f>
        <v>0.65433086617322123</v>
      </c>
      <c r="J8280">
        <f>SMALL(SimData5000!$C$9:$C$5008,3272)</f>
        <v>0.65763132970459992</v>
      </c>
      <c r="K8280">
        <f>1/(COUNT(SimData5000!$C$9:$C$5008)-1)+$K$8279</f>
        <v>0.65433086617322123</v>
      </c>
    </row>
    <row r="8281" spans="8:11">
      <c r="H8281">
        <f>SMALL(SimData5000!$B$9:$B$5008,3273)</f>
        <v>0.65454092382796603</v>
      </c>
      <c r="I8281">
        <f>1/(COUNT(SimData5000!$B$9:$B$5008)-1)+$I$8280</f>
        <v>0.65453090618122278</v>
      </c>
      <c r="J8281">
        <f>SMALL(SimData5000!$C$9:$C$5008,3273)</f>
        <v>0.6582550242637808</v>
      </c>
      <c r="K8281">
        <f>1/(COUNT(SimData5000!$C$9:$C$5008)-1)+$K$8280</f>
        <v>0.65453090618122278</v>
      </c>
    </row>
    <row r="8282" spans="8:11">
      <c r="H8282">
        <f>SMALL(SimData5000!$B$9:$B$5008,3274)</f>
        <v>0.65460985652106107</v>
      </c>
      <c r="I8282">
        <f>1/(COUNT(SimData5000!$B$9:$B$5008)-1)+$I$8281</f>
        <v>0.65473094618922434</v>
      </c>
      <c r="J8282">
        <f>SMALL(SimData5000!$C$9:$C$5008,3274)</f>
        <v>0.65827612490284082</v>
      </c>
      <c r="K8282">
        <f>1/(COUNT(SimData5000!$C$9:$C$5008)-1)+$K$8281</f>
        <v>0.65473094618922434</v>
      </c>
    </row>
    <row r="8283" spans="8:11">
      <c r="H8283">
        <f>SMALL(SimData5000!$B$9:$B$5008,3275)</f>
        <v>0.65492547836669845</v>
      </c>
      <c r="I8283">
        <f>1/(COUNT(SimData5000!$B$9:$B$5008)-1)+$I$8282</f>
        <v>0.6549309861972259</v>
      </c>
      <c r="J8283">
        <f>SMALL(SimData5000!$C$9:$C$5008,3275)</f>
        <v>0.65847523592859147</v>
      </c>
      <c r="K8283">
        <f>1/(COUNT(SimData5000!$C$9:$C$5008)-1)+$K$8282</f>
        <v>0.6549309861972259</v>
      </c>
    </row>
    <row r="8284" spans="8:11">
      <c r="H8284">
        <f>SMALL(SimData5000!$B$9:$B$5008,3276)</f>
        <v>0.65504810705884542</v>
      </c>
      <c r="I8284">
        <f>1/(COUNT(SimData5000!$B$9:$B$5008)-1)+$I$8283</f>
        <v>0.65513102620522745</v>
      </c>
      <c r="J8284">
        <f>SMALL(SimData5000!$C$9:$C$5008,3276)</f>
        <v>0.65851801518056163</v>
      </c>
      <c r="K8284">
        <f>1/(COUNT(SimData5000!$C$9:$C$5008)-1)+$K$8283</f>
        <v>0.65513102620522745</v>
      </c>
    </row>
    <row r="8285" spans="8:11">
      <c r="H8285">
        <f>SMALL(SimData5000!$B$9:$B$5008,3277)</f>
        <v>0.6553229075630016</v>
      </c>
      <c r="I8285">
        <f>1/(COUNT(SimData5000!$B$9:$B$5008)-1)+$I$8284</f>
        <v>0.65533106621322901</v>
      </c>
      <c r="J8285">
        <f>SMALL(SimData5000!$C$9:$C$5008,3277)</f>
        <v>0.65900414916632144</v>
      </c>
      <c r="K8285">
        <f>1/(COUNT(SimData5000!$C$9:$C$5008)-1)+$K$8284</f>
        <v>0.65533106621322901</v>
      </c>
    </row>
    <row r="8286" spans="8:11">
      <c r="H8286">
        <f>SMALL(SimData5000!$B$9:$B$5008,3278)</f>
        <v>0.65551870255589451</v>
      </c>
      <c r="I8286">
        <f>1/(COUNT(SimData5000!$B$9:$B$5008)-1)+$I$8285</f>
        <v>0.65553110622123056</v>
      </c>
      <c r="J8286">
        <f>SMALL(SimData5000!$C$9:$C$5008,3278)</f>
        <v>0.65905541584743332</v>
      </c>
      <c r="K8286">
        <f>1/(COUNT(SimData5000!$C$9:$C$5008)-1)+$K$8285</f>
        <v>0.65553110622123056</v>
      </c>
    </row>
    <row r="8287" spans="8:11">
      <c r="H8287">
        <f>SMALL(SimData5000!$B$9:$B$5008,3279)</f>
        <v>0.6557324410593911</v>
      </c>
      <c r="I8287">
        <f>1/(COUNT(SimData5000!$B$9:$B$5008)-1)+$I$8286</f>
        <v>0.65573114622923212</v>
      </c>
      <c r="J8287">
        <f>SMALL(SimData5000!$C$9:$C$5008,3279)</f>
        <v>0.6592586517062955</v>
      </c>
      <c r="K8287">
        <f>1/(COUNT(SimData5000!$C$9:$C$5008)-1)+$K$8286</f>
        <v>0.65573114622923212</v>
      </c>
    </row>
    <row r="8288" spans="8:11">
      <c r="H8288">
        <f>SMALL(SimData5000!$B$9:$B$5008,3280)</f>
        <v>0.65584036481753927</v>
      </c>
      <c r="I8288">
        <f>1/(COUNT(SimData5000!$B$9:$B$5008)-1)+$I$8287</f>
        <v>0.65593118623723368</v>
      </c>
      <c r="J8288">
        <f>SMALL(SimData5000!$C$9:$C$5008,3280)</f>
        <v>0.65941359172575176</v>
      </c>
      <c r="K8288">
        <f>1/(COUNT(SimData5000!$C$9:$C$5008)-1)+$K$8287</f>
        <v>0.65593118623723368</v>
      </c>
    </row>
    <row r="8289" spans="8:11">
      <c r="H8289">
        <f>SMALL(SimData5000!$B$9:$B$5008,3281)</f>
        <v>0.65604874984045713</v>
      </c>
      <c r="I8289">
        <f>1/(COUNT(SimData5000!$B$9:$B$5008)-1)+$I$8288</f>
        <v>0.65613122624523523</v>
      </c>
      <c r="J8289">
        <f>SMALL(SimData5000!$C$9:$C$5008,3281)</f>
        <v>0.65948261230005301</v>
      </c>
      <c r="K8289">
        <f>1/(COUNT(SimData5000!$C$9:$C$5008)-1)+$K$8288</f>
        <v>0.65613122624523523</v>
      </c>
    </row>
    <row r="8290" spans="8:11">
      <c r="H8290">
        <f>SMALL(SimData5000!$B$9:$B$5008,3282)</f>
        <v>0.65634795680673519</v>
      </c>
      <c r="I8290">
        <f>1/(COUNT(SimData5000!$B$9:$B$5008)-1)+$I$8289</f>
        <v>0.65633126625323679</v>
      </c>
      <c r="J8290">
        <f>SMALL(SimData5000!$C$9:$C$5008,3282)</f>
        <v>0.65952903248216899</v>
      </c>
      <c r="K8290">
        <f>1/(COUNT(SimData5000!$C$9:$C$5008)-1)+$K$8289</f>
        <v>0.65633126625323679</v>
      </c>
    </row>
    <row r="8291" spans="8:11">
      <c r="H8291">
        <f>SMALL(SimData5000!$B$9:$B$5008,3283)</f>
        <v>0.65656211287755573</v>
      </c>
      <c r="I8291">
        <f>1/(COUNT(SimData5000!$B$9:$B$5008)-1)+$I$8290</f>
        <v>0.65653130626123835</v>
      </c>
      <c r="J8291">
        <f>SMALL(SimData5000!$C$9:$C$5008,3283)</f>
        <v>0.65965795291776885</v>
      </c>
      <c r="K8291">
        <f>1/(COUNT(SimData5000!$C$9:$C$5008)-1)+$K$8290</f>
        <v>0.65653130626123835</v>
      </c>
    </row>
    <row r="8292" spans="8:11">
      <c r="H8292">
        <f>SMALL(SimData5000!$B$9:$B$5008,3284)</f>
        <v>0.65676016996269115</v>
      </c>
      <c r="I8292">
        <f>1/(COUNT(SimData5000!$B$9:$B$5008)-1)+$I$8291</f>
        <v>0.6567313462692399</v>
      </c>
      <c r="J8292">
        <f>SMALL(SimData5000!$C$9:$C$5008,3284)</f>
        <v>0.66042342002219812</v>
      </c>
      <c r="K8292">
        <f>1/(COUNT(SimData5000!$C$9:$C$5008)-1)+$K$8291</f>
        <v>0.6567313462692399</v>
      </c>
    </row>
    <row r="8293" spans="8:11">
      <c r="H8293">
        <f>SMALL(SimData5000!$B$9:$B$5008,3285)</f>
        <v>0.65697845658449883</v>
      </c>
      <c r="I8293">
        <f>1/(COUNT(SimData5000!$B$9:$B$5008)-1)+$I$8292</f>
        <v>0.65693138627724146</v>
      </c>
      <c r="J8293">
        <f>SMALL(SimData5000!$C$9:$C$5008,3285)</f>
        <v>0.66045074560497596</v>
      </c>
      <c r="K8293">
        <f>1/(COUNT(SimData5000!$C$9:$C$5008)-1)+$K$8292</f>
        <v>0.65693138627724146</v>
      </c>
    </row>
    <row r="8294" spans="8:11">
      <c r="H8294">
        <f>SMALL(SimData5000!$B$9:$B$5008,3286)</f>
        <v>0.65708829324154372</v>
      </c>
      <c r="I8294">
        <f>1/(COUNT(SimData5000!$B$9:$B$5008)-1)+$I$8293</f>
        <v>0.65713142628524301</v>
      </c>
      <c r="J8294">
        <f>SMALL(SimData5000!$C$9:$C$5008,3286)</f>
        <v>0.66057750704385398</v>
      </c>
      <c r="K8294">
        <f>1/(COUNT(SimData5000!$C$9:$C$5008)-1)+$K$8293</f>
        <v>0.65713142628524301</v>
      </c>
    </row>
    <row r="8295" spans="8:11">
      <c r="H8295">
        <f>SMALL(SimData5000!$B$9:$B$5008,3287)</f>
        <v>0.65727789724629315</v>
      </c>
      <c r="I8295">
        <f>1/(COUNT(SimData5000!$B$9:$B$5008)-1)+$I$8294</f>
        <v>0.65733146629324457</v>
      </c>
      <c r="J8295">
        <f>SMALL(SimData5000!$C$9:$C$5008,3287)</f>
        <v>0.66057804650699836</v>
      </c>
      <c r="K8295">
        <f>1/(COUNT(SimData5000!$C$9:$C$5008)-1)+$K$8294</f>
        <v>0.65733146629324457</v>
      </c>
    </row>
    <row r="8296" spans="8:11">
      <c r="H8296">
        <f>SMALL(SimData5000!$B$9:$B$5008,3288)</f>
        <v>0.65757160885598775</v>
      </c>
      <c r="I8296">
        <f>1/(COUNT(SimData5000!$B$9:$B$5008)-1)+$I$8295</f>
        <v>0.65753150630124613</v>
      </c>
      <c r="J8296">
        <f>SMALL(SimData5000!$C$9:$C$5008,3288)</f>
        <v>0.66079826659552054</v>
      </c>
      <c r="K8296">
        <f>1/(COUNT(SimData5000!$C$9:$C$5008)-1)+$K$8295</f>
        <v>0.65753150630124613</v>
      </c>
    </row>
    <row r="8297" spans="8:11">
      <c r="H8297">
        <f>SMALL(SimData5000!$B$9:$B$5008,3289)</f>
        <v>0.657743572515469</v>
      </c>
      <c r="I8297">
        <f>1/(COUNT(SimData5000!$B$9:$B$5008)-1)+$I$8296</f>
        <v>0.65773154630924768</v>
      </c>
      <c r="J8297">
        <f>SMALL(SimData5000!$C$9:$C$5008,3289)</f>
        <v>0.66139522202865919</v>
      </c>
      <c r="K8297">
        <f>1/(COUNT(SimData5000!$C$9:$C$5008)-1)+$K$8296</f>
        <v>0.65773154630924768</v>
      </c>
    </row>
    <row r="8298" spans="8:11">
      <c r="H8298">
        <f>SMALL(SimData5000!$B$9:$B$5008,3290)</f>
        <v>0.65780944768241822</v>
      </c>
      <c r="I8298">
        <f>1/(COUNT(SimData5000!$B$9:$B$5008)-1)+$I$8297</f>
        <v>0.65793158631724924</v>
      </c>
      <c r="J8298">
        <f>SMALL(SimData5000!$C$9:$C$5008,3290)</f>
        <v>0.66146971323905746</v>
      </c>
      <c r="K8298">
        <f>1/(COUNT(SimData5000!$C$9:$C$5008)-1)+$K$8297</f>
        <v>0.65793158631724924</v>
      </c>
    </row>
    <row r="8299" spans="8:11">
      <c r="H8299">
        <f>SMALL(SimData5000!$B$9:$B$5008,3291)</f>
        <v>0.65803773304560176</v>
      </c>
      <c r="I8299">
        <f>1/(COUNT(SimData5000!$B$9:$B$5008)-1)+$I$8298</f>
        <v>0.6581316263252508</v>
      </c>
      <c r="J8299">
        <f>SMALL(SimData5000!$C$9:$C$5008,3291)</f>
        <v>0.66159182863520982</v>
      </c>
      <c r="K8299">
        <f>1/(COUNT(SimData5000!$C$9:$C$5008)-1)+$K$8298</f>
        <v>0.6581316263252508</v>
      </c>
    </row>
    <row r="8300" spans="8:11">
      <c r="H8300">
        <f>SMALL(SimData5000!$B$9:$B$5008,3292)</f>
        <v>0.65833290611508599</v>
      </c>
      <c r="I8300">
        <f>1/(COUNT(SimData5000!$B$9:$B$5008)-1)+$I$8299</f>
        <v>0.65833166633325235</v>
      </c>
      <c r="J8300">
        <f>SMALL(SimData5000!$C$9:$C$5008,3292)</f>
        <v>0.66165572250247351</v>
      </c>
      <c r="K8300">
        <f>1/(COUNT(SimData5000!$C$9:$C$5008)-1)+$K$8299</f>
        <v>0.65833166633325235</v>
      </c>
    </row>
    <row r="8301" spans="8:11">
      <c r="H8301">
        <f>SMALL(SimData5000!$B$9:$B$5008,3293)</f>
        <v>0.65840500617870246</v>
      </c>
      <c r="I8301">
        <f>1/(COUNT(SimData5000!$B$9:$B$5008)-1)+$I$8300</f>
        <v>0.65853170634125391</v>
      </c>
      <c r="J8301">
        <f>SMALL(SimData5000!$C$9:$C$5008,3293)</f>
        <v>0.6617252462056058</v>
      </c>
      <c r="K8301">
        <f>1/(COUNT(SimData5000!$C$9:$C$5008)-1)+$K$8300</f>
        <v>0.65853170634125391</v>
      </c>
    </row>
    <row r="8302" spans="8:11">
      <c r="H8302">
        <f>SMALL(SimData5000!$B$9:$B$5008,3294)</f>
        <v>0.65876996691286793</v>
      </c>
      <c r="I8302">
        <f>1/(COUNT(SimData5000!$B$9:$B$5008)-1)+$I$8301</f>
        <v>0.65873174634925546</v>
      </c>
      <c r="J8302">
        <f>SMALL(SimData5000!$C$9:$C$5008,3294)</f>
        <v>0.66179410058339272</v>
      </c>
      <c r="K8302">
        <f>1/(COUNT(SimData5000!$C$9:$C$5008)-1)+$K$8301</f>
        <v>0.65873174634925546</v>
      </c>
    </row>
    <row r="8303" spans="8:11">
      <c r="H8303">
        <f>SMALL(SimData5000!$B$9:$B$5008,3295)</f>
        <v>0.65888420097615674</v>
      </c>
      <c r="I8303">
        <f>1/(COUNT(SimData5000!$B$9:$B$5008)-1)+$I$8302</f>
        <v>0.65893178635725702</v>
      </c>
      <c r="J8303">
        <f>SMALL(SimData5000!$C$9:$C$5008,3295)</f>
        <v>0.6618112349697185</v>
      </c>
      <c r="K8303">
        <f>1/(COUNT(SimData5000!$C$9:$C$5008)-1)+$K$8302</f>
        <v>0.65893178635725702</v>
      </c>
    </row>
    <row r="8304" spans="8:11">
      <c r="H8304">
        <f>SMALL(SimData5000!$B$9:$B$5008,3296)</f>
        <v>0.65911980243486346</v>
      </c>
      <c r="I8304">
        <f>1/(COUNT(SimData5000!$B$9:$B$5008)-1)+$I$8303</f>
        <v>0.65913182636525858</v>
      </c>
      <c r="J8304">
        <f>SMALL(SimData5000!$C$9:$C$5008,3296)</f>
        <v>0.66192430656610668</v>
      </c>
      <c r="K8304">
        <f>1/(COUNT(SimData5000!$C$9:$C$5008)-1)+$K$8303</f>
        <v>0.65913182636525858</v>
      </c>
    </row>
    <row r="8305" spans="8:11">
      <c r="H8305">
        <f>SMALL(SimData5000!$B$9:$B$5008,3297)</f>
        <v>0.65932570589951378</v>
      </c>
      <c r="I8305">
        <f>1/(COUNT(SimData5000!$B$9:$B$5008)-1)+$I$8304</f>
        <v>0.65933186637326013</v>
      </c>
      <c r="J8305">
        <f>SMALL(SimData5000!$C$9:$C$5008,3297)</f>
        <v>0.66192834887988283</v>
      </c>
      <c r="K8305">
        <f>1/(COUNT(SimData5000!$C$9:$C$5008)-1)+$K$8304</f>
        <v>0.65933186637326013</v>
      </c>
    </row>
    <row r="8306" spans="8:11">
      <c r="H8306">
        <f>SMALL(SimData5000!$B$9:$B$5008,3298)</f>
        <v>0.65957408381397231</v>
      </c>
      <c r="I8306">
        <f>1/(COUNT(SimData5000!$B$9:$B$5008)-1)+$I$8305</f>
        <v>0.65953190638126169</v>
      </c>
      <c r="J8306">
        <f>SMALL(SimData5000!$C$9:$C$5008,3298)</f>
        <v>0.66199224897172826</v>
      </c>
      <c r="K8306">
        <f>1/(COUNT(SimData5000!$C$9:$C$5008)-1)+$K$8305</f>
        <v>0.65953190638126169</v>
      </c>
    </row>
    <row r="8307" spans="8:11">
      <c r="H8307">
        <f>SMALL(SimData5000!$B$9:$B$5008,3299)</f>
        <v>0.659674779706652</v>
      </c>
      <c r="I8307">
        <f>1/(COUNT(SimData5000!$B$9:$B$5008)-1)+$I$8306</f>
        <v>0.65973194638926325</v>
      </c>
      <c r="J8307">
        <f>SMALL(SimData5000!$C$9:$C$5008,3299)</f>
        <v>0.66257866512933106</v>
      </c>
      <c r="K8307">
        <f>1/(COUNT(SimData5000!$C$9:$C$5008)-1)+$K$8306</f>
        <v>0.65973194638926325</v>
      </c>
    </row>
    <row r="8308" spans="8:11">
      <c r="H8308">
        <f>SMALL(SimData5000!$B$9:$B$5008,3300)</f>
        <v>0.65995250521720206</v>
      </c>
      <c r="I8308">
        <f>1/(COUNT(SimData5000!$B$9:$B$5008)-1)+$I$8307</f>
        <v>0.6599319863972648</v>
      </c>
      <c r="J8308">
        <f>SMALL(SimData5000!$C$9:$C$5008,3300)</f>
        <v>0.66257936052261357</v>
      </c>
      <c r="K8308">
        <f>1/(COUNT(SimData5000!$C$9:$C$5008)-1)+$K$8307</f>
        <v>0.6599319863972648</v>
      </c>
    </row>
    <row r="8309" spans="8:11">
      <c r="H8309">
        <f>SMALL(SimData5000!$B$9:$B$5008,3301)</f>
        <v>0.66019267987836916</v>
      </c>
      <c r="I8309">
        <f>1/(COUNT(SimData5000!$B$9:$B$5008)-1)+$I$8308</f>
        <v>0.66013202640526636</v>
      </c>
      <c r="J8309">
        <f>SMALL(SimData5000!$C$9:$C$5008,3301)</f>
        <v>0.66262410115814419</v>
      </c>
      <c r="K8309">
        <f>1/(COUNT(SimData5000!$C$9:$C$5008)-1)+$K$8308</f>
        <v>0.66013202640526636</v>
      </c>
    </row>
    <row r="8310" spans="8:11">
      <c r="H8310">
        <f>SMALL(SimData5000!$B$9:$B$5008,3302)</f>
        <v>0.66038593497536746</v>
      </c>
      <c r="I8310">
        <f>1/(COUNT(SimData5000!$B$9:$B$5008)-1)+$I$8309</f>
        <v>0.66033206641326792</v>
      </c>
      <c r="J8310">
        <f>SMALL(SimData5000!$C$9:$C$5008,3302)</f>
        <v>0.6626974215350856</v>
      </c>
      <c r="K8310">
        <f>1/(COUNT(SimData5000!$C$9:$C$5008)-1)+$K$8309</f>
        <v>0.66033206641326792</v>
      </c>
    </row>
    <row r="8311" spans="8:11">
      <c r="H8311">
        <f>SMALL(SimData5000!$B$9:$B$5008,3303)</f>
        <v>0.66059662031256516</v>
      </c>
      <c r="I8311">
        <f>1/(COUNT(SimData5000!$B$9:$B$5008)-1)+$I$8310</f>
        <v>0.66053210642126947</v>
      </c>
      <c r="J8311">
        <f>SMALL(SimData5000!$C$9:$C$5008,3303)</f>
        <v>0.66285670671550179</v>
      </c>
      <c r="K8311">
        <f>1/(COUNT(SimData5000!$C$9:$C$5008)-1)+$K$8310</f>
        <v>0.66053210642126947</v>
      </c>
    </row>
    <row r="8312" spans="8:11">
      <c r="H8312">
        <f>SMALL(SimData5000!$B$9:$B$5008,3304)</f>
        <v>0.66070202295777902</v>
      </c>
      <c r="I8312">
        <f>1/(COUNT(SimData5000!$B$9:$B$5008)-1)+$I$8311</f>
        <v>0.66073214642927103</v>
      </c>
      <c r="J8312">
        <f>SMALL(SimData5000!$C$9:$C$5008,3304)</f>
        <v>0.66305295171423495</v>
      </c>
      <c r="K8312">
        <f>1/(COUNT(SimData5000!$C$9:$C$5008)-1)+$K$8311</f>
        <v>0.66073214642927103</v>
      </c>
    </row>
    <row r="8313" spans="8:11">
      <c r="H8313">
        <f>SMALL(SimData5000!$B$9:$B$5008,3305)</f>
        <v>0.66085899159048189</v>
      </c>
      <c r="I8313">
        <f>1/(COUNT(SimData5000!$B$9:$B$5008)-1)+$I$8312</f>
        <v>0.66093218643727258</v>
      </c>
      <c r="J8313">
        <f>SMALL(SimData5000!$C$9:$C$5008,3305)</f>
        <v>0.66311248219062691</v>
      </c>
      <c r="K8313">
        <f>1/(COUNT(SimData5000!$C$9:$C$5008)-1)+$K$8312</f>
        <v>0.66093218643727258</v>
      </c>
    </row>
    <row r="8314" spans="8:11">
      <c r="H8314">
        <f>SMALL(SimData5000!$B$9:$B$5008,3306)</f>
        <v>0.6610200422850484</v>
      </c>
      <c r="I8314">
        <f>1/(COUNT(SimData5000!$B$9:$B$5008)-1)+$I$8313</f>
        <v>0.66113222644527414</v>
      </c>
      <c r="J8314">
        <f>SMALL(SimData5000!$C$9:$C$5008,3306)</f>
        <v>0.66321510097259306</v>
      </c>
      <c r="K8314">
        <f>1/(COUNT(SimData5000!$C$9:$C$5008)-1)+$K$8313</f>
        <v>0.66113222644527414</v>
      </c>
    </row>
    <row r="8315" spans="8:11">
      <c r="H8315">
        <f>SMALL(SimData5000!$B$9:$B$5008,3307)</f>
        <v>0.66130467738842236</v>
      </c>
      <c r="I8315">
        <f>1/(COUNT(SimData5000!$B$9:$B$5008)-1)+$I$8314</f>
        <v>0.6613322664532757</v>
      </c>
      <c r="J8315">
        <f>SMALL(SimData5000!$C$9:$C$5008,3307)</f>
        <v>0.66332325046460028</v>
      </c>
      <c r="K8315">
        <f>1/(COUNT(SimData5000!$C$9:$C$5008)-1)+$K$8314</f>
        <v>0.6613322664532757</v>
      </c>
    </row>
    <row r="8316" spans="8:11">
      <c r="H8316">
        <f>SMALL(SimData5000!$B$9:$B$5008,3308)</f>
        <v>0.66155602480158116</v>
      </c>
      <c r="I8316">
        <f>1/(COUNT(SimData5000!$B$9:$B$5008)-1)+$I$8315</f>
        <v>0.66153230646127725</v>
      </c>
      <c r="J8316">
        <f>SMALL(SimData5000!$C$9:$C$5008,3308)</f>
        <v>0.66332798704024754</v>
      </c>
      <c r="K8316">
        <f>1/(COUNT(SimData5000!$C$9:$C$5008)-1)+$K$8315</f>
        <v>0.66153230646127725</v>
      </c>
    </row>
    <row r="8317" spans="8:11">
      <c r="H8317">
        <f>SMALL(SimData5000!$B$9:$B$5008,3309)</f>
        <v>0.6616559714945629</v>
      </c>
      <c r="I8317">
        <f>1/(COUNT(SimData5000!$B$9:$B$5008)-1)+$I$8316</f>
        <v>0.66173234646927881</v>
      </c>
      <c r="J8317">
        <f>SMALL(SimData5000!$C$9:$C$5008,3309)</f>
        <v>0.66359288280364126</v>
      </c>
      <c r="K8317">
        <f>1/(COUNT(SimData5000!$C$9:$C$5008)-1)+$K$8316</f>
        <v>0.66173234646927881</v>
      </c>
    </row>
    <row r="8318" spans="8:11">
      <c r="H8318">
        <f>SMALL(SimData5000!$B$9:$B$5008,3310)</f>
        <v>0.66182581572863874</v>
      </c>
      <c r="I8318">
        <f>1/(COUNT(SimData5000!$B$9:$B$5008)-1)+$I$8317</f>
        <v>0.66193238647728037</v>
      </c>
      <c r="J8318">
        <f>SMALL(SimData5000!$C$9:$C$5008,3310)</f>
        <v>0.66366482811281458</v>
      </c>
      <c r="K8318">
        <f>1/(COUNT(SimData5000!$C$9:$C$5008)-1)+$K$8317</f>
        <v>0.66193238647728037</v>
      </c>
    </row>
    <row r="8319" spans="8:11">
      <c r="H8319">
        <f>SMALL(SimData5000!$B$9:$B$5008,3311)</f>
        <v>0.66209009106836525</v>
      </c>
      <c r="I8319">
        <f>1/(COUNT(SimData5000!$B$9:$B$5008)-1)+$I$8318</f>
        <v>0.66213242648528192</v>
      </c>
      <c r="J8319">
        <f>SMALL(SimData5000!$C$9:$C$5008,3311)</f>
        <v>0.66385062380504678</v>
      </c>
      <c r="K8319">
        <f>1/(COUNT(SimData5000!$C$9:$C$5008)-1)+$K$8318</f>
        <v>0.66213242648528192</v>
      </c>
    </row>
    <row r="8320" spans="8:11">
      <c r="H8320">
        <f>SMALL(SimData5000!$B$9:$B$5008,3312)</f>
        <v>0.6623590006280129</v>
      </c>
      <c r="I8320">
        <f>1/(COUNT(SimData5000!$B$9:$B$5008)-1)+$I$8319</f>
        <v>0.66233246649328348</v>
      </c>
      <c r="J8320">
        <f>SMALL(SimData5000!$C$9:$C$5008,3312)</f>
        <v>0.66415014307676756</v>
      </c>
      <c r="K8320">
        <f>1/(COUNT(SimData5000!$C$9:$C$5008)-1)+$K$8319</f>
        <v>0.66233246649328348</v>
      </c>
    </row>
    <row r="8321" spans="8:11">
      <c r="H8321">
        <f>SMALL(SimData5000!$B$9:$B$5008,3313)</f>
        <v>0.66241753112525159</v>
      </c>
      <c r="I8321">
        <f>1/(COUNT(SimData5000!$B$9:$B$5008)-1)+$I$8320</f>
        <v>0.66253250650128503</v>
      </c>
      <c r="J8321">
        <f>SMALL(SimData5000!$C$9:$C$5008,3313)</f>
        <v>0.66447337684712693</v>
      </c>
      <c r="K8321">
        <f>1/(COUNT(SimData5000!$C$9:$C$5008)-1)+$K$8320</f>
        <v>0.66253250650128503</v>
      </c>
    </row>
    <row r="8322" spans="8:11">
      <c r="H8322">
        <f>SMALL(SimData5000!$B$9:$B$5008,3314)</f>
        <v>0.66272518851075435</v>
      </c>
      <c r="I8322">
        <f>1/(COUNT(SimData5000!$B$9:$B$5008)-1)+$I$8321</f>
        <v>0.66273254650928659</v>
      </c>
      <c r="J8322">
        <f>SMALL(SimData5000!$C$9:$C$5008,3314)</f>
        <v>0.6645142525439951</v>
      </c>
      <c r="K8322">
        <f>1/(COUNT(SimData5000!$C$9:$C$5008)-1)+$K$8321</f>
        <v>0.66273254650928659</v>
      </c>
    </row>
    <row r="8323" spans="8:11">
      <c r="H8323">
        <f>SMALL(SimData5000!$B$9:$B$5008,3315)</f>
        <v>0.66295933187984846</v>
      </c>
      <c r="I8323">
        <f>1/(COUNT(SimData5000!$B$9:$B$5008)-1)+$I$8322</f>
        <v>0.66293258651728815</v>
      </c>
      <c r="J8323">
        <f>SMALL(SimData5000!$C$9:$C$5008,3315)</f>
        <v>0.66484733605375368</v>
      </c>
      <c r="K8323">
        <f>1/(COUNT(SimData5000!$C$9:$C$5008)-1)+$K$8322</f>
        <v>0.66293258651728815</v>
      </c>
    </row>
    <row r="8324" spans="8:11">
      <c r="H8324">
        <f>SMALL(SimData5000!$B$9:$B$5008,3316)</f>
        <v>0.66314156381048761</v>
      </c>
      <c r="I8324">
        <f>1/(COUNT(SimData5000!$B$9:$B$5008)-1)+$I$8323</f>
        <v>0.6631326265252897</v>
      </c>
      <c r="J8324">
        <f>SMALL(SimData5000!$C$9:$C$5008,3316)</f>
        <v>0.66490298920689384</v>
      </c>
      <c r="K8324">
        <f>1/(COUNT(SimData5000!$C$9:$C$5008)-1)+$K$8323</f>
        <v>0.6631326265252897</v>
      </c>
    </row>
    <row r="8325" spans="8:11">
      <c r="H8325">
        <f>SMALL(SimData5000!$B$9:$B$5008,3317)</f>
        <v>0.66330048087199689</v>
      </c>
      <c r="I8325">
        <f>1/(COUNT(SimData5000!$B$9:$B$5008)-1)+$I$8324</f>
        <v>0.66333266653329126</v>
      </c>
      <c r="J8325">
        <f>SMALL(SimData5000!$C$9:$C$5008,3317)</f>
        <v>0.66499055333952128</v>
      </c>
      <c r="K8325">
        <f>1/(COUNT(SimData5000!$C$9:$C$5008)-1)+$K$8324</f>
        <v>0.66333266653329126</v>
      </c>
    </row>
    <row r="8326" spans="8:11">
      <c r="H8326">
        <f>SMALL(SimData5000!$B$9:$B$5008,3318)</f>
        <v>0.66357796723842111</v>
      </c>
      <c r="I8326">
        <f>1/(COUNT(SimData5000!$B$9:$B$5008)-1)+$I$8325</f>
        <v>0.66353270654129282</v>
      </c>
      <c r="J8326">
        <f>SMALL(SimData5000!$C$9:$C$5008,3318)</f>
        <v>0.66524021526311117</v>
      </c>
      <c r="K8326">
        <f>1/(COUNT(SimData5000!$C$9:$C$5008)-1)+$K$8325</f>
        <v>0.66353270654129282</v>
      </c>
    </row>
    <row r="8327" spans="8:11">
      <c r="H8327">
        <f>SMALL(SimData5000!$B$9:$B$5008,3319)</f>
        <v>0.66361449802313333</v>
      </c>
      <c r="I8327">
        <f>1/(COUNT(SimData5000!$B$9:$B$5008)-1)+$I$8326</f>
        <v>0.66373274654929437</v>
      </c>
      <c r="J8327">
        <f>SMALL(SimData5000!$C$9:$C$5008,3319)</f>
        <v>0.66542526905686827</v>
      </c>
      <c r="K8327">
        <f>1/(COUNT(SimData5000!$C$9:$C$5008)-1)+$K$8326</f>
        <v>0.66373274654929437</v>
      </c>
    </row>
    <row r="8328" spans="8:11">
      <c r="H8328">
        <f>SMALL(SimData5000!$B$9:$B$5008,3320)</f>
        <v>0.66383006191403371</v>
      </c>
      <c r="I8328">
        <f>1/(COUNT(SimData5000!$B$9:$B$5008)-1)+$I$8327</f>
        <v>0.66393278655729593</v>
      </c>
      <c r="J8328">
        <f>SMALL(SimData5000!$C$9:$C$5008,3320)</f>
        <v>0.66590788730536588</v>
      </c>
      <c r="K8328">
        <f>1/(COUNT(SimData5000!$C$9:$C$5008)-1)+$K$8327</f>
        <v>0.66393278655729593</v>
      </c>
    </row>
    <row r="8329" spans="8:11">
      <c r="H8329">
        <f>SMALL(SimData5000!$B$9:$B$5008,3321)</f>
        <v>0.66418466146695077</v>
      </c>
      <c r="I8329">
        <f>1/(COUNT(SimData5000!$B$9:$B$5008)-1)+$I$8328</f>
        <v>0.66413282656529748</v>
      </c>
      <c r="J8329">
        <f>SMALL(SimData5000!$C$9:$C$5008,3321)</f>
        <v>0.66603982642482151</v>
      </c>
      <c r="K8329">
        <f>1/(COUNT(SimData5000!$C$9:$C$5008)-1)+$K$8328</f>
        <v>0.66413282656529748</v>
      </c>
    </row>
    <row r="8330" spans="8:11">
      <c r="H8330">
        <f>SMALL(SimData5000!$B$9:$B$5008,3322)</f>
        <v>0.66432658490420471</v>
      </c>
      <c r="I8330">
        <f>1/(COUNT(SimData5000!$B$9:$B$5008)-1)+$I$8329</f>
        <v>0.66433286657329904</v>
      </c>
      <c r="J8330">
        <f>SMALL(SimData5000!$C$9:$C$5008,3322)</f>
        <v>0.6664727321067403</v>
      </c>
      <c r="K8330">
        <f>1/(COUNT(SimData5000!$C$9:$C$5008)-1)+$K$8329</f>
        <v>0.66433286657329904</v>
      </c>
    </row>
    <row r="8331" spans="8:11">
      <c r="H8331">
        <f>SMALL(SimData5000!$B$9:$B$5008,3323)</f>
        <v>0.66447650254677904</v>
      </c>
      <c r="I8331">
        <f>1/(COUNT(SimData5000!$B$9:$B$5008)-1)+$I$8330</f>
        <v>0.6645329065813006</v>
      </c>
      <c r="J8331">
        <f>SMALL(SimData5000!$C$9:$C$5008,3323)</f>
        <v>0.6671409506634518</v>
      </c>
      <c r="K8331">
        <f>1/(COUNT(SimData5000!$C$9:$C$5008)-1)+$K$8330</f>
        <v>0.6645329065813006</v>
      </c>
    </row>
    <row r="8332" spans="8:11">
      <c r="H8332">
        <f>SMALL(SimData5000!$B$9:$B$5008,3324)</f>
        <v>0.66461028561326907</v>
      </c>
      <c r="I8332">
        <f>1/(COUNT(SimData5000!$B$9:$B$5008)-1)+$I$8331</f>
        <v>0.66473294658930215</v>
      </c>
      <c r="J8332">
        <f>SMALL(SimData5000!$C$9:$C$5008,3324)</f>
        <v>0.66722757898605778</v>
      </c>
      <c r="K8332">
        <f>1/(COUNT(SimData5000!$C$9:$C$5008)-1)+$K$8331</f>
        <v>0.66473294658930215</v>
      </c>
    </row>
    <row r="8333" spans="8:11">
      <c r="H8333">
        <f>SMALL(SimData5000!$B$9:$B$5008,3325)</f>
        <v>0.66485667966344786</v>
      </c>
      <c r="I8333">
        <f>1/(COUNT(SimData5000!$B$9:$B$5008)-1)+$I$8332</f>
        <v>0.66493298659730371</v>
      </c>
      <c r="J8333">
        <f>SMALL(SimData5000!$C$9:$C$5008,3325)</f>
        <v>0.66723627929331997</v>
      </c>
      <c r="K8333">
        <f>1/(COUNT(SimData5000!$C$9:$C$5008)-1)+$K$8332</f>
        <v>0.66493298659730371</v>
      </c>
    </row>
    <row r="8334" spans="8:11">
      <c r="H8334">
        <f>SMALL(SimData5000!$B$9:$B$5008,3326)</f>
        <v>0.66516653451080587</v>
      </c>
      <c r="I8334">
        <f>1/(COUNT(SimData5000!$B$9:$B$5008)-1)+$I$8333</f>
        <v>0.66513302660530527</v>
      </c>
      <c r="J8334">
        <f>SMALL(SimData5000!$C$9:$C$5008,3326)</f>
        <v>0.66763361521043407</v>
      </c>
      <c r="K8334">
        <f>1/(COUNT(SimData5000!$C$9:$C$5008)-1)+$K$8333</f>
        <v>0.66513302660530527</v>
      </c>
    </row>
    <row r="8335" spans="8:11">
      <c r="H8335">
        <f>SMALL(SimData5000!$B$9:$B$5008,3327)</f>
        <v>0.66529325060953692</v>
      </c>
      <c r="I8335">
        <f>1/(COUNT(SimData5000!$B$9:$B$5008)-1)+$I$8334</f>
        <v>0.66533306661330682</v>
      </c>
      <c r="J8335">
        <f>SMALL(SimData5000!$C$9:$C$5008,3327)</f>
        <v>0.66818573606724385</v>
      </c>
      <c r="K8335">
        <f>1/(COUNT(SimData5000!$C$9:$C$5008)-1)+$K$8334</f>
        <v>0.66533306661330682</v>
      </c>
    </row>
    <row r="8336" spans="8:11">
      <c r="H8336">
        <f>SMALL(SimData5000!$B$9:$B$5008,3328)</f>
        <v>0.66546241339311529</v>
      </c>
      <c r="I8336">
        <f>1/(COUNT(SimData5000!$B$9:$B$5008)-1)+$I$8335</f>
        <v>0.66553310662130838</v>
      </c>
      <c r="J8336">
        <f>SMALL(SimData5000!$C$9:$C$5008,3328)</f>
        <v>0.6682422263393164</v>
      </c>
      <c r="K8336">
        <f>1/(COUNT(SimData5000!$C$9:$C$5008)-1)+$K$8335</f>
        <v>0.66553310662130838</v>
      </c>
    </row>
    <row r="8337" spans="8:11">
      <c r="H8337">
        <f>SMALL(SimData5000!$B$9:$B$5008,3329)</f>
        <v>0.66577747559449107</v>
      </c>
      <c r="I8337">
        <f>1/(COUNT(SimData5000!$B$9:$B$5008)-1)+$I$8336</f>
        <v>0.66573314662930994</v>
      </c>
      <c r="J8337">
        <f>SMALL(SimData5000!$C$9:$C$5008,3329)</f>
        <v>0.66839818042080879</v>
      </c>
      <c r="K8337">
        <f>1/(COUNT(SimData5000!$C$9:$C$5008)-1)+$K$8336</f>
        <v>0.66573314662930994</v>
      </c>
    </row>
    <row r="8338" spans="8:11">
      <c r="H8338">
        <f>SMALL(SimData5000!$B$9:$B$5008,3330)</f>
        <v>0.66584564773259813</v>
      </c>
      <c r="I8338">
        <f>1/(COUNT(SimData5000!$B$9:$B$5008)-1)+$I$8337</f>
        <v>0.66593318663731149</v>
      </c>
      <c r="J8338">
        <f>SMALL(SimData5000!$C$9:$C$5008,3330)</f>
        <v>0.66911237305976101</v>
      </c>
      <c r="K8338">
        <f>1/(COUNT(SimData5000!$C$9:$C$5008)-1)+$K$8337</f>
        <v>0.66593318663731149</v>
      </c>
    </row>
    <row r="8339" spans="8:11">
      <c r="H8339">
        <f>SMALL(SimData5000!$B$9:$B$5008,3331)</f>
        <v>0.66615882119800873</v>
      </c>
      <c r="I8339">
        <f>1/(COUNT(SimData5000!$B$9:$B$5008)-1)+$I$8338</f>
        <v>0.66613322664531305</v>
      </c>
      <c r="J8339">
        <f>SMALL(SimData5000!$C$9:$C$5008,3331)</f>
        <v>0.66997795155384665</v>
      </c>
      <c r="K8339">
        <f>1/(COUNT(SimData5000!$C$9:$C$5008)-1)+$K$8338</f>
        <v>0.66613322664531305</v>
      </c>
    </row>
    <row r="8340" spans="8:11">
      <c r="H8340">
        <f>SMALL(SimData5000!$B$9:$B$5008,3332)</f>
        <v>0.66632969054601376</v>
      </c>
      <c r="I8340">
        <f>1/(COUNT(SimData5000!$B$9:$B$5008)-1)+$I$8339</f>
        <v>0.6663332666533146</v>
      </c>
      <c r="J8340">
        <f>SMALL(SimData5000!$C$9:$C$5008,3332)</f>
        <v>0.67036426187041798</v>
      </c>
      <c r="K8340">
        <f>1/(COUNT(SimData5000!$C$9:$C$5008)-1)+$K$8339</f>
        <v>0.6663332666533146</v>
      </c>
    </row>
    <row r="8341" spans="8:11">
      <c r="H8341">
        <f>SMALL(SimData5000!$B$9:$B$5008,3333)</f>
        <v>0.66644918100187767</v>
      </c>
      <c r="I8341">
        <f>1/(COUNT(SimData5000!$B$9:$B$5008)-1)+$I$8340</f>
        <v>0.66653330666131616</v>
      </c>
      <c r="J8341">
        <f>SMALL(SimData5000!$C$9:$C$5008,3333)</f>
        <v>0.67043888290572795</v>
      </c>
      <c r="K8341">
        <f>1/(COUNT(SimData5000!$C$9:$C$5008)-1)+$K$8340</f>
        <v>0.66653330666131616</v>
      </c>
    </row>
    <row r="8342" spans="8:11">
      <c r="H8342">
        <f>SMALL(SimData5000!$B$9:$B$5008,3334)</f>
        <v>0.6667759190512299</v>
      </c>
      <c r="I8342">
        <f>1/(COUNT(SimData5000!$B$9:$B$5008)-1)+$I$8341</f>
        <v>0.66673334666931772</v>
      </c>
      <c r="J8342">
        <f>SMALL(SimData5000!$C$9:$C$5008,3334)</f>
        <v>0.67075038497932837</v>
      </c>
      <c r="K8342">
        <f>1/(COUNT(SimData5000!$C$9:$C$5008)-1)+$K$8341</f>
        <v>0.66673334666931772</v>
      </c>
    </row>
    <row r="8343" spans="8:11">
      <c r="H8343">
        <f>SMALL(SimData5000!$B$9:$B$5008,3335)</f>
        <v>0.66682925430453133</v>
      </c>
      <c r="I8343">
        <f>1/(COUNT(SimData5000!$B$9:$B$5008)-1)+$I$8342</f>
        <v>0.66693338667731927</v>
      </c>
      <c r="J8343">
        <f>SMALL(SimData5000!$C$9:$C$5008,3335)</f>
        <v>0.67083715259741439</v>
      </c>
      <c r="K8343">
        <f>1/(COUNT(SimData5000!$C$9:$C$5008)-1)+$K$8342</f>
        <v>0.66693338667731927</v>
      </c>
    </row>
    <row r="8344" spans="8:11">
      <c r="H8344">
        <f>SMALL(SimData5000!$B$9:$B$5008,3336)</f>
        <v>0.66700643893224332</v>
      </c>
      <c r="I8344">
        <f>1/(COUNT(SimData5000!$B$9:$B$5008)-1)+$I$8343</f>
        <v>0.66713342668532083</v>
      </c>
      <c r="J8344">
        <f>SMALL(SimData5000!$C$9:$C$5008,3336)</f>
        <v>0.67089465689241479</v>
      </c>
      <c r="K8344">
        <f>1/(COUNT(SimData5000!$C$9:$C$5008)-1)+$K$8343</f>
        <v>0.66713342668532083</v>
      </c>
    </row>
    <row r="8345" spans="8:11">
      <c r="H8345">
        <f>SMALL(SimData5000!$B$9:$B$5008,3337)</f>
        <v>0.66729621180149168</v>
      </c>
      <c r="I8345">
        <f>1/(COUNT(SimData5000!$B$9:$B$5008)-1)+$I$8344</f>
        <v>0.66733346669332239</v>
      </c>
      <c r="J8345">
        <f>SMALL(SimData5000!$C$9:$C$5008,3337)</f>
        <v>0.67131113992036262</v>
      </c>
      <c r="K8345">
        <f>1/(COUNT(SimData5000!$C$9:$C$5008)-1)+$K$8344</f>
        <v>0.66733346669332239</v>
      </c>
    </row>
    <row r="8346" spans="8:11">
      <c r="H8346">
        <f>SMALL(SimData5000!$B$9:$B$5008,3338)</f>
        <v>0.66740829299250803</v>
      </c>
      <c r="I8346">
        <f>1/(COUNT(SimData5000!$B$9:$B$5008)-1)+$I$8345</f>
        <v>0.66753350670132394</v>
      </c>
      <c r="J8346">
        <f>SMALL(SimData5000!$C$9:$C$5008,3338)</f>
        <v>0.67213780099700671</v>
      </c>
      <c r="K8346">
        <f>1/(COUNT(SimData5000!$C$9:$C$5008)-1)+$K$8345</f>
        <v>0.66753350670132394</v>
      </c>
    </row>
    <row r="8347" spans="8:11">
      <c r="H8347">
        <f>SMALL(SimData5000!$B$9:$B$5008,3339)</f>
        <v>0.66770375389589554</v>
      </c>
      <c r="I8347">
        <f>1/(COUNT(SimData5000!$B$9:$B$5008)-1)+$I$8346</f>
        <v>0.6677335467093255</v>
      </c>
      <c r="J8347">
        <f>SMALL(SimData5000!$C$9:$C$5008,3339)</f>
        <v>0.67222169228443818</v>
      </c>
      <c r="K8347">
        <f>1/(COUNT(SimData5000!$C$9:$C$5008)-1)+$K$8346</f>
        <v>0.6677335467093255</v>
      </c>
    </row>
    <row r="8348" spans="8:11">
      <c r="H8348">
        <f>SMALL(SimData5000!$B$9:$B$5008,3340)</f>
        <v>0.66799071848043023</v>
      </c>
      <c r="I8348">
        <f>1/(COUNT(SimData5000!$B$9:$B$5008)-1)+$I$8347</f>
        <v>0.66793358671732705</v>
      </c>
      <c r="J8348">
        <f>SMALL(SimData5000!$C$9:$C$5008,3340)</f>
        <v>0.67236938104360888</v>
      </c>
      <c r="K8348">
        <f>1/(COUNT(SimData5000!$C$9:$C$5008)-1)+$K$8347</f>
        <v>0.66793358671732705</v>
      </c>
    </row>
    <row r="8349" spans="8:11">
      <c r="H8349">
        <f>SMALL(SimData5000!$B$9:$B$5008,3341)</f>
        <v>0.66816969139589222</v>
      </c>
      <c r="I8349">
        <f>1/(COUNT(SimData5000!$B$9:$B$5008)-1)+$I$8348</f>
        <v>0.66813362672532861</v>
      </c>
      <c r="J8349">
        <f>SMALL(SimData5000!$C$9:$C$5008,3341)</f>
        <v>0.67252793982970616</v>
      </c>
      <c r="K8349">
        <f>1/(COUNT(SimData5000!$C$9:$C$5008)-1)+$K$8348</f>
        <v>0.66813362672532861</v>
      </c>
    </row>
    <row r="8350" spans="8:11">
      <c r="H8350">
        <f>SMALL(SimData5000!$B$9:$B$5008,3342)</f>
        <v>0.66829855700463481</v>
      </c>
      <c r="I8350">
        <f>1/(COUNT(SimData5000!$B$9:$B$5008)-1)+$I$8349</f>
        <v>0.66833366673333017</v>
      </c>
      <c r="J8350">
        <f>SMALL(SimData5000!$C$9:$C$5008,3342)</f>
        <v>0.67258560350001062</v>
      </c>
      <c r="K8350">
        <f>1/(COUNT(SimData5000!$C$9:$C$5008)-1)+$K$8349</f>
        <v>0.66833366673333017</v>
      </c>
    </row>
    <row r="8351" spans="8:11">
      <c r="H8351">
        <f>SMALL(SimData5000!$B$9:$B$5008,3343)</f>
        <v>0.6684063700144659</v>
      </c>
      <c r="I8351">
        <f>1/(COUNT(SimData5000!$B$9:$B$5008)-1)+$I$8350</f>
        <v>0.66853370674133172</v>
      </c>
      <c r="J8351">
        <f>SMALL(SimData5000!$C$9:$C$5008,3343)</f>
        <v>0.67279235125261039</v>
      </c>
      <c r="K8351">
        <f>1/(COUNT(SimData5000!$C$9:$C$5008)-1)+$K$8350</f>
        <v>0.66853370674133172</v>
      </c>
    </row>
    <row r="8352" spans="8:11">
      <c r="H8352">
        <f>SMALL(SimData5000!$B$9:$B$5008,3344)</f>
        <v>0.66862054118561109</v>
      </c>
      <c r="I8352">
        <f>1/(COUNT(SimData5000!$B$9:$B$5008)-1)+$I$8351</f>
        <v>0.66873374674933328</v>
      </c>
      <c r="J8352">
        <f>SMALL(SimData5000!$C$9:$C$5008,3344)</f>
        <v>0.67285704667210666</v>
      </c>
      <c r="K8352">
        <f>1/(COUNT(SimData5000!$C$9:$C$5008)-1)+$K$8351</f>
        <v>0.66873374674933328</v>
      </c>
    </row>
    <row r="8353" spans="8:11">
      <c r="H8353">
        <f>SMALL(SimData5000!$B$9:$B$5008,3345)</f>
        <v>0.66890163328067898</v>
      </c>
      <c r="I8353">
        <f>1/(COUNT(SimData5000!$B$9:$B$5008)-1)+$I$8352</f>
        <v>0.66893378675733484</v>
      </c>
      <c r="J8353">
        <f>SMALL(SimData5000!$C$9:$C$5008,3345)</f>
        <v>0.67307840692228638</v>
      </c>
      <c r="K8353">
        <f>1/(COUNT(SimData5000!$C$9:$C$5008)-1)+$K$8352</f>
        <v>0.66893378675733484</v>
      </c>
    </row>
    <row r="8354" spans="8:11">
      <c r="H8354">
        <f>SMALL(SimData5000!$B$9:$B$5008,3346)</f>
        <v>0.66913641546092373</v>
      </c>
      <c r="I8354">
        <f>1/(COUNT(SimData5000!$B$9:$B$5008)-1)+$I$8353</f>
        <v>0.66913382676533639</v>
      </c>
      <c r="J8354">
        <f>SMALL(SimData5000!$C$9:$C$5008,3346)</f>
        <v>0.67327964884862013</v>
      </c>
      <c r="K8354">
        <f>1/(COUNT(SimData5000!$C$9:$C$5008)-1)+$K$8353</f>
        <v>0.66913382676533639</v>
      </c>
    </row>
    <row r="8355" spans="8:11">
      <c r="H8355">
        <f>SMALL(SimData5000!$B$9:$B$5008,3347)</f>
        <v>0.66934556691067892</v>
      </c>
      <c r="I8355">
        <f>1/(COUNT(SimData5000!$B$9:$B$5008)-1)+$I$8354</f>
        <v>0.66933386677333795</v>
      </c>
      <c r="J8355">
        <f>SMALL(SimData5000!$C$9:$C$5008,3347)</f>
        <v>0.67330124401632929</v>
      </c>
      <c r="K8355">
        <f>1/(COUNT(SimData5000!$C$9:$C$5008)-1)+$K$8354</f>
        <v>0.66933386677333795</v>
      </c>
    </row>
    <row r="8356" spans="8:11">
      <c r="H8356">
        <f>SMALL(SimData5000!$B$9:$B$5008,3348)</f>
        <v>0.66954158983550538</v>
      </c>
      <c r="I8356">
        <f>1/(COUNT(SimData5000!$B$9:$B$5008)-1)+$I$8355</f>
        <v>0.66953390678133951</v>
      </c>
      <c r="J8356">
        <f>SMALL(SimData5000!$C$9:$C$5008,3348)</f>
        <v>0.67339960150729894</v>
      </c>
      <c r="K8356">
        <f>1/(COUNT(SimData5000!$C$9:$C$5008)-1)+$K$8355</f>
        <v>0.66953390678133951</v>
      </c>
    </row>
    <row r="8357" spans="8:11">
      <c r="H8357">
        <f>SMALL(SimData5000!$B$9:$B$5008,3349)</f>
        <v>0.66972292879464179</v>
      </c>
      <c r="I8357">
        <f>1/(COUNT(SimData5000!$B$9:$B$5008)-1)+$I$8356</f>
        <v>0.66973394678934106</v>
      </c>
      <c r="J8357">
        <f>SMALL(SimData5000!$C$9:$C$5008,3349)</f>
        <v>0.67350924400852819</v>
      </c>
      <c r="K8357">
        <f>1/(COUNT(SimData5000!$C$9:$C$5008)-1)+$K$8356</f>
        <v>0.66973394678934106</v>
      </c>
    </row>
    <row r="8358" spans="8:11">
      <c r="H8358">
        <f>SMALL(SimData5000!$B$9:$B$5008,3350)</f>
        <v>0.66992015216884215</v>
      </c>
      <c r="I8358">
        <f>1/(COUNT(SimData5000!$B$9:$B$5008)-1)+$I$8357</f>
        <v>0.66993398679734262</v>
      </c>
      <c r="J8358">
        <f>SMALL(SimData5000!$C$9:$C$5008,3350)</f>
        <v>0.67351719187900017</v>
      </c>
      <c r="K8358">
        <f>1/(COUNT(SimData5000!$C$9:$C$5008)-1)+$K$8357</f>
        <v>0.66993398679734262</v>
      </c>
    </row>
    <row r="8359" spans="8:11">
      <c r="H8359">
        <f>SMALL(SimData5000!$B$9:$B$5008,3351)</f>
        <v>0.67019633099716069</v>
      </c>
      <c r="I8359">
        <f>1/(COUNT(SimData5000!$B$9:$B$5008)-1)+$I$8358</f>
        <v>0.67013402680534417</v>
      </c>
      <c r="J8359">
        <f>SMALL(SimData5000!$C$9:$C$5008,3351)</f>
        <v>0.67380146206505742</v>
      </c>
      <c r="K8359">
        <f>1/(COUNT(SimData5000!$C$9:$C$5008)-1)+$K$8358</f>
        <v>0.67013402680534417</v>
      </c>
    </row>
    <row r="8360" spans="8:11">
      <c r="H8360">
        <f>SMALL(SimData5000!$B$9:$B$5008,3352)</f>
        <v>0.67034630845900312</v>
      </c>
      <c r="I8360">
        <f>1/(COUNT(SimData5000!$B$9:$B$5008)-1)+$I$8359</f>
        <v>0.67033406681334573</v>
      </c>
      <c r="J8360">
        <f>SMALL(SimData5000!$C$9:$C$5008,3352)</f>
        <v>0.67409214671988593</v>
      </c>
      <c r="K8360">
        <f>1/(COUNT(SimData5000!$C$9:$C$5008)-1)+$K$8359</f>
        <v>0.67033406681334573</v>
      </c>
    </row>
    <row r="8361" spans="8:11">
      <c r="H8361">
        <f>SMALL(SimData5000!$B$9:$B$5008,3353)</f>
        <v>0.67042058545384109</v>
      </c>
      <c r="I8361">
        <f>1/(COUNT(SimData5000!$B$9:$B$5008)-1)+$I$8360</f>
        <v>0.67053410682134729</v>
      </c>
      <c r="J8361">
        <f>SMALL(SimData5000!$C$9:$C$5008,3353)</f>
        <v>0.67412810524001543</v>
      </c>
      <c r="K8361">
        <f>1/(COUNT(SimData5000!$C$9:$C$5008)-1)+$K$8360</f>
        <v>0.67053410682134729</v>
      </c>
    </row>
    <row r="8362" spans="8:11">
      <c r="H8362">
        <f>SMALL(SimData5000!$B$9:$B$5008,3354)</f>
        <v>0.67067834332452125</v>
      </c>
      <c r="I8362">
        <f>1/(COUNT(SimData5000!$B$9:$B$5008)-1)+$I$8361</f>
        <v>0.67073414682934884</v>
      </c>
      <c r="J8362">
        <f>SMALL(SimData5000!$C$9:$C$5008,3354)</f>
        <v>0.67434495077759493</v>
      </c>
      <c r="K8362">
        <f>1/(COUNT(SimData5000!$C$9:$C$5008)-1)+$K$8361</f>
        <v>0.67073414682934884</v>
      </c>
    </row>
    <row r="8363" spans="8:11">
      <c r="H8363">
        <f>SMALL(SimData5000!$B$9:$B$5008,3355)</f>
        <v>0.67083888665038138</v>
      </c>
      <c r="I8363">
        <f>1/(COUNT(SimData5000!$B$9:$B$5008)-1)+$I$8362</f>
        <v>0.6709341868373504</v>
      </c>
      <c r="J8363">
        <f>SMALL(SimData5000!$C$9:$C$5008,3355)</f>
        <v>0.67448041779334744</v>
      </c>
      <c r="K8363">
        <f>1/(COUNT(SimData5000!$C$9:$C$5008)-1)+$K$8362</f>
        <v>0.6709341868373504</v>
      </c>
    </row>
    <row r="8364" spans="8:11">
      <c r="H8364">
        <f>SMALL(SimData5000!$B$9:$B$5008,3356)</f>
        <v>0.67109583595355404</v>
      </c>
      <c r="I8364">
        <f>1/(COUNT(SimData5000!$B$9:$B$5008)-1)+$I$8363</f>
        <v>0.67113422684535196</v>
      </c>
      <c r="J8364">
        <f>SMALL(SimData5000!$C$9:$C$5008,3356)</f>
        <v>0.67451996536328807</v>
      </c>
      <c r="K8364">
        <f>1/(COUNT(SimData5000!$C$9:$C$5008)-1)+$K$8363</f>
        <v>0.67113422684535196</v>
      </c>
    </row>
    <row r="8365" spans="8:11">
      <c r="H8365">
        <f>SMALL(SimData5000!$B$9:$B$5008,3357)</f>
        <v>0.67136912808412896</v>
      </c>
      <c r="I8365">
        <f>1/(COUNT(SimData5000!$B$9:$B$5008)-1)+$I$8364</f>
        <v>0.67133426685335351</v>
      </c>
      <c r="J8365">
        <f>SMALL(SimData5000!$C$9:$C$5008,3357)</f>
        <v>0.67476633263140684</v>
      </c>
      <c r="K8365">
        <f>1/(COUNT(SimData5000!$C$9:$C$5008)-1)+$K$8364</f>
        <v>0.67133426685335351</v>
      </c>
    </row>
    <row r="8366" spans="8:11">
      <c r="H8366">
        <f>SMALL(SimData5000!$B$9:$B$5008,3358)</f>
        <v>0.67143760373388361</v>
      </c>
      <c r="I8366">
        <f>1/(COUNT(SimData5000!$B$9:$B$5008)-1)+$I$8365</f>
        <v>0.67153430686135507</v>
      </c>
      <c r="J8366">
        <f>SMALL(SimData5000!$C$9:$C$5008,3358)</f>
        <v>0.67481697899256687</v>
      </c>
      <c r="K8366">
        <f>1/(COUNT(SimData5000!$C$9:$C$5008)-1)+$K$8365</f>
        <v>0.67153430686135507</v>
      </c>
    </row>
    <row r="8367" spans="8:11">
      <c r="H8367">
        <f>SMALL(SimData5000!$B$9:$B$5008,3359)</f>
        <v>0.67162082776558141</v>
      </c>
      <c r="I8367">
        <f>1/(COUNT(SimData5000!$B$9:$B$5008)-1)+$I$8366</f>
        <v>0.67173434686935662</v>
      </c>
      <c r="J8367">
        <f>SMALL(SimData5000!$C$9:$C$5008,3359)</f>
        <v>0.67501770144917828</v>
      </c>
      <c r="K8367">
        <f>1/(COUNT(SimData5000!$C$9:$C$5008)-1)+$K$8366</f>
        <v>0.67173434686935662</v>
      </c>
    </row>
    <row r="8368" spans="8:11">
      <c r="H8368">
        <f>SMALL(SimData5000!$B$9:$B$5008,3360)</f>
        <v>0.67188290601458467</v>
      </c>
      <c r="I8368">
        <f>1/(COUNT(SimData5000!$B$9:$B$5008)-1)+$I$8367</f>
        <v>0.67193438687735818</v>
      </c>
      <c r="J8368">
        <f>SMALL(SimData5000!$C$9:$C$5008,3360)</f>
        <v>0.6752897981887287</v>
      </c>
      <c r="K8368">
        <f>1/(COUNT(SimData5000!$C$9:$C$5008)-1)+$K$8367</f>
        <v>0.67193438687735818</v>
      </c>
    </row>
    <row r="8369" spans="8:11">
      <c r="H8369">
        <f>SMALL(SimData5000!$B$9:$B$5008,3361)</f>
        <v>0.67206107024631023</v>
      </c>
      <c r="I8369">
        <f>1/(COUNT(SimData5000!$B$9:$B$5008)-1)+$I$8368</f>
        <v>0.67213442688535974</v>
      </c>
      <c r="J8369">
        <f>SMALL(SimData5000!$C$9:$C$5008,3361)</f>
        <v>0.67532793561713333</v>
      </c>
      <c r="K8369">
        <f>1/(COUNT(SimData5000!$C$9:$C$5008)-1)+$K$8368</f>
        <v>0.67213442688535974</v>
      </c>
    </row>
    <row r="8370" spans="8:11">
      <c r="H8370">
        <f>SMALL(SimData5000!$B$9:$B$5008,3362)</f>
        <v>0.67236744115226144</v>
      </c>
      <c r="I8370">
        <f>1/(COUNT(SimData5000!$B$9:$B$5008)-1)+$I$8369</f>
        <v>0.67233446689336129</v>
      </c>
      <c r="J8370">
        <f>SMALL(SimData5000!$C$9:$C$5008,3362)</f>
        <v>0.67544637790615525</v>
      </c>
      <c r="K8370">
        <f>1/(COUNT(SimData5000!$C$9:$C$5008)-1)+$K$8369</f>
        <v>0.67233446689336129</v>
      </c>
    </row>
    <row r="8371" spans="8:11">
      <c r="H8371">
        <f>SMALL(SimData5000!$B$9:$B$5008,3363)</f>
        <v>0.67254946423665374</v>
      </c>
      <c r="I8371">
        <f>1/(COUNT(SimData5000!$B$9:$B$5008)-1)+$I$8370</f>
        <v>0.67253450690136285</v>
      </c>
      <c r="J8371">
        <f>SMALL(SimData5000!$C$9:$C$5008,3363)</f>
        <v>0.67567329160920053</v>
      </c>
      <c r="K8371">
        <f>1/(COUNT(SimData5000!$C$9:$C$5008)-1)+$K$8370</f>
        <v>0.67253450690136285</v>
      </c>
    </row>
    <row r="8372" spans="8:11">
      <c r="H8372">
        <f>SMALL(SimData5000!$B$9:$B$5008,3364)</f>
        <v>0.67261897457796593</v>
      </c>
      <c r="I8372">
        <f>1/(COUNT(SimData5000!$B$9:$B$5008)-1)+$I$8371</f>
        <v>0.67273454690936441</v>
      </c>
      <c r="J8372">
        <f>SMALL(SimData5000!$C$9:$C$5008,3364)</f>
        <v>0.67584339306722541</v>
      </c>
      <c r="K8372">
        <f>1/(COUNT(SimData5000!$C$9:$C$5008)-1)+$K$8371</f>
        <v>0.67273454690936441</v>
      </c>
    </row>
    <row r="8373" spans="8:11">
      <c r="H8373">
        <f>SMALL(SimData5000!$B$9:$B$5008,3365)</f>
        <v>0.67285610777937255</v>
      </c>
      <c r="I8373">
        <f>1/(COUNT(SimData5000!$B$9:$B$5008)-1)+$I$8372</f>
        <v>0.67293458691736596</v>
      </c>
      <c r="J8373">
        <f>SMALL(SimData5000!$C$9:$C$5008,3365)</f>
        <v>0.67597681022743927</v>
      </c>
      <c r="K8373">
        <f>1/(COUNT(SimData5000!$C$9:$C$5008)-1)+$K$8372</f>
        <v>0.67293458691736596</v>
      </c>
    </row>
    <row r="8374" spans="8:11">
      <c r="H8374">
        <f>SMALL(SimData5000!$B$9:$B$5008,3366)</f>
        <v>0.67319773858278009</v>
      </c>
      <c r="I8374">
        <f>1/(COUNT(SimData5000!$B$9:$B$5008)-1)+$I$8373</f>
        <v>0.67313462692536752</v>
      </c>
      <c r="J8374">
        <f>SMALL(SimData5000!$C$9:$C$5008,3366)</f>
        <v>0.67655326340354804</v>
      </c>
      <c r="K8374">
        <f>1/(COUNT(SimData5000!$C$9:$C$5008)-1)+$K$8373</f>
        <v>0.67313462692536752</v>
      </c>
    </row>
    <row r="8375" spans="8:11">
      <c r="H8375">
        <f>SMALL(SimData5000!$B$9:$B$5008,3367)</f>
        <v>0.67338089428715897</v>
      </c>
      <c r="I8375">
        <f>1/(COUNT(SimData5000!$B$9:$B$5008)-1)+$I$8374</f>
        <v>0.67333466693336907</v>
      </c>
      <c r="J8375">
        <f>SMALL(SimData5000!$C$9:$C$5008,3367)</f>
        <v>0.67656910956247884</v>
      </c>
      <c r="K8375">
        <f>1/(COUNT(SimData5000!$C$9:$C$5008)-1)+$K$8374</f>
        <v>0.67333466693336907</v>
      </c>
    </row>
    <row r="8376" spans="8:11">
      <c r="H8376">
        <f>SMALL(SimData5000!$B$9:$B$5008,3368)</f>
        <v>0.67347733081227101</v>
      </c>
      <c r="I8376">
        <f>1/(COUNT(SimData5000!$B$9:$B$5008)-1)+$I$8375</f>
        <v>0.67353470694137063</v>
      </c>
      <c r="J8376">
        <f>SMALL(SimData5000!$C$9:$C$5008,3368)</f>
        <v>0.67674074035130616</v>
      </c>
      <c r="K8376">
        <f>1/(COUNT(SimData5000!$C$9:$C$5008)-1)+$K$8375</f>
        <v>0.67353470694137063</v>
      </c>
    </row>
    <row r="8377" spans="8:11">
      <c r="H8377">
        <f>SMALL(SimData5000!$B$9:$B$5008,3369)</f>
        <v>0.6737649698285304</v>
      </c>
      <c r="I8377">
        <f>1/(COUNT(SimData5000!$B$9:$B$5008)-1)+$I$8376</f>
        <v>0.67373474694937219</v>
      </c>
      <c r="J8377">
        <f>SMALL(SimData5000!$C$9:$C$5008,3369)</f>
        <v>0.67713866000576672</v>
      </c>
      <c r="K8377">
        <f>1/(COUNT(SimData5000!$C$9:$C$5008)-1)+$K$8376</f>
        <v>0.67373474694937219</v>
      </c>
    </row>
    <row r="8378" spans="8:11">
      <c r="H8378">
        <f>SMALL(SimData5000!$B$9:$B$5008,3370)</f>
        <v>0.67381493340237408</v>
      </c>
      <c r="I8378">
        <f>1/(COUNT(SimData5000!$B$9:$B$5008)-1)+$I$8377</f>
        <v>0.67393478695737374</v>
      </c>
      <c r="J8378">
        <f>SMALL(SimData5000!$C$9:$C$5008,3370)</f>
        <v>0.67722224155477306</v>
      </c>
      <c r="K8378">
        <f>1/(COUNT(SimData5000!$C$9:$C$5008)-1)+$K$8377</f>
        <v>0.67393478695737374</v>
      </c>
    </row>
    <row r="8379" spans="8:11">
      <c r="H8379">
        <f>SMALL(SimData5000!$B$9:$B$5008,3371)</f>
        <v>0.67405440419284957</v>
      </c>
      <c r="I8379">
        <f>1/(COUNT(SimData5000!$B$9:$B$5008)-1)+$I$8378</f>
        <v>0.6741348269653753</v>
      </c>
      <c r="J8379">
        <f>SMALL(SimData5000!$C$9:$C$5008,3371)</f>
        <v>0.67737359015154652</v>
      </c>
      <c r="K8379">
        <f>1/(COUNT(SimData5000!$C$9:$C$5008)-1)+$K$8378</f>
        <v>0.6741348269653753</v>
      </c>
    </row>
    <row r="8380" spans="8:11">
      <c r="H8380">
        <f>SMALL(SimData5000!$B$9:$B$5008,3372)</f>
        <v>0.67421973108263222</v>
      </c>
      <c r="I8380">
        <f>1/(COUNT(SimData5000!$B$9:$B$5008)-1)+$I$8379</f>
        <v>0.67433486697337686</v>
      </c>
      <c r="J8380">
        <f>SMALL(SimData5000!$C$9:$C$5008,3372)</f>
        <v>0.67740631094966375</v>
      </c>
      <c r="K8380">
        <f>1/(COUNT(SimData5000!$C$9:$C$5008)-1)+$K$8379</f>
        <v>0.67433486697337686</v>
      </c>
    </row>
    <row r="8381" spans="8:11">
      <c r="H8381">
        <f>SMALL(SimData5000!$B$9:$B$5008,3373)</f>
        <v>0.6745647079839755</v>
      </c>
      <c r="I8381">
        <f>1/(COUNT(SimData5000!$B$9:$B$5008)-1)+$I$8380</f>
        <v>0.67453490698137841</v>
      </c>
      <c r="J8381">
        <f>SMALL(SimData5000!$C$9:$C$5008,3373)</f>
        <v>0.67755793866399472</v>
      </c>
      <c r="K8381">
        <f>1/(COUNT(SimData5000!$C$9:$C$5008)-1)+$K$8380</f>
        <v>0.67453490698137841</v>
      </c>
    </row>
    <row r="8382" spans="8:11">
      <c r="H8382">
        <f>SMALL(SimData5000!$B$9:$B$5008,3374)</f>
        <v>0.67476543707050518</v>
      </c>
      <c r="I8382">
        <f>1/(COUNT(SimData5000!$B$9:$B$5008)-1)+$I$8381</f>
        <v>0.67473494698937997</v>
      </c>
      <c r="J8382">
        <f>SMALL(SimData5000!$C$9:$C$5008,3374)</f>
        <v>0.67778893947070173</v>
      </c>
      <c r="K8382">
        <f>1/(COUNT(SimData5000!$C$9:$C$5008)-1)+$K$8381</f>
        <v>0.67473494698937997</v>
      </c>
    </row>
    <row r="8383" spans="8:11">
      <c r="H8383">
        <f>SMALL(SimData5000!$B$9:$B$5008,3375)</f>
        <v>0.67488370736378334</v>
      </c>
      <c r="I8383">
        <f>1/(COUNT(SimData5000!$B$9:$B$5008)-1)+$I$8382</f>
        <v>0.67493498699738153</v>
      </c>
      <c r="J8383">
        <f>SMALL(SimData5000!$C$9:$C$5008,3375)</f>
        <v>0.67781730974365928</v>
      </c>
      <c r="K8383">
        <f>1/(COUNT(SimData5000!$C$9:$C$5008)-1)+$K$8382</f>
        <v>0.67493498699738153</v>
      </c>
    </row>
    <row r="8384" spans="8:11">
      <c r="H8384">
        <f>SMALL(SimData5000!$B$9:$B$5008,3376)</f>
        <v>0.6751877190094413</v>
      </c>
      <c r="I8384">
        <f>1/(COUNT(SimData5000!$B$9:$B$5008)-1)+$I$8383</f>
        <v>0.67513502700538308</v>
      </c>
      <c r="J8384">
        <f>SMALL(SimData5000!$C$9:$C$5008,3376)</f>
        <v>0.67789281382829358</v>
      </c>
      <c r="K8384">
        <f>1/(COUNT(SimData5000!$C$9:$C$5008)-1)+$K$8383</f>
        <v>0.67513502700538308</v>
      </c>
    </row>
    <row r="8385" spans="8:11">
      <c r="H8385">
        <f>SMALL(SimData5000!$B$9:$B$5008,3377)</f>
        <v>0.67520827348875068</v>
      </c>
      <c r="I8385">
        <f>1/(COUNT(SimData5000!$B$9:$B$5008)-1)+$I$8384</f>
        <v>0.67533506701338464</v>
      </c>
      <c r="J8385">
        <f>SMALL(SimData5000!$C$9:$C$5008,3377)</f>
        <v>0.67794626365775912</v>
      </c>
      <c r="K8385">
        <f>1/(COUNT(SimData5000!$C$9:$C$5008)-1)+$K$8384</f>
        <v>0.67533506701338464</v>
      </c>
    </row>
    <row r="8386" spans="8:11">
      <c r="H8386">
        <f>SMALL(SimData5000!$B$9:$B$5008,3378)</f>
        <v>0.67554680333494832</v>
      </c>
      <c r="I8386">
        <f>1/(COUNT(SimData5000!$B$9:$B$5008)-1)+$I$8385</f>
        <v>0.67553510702138619</v>
      </c>
      <c r="J8386">
        <f>SMALL(SimData5000!$C$9:$C$5008,3378)</f>
        <v>0.67811626782531675</v>
      </c>
      <c r="K8386">
        <f>1/(COUNT(SimData5000!$C$9:$C$5008)-1)+$K$8385</f>
        <v>0.67553510702138619</v>
      </c>
    </row>
    <row r="8387" spans="8:11">
      <c r="H8387">
        <f>SMALL(SimData5000!$B$9:$B$5008,3379)</f>
        <v>0.67579223315212689</v>
      </c>
      <c r="I8387">
        <f>1/(COUNT(SimData5000!$B$9:$B$5008)-1)+$I$8386</f>
        <v>0.67573514702938775</v>
      </c>
      <c r="J8387">
        <f>SMALL(SimData5000!$C$9:$C$5008,3379)</f>
        <v>0.67822485513352149</v>
      </c>
      <c r="K8387">
        <f>1/(COUNT(SimData5000!$C$9:$C$5008)-1)+$K$8386</f>
        <v>0.67573514702938775</v>
      </c>
    </row>
    <row r="8388" spans="8:11">
      <c r="H8388">
        <f>SMALL(SimData5000!$B$9:$B$5008,3380)</f>
        <v>0.67587539243527583</v>
      </c>
      <c r="I8388">
        <f>1/(COUNT(SimData5000!$B$9:$B$5008)-1)+$I$8387</f>
        <v>0.67593518703738931</v>
      </c>
      <c r="J8388">
        <f>SMALL(SimData5000!$C$9:$C$5008,3380)</f>
        <v>0.67838329125606833</v>
      </c>
      <c r="K8388">
        <f>1/(COUNT(SimData5000!$C$9:$C$5008)-1)+$K$8387</f>
        <v>0.67593518703738931</v>
      </c>
    </row>
    <row r="8389" spans="8:11">
      <c r="H8389">
        <f>SMALL(SimData5000!$B$9:$B$5008,3381)</f>
        <v>0.67617002559499118</v>
      </c>
      <c r="I8389">
        <f>1/(COUNT(SimData5000!$B$9:$B$5008)-1)+$I$8388</f>
        <v>0.67613522704539086</v>
      </c>
      <c r="J8389">
        <f>SMALL(SimData5000!$C$9:$C$5008,3381)</f>
        <v>0.67861550025099859</v>
      </c>
      <c r="K8389">
        <f>1/(COUNT(SimData5000!$C$9:$C$5008)-1)+$K$8388</f>
        <v>0.67613522704539086</v>
      </c>
    </row>
    <row r="8390" spans="8:11">
      <c r="H8390">
        <f>SMALL(SimData5000!$B$9:$B$5008,3382)</f>
        <v>0.6762406864368451</v>
      </c>
      <c r="I8390">
        <f>1/(COUNT(SimData5000!$B$9:$B$5008)-1)+$I$8389</f>
        <v>0.67633526705339242</v>
      </c>
      <c r="J8390">
        <f>SMALL(SimData5000!$C$9:$C$5008,3382)</f>
        <v>0.67889491305868432</v>
      </c>
      <c r="K8390">
        <f>1/(COUNT(SimData5000!$C$9:$C$5008)-1)+$K$8389</f>
        <v>0.67633526705339242</v>
      </c>
    </row>
    <row r="8391" spans="8:11">
      <c r="H8391">
        <f>SMALL(SimData5000!$B$9:$B$5008,3383)</f>
        <v>0.67657978817191433</v>
      </c>
      <c r="I8391">
        <f>1/(COUNT(SimData5000!$B$9:$B$5008)-1)+$I$8390</f>
        <v>0.67653530706139398</v>
      </c>
      <c r="J8391">
        <f>SMALL(SimData5000!$C$9:$C$5008,3383)</f>
        <v>0.67901182076548139</v>
      </c>
      <c r="K8391">
        <f>1/(COUNT(SimData5000!$C$9:$C$5008)-1)+$K$8390</f>
        <v>0.67653530706139398</v>
      </c>
    </row>
    <row r="8392" spans="8:11">
      <c r="H8392">
        <f>SMALL(SimData5000!$B$9:$B$5008,3384)</f>
        <v>0.67669653147940911</v>
      </c>
      <c r="I8392">
        <f>1/(COUNT(SimData5000!$B$9:$B$5008)-1)+$I$8391</f>
        <v>0.67673534706939553</v>
      </c>
      <c r="J8392">
        <f>SMALL(SimData5000!$C$9:$C$5008,3384)</f>
        <v>0.67944898215409921</v>
      </c>
      <c r="K8392">
        <f>1/(COUNT(SimData5000!$C$9:$C$5008)-1)+$K$8391</f>
        <v>0.67673534706939553</v>
      </c>
    </row>
    <row r="8393" spans="8:11">
      <c r="H8393">
        <f>SMALL(SimData5000!$B$9:$B$5008,3385)</f>
        <v>0.67691892610744542</v>
      </c>
      <c r="I8393">
        <f>1/(COUNT(SimData5000!$B$9:$B$5008)-1)+$I$8392</f>
        <v>0.67693538707739709</v>
      </c>
      <c r="J8393">
        <f>SMALL(SimData5000!$C$9:$C$5008,3385)</f>
        <v>0.6795507792958233</v>
      </c>
      <c r="K8393">
        <f>1/(COUNT(SimData5000!$C$9:$C$5008)-1)+$K$8392</f>
        <v>0.67693538707739709</v>
      </c>
    </row>
    <row r="8394" spans="8:11">
      <c r="H8394">
        <f>SMALL(SimData5000!$B$9:$B$5008,3386)</f>
        <v>0.67701653557466723</v>
      </c>
      <c r="I8394">
        <f>1/(COUNT(SimData5000!$B$9:$B$5008)-1)+$I$8393</f>
        <v>0.67713542708539864</v>
      </c>
      <c r="J8394">
        <f>SMALL(SimData5000!$C$9:$C$5008,3386)</f>
        <v>0.67983927376826614</v>
      </c>
      <c r="K8394">
        <f>1/(COUNT(SimData5000!$C$9:$C$5008)-1)+$K$8393</f>
        <v>0.67713542708539864</v>
      </c>
    </row>
    <row r="8395" spans="8:11">
      <c r="H8395">
        <f>SMALL(SimData5000!$B$9:$B$5008,3387)</f>
        <v>0.67726473100834172</v>
      </c>
      <c r="I8395">
        <f>1/(COUNT(SimData5000!$B$9:$B$5008)-1)+$I$8394</f>
        <v>0.6773354670934002</v>
      </c>
      <c r="J8395">
        <f>SMALL(SimData5000!$C$9:$C$5008,3387)</f>
        <v>0.67985469387440389</v>
      </c>
      <c r="K8395">
        <f>1/(COUNT(SimData5000!$C$9:$C$5008)-1)+$K$8394</f>
        <v>0.6773354670934002</v>
      </c>
    </row>
    <row r="8396" spans="8:11">
      <c r="H8396">
        <f>SMALL(SimData5000!$B$9:$B$5008,3388)</f>
        <v>0.67740925559732346</v>
      </c>
      <c r="I8396">
        <f>1/(COUNT(SimData5000!$B$9:$B$5008)-1)+$I$8395</f>
        <v>0.67753550710140176</v>
      </c>
      <c r="J8396">
        <f>SMALL(SimData5000!$C$9:$C$5008,3388)</f>
        <v>0.68014424998182221</v>
      </c>
      <c r="K8396">
        <f>1/(COUNT(SimData5000!$C$9:$C$5008)-1)+$K$8395</f>
        <v>0.67753550710140176</v>
      </c>
    </row>
    <row r="8397" spans="8:11">
      <c r="H8397">
        <f>SMALL(SimData5000!$B$9:$B$5008,3389)</f>
        <v>0.67779982997886834</v>
      </c>
      <c r="I8397">
        <f>1/(COUNT(SimData5000!$B$9:$B$5008)-1)+$I$8396</f>
        <v>0.67773554710940331</v>
      </c>
      <c r="J8397">
        <f>SMALL(SimData5000!$C$9:$C$5008,3389)</f>
        <v>0.68038755207453505</v>
      </c>
      <c r="K8397">
        <f>1/(COUNT(SimData5000!$C$9:$C$5008)-1)+$K$8396</f>
        <v>0.67773554710940331</v>
      </c>
    </row>
    <row r="8398" spans="8:11">
      <c r="H8398">
        <f>SMALL(SimData5000!$B$9:$B$5008,3390)</f>
        <v>0.67796805791341885</v>
      </c>
      <c r="I8398">
        <f>1/(COUNT(SimData5000!$B$9:$B$5008)-1)+$I$8397</f>
        <v>0.67793558711740487</v>
      </c>
      <c r="J8398">
        <f>SMALL(SimData5000!$C$9:$C$5008,3390)</f>
        <v>0.68039864510228654</v>
      </c>
      <c r="K8398">
        <f>1/(COUNT(SimData5000!$C$9:$C$5008)-1)+$K$8397</f>
        <v>0.67793558711740487</v>
      </c>
    </row>
    <row r="8399" spans="8:11">
      <c r="H8399">
        <f>SMALL(SimData5000!$B$9:$B$5008,3391)</f>
        <v>0.67814890865258615</v>
      </c>
      <c r="I8399">
        <f>1/(COUNT(SimData5000!$B$9:$B$5008)-1)+$I$8398</f>
        <v>0.67813562712540643</v>
      </c>
      <c r="J8399">
        <f>SMALL(SimData5000!$C$9:$C$5008,3391)</f>
        <v>0.6804033474991229</v>
      </c>
      <c r="K8399">
        <f>1/(COUNT(SimData5000!$C$9:$C$5008)-1)+$K$8398</f>
        <v>0.67813562712540643</v>
      </c>
    </row>
    <row r="8400" spans="8:11">
      <c r="H8400">
        <f>SMALL(SimData5000!$B$9:$B$5008,3392)</f>
        <v>0.67836939387590844</v>
      </c>
      <c r="I8400">
        <f>1/(COUNT(SimData5000!$B$9:$B$5008)-1)+$I$8399</f>
        <v>0.67833566713340798</v>
      </c>
      <c r="J8400">
        <f>SMALL(SimData5000!$C$9:$C$5008,3392)</f>
        <v>0.68060975640946708</v>
      </c>
      <c r="K8400">
        <f>1/(COUNT(SimData5000!$C$9:$C$5008)-1)+$K$8399</f>
        <v>0.67833566713340798</v>
      </c>
    </row>
    <row r="8401" spans="8:11">
      <c r="H8401">
        <f>SMALL(SimData5000!$B$9:$B$5008,3393)</f>
        <v>0.67851619119255713</v>
      </c>
      <c r="I8401">
        <f>1/(COUNT(SimData5000!$B$9:$B$5008)-1)+$I$8400</f>
        <v>0.67853570714140954</v>
      </c>
      <c r="J8401">
        <f>SMALL(SimData5000!$C$9:$C$5008,3393)</f>
        <v>0.68083710928749497</v>
      </c>
      <c r="K8401">
        <f>1/(COUNT(SimData5000!$C$9:$C$5008)-1)+$K$8400</f>
        <v>0.67853570714140954</v>
      </c>
    </row>
    <row r="8402" spans="8:11">
      <c r="H8402">
        <f>SMALL(SimData5000!$B$9:$B$5008,3394)</f>
        <v>0.6787411551712409</v>
      </c>
      <c r="I8402">
        <f>1/(COUNT(SimData5000!$B$9:$B$5008)-1)+$I$8401</f>
        <v>0.67873574714941109</v>
      </c>
      <c r="J8402">
        <f>SMALL(SimData5000!$C$9:$C$5008,3394)</f>
        <v>0.68126076761473087</v>
      </c>
      <c r="K8402">
        <f>1/(COUNT(SimData5000!$C$9:$C$5008)-1)+$K$8401</f>
        <v>0.67873574714941109</v>
      </c>
    </row>
    <row r="8403" spans="8:11">
      <c r="H8403">
        <f>SMALL(SimData5000!$B$9:$B$5008,3395)</f>
        <v>0.67880832752860343</v>
      </c>
      <c r="I8403">
        <f>1/(COUNT(SimData5000!$B$9:$B$5008)-1)+$I$8402</f>
        <v>0.67893578715741265</v>
      </c>
      <c r="J8403">
        <f>SMALL(SimData5000!$C$9:$C$5008,3395)</f>
        <v>0.68150901758599503</v>
      </c>
      <c r="K8403">
        <f>1/(COUNT(SimData5000!$C$9:$C$5008)-1)+$K$8402</f>
        <v>0.67893578715741265</v>
      </c>
    </row>
    <row r="8404" spans="8:11">
      <c r="H8404">
        <f>SMALL(SimData5000!$B$9:$B$5008,3396)</f>
        <v>0.67916899435058453</v>
      </c>
      <c r="I8404">
        <f>1/(COUNT(SimData5000!$B$9:$B$5008)-1)+$I$8403</f>
        <v>0.67913582716541421</v>
      </c>
      <c r="J8404">
        <f>SMALL(SimData5000!$C$9:$C$5008,3396)</f>
        <v>0.68166349469174747</v>
      </c>
      <c r="K8404">
        <f>1/(COUNT(SimData5000!$C$9:$C$5008)-1)+$K$8403</f>
        <v>0.67913582716541421</v>
      </c>
    </row>
    <row r="8405" spans="8:11">
      <c r="H8405">
        <f>SMALL(SimData5000!$B$9:$B$5008,3397)</f>
        <v>0.67939073791787741</v>
      </c>
      <c r="I8405">
        <f>1/(COUNT(SimData5000!$B$9:$B$5008)-1)+$I$8404</f>
        <v>0.67933586717341576</v>
      </c>
      <c r="J8405">
        <f>SMALL(SimData5000!$C$9:$C$5008,3397)</f>
        <v>0.68185219875431358</v>
      </c>
      <c r="K8405">
        <f>1/(COUNT(SimData5000!$C$9:$C$5008)-1)+$K$8404</f>
        <v>0.67933586717341576</v>
      </c>
    </row>
    <row r="8406" spans="8:11">
      <c r="H8406">
        <f>SMALL(SimData5000!$B$9:$B$5008,3398)</f>
        <v>0.67944111168823229</v>
      </c>
      <c r="I8406">
        <f>1/(COUNT(SimData5000!$B$9:$B$5008)-1)+$I$8405</f>
        <v>0.67953590718141732</v>
      </c>
      <c r="J8406">
        <f>SMALL(SimData5000!$C$9:$C$5008,3398)</f>
        <v>0.68231267893406766</v>
      </c>
      <c r="K8406">
        <f>1/(COUNT(SimData5000!$C$9:$C$5008)-1)+$K$8405</f>
        <v>0.67953590718141732</v>
      </c>
    </row>
    <row r="8407" spans="8:11">
      <c r="H8407">
        <f>SMALL(SimData5000!$B$9:$B$5008,3399)</f>
        <v>0.67964488308458704</v>
      </c>
      <c r="I8407">
        <f>1/(COUNT(SimData5000!$B$9:$B$5008)-1)+$I$8406</f>
        <v>0.67973594718941888</v>
      </c>
      <c r="J8407">
        <f>SMALL(SimData5000!$C$9:$C$5008,3399)</f>
        <v>0.68231722715427168</v>
      </c>
      <c r="K8407">
        <f>1/(COUNT(SimData5000!$C$9:$C$5008)-1)+$K$8406</f>
        <v>0.67973594718941888</v>
      </c>
    </row>
    <row r="8408" spans="8:11">
      <c r="H8408">
        <f>SMALL(SimData5000!$B$9:$B$5008,3400)</f>
        <v>0.67997691743033406</v>
      </c>
      <c r="I8408">
        <f>1/(COUNT(SimData5000!$B$9:$B$5008)-1)+$I$8407</f>
        <v>0.67993598719742043</v>
      </c>
      <c r="J8408">
        <f>SMALL(SimData5000!$C$9:$C$5008,3400)</f>
        <v>0.68277632320859993</v>
      </c>
      <c r="K8408">
        <f>1/(COUNT(SimData5000!$C$9:$C$5008)-1)+$K$8407</f>
        <v>0.67993598719742043</v>
      </c>
    </row>
    <row r="8409" spans="8:11">
      <c r="H8409">
        <f>SMALL(SimData5000!$B$9:$B$5008,3401)</f>
        <v>0.68006020725058858</v>
      </c>
      <c r="I8409">
        <f>1/(COUNT(SimData5000!$B$9:$B$5008)-1)+$I$8408</f>
        <v>0.68013602720542199</v>
      </c>
      <c r="J8409">
        <f>SMALL(SimData5000!$C$9:$C$5008,3401)</f>
        <v>0.68278625411585381</v>
      </c>
      <c r="K8409">
        <f>1/(COUNT(SimData5000!$C$9:$C$5008)-1)+$K$8408</f>
        <v>0.68013602720542199</v>
      </c>
    </row>
    <row r="8410" spans="8:11">
      <c r="H8410">
        <f>SMALL(SimData5000!$B$9:$B$5008,3402)</f>
        <v>0.68035799099243199</v>
      </c>
      <c r="I8410">
        <f>1/(COUNT(SimData5000!$B$9:$B$5008)-1)+$I$8409</f>
        <v>0.68033606721342355</v>
      </c>
      <c r="J8410">
        <f>SMALL(SimData5000!$C$9:$C$5008,3402)</f>
        <v>0.68286952617199859</v>
      </c>
      <c r="K8410">
        <f>1/(COUNT(SimData5000!$C$9:$C$5008)-1)+$K$8409</f>
        <v>0.68033606721342355</v>
      </c>
    </row>
    <row r="8411" spans="8:11">
      <c r="H8411">
        <f>SMALL(SimData5000!$B$9:$B$5008,3403)</f>
        <v>0.68041718688491204</v>
      </c>
      <c r="I8411">
        <f>1/(COUNT(SimData5000!$B$9:$B$5008)-1)+$I$8410</f>
        <v>0.6805361072214251</v>
      </c>
      <c r="J8411">
        <f>SMALL(SimData5000!$C$9:$C$5008,3403)</f>
        <v>0.68296513024279193</v>
      </c>
      <c r="K8411">
        <f>1/(COUNT(SimData5000!$C$9:$C$5008)-1)+$K$8410</f>
        <v>0.6805361072214251</v>
      </c>
    </row>
    <row r="8412" spans="8:11">
      <c r="H8412">
        <f>SMALL(SimData5000!$B$9:$B$5008,3404)</f>
        <v>0.68065807805705303</v>
      </c>
      <c r="I8412">
        <f>1/(COUNT(SimData5000!$B$9:$B$5008)-1)+$I$8411</f>
        <v>0.68073614722942666</v>
      </c>
      <c r="J8412">
        <f>SMALL(SimData5000!$C$9:$C$5008,3404)</f>
        <v>0.68325943929630739</v>
      </c>
      <c r="K8412">
        <f>1/(COUNT(SimData5000!$C$9:$C$5008)-1)+$K$8411</f>
        <v>0.68073614722942666</v>
      </c>
    </row>
    <row r="8413" spans="8:11">
      <c r="H8413">
        <f>SMALL(SimData5000!$B$9:$B$5008,3405)</f>
        <v>0.68094390978620944</v>
      </c>
      <c r="I8413">
        <f>1/(COUNT(SimData5000!$B$9:$B$5008)-1)+$I$8412</f>
        <v>0.68093618723742821</v>
      </c>
      <c r="J8413">
        <f>SMALL(SimData5000!$C$9:$C$5008,3405)</f>
        <v>0.68343137837928225</v>
      </c>
      <c r="K8413">
        <f>1/(COUNT(SimData5000!$C$9:$C$5008)-1)+$K$8412</f>
        <v>0.68093618723742821</v>
      </c>
    </row>
    <row r="8414" spans="8:11">
      <c r="H8414">
        <f>SMALL(SimData5000!$B$9:$B$5008,3406)</f>
        <v>0.68118091966816707</v>
      </c>
      <c r="I8414">
        <f>1/(COUNT(SimData5000!$B$9:$B$5008)-1)+$I$8413</f>
        <v>0.68113622724542977</v>
      </c>
      <c r="J8414">
        <f>SMALL(SimData5000!$C$9:$C$5008,3406)</f>
        <v>0.68365182971592731</v>
      </c>
      <c r="K8414">
        <f>1/(COUNT(SimData5000!$C$9:$C$5008)-1)+$K$8413</f>
        <v>0.68113622724542977</v>
      </c>
    </row>
    <row r="8415" spans="8:11">
      <c r="H8415">
        <f>SMALL(SimData5000!$B$9:$B$5008,3407)</f>
        <v>0.68127606799809171</v>
      </c>
      <c r="I8415">
        <f>1/(COUNT(SimData5000!$B$9:$B$5008)-1)+$I$8414</f>
        <v>0.68133626725343133</v>
      </c>
      <c r="J8415">
        <f>SMALL(SimData5000!$C$9:$C$5008,3407)</f>
        <v>0.68394403601632803</v>
      </c>
      <c r="K8415">
        <f>1/(COUNT(SimData5000!$C$9:$C$5008)-1)+$K$8414</f>
        <v>0.68133626725343133</v>
      </c>
    </row>
    <row r="8416" spans="8:11">
      <c r="H8416">
        <f>SMALL(SimData5000!$B$9:$B$5008,3408)</f>
        <v>0.68142692286475259</v>
      </c>
      <c r="I8416">
        <f>1/(COUNT(SimData5000!$B$9:$B$5008)-1)+$I$8415</f>
        <v>0.68153630726143288</v>
      </c>
      <c r="J8416">
        <f>SMALL(SimData5000!$C$9:$C$5008,3408)</f>
        <v>0.68403691788898868</v>
      </c>
      <c r="K8416">
        <f>1/(COUNT(SimData5000!$C$9:$C$5008)-1)+$K$8415</f>
        <v>0.68153630726143288</v>
      </c>
    </row>
    <row r="8417" spans="8:11">
      <c r="H8417">
        <f>SMALL(SimData5000!$B$9:$B$5008,3409)</f>
        <v>0.68166686419217537</v>
      </c>
      <c r="I8417">
        <f>1/(COUNT(SimData5000!$B$9:$B$5008)-1)+$I$8416</f>
        <v>0.68173634726943444</v>
      </c>
      <c r="J8417">
        <f>SMALL(SimData5000!$C$9:$C$5008,3409)</f>
        <v>0.6841842635321882</v>
      </c>
      <c r="K8417">
        <f>1/(COUNT(SimData5000!$C$9:$C$5008)-1)+$K$8416</f>
        <v>0.68173634726943444</v>
      </c>
    </row>
    <row r="8418" spans="8:11">
      <c r="H8418">
        <f>SMALL(SimData5000!$B$9:$B$5008,3410)</f>
        <v>0.6818732561732348</v>
      </c>
      <c r="I8418">
        <f>1/(COUNT(SimData5000!$B$9:$B$5008)-1)+$I$8417</f>
        <v>0.681936387277436</v>
      </c>
      <c r="J8418">
        <f>SMALL(SimData5000!$C$9:$C$5008,3410)</f>
        <v>0.68482808350563573</v>
      </c>
      <c r="K8418">
        <f>1/(COUNT(SimData5000!$C$9:$C$5008)-1)+$K$8417</f>
        <v>0.681936387277436</v>
      </c>
    </row>
    <row r="8419" spans="8:11">
      <c r="H8419">
        <f>SMALL(SimData5000!$B$9:$B$5008,3411)</f>
        <v>0.6820593045746115</v>
      </c>
      <c r="I8419">
        <f>1/(COUNT(SimData5000!$B$9:$B$5008)-1)+$I$8418</f>
        <v>0.68213642728543755</v>
      </c>
      <c r="J8419">
        <f>SMALL(SimData5000!$C$9:$C$5008,3411)</f>
        <v>0.68483889193066716</v>
      </c>
      <c r="K8419">
        <f>1/(COUNT(SimData5000!$C$9:$C$5008)-1)+$K$8418</f>
        <v>0.68213642728543755</v>
      </c>
    </row>
    <row r="8420" spans="8:11">
      <c r="H8420">
        <f>SMALL(SimData5000!$B$9:$B$5008,3412)</f>
        <v>0.68229422879589119</v>
      </c>
      <c r="I8420">
        <f>1/(COUNT(SimData5000!$B$9:$B$5008)-1)+$I$8419</f>
        <v>0.68233646729343911</v>
      </c>
      <c r="J8420">
        <f>SMALL(SimData5000!$C$9:$C$5008,3412)</f>
        <v>0.68484420645290811</v>
      </c>
      <c r="K8420">
        <f>1/(COUNT(SimData5000!$C$9:$C$5008)-1)+$K$8419</f>
        <v>0.68233646729343911</v>
      </c>
    </row>
    <row r="8421" spans="8:11">
      <c r="H8421">
        <f>SMALL(SimData5000!$B$9:$B$5008,3413)</f>
        <v>0.68248575673803824</v>
      </c>
      <c r="I8421">
        <f>1/(COUNT(SimData5000!$B$9:$B$5008)-1)+$I$8420</f>
        <v>0.68253650730144066</v>
      </c>
      <c r="J8421">
        <f>SMALL(SimData5000!$C$9:$C$5008,3413)</f>
        <v>0.68537037335318018</v>
      </c>
      <c r="K8421">
        <f>1/(COUNT(SimData5000!$C$9:$C$5008)-1)+$K$8420</f>
        <v>0.68253650730144066</v>
      </c>
    </row>
    <row r="8422" spans="8:11">
      <c r="H8422">
        <f>SMALL(SimData5000!$B$9:$B$5008,3414)</f>
        <v>0.68263312134343046</v>
      </c>
      <c r="I8422">
        <f>1/(COUNT(SimData5000!$B$9:$B$5008)-1)+$I$8421</f>
        <v>0.68273654730944222</v>
      </c>
      <c r="J8422">
        <f>SMALL(SimData5000!$C$9:$C$5008,3414)</f>
        <v>0.68539936023807968</v>
      </c>
      <c r="K8422">
        <f>1/(COUNT(SimData5000!$C$9:$C$5008)-1)+$K$8421</f>
        <v>0.68273654730944222</v>
      </c>
    </row>
    <row r="8423" spans="8:11">
      <c r="H8423">
        <f>SMALL(SimData5000!$B$9:$B$5008,3415)</f>
        <v>0.68283902349491576</v>
      </c>
      <c r="I8423">
        <f>1/(COUNT(SimData5000!$B$9:$B$5008)-1)+$I$8422</f>
        <v>0.68293658731744378</v>
      </c>
      <c r="J8423">
        <f>SMALL(SimData5000!$C$9:$C$5008,3415)</f>
        <v>0.685537125645169</v>
      </c>
      <c r="K8423">
        <f>1/(COUNT(SimData5000!$C$9:$C$5008)-1)+$K$8422</f>
        <v>0.68293658731744378</v>
      </c>
    </row>
    <row r="8424" spans="8:11">
      <c r="H8424">
        <f>SMALL(SimData5000!$B$9:$B$5008,3416)</f>
        <v>0.68312739498296926</v>
      </c>
      <c r="I8424">
        <f>1/(COUNT(SimData5000!$B$9:$B$5008)-1)+$I$8423</f>
        <v>0.68313662732544533</v>
      </c>
      <c r="J8424">
        <f>SMALL(SimData5000!$C$9:$C$5008,3416)</f>
        <v>0.68555905315406562</v>
      </c>
      <c r="K8424">
        <f>1/(COUNT(SimData5000!$C$9:$C$5008)-1)+$K$8423</f>
        <v>0.68313662732544533</v>
      </c>
    </row>
    <row r="8425" spans="8:11">
      <c r="H8425">
        <f>SMALL(SimData5000!$B$9:$B$5008,3417)</f>
        <v>0.68334270687250942</v>
      </c>
      <c r="I8425">
        <f>1/(COUNT(SimData5000!$B$9:$B$5008)-1)+$I$8424</f>
        <v>0.68333666733344689</v>
      </c>
      <c r="J8425">
        <f>SMALL(SimData5000!$C$9:$C$5008,3417)</f>
        <v>0.68600728630190133</v>
      </c>
      <c r="K8425">
        <f>1/(COUNT(SimData5000!$C$9:$C$5008)-1)+$K$8424</f>
        <v>0.68333666733344689</v>
      </c>
    </row>
    <row r="8426" spans="8:11">
      <c r="H8426">
        <f>SMALL(SimData5000!$B$9:$B$5008,3418)</f>
        <v>0.68349168935126903</v>
      </c>
      <c r="I8426">
        <f>1/(COUNT(SimData5000!$B$9:$B$5008)-1)+$I$8425</f>
        <v>0.68353670734144845</v>
      </c>
      <c r="J8426">
        <f>SMALL(SimData5000!$C$9:$C$5008,3418)</f>
        <v>0.68623382460009452</v>
      </c>
      <c r="K8426">
        <f>1/(COUNT(SimData5000!$C$9:$C$5008)-1)+$K$8425</f>
        <v>0.68353670734144845</v>
      </c>
    </row>
    <row r="8427" spans="8:11">
      <c r="H8427">
        <f>SMALL(SimData5000!$B$9:$B$5008,3419)</f>
        <v>0.68365629894432056</v>
      </c>
      <c r="I8427">
        <f>1/(COUNT(SimData5000!$B$9:$B$5008)-1)+$I$8426</f>
        <v>0.68373674734945</v>
      </c>
      <c r="J8427">
        <f>SMALL(SimData5000!$C$9:$C$5008,3419)</f>
        <v>0.68636045521816413</v>
      </c>
      <c r="K8427">
        <f>1/(COUNT(SimData5000!$C$9:$C$5008)-1)+$K$8426</f>
        <v>0.68373674734945</v>
      </c>
    </row>
    <row r="8428" spans="8:11">
      <c r="H8428">
        <f>SMALL(SimData5000!$B$9:$B$5008,3420)</f>
        <v>0.68395473168491261</v>
      </c>
      <c r="I8428">
        <f>1/(COUNT(SimData5000!$B$9:$B$5008)-1)+$I$8427</f>
        <v>0.68393678735745156</v>
      </c>
      <c r="J8428">
        <f>SMALL(SimData5000!$C$9:$C$5008,3420)</f>
        <v>0.68675025453558192</v>
      </c>
      <c r="K8428">
        <f>1/(COUNT(SimData5000!$C$9:$C$5008)-1)+$K$8427</f>
        <v>0.68393678735745156</v>
      </c>
    </row>
    <row r="8429" spans="8:11">
      <c r="H8429">
        <f>SMALL(SimData5000!$B$9:$B$5008,3421)</f>
        <v>0.6841410945569959</v>
      </c>
      <c r="I8429">
        <f>1/(COUNT(SimData5000!$B$9:$B$5008)-1)+$I$8428</f>
        <v>0.68413682736545312</v>
      </c>
      <c r="J8429">
        <f>SMALL(SimData5000!$C$9:$C$5008,3421)</f>
        <v>0.68678429132705787</v>
      </c>
      <c r="K8429">
        <f>1/(COUNT(SimData5000!$C$9:$C$5008)-1)+$K$8428</f>
        <v>0.68413682736545312</v>
      </c>
    </row>
    <row r="8430" spans="8:11">
      <c r="H8430">
        <f>SMALL(SimData5000!$B$9:$B$5008,3422)</f>
        <v>0.68428643338887163</v>
      </c>
      <c r="I8430">
        <f>1/(COUNT(SimData5000!$B$9:$B$5008)-1)+$I$8429</f>
        <v>0.68433686737345467</v>
      </c>
      <c r="J8430">
        <f>SMALL(SimData5000!$C$9:$C$5008,3422)</f>
        <v>0.68694611179671483</v>
      </c>
      <c r="K8430">
        <f>1/(COUNT(SimData5000!$C$9:$C$5008)-1)+$K$8429</f>
        <v>0.68433686737345467</v>
      </c>
    </row>
    <row r="8431" spans="8:11">
      <c r="H8431">
        <f>SMALL(SimData5000!$B$9:$B$5008,3423)</f>
        <v>0.68455702288675979</v>
      </c>
      <c r="I8431">
        <f>1/(COUNT(SimData5000!$B$9:$B$5008)-1)+$I$8430</f>
        <v>0.68453690738145623</v>
      </c>
      <c r="J8431">
        <f>SMALL(SimData5000!$C$9:$C$5008,3423)</f>
        <v>0.68699662087965407</v>
      </c>
      <c r="K8431">
        <f>1/(COUNT(SimData5000!$C$9:$C$5008)-1)+$K$8430</f>
        <v>0.68453690738145623</v>
      </c>
    </row>
    <row r="8432" spans="8:11">
      <c r="H8432">
        <f>SMALL(SimData5000!$B$9:$B$5008,3424)</f>
        <v>0.68471589137360356</v>
      </c>
      <c r="I8432">
        <f>1/(COUNT(SimData5000!$B$9:$B$5008)-1)+$I$8431</f>
        <v>0.68473694738945778</v>
      </c>
      <c r="J8432">
        <f>SMALL(SimData5000!$C$9:$C$5008,3424)</f>
        <v>0.68702000725443213</v>
      </c>
      <c r="K8432">
        <f>1/(COUNT(SimData5000!$C$9:$C$5008)-1)+$K$8431</f>
        <v>0.68473694738945778</v>
      </c>
    </row>
    <row r="8433" spans="8:11">
      <c r="H8433">
        <f>SMALL(SimData5000!$B$9:$B$5008,3425)</f>
        <v>0.68484642999112755</v>
      </c>
      <c r="I8433">
        <f>1/(COUNT(SimData5000!$B$9:$B$5008)-1)+$I$8432</f>
        <v>0.68493698739745934</v>
      </c>
      <c r="J8433">
        <f>SMALL(SimData5000!$C$9:$C$5008,3425)</f>
        <v>0.6873590483019143</v>
      </c>
      <c r="K8433">
        <f>1/(COUNT(SimData5000!$C$9:$C$5008)-1)+$K$8432</f>
        <v>0.68493698739745934</v>
      </c>
    </row>
    <row r="8434" spans="8:11">
      <c r="H8434">
        <f>SMALL(SimData5000!$B$9:$B$5008,3426)</f>
        <v>0.68518601138195623</v>
      </c>
      <c r="I8434">
        <f>1/(COUNT(SimData5000!$B$9:$B$5008)-1)+$I$8433</f>
        <v>0.6851370274054609</v>
      </c>
      <c r="J8434">
        <f>SMALL(SimData5000!$C$9:$C$5008,3426)</f>
        <v>0.68741683291136724</v>
      </c>
      <c r="K8434">
        <f>1/(COUNT(SimData5000!$C$9:$C$5008)-1)+$K$8433</f>
        <v>0.6851370274054609</v>
      </c>
    </row>
    <row r="8435" spans="8:11">
      <c r="H8435">
        <f>SMALL(SimData5000!$B$9:$B$5008,3427)</f>
        <v>0.68520169315473212</v>
      </c>
      <c r="I8435">
        <f>1/(COUNT(SimData5000!$B$9:$B$5008)-1)+$I$8434</f>
        <v>0.68533706741346245</v>
      </c>
      <c r="J8435">
        <f>SMALL(SimData5000!$C$9:$C$5008,3427)</f>
        <v>0.68749340858630603</v>
      </c>
      <c r="K8435">
        <f>1/(COUNT(SimData5000!$C$9:$C$5008)-1)+$K$8434</f>
        <v>0.68533706741346245</v>
      </c>
    </row>
    <row r="8436" spans="8:11">
      <c r="H8436">
        <f>SMALL(SimData5000!$B$9:$B$5008,3428)</f>
        <v>0.68543195747501029</v>
      </c>
      <c r="I8436">
        <f>1/(COUNT(SimData5000!$B$9:$B$5008)-1)+$I$8435</f>
        <v>0.68553710742146401</v>
      </c>
      <c r="J8436">
        <f>SMALL(SimData5000!$C$9:$C$5008,3428)</f>
        <v>0.68771940575607005</v>
      </c>
      <c r="K8436">
        <f>1/(COUNT(SimData5000!$C$9:$C$5008)-1)+$K$8435</f>
        <v>0.68553710742146401</v>
      </c>
    </row>
    <row r="8437" spans="8:11">
      <c r="H8437">
        <f>SMALL(SimData5000!$B$9:$B$5008,3429)</f>
        <v>0.68576732871294188</v>
      </c>
      <c r="I8437">
        <f>1/(COUNT(SimData5000!$B$9:$B$5008)-1)+$I$8436</f>
        <v>0.68573714742946557</v>
      </c>
      <c r="J8437">
        <f>SMALL(SimData5000!$C$9:$C$5008,3429)</f>
        <v>0.68804411435939983</v>
      </c>
      <c r="K8437">
        <f>1/(COUNT(SimData5000!$C$9:$C$5008)-1)+$K$8436</f>
        <v>0.68573714742946557</v>
      </c>
    </row>
    <row r="8438" spans="8:11">
      <c r="H8438">
        <f>SMALL(SimData5000!$B$9:$B$5008,3430)</f>
        <v>0.68582660039934018</v>
      </c>
      <c r="I8438">
        <f>1/(COUNT(SimData5000!$B$9:$B$5008)-1)+$I$8437</f>
        <v>0.68593718743746712</v>
      </c>
      <c r="J8438">
        <f>SMALL(SimData5000!$C$9:$C$5008,3430)</f>
        <v>0.68804880223979126</v>
      </c>
      <c r="K8438">
        <f>1/(COUNT(SimData5000!$C$9:$C$5008)-1)+$K$8437</f>
        <v>0.68593718743746712</v>
      </c>
    </row>
    <row r="8439" spans="8:11">
      <c r="H8439">
        <f>SMALL(SimData5000!$B$9:$B$5008,3431)</f>
        <v>0.68612471553858478</v>
      </c>
      <c r="I8439">
        <f>1/(COUNT(SimData5000!$B$9:$B$5008)-1)+$I$8438</f>
        <v>0.68613722744546868</v>
      </c>
      <c r="J8439">
        <f>SMALL(SimData5000!$C$9:$C$5008,3431)</f>
        <v>0.6883989853267849</v>
      </c>
      <c r="K8439">
        <f>1/(COUNT(SimData5000!$C$9:$C$5008)-1)+$K$8438</f>
        <v>0.68613722744546868</v>
      </c>
    </row>
    <row r="8440" spans="8:11">
      <c r="H8440">
        <f>SMALL(SimData5000!$B$9:$B$5008,3432)</f>
        <v>0.68621561460360314</v>
      </c>
      <c r="I8440">
        <f>1/(COUNT(SimData5000!$B$9:$B$5008)-1)+$I$8439</f>
        <v>0.68633726745347023</v>
      </c>
      <c r="J8440">
        <f>SMALL(SimData5000!$C$9:$C$5008,3432)</f>
        <v>0.68882174385180406</v>
      </c>
      <c r="K8440">
        <f>1/(COUNT(SimData5000!$C$9:$C$5008)-1)+$K$8439</f>
        <v>0.68633726745347023</v>
      </c>
    </row>
    <row r="8441" spans="8:11">
      <c r="H8441">
        <f>SMALL(SimData5000!$B$9:$B$5008,3433)</f>
        <v>0.68649374695226872</v>
      </c>
      <c r="I8441">
        <f>1/(COUNT(SimData5000!$B$9:$B$5008)-1)+$I$8440</f>
        <v>0.68653730746147179</v>
      </c>
      <c r="J8441">
        <f>SMALL(SimData5000!$C$9:$C$5008,3433)</f>
        <v>0.68883815675326332</v>
      </c>
      <c r="K8441">
        <f>1/(COUNT(SimData5000!$C$9:$C$5008)-1)+$K$8440</f>
        <v>0.68653730746147179</v>
      </c>
    </row>
    <row r="8442" spans="8:11">
      <c r="H8442">
        <f>SMALL(SimData5000!$B$9:$B$5008,3434)</f>
        <v>0.68674336194641505</v>
      </c>
      <c r="I8442">
        <f>1/(COUNT(SimData5000!$B$9:$B$5008)-1)+$I$8441</f>
        <v>0.68673734746947335</v>
      </c>
      <c r="J8442">
        <f>SMALL(SimData5000!$C$9:$C$5008,3434)</f>
        <v>0.68887902993174066</v>
      </c>
      <c r="K8442">
        <f>1/(COUNT(SimData5000!$C$9:$C$5008)-1)+$K$8441</f>
        <v>0.68673734746947335</v>
      </c>
    </row>
    <row r="8443" spans="8:11">
      <c r="H8443">
        <f>SMALL(SimData5000!$B$9:$B$5008,3435)</f>
        <v>0.68682092491817226</v>
      </c>
      <c r="I8443">
        <f>1/(COUNT(SimData5000!$B$9:$B$5008)-1)+$I$8442</f>
        <v>0.6869373874774749</v>
      </c>
      <c r="J8443">
        <f>SMALL(SimData5000!$C$9:$C$5008,3435)</f>
        <v>0.68914851735371485</v>
      </c>
      <c r="K8443">
        <f>1/(COUNT(SimData5000!$C$9:$C$5008)-1)+$K$8442</f>
        <v>0.6869373874774749</v>
      </c>
    </row>
    <row r="8444" spans="8:11">
      <c r="H8444">
        <f>SMALL(SimData5000!$B$9:$B$5008,3436)</f>
        <v>0.68715716424709117</v>
      </c>
      <c r="I8444">
        <f>1/(COUNT(SimData5000!$B$9:$B$5008)-1)+$I$8443</f>
        <v>0.68713742748547646</v>
      </c>
      <c r="J8444">
        <f>SMALL(SimData5000!$C$9:$C$5008,3436)</f>
        <v>0.68920396600788081</v>
      </c>
      <c r="K8444">
        <f>1/(COUNT(SimData5000!$C$9:$C$5008)-1)+$K$8443</f>
        <v>0.68713742748547646</v>
      </c>
    </row>
    <row r="8445" spans="8:11">
      <c r="H8445">
        <f>SMALL(SimData5000!$B$9:$B$5008,3437)</f>
        <v>0.68736431849006663</v>
      </c>
      <c r="I8445">
        <f>1/(COUNT(SimData5000!$B$9:$B$5008)-1)+$I$8444</f>
        <v>0.68733746749347802</v>
      </c>
      <c r="J8445">
        <f>SMALL(SimData5000!$C$9:$C$5008,3437)</f>
        <v>0.68945577933936875</v>
      </c>
      <c r="K8445">
        <f>1/(COUNT(SimData5000!$C$9:$C$5008)-1)+$K$8444</f>
        <v>0.68733746749347802</v>
      </c>
    </row>
    <row r="8446" spans="8:11">
      <c r="H8446">
        <f>SMALL(SimData5000!$B$9:$B$5008,3438)</f>
        <v>0.68742109696097231</v>
      </c>
      <c r="I8446">
        <f>1/(COUNT(SimData5000!$B$9:$B$5008)-1)+$I$8445</f>
        <v>0.68753750750147957</v>
      </c>
      <c r="J8446">
        <f>SMALL(SimData5000!$C$9:$C$5008,3438)</f>
        <v>0.68979411892451026</v>
      </c>
      <c r="K8446">
        <f>1/(COUNT(SimData5000!$C$9:$C$5008)-1)+$K$8445</f>
        <v>0.68753750750147957</v>
      </c>
    </row>
    <row r="8447" spans="8:11">
      <c r="H8447">
        <f>SMALL(SimData5000!$B$9:$B$5008,3439)</f>
        <v>0.68764984186632794</v>
      </c>
      <c r="I8447">
        <f>1/(COUNT(SimData5000!$B$9:$B$5008)-1)+$I$8446</f>
        <v>0.68773754750948113</v>
      </c>
      <c r="J8447">
        <f>SMALL(SimData5000!$C$9:$C$5008,3439)</f>
        <v>0.68997889194452</v>
      </c>
      <c r="K8447">
        <f>1/(COUNT(SimData5000!$C$9:$C$5008)-1)+$K$8446</f>
        <v>0.68773754750948113</v>
      </c>
    </row>
    <row r="8448" spans="8:11">
      <c r="H8448">
        <f>SMALL(SimData5000!$B$9:$B$5008,3440)</f>
        <v>0.68799462298611047</v>
      </c>
      <c r="I8448">
        <f>1/(COUNT(SimData5000!$B$9:$B$5008)-1)+$I$8447</f>
        <v>0.68793758751748268</v>
      </c>
      <c r="J8448">
        <f>SMALL(SimData5000!$C$9:$C$5008,3440)</f>
        <v>0.69042808392987354</v>
      </c>
      <c r="K8448">
        <f>1/(COUNT(SimData5000!$C$9:$C$5008)-1)+$K$8447</f>
        <v>0.68793758751748268</v>
      </c>
    </row>
    <row r="8449" spans="8:11">
      <c r="H8449">
        <f>SMALL(SimData5000!$B$9:$B$5008,3441)</f>
        <v>0.68811234754452311</v>
      </c>
      <c r="I8449">
        <f>1/(COUNT(SimData5000!$B$9:$B$5008)-1)+$I$8448</f>
        <v>0.68813762752548424</v>
      </c>
      <c r="J8449">
        <f>SMALL(SimData5000!$C$9:$C$5008,3441)</f>
        <v>0.69064133900246816</v>
      </c>
      <c r="K8449">
        <f>1/(COUNT(SimData5000!$C$9:$C$5008)-1)+$K$8448</f>
        <v>0.68813762752548424</v>
      </c>
    </row>
    <row r="8450" spans="8:11">
      <c r="H8450">
        <f>SMALL(SimData5000!$B$9:$B$5008,3442)</f>
        <v>0.68832113355373059</v>
      </c>
      <c r="I8450">
        <f>1/(COUNT(SimData5000!$B$9:$B$5008)-1)+$I$8449</f>
        <v>0.6883376675334858</v>
      </c>
      <c r="J8450">
        <f>SMALL(SimData5000!$C$9:$C$5008,3442)</f>
        <v>0.69091848333482631</v>
      </c>
      <c r="K8450">
        <f>1/(COUNT(SimData5000!$C$9:$C$5008)-1)+$K$8449</f>
        <v>0.6883376675334858</v>
      </c>
    </row>
    <row r="8451" spans="8:11">
      <c r="H8451">
        <f>SMALL(SimData5000!$B$9:$B$5008,3443)</f>
        <v>0.68857063104402527</v>
      </c>
      <c r="I8451">
        <f>1/(COUNT(SimData5000!$B$9:$B$5008)-1)+$I$8450</f>
        <v>0.68853770754148735</v>
      </c>
      <c r="J8451">
        <f>SMALL(SimData5000!$C$9:$C$5008,3443)</f>
        <v>0.69098356160793628</v>
      </c>
      <c r="K8451">
        <f>1/(COUNT(SimData5000!$C$9:$C$5008)-1)+$K$8450</f>
        <v>0.68853770754148735</v>
      </c>
    </row>
    <row r="8452" spans="8:11">
      <c r="H8452">
        <f>SMALL(SimData5000!$B$9:$B$5008,3444)</f>
        <v>0.68879180136751195</v>
      </c>
      <c r="I8452">
        <f>1/(COUNT(SimData5000!$B$9:$B$5008)-1)+$I$8451</f>
        <v>0.68873774754948891</v>
      </c>
      <c r="J8452">
        <f>SMALL(SimData5000!$C$9:$C$5008,3444)</f>
        <v>0.69111853133017576</v>
      </c>
      <c r="K8452">
        <f>1/(COUNT(SimData5000!$C$9:$C$5008)-1)+$K$8451</f>
        <v>0.68873774754948891</v>
      </c>
    </row>
    <row r="8453" spans="8:11">
      <c r="H8453">
        <f>SMALL(SimData5000!$B$9:$B$5008,3445)</f>
        <v>0.68897157805766251</v>
      </c>
      <c r="I8453">
        <f>1/(COUNT(SimData5000!$B$9:$B$5008)-1)+$I$8452</f>
        <v>0.68893778755749047</v>
      </c>
      <c r="J8453">
        <f>SMALL(SimData5000!$C$9:$C$5008,3445)</f>
        <v>0.69111860228804289</v>
      </c>
      <c r="K8453">
        <f>1/(COUNT(SimData5000!$C$9:$C$5008)-1)+$K$8452</f>
        <v>0.68893778755749047</v>
      </c>
    </row>
    <row r="8454" spans="8:11">
      <c r="H8454">
        <f>SMALL(SimData5000!$B$9:$B$5008,3446)</f>
        <v>0.68906160848114217</v>
      </c>
      <c r="I8454">
        <f>1/(COUNT(SimData5000!$B$9:$B$5008)-1)+$I$8453</f>
        <v>0.68913782756549202</v>
      </c>
      <c r="J8454">
        <f>SMALL(SimData5000!$C$9:$C$5008,3446)</f>
        <v>0.69112810681417614</v>
      </c>
      <c r="K8454">
        <f>1/(COUNT(SimData5000!$C$9:$C$5008)-1)+$K$8453</f>
        <v>0.68913782756549202</v>
      </c>
    </row>
    <row r="8455" spans="8:11">
      <c r="H8455">
        <f>SMALL(SimData5000!$B$9:$B$5008,3447)</f>
        <v>0.68933150161004897</v>
      </c>
      <c r="I8455">
        <f>1/(COUNT(SimData5000!$B$9:$B$5008)-1)+$I$8454</f>
        <v>0.68933786757349358</v>
      </c>
      <c r="J8455">
        <f>SMALL(SimData5000!$C$9:$C$5008,3447)</f>
        <v>0.6914946666565811</v>
      </c>
      <c r="K8455">
        <f>1/(COUNT(SimData5000!$C$9:$C$5008)-1)+$K$8454</f>
        <v>0.68933786757349358</v>
      </c>
    </row>
    <row r="8456" spans="8:11">
      <c r="H8456">
        <f>SMALL(SimData5000!$B$9:$B$5008,3448)</f>
        <v>0.6895263761038255</v>
      </c>
      <c r="I8456">
        <f>1/(COUNT(SimData5000!$B$9:$B$5008)-1)+$I$8455</f>
        <v>0.68953790758149514</v>
      </c>
      <c r="J8456">
        <f>SMALL(SimData5000!$C$9:$C$5008,3448)</f>
        <v>0.69151853899802518</v>
      </c>
      <c r="K8456">
        <f>1/(COUNT(SimData5000!$C$9:$C$5008)-1)+$K$8455</f>
        <v>0.68953790758149514</v>
      </c>
    </row>
    <row r="8457" spans="8:11">
      <c r="H8457">
        <f>SMALL(SimData5000!$B$9:$B$5008,3449)</f>
        <v>0.68973463820422409</v>
      </c>
      <c r="I8457">
        <f>1/(COUNT(SimData5000!$B$9:$B$5008)-1)+$I$8456</f>
        <v>0.68973794758949669</v>
      </c>
      <c r="J8457">
        <f>SMALL(SimData5000!$C$9:$C$5008,3449)</f>
        <v>0.69154357708248426</v>
      </c>
      <c r="K8457">
        <f>1/(COUNT(SimData5000!$C$9:$C$5008)-1)+$K$8456</f>
        <v>0.68973794758949669</v>
      </c>
    </row>
    <row r="8458" spans="8:11">
      <c r="H8458">
        <f>SMALL(SimData5000!$B$9:$B$5008,3450)</f>
        <v>0.68985256513195414</v>
      </c>
      <c r="I8458">
        <f>1/(COUNT(SimData5000!$B$9:$B$5008)-1)+$I$8457</f>
        <v>0.68993798759749825</v>
      </c>
      <c r="J8458">
        <f>SMALL(SimData5000!$C$9:$C$5008,3450)</f>
        <v>0.69157229609845672</v>
      </c>
      <c r="K8458">
        <f>1/(COUNT(SimData5000!$C$9:$C$5008)-1)+$K$8457</f>
        <v>0.68993798759749825</v>
      </c>
    </row>
    <row r="8459" spans="8:11">
      <c r="H8459">
        <f>SMALL(SimData5000!$B$9:$B$5008,3451)</f>
        <v>0.69011101142762021</v>
      </c>
      <c r="I8459">
        <f>1/(COUNT(SimData5000!$B$9:$B$5008)-1)+$I$8458</f>
        <v>0.6901380276054998</v>
      </c>
      <c r="J8459">
        <f>SMALL(SimData5000!$C$9:$C$5008,3451)</f>
        <v>0.69167530972663371</v>
      </c>
      <c r="K8459">
        <f>1/(COUNT(SimData5000!$C$9:$C$5008)-1)+$K$8458</f>
        <v>0.6901380276054998</v>
      </c>
    </row>
    <row r="8460" spans="8:11">
      <c r="H8460">
        <f>SMALL(SimData5000!$B$9:$B$5008,3452)</f>
        <v>0.69029527400319823</v>
      </c>
      <c r="I8460">
        <f>1/(COUNT(SimData5000!$B$9:$B$5008)-1)+$I$8459</f>
        <v>0.69033806761350136</v>
      </c>
      <c r="J8460">
        <f>SMALL(SimData5000!$C$9:$C$5008,3452)</f>
        <v>0.69179366130902054</v>
      </c>
      <c r="K8460">
        <f>1/(COUNT(SimData5000!$C$9:$C$5008)-1)+$K$8459</f>
        <v>0.69033806761350136</v>
      </c>
    </row>
    <row r="8461" spans="8:11">
      <c r="H8461">
        <f>SMALL(SimData5000!$B$9:$B$5008,3453)</f>
        <v>0.69051251648094325</v>
      </c>
      <c r="I8461">
        <f>1/(COUNT(SimData5000!$B$9:$B$5008)-1)+$I$8460</f>
        <v>0.69053810762150292</v>
      </c>
      <c r="J8461">
        <f>SMALL(SimData5000!$C$9:$C$5008,3453)</f>
        <v>0.69235585160913615</v>
      </c>
      <c r="K8461">
        <f>1/(COUNT(SimData5000!$C$9:$C$5008)-1)+$K$8460</f>
        <v>0.69053810762150292</v>
      </c>
    </row>
    <row r="8462" spans="8:11">
      <c r="H8462">
        <f>SMALL(SimData5000!$B$9:$B$5008,3454)</f>
        <v>0.69067441579654687</v>
      </c>
      <c r="I8462">
        <f>1/(COUNT(SimData5000!$B$9:$B$5008)-1)+$I$8461</f>
        <v>0.69073814762950447</v>
      </c>
      <c r="J8462">
        <f>SMALL(SimData5000!$C$9:$C$5008,3454)</f>
        <v>0.6923644183802935</v>
      </c>
      <c r="K8462">
        <f>1/(COUNT(SimData5000!$C$9:$C$5008)-1)+$K$8461</f>
        <v>0.69073814762950447</v>
      </c>
    </row>
    <row r="8463" spans="8:11">
      <c r="H8463">
        <f>SMALL(SimData5000!$B$9:$B$5008,3455)</f>
        <v>0.69092406984323729</v>
      </c>
      <c r="I8463">
        <f>1/(COUNT(SimData5000!$B$9:$B$5008)-1)+$I$8462</f>
        <v>0.69093818763750603</v>
      </c>
      <c r="J8463">
        <f>SMALL(SimData5000!$C$9:$C$5008,3455)</f>
        <v>0.69276381659165054</v>
      </c>
      <c r="K8463">
        <f>1/(COUNT(SimData5000!$C$9:$C$5008)-1)+$K$8462</f>
        <v>0.69093818763750603</v>
      </c>
    </row>
    <row r="8464" spans="8:11">
      <c r="H8464">
        <f>SMALL(SimData5000!$B$9:$B$5008,3456)</f>
        <v>0.69116347521216681</v>
      </c>
      <c r="I8464">
        <f>1/(COUNT(SimData5000!$B$9:$B$5008)-1)+$I$8463</f>
        <v>0.69113822764550759</v>
      </c>
      <c r="J8464">
        <f>SMALL(SimData5000!$C$9:$C$5008,3456)</f>
        <v>0.6928392563449961</v>
      </c>
      <c r="K8464">
        <f>1/(COUNT(SimData5000!$C$9:$C$5008)-1)+$K$8463</f>
        <v>0.69113822764550759</v>
      </c>
    </row>
    <row r="8465" spans="8:11">
      <c r="H8465">
        <f>SMALL(SimData5000!$B$9:$B$5008,3457)</f>
        <v>0.69135350664885564</v>
      </c>
      <c r="I8465">
        <f>1/(COUNT(SimData5000!$B$9:$B$5008)-1)+$I$8464</f>
        <v>0.69133826765350914</v>
      </c>
      <c r="J8465">
        <f>SMALL(SimData5000!$C$9:$C$5008,3457)</f>
        <v>0.69290233318679384</v>
      </c>
      <c r="K8465">
        <f>1/(COUNT(SimData5000!$C$9:$C$5008)-1)+$K$8464</f>
        <v>0.69133826765350914</v>
      </c>
    </row>
    <row r="8466" spans="8:11">
      <c r="H8466">
        <f>SMALL(SimData5000!$B$9:$B$5008,3458)</f>
        <v>0.6915104891105347</v>
      </c>
      <c r="I8466">
        <f>1/(COUNT(SimData5000!$B$9:$B$5008)-1)+$I$8465</f>
        <v>0.6915383076615107</v>
      </c>
      <c r="J8466">
        <f>SMALL(SimData5000!$C$9:$C$5008,3458)</f>
        <v>0.69325109937835805</v>
      </c>
      <c r="K8466">
        <f>1/(COUNT(SimData5000!$C$9:$C$5008)-1)+$K$8465</f>
        <v>0.6915383076615107</v>
      </c>
    </row>
    <row r="8467" spans="8:11">
      <c r="H8467">
        <f>SMALL(SimData5000!$B$9:$B$5008,3459)</f>
        <v>0.69176928785992065</v>
      </c>
      <c r="I8467">
        <f>1/(COUNT(SimData5000!$B$9:$B$5008)-1)+$I$8466</f>
        <v>0.69173834766951225</v>
      </c>
      <c r="J8467">
        <f>SMALL(SimData5000!$C$9:$C$5008,3459)</f>
        <v>0.69330161573270743</v>
      </c>
      <c r="K8467">
        <f>1/(COUNT(SimData5000!$C$9:$C$5008)-1)+$K$8466</f>
        <v>0.69173834766951225</v>
      </c>
    </row>
    <row r="8468" spans="8:11">
      <c r="H8468">
        <f>SMALL(SimData5000!$B$9:$B$5008,3460)</f>
        <v>0.6918931809418587</v>
      </c>
      <c r="I8468">
        <f>1/(COUNT(SimData5000!$B$9:$B$5008)-1)+$I$8467</f>
        <v>0.69193838767751381</v>
      </c>
      <c r="J8468">
        <f>SMALL(SimData5000!$C$9:$C$5008,3460)</f>
        <v>0.69337717237885954</v>
      </c>
      <c r="K8468">
        <f>1/(COUNT(SimData5000!$C$9:$C$5008)-1)+$K$8467</f>
        <v>0.69193838767751381</v>
      </c>
    </row>
    <row r="8469" spans="8:11">
      <c r="H8469">
        <f>SMALL(SimData5000!$B$9:$B$5008,3461)</f>
        <v>0.6920300526531018</v>
      </c>
      <c r="I8469">
        <f>1/(COUNT(SimData5000!$B$9:$B$5008)-1)+$I$8468</f>
        <v>0.69213842768551537</v>
      </c>
      <c r="J8469">
        <f>SMALL(SimData5000!$C$9:$C$5008,3461)</f>
        <v>0.69417652441461541</v>
      </c>
      <c r="K8469">
        <f>1/(COUNT(SimData5000!$C$9:$C$5008)-1)+$K$8468</f>
        <v>0.69213842768551537</v>
      </c>
    </row>
    <row r="8470" spans="8:11">
      <c r="H8470">
        <f>SMALL(SimData5000!$B$9:$B$5008,3462)</f>
        <v>0.69223229646138673</v>
      </c>
      <c r="I8470">
        <f>1/(COUNT(SimData5000!$B$9:$B$5008)-1)+$I$8469</f>
        <v>0.69233846769351692</v>
      </c>
      <c r="J8470">
        <f>SMALL(SimData5000!$C$9:$C$5008,3462)</f>
        <v>0.694195290292555</v>
      </c>
      <c r="K8470">
        <f>1/(COUNT(SimData5000!$C$9:$C$5008)-1)+$K$8469</f>
        <v>0.69233846769351692</v>
      </c>
    </row>
    <row r="8471" spans="8:11">
      <c r="H8471">
        <f>SMALL(SimData5000!$B$9:$B$5008,3463)</f>
        <v>0.69254794384016372</v>
      </c>
      <c r="I8471">
        <f>1/(COUNT(SimData5000!$B$9:$B$5008)-1)+$I$8470</f>
        <v>0.69253850770151848</v>
      </c>
      <c r="J8471">
        <f>SMALL(SimData5000!$C$9:$C$5008,3463)</f>
        <v>0.69507835375679861</v>
      </c>
      <c r="K8471">
        <f>1/(COUNT(SimData5000!$C$9:$C$5008)-1)+$K$8470</f>
        <v>0.69253850770151848</v>
      </c>
    </row>
    <row r="8472" spans="8:11">
      <c r="H8472">
        <f>SMALL(SimData5000!$B$9:$B$5008,3464)</f>
        <v>0.69276880025257559</v>
      </c>
      <c r="I8472">
        <f>1/(COUNT(SimData5000!$B$9:$B$5008)-1)+$I$8471</f>
        <v>0.69273854770952004</v>
      </c>
      <c r="J8472">
        <f>SMALL(SimData5000!$C$9:$C$5008,3464)</f>
        <v>0.69512063243928424</v>
      </c>
      <c r="K8472">
        <f>1/(COUNT(SimData5000!$C$9:$C$5008)-1)+$K$8471</f>
        <v>0.69273854770952004</v>
      </c>
    </row>
    <row r="8473" spans="8:11">
      <c r="H8473">
        <f>SMALL(SimData5000!$B$9:$B$5008,3465)</f>
        <v>0.69287720737999248</v>
      </c>
      <c r="I8473">
        <f>1/(COUNT(SimData5000!$B$9:$B$5008)-1)+$I$8472</f>
        <v>0.69293858771752159</v>
      </c>
      <c r="J8473">
        <f>SMALL(SimData5000!$C$9:$C$5008,3465)</f>
        <v>0.69515091428002052</v>
      </c>
      <c r="K8473">
        <f>1/(COUNT(SimData5000!$C$9:$C$5008)-1)+$K$8472</f>
        <v>0.69293858771752159</v>
      </c>
    </row>
    <row r="8474" spans="8:11">
      <c r="H8474">
        <f>SMALL(SimData5000!$B$9:$B$5008,3466)</f>
        <v>0.69304810480062107</v>
      </c>
      <c r="I8474">
        <f>1/(COUNT(SimData5000!$B$9:$B$5008)-1)+$I$8473</f>
        <v>0.69313862772552315</v>
      </c>
      <c r="J8474">
        <f>SMALL(SimData5000!$C$9:$C$5008,3466)</f>
        <v>0.69518265140959556</v>
      </c>
      <c r="K8474">
        <f>1/(COUNT(SimData5000!$C$9:$C$5008)-1)+$K$8473</f>
        <v>0.69313862772552315</v>
      </c>
    </row>
    <row r="8475" spans="8:11">
      <c r="H8475">
        <f>SMALL(SimData5000!$B$9:$B$5008,3467)</f>
        <v>0.6933002899344779</v>
      </c>
      <c r="I8475">
        <f>1/(COUNT(SimData5000!$B$9:$B$5008)-1)+$I$8474</f>
        <v>0.69333866773352471</v>
      </c>
      <c r="J8475">
        <f>SMALL(SimData5000!$C$9:$C$5008,3467)</f>
        <v>0.69623037955079781</v>
      </c>
      <c r="K8475">
        <f>1/(COUNT(SimData5000!$C$9:$C$5008)-1)+$K$8474</f>
        <v>0.69333866773352471</v>
      </c>
    </row>
    <row r="8476" spans="8:11">
      <c r="H8476">
        <f>SMALL(SimData5000!$B$9:$B$5008,3468)</f>
        <v>0.69350620047853007</v>
      </c>
      <c r="I8476">
        <f>1/(COUNT(SimData5000!$B$9:$B$5008)-1)+$I$8475</f>
        <v>0.69353870774152626</v>
      </c>
      <c r="J8476">
        <f>SMALL(SimData5000!$C$9:$C$5008,3468)</f>
        <v>0.69645369751560793</v>
      </c>
      <c r="K8476">
        <f>1/(COUNT(SimData5000!$C$9:$C$5008)-1)+$K$8475</f>
        <v>0.69353870774152626</v>
      </c>
    </row>
    <row r="8477" spans="8:11">
      <c r="H8477">
        <f>SMALL(SimData5000!$B$9:$B$5008,3469)</f>
        <v>0.69379741503274939</v>
      </c>
      <c r="I8477">
        <f>1/(COUNT(SimData5000!$B$9:$B$5008)-1)+$I$8476</f>
        <v>0.69373874774952782</v>
      </c>
      <c r="J8477">
        <f>SMALL(SimData5000!$C$9:$C$5008,3469)</f>
        <v>0.69648794534168701</v>
      </c>
      <c r="K8477">
        <f>1/(COUNT(SimData5000!$C$9:$C$5008)-1)+$K$8476</f>
        <v>0.69373874774952782</v>
      </c>
    </row>
    <row r="8478" spans="8:11">
      <c r="H8478">
        <f>SMALL(SimData5000!$B$9:$B$5008,3470)</f>
        <v>0.69386329431330396</v>
      </c>
      <c r="I8478">
        <f>1/(COUNT(SimData5000!$B$9:$B$5008)-1)+$I$8477</f>
        <v>0.69393878775752937</v>
      </c>
      <c r="J8478">
        <f>SMALL(SimData5000!$C$9:$C$5008,3470)</f>
        <v>0.69668918426305027</v>
      </c>
      <c r="K8478">
        <f>1/(COUNT(SimData5000!$C$9:$C$5008)-1)+$K$8477</f>
        <v>0.69393878775752937</v>
      </c>
    </row>
    <row r="8479" spans="8:11">
      <c r="H8479">
        <f>SMALL(SimData5000!$B$9:$B$5008,3471)</f>
        <v>0.69409438924298028</v>
      </c>
      <c r="I8479">
        <f>1/(COUNT(SimData5000!$B$9:$B$5008)-1)+$I$8478</f>
        <v>0.69413882776553093</v>
      </c>
      <c r="J8479">
        <f>SMALL(SimData5000!$C$9:$C$5008,3471)</f>
        <v>0.69677916121509043</v>
      </c>
      <c r="K8479">
        <f>1/(COUNT(SimData5000!$C$9:$C$5008)-1)+$K$8478</f>
        <v>0.69413882776553093</v>
      </c>
    </row>
    <row r="8480" spans="8:11">
      <c r="H8480">
        <f>SMALL(SimData5000!$B$9:$B$5008,3472)</f>
        <v>0.69424596676520212</v>
      </c>
      <c r="I8480">
        <f>1/(COUNT(SimData5000!$B$9:$B$5008)-1)+$I$8479</f>
        <v>0.69433886777353249</v>
      </c>
      <c r="J8480">
        <f>SMALL(SimData5000!$C$9:$C$5008,3472)</f>
        <v>0.69689033047689009</v>
      </c>
      <c r="K8480">
        <f>1/(COUNT(SimData5000!$C$9:$C$5008)-1)+$K$8479</f>
        <v>0.69433886777353249</v>
      </c>
    </row>
    <row r="8481" spans="8:11">
      <c r="H8481">
        <f>SMALL(SimData5000!$B$9:$B$5008,3473)</f>
        <v>0.69447821629673201</v>
      </c>
      <c r="I8481">
        <f>1/(COUNT(SimData5000!$B$9:$B$5008)-1)+$I$8480</f>
        <v>0.69453890778153404</v>
      </c>
      <c r="J8481">
        <f>SMALL(SimData5000!$C$9:$C$5008,3473)</f>
        <v>0.6968933575990377</v>
      </c>
      <c r="K8481">
        <f>1/(COUNT(SimData5000!$C$9:$C$5008)-1)+$K$8480</f>
        <v>0.69453890778153404</v>
      </c>
    </row>
    <row r="8482" spans="8:11">
      <c r="H8482">
        <f>SMALL(SimData5000!$B$9:$B$5008,3474)</f>
        <v>0.69473906885887005</v>
      </c>
      <c r="I8482">
        <f>1/(COUNT(SimData5000!$B$9:$B$5008)-1)+$I$8481</f>
        <v>0.6947389477895356</v>
      </c>
      <c r="J8482">
        <f>SMALL(SimData5000!$C$9:$C$5008,3474)</f>
        <v>0.69692158797352022</v>
      </c>
      <c r="K8482">
        <f>1/(COUNT(SimData5000!$C$9:$C$5008)-1)+$K$8481</f>
        <v>0.6947389477895356</v>
      </c>
    </row>
    <row r="8483" spans="8:11">
      <c r="H8483">
        <f>SMALL(SimData5000!$B$9:$B$5008,3475)</f>
        <v>0.69495295922838918</v>
      </c>
      <c r="I8483">
        <f>1/(COUNT(SimData5000!$B$9:$B$5008)-1)+$I$8482</f>
        <v>0.69493898779753716</v>
      </c>
      <c r="J8483">
        <f>SMALL(SimData5000!$C$9:$C$5008,3475)</f>
        <v>0.69696135983122076</v>
      </c>
      <c r="K8483">
        <f>1/(COUNT(SimData5000!$C$9:$C$5008)-1)+$K$8482</f>
        <v>0.69493898779753716</v>
      </c>
    </row>
    <row r="8484" spans="8:11">
      <c r="H8484">
        <f>SMALL(SimData5000!$B$9:$B$5008,3476)</f>
        <v>0.6950545243553945</v>
      </c>
      <c r="I8484">
        <f>1/(COUNT(SimData5000!$B$9:$B$5008)-1)+$I$8483</f>
        <v>0.69513902780553871</v>
      </c>
      <c r="J8484">
        <f>SMALL(SimData5000!$C$9:$C$5008,3476)</f>
        <v>0.69704211598218535</v>
      </c>
      <c r="K8484">
        <f>1/(COUNT(SimData5000!$C$9:$C$5008)-1)+$K$8483</f>
        <v>0.69513902780553871</v>
      </c>
    </row>
    <row r="8485" spans="8:11">
      <c r="H8485">
        <f>SMALL(SimData5000!$B$9:$B$5008,3477)</f>
        <v>0.69522400254104844</v>
      </c>
      <c r="I8485">
        <f>1/(COUNT(SimData5000!$B$9:$B$5008)-1)+$I$8484</f>
        <v>0.69533906781354027</v>
      </c>
      <c r="J8485">
        <f>SMALL(SimData5000!$C$9:$C$5008,3477)</f>
        <v>0.69705547538615065</v>
      </c>
      <c r="K8485">
        <f>1/(COUNT(SimData5000!$C$9:$C$5008)-1)+$K$8484</f>
        <v>0.69533906781354027</v>
      </c>
    </row>
    <row r="8486" spans="8:11">
      <c r="H8486">
        <f>SMALL(SimData5000!$B$9:$B$5008,3478)</f>
        <v>0.69544997040542078</v>
      </c>
      <c r="I8486">
        <f>1/(COUNT(SimData5000!$B$9:$B$5008)-1)+$I$8485</f>
        <v>0.69553910782154182</v>
      </c>
      <c r="J8486">
        <f>SMALL(SimData5000!$C$9:$C$5008,3478)</f>
        <v>0.69721947634752723</v>
      </c>
      <c r="K8486">
        <f>1/(COUNT(SimData5000!$C$9:$C$5008)-1)+$K$8485</f>
        <v>0.69553910782154182</v>
      </c>
    </row>
    <row r="8487" spans="8:11">
      <c r="H8487">
        <f>SMALL(SimData5000!$B$9:$B$5008,3479)</f>
        <v>0.69570248025751258</v>
      </c>
      <c r="I8487">
        <f>1/(COUNT(SimData5000!$B$9:$B$5008)-1)+$I$8486</f>
        <v>0.69573914782954338</v>
      </c>
      <c r="J8487">
        <f>SMALL(SimData5000!$C$9:$C$5008,3479)</f>
        <v>0.69728004024091206</v>
      </c>
      <c r="K8487">
        <f>1/(COUNT(SimData5000!$C$9:$C$5008)-1)+$K$8486</f>
        <v>0.69573914782954338</v>
      </c>
    </row>
    <row r="8488" spans="8:11">
      <c r="H8488">
        <f>SMALL(SimData5000!$B$9:$B$5008,3480)</f>
        <v>0.69593995301512535</v>
      </c>
      <c r="I8488">
        <f>1/(COUNT(SimData5000!$B$9:$B$5008)-1)+$I$8487</f>
        <v>0.69593918783754494</v>
      </c>
      <c r="J8488">
        <f>SMALL(SimData5000!$C$9:$C$5008,3480)</f>
        <v>0.69741535246885178</v>
      </c>
      <c r="K8488">
        <f>1/(COUNT(SimData5000!$C$9:$C$5008)-1)+$K$8487</f>
        <v>0.69593918783754494</v>
      </c>
    </row>
    <row r="8489" spans="8:11">
      <c r="H8489">
        <f>SMALL(SimData5000!$B$9:$B$5008,3481)</f>
        <v>0.69617494328328755</v>
      </c>
      <c r="I8489">
        <f>1/(COUNT(SimData5000!$B$9:$B$5008)-1)+$I$8488</f>
        <v>0.69613922784554649</v>
      </c>
      <c r="J8489">
        <f>SMALL(SimData5000!$C$9:$C$5008,3481)</f>
        <v>0.6976084525913393</v>
      </c>
      <c r="K8489">
        <f>1/(COUNT(SimData5000!$C$9:$C$5008)-1)+$K$8488</f>
        <v>0.69613922784554649</v>
      </c>
    </row>
    <row r="8490" spans="8:11">
      <c r="H8490">
        <f>SMALL(SimData5000!$B$9:$B$5008,3482)</f>
        <v>0.69638820262844403</v>
      </c>
      <c r="I8490">
        <f>1/(COUNT(SimData5000!$B$9:$B$5008)-1)+$I$8489</f>
        <v>0.69633926785354805</v>
      </c>
      <c r="J8490">
        <f>SMALL(SimData5000!$C$9:$C$5008,3482)</f>
        <v>0.69781671776036092</v>
      </c>
      <c r="K8490">
        <f>1/(COUNT(SimData5000!$C$9:$C$5008)-1)+$K$8489</f>
        <v>0.69633926785354805</v>
      </c>
    </row>
    <row r="8491" spans="8:11">
      <c r="H8491">
        <f>SMALL(SimData5000!$B$9:$B$5008,3483)</f>
        <v>0.69658030602656784</v>
      </c>
      <c r="I8491">
        <f>1/(COUNT(SimData5000!$B$9:$B$5008)-1)+$I$8490</f>
        <v>0.69653930786154961</v>
      </c>
      <c r="J8491">
        <f>SMALL(SimData5000!$C$9:$C$5008,3483)</f>
        <v>0.6983019817762397</v>
      </c>
      <c r="K8491">
        <f>1/(COUNT(SimData5000!$C$9:$C$5008)-1)+$K$8490</f>
        <v>0.69653930786154961</v>
      </c>
    </row>
    <row r="8492" spans="8:11">
      <c r="H8492">
        <f>SMALL(SimData5000!$B$9:$B$5008,3484)</f>
        <v>0.69664352509911254</v>
      </c>
      <c r="I8492">
        <f>1/(COUNT(SimData5000!$B$9:$B$5008)-1)+$I$8491</f>
        <v>0.69673934786955116</v>
      </c>
      <c r="J8492">
        <f>SMALL(SimData5000!$C$9:$C$5008,3484)</f>
        <v>0.69841763319618622</v>
      </c>
      <c r="K8492">
        <f>1/(COUNT(SimData5000!$C$9:$C$5008)-1)+$K$8491</f>
        <v>0.69673934786955116</v>
      </c>
    </row>
    <row r="8493" spans="8:11">
      <c r="H8493">
        <f>SMALL(SimData5000!$B$9:$B$5008,3485)</f>
        <v>0.69688129446303504</v>
      </c>
      <c r="I8493">
        <f>1/(COUNT(SimData5000!$B$9:$B$5008)-1)+$I$8492</f>
        <v>0.69693938787755272</v>
      </c>
      <c r="J8493">
        <f>SMALL(SimData5000!$C$9:$C$5008,3485)</f>
        <v>0.69844050657229673</v>
      </c>
      <c r="K8493">
        <f>1/(COUNT(SimData5000!$C$9:$C$5008)-1)+$K$8492</f>
        <v>0.69693938787755272</v>
      </c>
    </row>
    <row r="8494" spans="8:11">
      <c r="H8494">
        <f>SMALL(SimData5000!$B$9:$B$5008,3486)</f>
        <v>0.69703552888329967</v>
      </c>
      <c r="I8494">
        <f>1/(COUNT(SimData5000!$B$9:$B$5008)-1)+$I$8493</f>
        <v>0.69713942788555427</v>
      </c>
      <c r="J8494">
        <f>SMALL(SimData5000!$C$9:$C$5008,3486)</f>
        <v>0.69850472417238052</v>
      </c>
      <c r="K8494">
        <f>1/(COUNT(SimData5000!$C$9:$C$5008)-1)+$K$8493</f>
        <v>0.69713942788555427</v>
      </c>
    </row>
    <row r="8495" spans="8:11">
      <c r="H8495">
        <f>SMALL(SimData5000!$B$9:$B$5008,3487)</f>
        <v>0.69731256077208381</v>
      </c>
      <c r="I8495">
        <f>1/(COUNT(SimData5000!$B$9:$B$5008)-1)+$I$8494</f>
        <v>0.69733946789355583</v>
      </c>
      <c r="J8495">
        <f>SMALL(SimData5000!$C$9:$C$5008,3487)</f>
        <v>0.69875645892625471</v>
      </c>
      <c r="K8495">
        <f>1/(COUNT(SimData5000!$C$9:$C$5008)-1)+$K$8494</f>
        <v>0.69733946789355583</v>
      </c>
    </row>
    <row r="8496" spans="8:11">
      <c r="H8496">
        <f>SMALL(SimData5000!$B$9:$B$5008,3488)</f>
        <v>0.69751995026024993</v>
      </c>
      <c r="I8496">
        <f>1/(COUNT(SimData5000!$B$9:$B$5008)-1)+$I$8495</f>
        <v>0.69753950790155739</v>
      </c>
      <c r="J8496">
        <f>SMALL(SimData5000!$C$9:$C$5008,3488)</f>
        <v>0.69881003897171468</v>
      </c>
      <c r="K8496">
        <f>1/(COUNT(SimData5000!$C$9:$C$5008)-1)+$K$8495</f>
        <v>0.69753950790155739</v>
      </c>
    </row>
    <row r="8497" spans="8:11">
      <c r="H8497">
        <f>SMALL(SimData5000!$B$9:$B$5008,3489)</f>
        <v>0.69778608289402577</v>
      </c>
      <c r="I8497">
        <f>1/(COUNT(SimData5000!$B$9:$B$5008)-1)+$I$8496</f>
        <v>0.69773954790955894</v>
      </c>
      <c r="J8497">
        <f>SMALL(SimData5000!$C$9:$C$5008,3489)</f>
        <v>0.69888274178629217</v>
      </c>
      <c r="K8497">
        <f>1/(COUNT(SimData5000!$C$9:$C$5008)-1)+$K$8496</f>
        <v>0.69773954790955894</v>
      </c>
    </row>
    <row r="8498" spans="8:11">
      <c r="H8498">
        <f>SMALL(SimData5000!$B$9:$B$5008,3490)</f>
        <v>0.69796071177519869</v>
      </c>
      <c r="I8498">
        <f>1/(COUNT(SimData5000!$B$9:$B$5008)-1)+$I$8497</f>
        <v>0.6979395879175605</v>
      </c>
      <c r="J8498">
        <f>SMALL(SimData5000!$C$9:$C$5008,3490)</f>
        <v>0.69983232012145891</v>
      </c>
      <c r="K8498">
        <f>1/(COUNT(SimData5000!$C$9:$C$5008)-1)+$K$8497</f>
        <v>0.6979395879175605</v>
      </c>
    </row>
    <row r="8499" spans="8:11">
      <c r="H8499">
        <f>SMALL(SimData5000!$B$9:$B$5008,3491)</f>
        <v>0.69805014949404864</v>
      </c>
      <c r="I8499">
        <f>1/(COUNT(SimData5000!$B$9:$B$5008)-1)+$I$8498</f>
        <v>0.69813962792556206</v>
      </c>
      <c r="J8499">
        <f>SMALL(SimData5000!$C$9:$C$5008,3491)</f>
        <v>0.70007300268571271</v>
      </c>
      <c r="K8499">
        <f>1/(COUNT(SimData5000!$C$9:$C$5008)-1)+$K$8498</f>
        <v>0.69813962792556206</v>
      </c>
    </row>
    <row r="8500" spans="8:11">
      <c r="H8500">
        <f>SMALL(SimData5000!$B$9:$B$5008,3492)</f>
        <v>0.69827905871106288</v>
      </c>
      <c r="I8500">
        <f>1/(COUNT(SimData5000!$B$9:$B$5008)-1)+$I$8499</f>
        <v>0.69833966793356361</v>
      </c>
      <c r="J8500">
        <f>SMALL(SimData5000!$C$9:$C$5008,3492)</f>
        <v>0.70018639126556081</v>
      </c>
      <c r="K8500">
        <f>1/(COUNT(SimData5000!$C$9:$C$5008)-1)+$K$8499</f>
        <v>0.69833966793356361</v>
      </c>
    </row>
    <row r="8501" spans="8:11">
      <c r="H8501">
        <f>SMALL(SimData5000!$B$9:$B$5008,3493)</f>
        <v>0.69843463407392492</v>
      </c>
      <c r="I8501">
        <f>1/(COUNT(SimData5000!$B$9:$B$5008)-1)+$I$8500</f>
        <v>0.69853970794156517</v>
      </c>
      <c r="J8501">
        <f>SMALL(SimData5000!$C$9:$C$5008,3493)</f>
        <v>0.70019068715828325</v>
      </c>
      <c r="K8501">
        <f>1/(COUNT(SimData5000!$C$9:$C$5008)-1)+$K$8500</f>
        <v>0.69853970794156517</v>
      </c>
    </row>
    <row r="8502" spans="8:11">
      <c r="H8502">
        <f>SMALL(SimData5000!$B$9:$B$5008,3494)</f>
        <v>0.69874917861929842</v>
      </c>
      <c r="I8502">
        <f>1/(COUNT(SimData5000!$B$9:$B$5008)-1)+$I$8501</f>
        <v>0.69873974794956673</v>
      </c>
      <c r="J8502">
        <f>SMALL(SimData5000!$C$9:$C$5008,3494)</f>
        <v>0.70035600674418674</v>
      </c>
      <c r="K8502">
        <f>1/(COUNT(SimData5000!$C$9:$C$5008)-1)+$K$8501</f>
        <v>0.69873974794956673</v>
      </c>
    </row>
    <row r="8503" spans="8:11">
      <c r="H8503">
        <f>SMALL(SimData5000!$B$9:$B$5008,3495)</f>
        <v>0.69895547370355471</v>
      </c>
      <c r="I8503">
        <f>1/(COUNT(SimData5000!$B$9:$B$5008)-1)+$I$8502</f>
        <v>0.69893978795756828</v>
      </c>
      <c r="J8503">
        <f>SMALL(SimData5000!$C$9:$C$5008,3495)</f>
        <v>0.7013728373012782</v>
      </c>
      <c r="K8503">
        <f>1/(COUNT(SimData5000!$C$9:$C$5008)-1)+$K$8502</f>
        <v>0.69893978795756828</v>
      </c>
    </row>
    <row r="8504" spans="8:11">
      <c r="H8504">
        <f>SMALL(SimData5000!$B$9:$B$5008,3496)</f>
        <v>0.69910636505389268</v>
      </c>
      <c r="I8504">
        <f>1/(COUNT(SimData5000!$B$9:$B$5008)-1)+$I$8503</f>
        <v>0.69913982796556984</v>
      </c>
      <c r="J8504">
        <f>SMALL(SimData5000!$C$9:$C$5008,3496)</f>
        <v>0.70142667024992988</v>
      </c>
      <c r="K8504">
        <f>1/(COUNT(SimData5000!$C$9:$C$5008)-1)+$K$8503</f>
        <v>0.69913982796556984</v>
      </c>
    </row>
    <row r="8505" spans="8:11">
      <c r="H8505">
        <f>SMALL(SimData5000!$B$9:$B$5008,3497)</f>
        <v>0.6992157996443602</v>
      </c>
      <c r="I8505">
        <f>1/(COUNT(SimData5000!$B$9:$B$5008)-1)+$I$8504</f>
        <v>0.69933986797357139</v>
      </c>
      <c r="J8505">
        <f>SMALL(SimData5000!$C$9:$C$5008,3497)</f>
        <v>0.70212417747188738</v>
      </c>
      <c r="K8505">
        <f>1/(COUNT(SimData5000!$C$9:$C$5008)-1)+$K$8504</f>
        <v>0.69933986797357139</v>
      </c>
    </row>
    <row r="8506" spans="8:11">
      <c r="H8506">
        <f>SMALL(SimData5000!$B$9:$B$5008,3498)</f>
        <v>0.69944308455531556</v>
      </c>
      <c r="I8506">
        <f>1/(COUNT(SimData5000!$B$9:$B$5008)-1)+$I$8505</f>
        <v>0.69953990798157295</v>
      </c>
      <c r="J8506">
        <f>SMALL(SimData5000!$C$9:$C$5008,3498)</f>
        <v>0.70212641607668047</v>
      </c>
      <c r="K8506">
        <f>1/(COUNT(SimData5000!$C$9:$C$5008)-1)+$K$8505</f>
        <v>0.69953990798157295</v>
      </c>
    </row>
    <row r="8507" spans="8:11">
      <c r="H8507">
        <f>SMALL(SimData5000!$B$9:$B$5008,3499)</f>
        <v>0.69965376797221923</v>
      </c>
      <c r="I8507">
        <f>1/(COUNT(SimData5000!$B$9:$B$5008)-1)+$I$8506</f>
        <v>0.69973994798957451</v>
      </c>
      <c r="J8507">
        <f>SMALL(SimData5000!$C$9:$C$5008,3499)</f>
        <v>0.70240761957848008</v>
      </c>
      <c r="K8507">
        <f>1/(COUNT(SimData5000!$C$9:$C$5008)-1)+$K$8506</f>
        <v>0.69973994798957451</v>
      </c>
    </row>
    <row r="8508" spans="8:11">
      <c r="H8508">
        <f>SMALL(SimData5000!$B$9:$B$5008,3500)</f>
        <v>0.69994051275740854</v>
      </c>
      <c r="I8508">
        <f>1/(COUNT(SimData5000!$B$9:$B$5008)-1)+$I$8507</f>
        <v>0.69993998799757606</v>
      </c>
      <c r="J8508">
        <f>SMALL(SimData5000!$C$9:$C$5008,3500)</f>
        <v>0.70413826791082101</v>
      </c>
      <c r="K8508">
        <f>1/(COUNT(SimData5000!$C$9:$C$5008)-1)+$K$8507</f>
        <v>0.69993998799757606</v>
      </c>
    </row>
    <row r="8509" spans="8:11">
      <c r="H8509">
        <f>SMALL(SimData5000!$B$9:$B$5008,3501)</f>
        <v>0.70009222687349937</v>
      </c>
      <c r="I8509">
        <f>1/(COUNT(SimData5000!$B$9:$B$5008)-1)+$I$8508</f>
        <v>0.70014002800557762</v>
      </c>
      <c r="J8509">
        <f>SMALL(SimData5000!$C$9:$C$5008,3501)</f>
        <v>0.70438409838425287</v>
      </c>
      <c r="K8509">
        <f>1/(COUNT(SimData5000!$C$9:$C$5008)-1)+$K$8508</f>
        <v>0.70014002800557762</v>
      </c>
    </row>
    <row r="8510" spans="8:11">
      <c r="H8510">
        <f>SMALL(SimData5000!$B$9:$B$5008,3502)</f>
        <v>0.70027225878626864</v>
      </c>
      <c r="I8510">
        <f>1/(COUNT(SimData5000!$B$9:$B$5008)-1)+$I$8509</f>
        <v>0.70034006801357918</v>
      </c>
      <c r="J8510">
        <f>SMALL(SimData5000!$C$9:$C$5008,3502)</f>
        <v>0.70479140809311502</v>
      </c>
      <c r="K8510">
        <f>1/(COUNT(SimData5000!$C$9:$C$5008)-1)+$K$8509</f>
        <v>0.70034006801357918</v>
      </c>
    </row>
    <row r="8511" spans="8:11">
      <c r="H8511">
        <f>SMALL(SimData5000!$B$9:$B$5008,3503)</f>
        <v>0.70045587221152517</v>
      </c>
      <c r="I8511">
        <f>1/(COUNT(SimData5000!$B$9:$B$5008)-1)+$I$8510</f>
        <v>0.70054010802158073</v>
      </c>
      <c r="J8511">
        <f>SMALL(SimData5000!$C$9:$C$5008,3503)</f>
        <v>0.7048174634719544</v>
      </c>
      <c r="K8511">
        <f>1/(COUNT(SimData5000!$C$9:$C$5008)-1)+$K$8510</f>
        <v>0.70054010802158073</v>
      </c>
    </row>
    <row r="8512" spans="8:11">
      <c r="H8512">
        <f>SMALL(SimData5000!$B$9:$B$5008,3504)</f>
        <v>0.70075551024595173</v>
      </c>
      <c r="I8512">
        <f>1/(COUNT(SimData5000!$B$9:$B$5008)-1)+$I$8511</f>
        <v>0.70074014802958229</v>
      </c>
      <c r="J8512">
        <f>SMALL(SimData5000!$C$9:$C$5008,3504)</f>
        <v>0.70527704830874427</v>
      </c>
      <c r="K8512">
        <f>1/(COUNT(SimData5000!$C$9:$C$5008)-1)+$K$8511</f>
        <v>0.70074014802958229</v>
      </c>
    </row>
    <row r="8513" spans="8:11">
      <c r="H8513">
        <f>SMALL(SimData5000!$B$9:$B$5008,3505)</f>
        <v>0.70085348512745782</v>
      </c>
      <c r="I8513">
        <f>1/(COUNT(SimData5000!$B$9:$B$5008)-1)+$I$8512</f>
        <v>0.70094018803758384</v>
      </c>
      <c r="J8513">
        <f>SMALL(SimData5000!$C$9:$C$5008,3505)</f>
        <v>0.70540821948361554</v>
      </c>
      <c r="K8513">
        <f>1/(COUNT(SimData5000!$C$9:$C$5008)-1)+$K$8512</f>
        <v>0.70094018803758384</v>
      </c>
    </row>
    <row r="8514" spans="8:11">
      <c r="H8514">
        <f>SMALL(SimData5000!$B$9:$B$5008,3506)</f>
        <v>0.70115066734984299</v>
      </c>
      <c r="I8514">
        <f>1/(COUNT(SimData5000!$B$9:$B$5008)-1)+$I$8513</f>
        <v>0.7011402280455854</v>
      </c>
      <c r="J8514">
        <f>SMALL(SimData5000!$C$9:$C$5008,3506)</f>
        <v>0.70658461708626419</v>
      </c>
      <c r="K8514">
        <f>1/(COUNT(SimData5000!$C$9:$C$5008)-1)+$K$8513</f>
        <v>0.7011402280455854</v>
      </c>
    </row>
    <row r="8515" spans="8:11">
      <c r="H8515">
        <f>SMALL(SimData5000!$B$9:$B$5008,3507)</f>
        <v>0.7013785964242133</v>
      </c>
      <c r="I8515">
        <f>1/(COUNT(SimData5000!$B$9:$B$5008)-1)+$I$8514</f>
        <v>0.70134026805358696</v>
      </c>
      <c r="J8515">
        <f>SMALL(SimData5000!$C$9:$C$5008,3507)</f>
        <v>0.70664315361864283</v>
      </c>
      <c r="K8515">
        <f>1/(COUNT(SimData5000!$C$9:$C$5008)-1)+$K$8514</f>
        <v>0.70134026805358696</v>
      </c>
    </row>
    <row r="8516" spans="8:11">
      <c r="H8516">
        <f>SMALL(SimData5000!$B$9:$B$5008,3508)</f>
        <v>0.70148159643981645</v>
      </c>
      <c r="I8516">
        <f>1/(COUNT(SimData5000!$B$9:$B$5008)-1)+$I$8515</f>
        <v>0.70154030806158851</v>
      </c>
      <c r="J8516">
        <f>SMALL(SimData5000!$C$9:$C$5008,3508)</f>
        <v>0.70666619492840255</v>
      </c>
      <c r="K8516">
        <f>1/(COUNT(SimData5000!$C$9:$C$5008)-1)+$K$8515</f>
        <v>0.70154030806158851</v>
      </c>
    </row>
    <row r="8517" spans="8:11">
      <c r="H8517">
        <f>SMALL(SimData5000!$B$9:$B$5008,3509)</f>
        <v>0.70164127237960727</v>
      </c>
      <c r="I8517">
        <f>1/(COUNT(SimData5000!$B$9:$B$5008)-1)+$I$8516</f>
        <v>0.70174034806959007</v>
      </c>
      <c r="J8517">
        <f>SMALL(SimData5000!$C$9:$C$5008,3509)</f>
        <v>0.70675031278369715</v>
      </c>
      <c r="K8517">
        <f>1/(COUNT(SimData5000!$C$9:$C$5008)-1)+$K$8516</f>
        <v>0.70174034806959007</v>
      </c>
    </row>
    <row r="8518" spans="8:11">
      <c r="H8518">
        <f>SMALL(SimData5000!$B$9:$B$5008,3510)</f>
        <v>0.7018599596209032</v>
      </c>
      <c r="I8518">
        <f>1/(COUNT(SimData5000!$B$9:$B$5008)-1)+$I$8517</f>
        <v>0.70194038807759163</v>
      </c>
      <c r="J8518">
        <f>SMALL(SimData5000!$C$9:$C$5008,3510)</f>
        <v>0.70712878158701642</v>
      </c>
      <c r="K8518">
        <f>1/(COUNT(SimData5000!$C$9:$C$5008)-1)+$K$8517</f>
        <v>0.70194038807759163</v>
      </c>
    </row>
    <row r="8519" spans="8:11">
      <c r="H8519">
        <f>SMALL(SimData5000!$B$9:$B$5008,3511)</f>
        <v>0.70218221674770631</v>
      </c>
      <c r="I8519">
        <f>1/(COUNT(SimData5000!$B$9:$B$5008)-1)+$I$8518</f>
        <v>0.70214042808559318</v>
      </c>
      <c r="J8519">
        <f>SMALL(SimData5000!$C$9:$C$5008,3511)</f>
        <v>0.70741110368635418</v>
      </c>
      <c r="K8519">
        <f>1/(COUNT(SimData5000!$C$9:$C$5008)-1)+$K$8518</f>
        <v>0.70214042808559318</v>
      </c>
    </row>
    <row r="8520" spans="8:11">
      <c r="H8520">
        <f>SMALL(SimData5000!$B$9:$B$5008,3512)</f>
        <v>0.70230073541926707</v>
      </c>
      <c r="I8520">
        <f>1/(COUNT(SimData5000!$B$9:$B$5008)-1)+$I$8519</f>
        <v>0.70234046809359474</v>
      </c>
      <c r="J8520">
        <f>SMALL(SimData5000!$C$9:$C$5008,3512)</f>
        <v>0.70771372992021497</v>
      </c>
      <c r="K8520">
        <f>1/(COUNT(SimData5000!$C$9:$C$5008)-1)+$K$8519</f>
        <v>0.70234046809359474</v>
      </c>
    </row>
    <row r="8521" spans="8:11">
      <c r="H8521">
        <f>SMALL(SimData5000!$B$9:$B$5008,3513)</f>
        <v>0.70251697632933896</v>
      </c>
      <c r="I8521">
        <f>1/(COUNT(SimData5000!$B$9:$B$5008)-1)+$I$8520</f>
        <v>0.70254050810159629</v>
      </c>
      <c r="J8521">
        <f>SMALL(SimData5000!$C$9:$C$5008,3513)</f>
        <v>0.70786052718904102</v>
      </c>
      <c r="K8521">
        <f>1/(COUNT(SimData5000!$C$9:$C$5008)-1)+$K$8520</f>
        <v>0.70254050810159629</v>
      </c>
    </row>
    <row r="8522" spans="8:11">
      <c r="H8522">
        <f>SMALL(SimData5000!$B$9:$B$5008,3514)</f>
        <v>0.70268316900252437</v>
      </c>
      <c r="I8522">
        <f>1/(COUNT(SimData5000!$B$9:$B$5008)-1)+$I$8521</f>
        <v>0.70274054810959785</v>
      </c>
      <c r="J8522">
        <f>SMALL(SimData5000!$C$9:$C$5008,3514)</f>
        <v>0.70837672546258545</v>
      </c>
      <c r="K8522">
        <f>1/(COUNT(SimData5000!$C$9:$C$5008)-1)+$K$8521</f>
        <v>0.70274054810959785</v>
      </c>
    </row>
    <row r="8523" spans="8:11">
      <c r="H8523">
        <f>SMALL(SimData5000!$B$9:$B$5008,3515)</f>
        <v>0.70285734741684458</v>
      </c>
      <c r="I8523">
        <f>1/(COUNT(SimData5000!$B$9:$B$5008)-1)+$I$8522</f>
        <v>0.70294058811759941</v>
      </c>
      <c r="J8523">
        <f>SMALL(SimData5000!$C$9:$C$5008,3515)</f>
        <v>0.70903160448506242</v>
      </c>
      <c r="K8523">
        <f>1/(COUNT(SimData5000!$C$9:$C$5008)-1)+$K$8522</f>
        <v>0.70294058811759941</v>
      </c>
    </row>
    <row r="8524" spans="8:11">
      <c r="H8524">
        <f>SMALL(SimData5000!$B$9:$B$5008,3516)</f>
        <v>0.70318534533022559</v>
      </c>
      <c r="I8524">
        <f>1/(COUNT(SimData5000!$B$9:$B$5008)-1)+$I$8523</f>
        <v>0.70314062812560096</v>
      </c>
      <c r="J8524">
        <f>SMALL(SimData5000!$C$9:$C$5008,3516)</f>
        <v>0.70903831780196924</v>
      </c>
      <c r="K8524">
        <f>1/(COUNT(SimData5000!$C$9:$C$5008)-1)+$K$8523</f>
        <v>0.70314062812560096</v>
      </c>
    </row>
    <row r="8525" spans="8:11">
      <c r="H8525">
        <f>SMALL(SimData5000!$B$9:$B$5008,3517)</f>
        <v>0.70327794678389988</v>
      </c>
      <c r="I8525">
        <f>1/(COUNT(SimData5000!$B$9:$B$5008)-1)+$I$8524</f>
        <v>0.70334066813360252</v>
      </c>
      <c r="J8525">
        <f>SMALL(SimData5000!$C$9:$C$5008,3517)</f>
        <v>0.70908633589533565</v>
      </c>
      <c r="K8525">
        <f>1/(COUNT(SimData5000!$C$9:$C$5008)-1)+$K$8524</f>
        <v>0.70334066813360252</v>
      </c>
    </row>
    <row r="8526" spans="8:11">
      <c r="H8526">
        <f>SMALL(SimData5000!$B$9:$B$5008,3518)</f>
        <v>0.7035718330167634</v>
      </c>
      <c r="I8526">
        <f>1/(COUNT(SimData5000!$B$9:$B$5008)-1)+$I$8525</f>
        <v>0.70354070814160408</v>
      </c>
      <c r="J8526">
        <f>SMALL(SimData5000!$C$9:$C$5008,3518)</f>
        <v>0.70924386945625884</v>
      </c>
      <c r="K8526">
        <f>1/(COUNT(SimData5000!$C$9:$C$5008)-1)+$K$8525</f>
        <v>0.70354070814160408</v>
      </c>
    </row>
    <row r="8527" spans="8:11">
      <c r="H8527">
        <f>SMALL(SimData5000!$B$9:$B$5008,3519)</f>
        <v>0.70376649193958529</v>
      </c>
      <c r="I8527">
        <f>1/(COUNT(SimData5000!$B$9:$B$5008)-1)+$I$8526</f>
        <v>0.70374074814960563</v>
      </c>
      <c r="J8527">
        <f>SMALL(SimData5000!$C$9:$C$5008,3519)</f>
        <v>0.71000733518212655</v>
      </c>
      <c r="K8527">
        <f>1/(COUNT(SimData5000!$C$9:$C$5008)-1)+$K$8526</f>
        <v>0.70374074814960563</v>
      </c>
    </row>
    <row r="8528" spans="8:11">
      <c r="H8528">
        <f>SMALL(SimData5000!$B$9:$B$5008,3520)</f>
        <v>0.70399463183102073</v>
      </c>
      <c r="I8528">
        <f>1/(COUNT(SimData5000!$B$9:$B$5008)-1)+$I$8527</f>
        <v>0.70394078815760719</v>
      </c>
      <c r="J8528">
        <f>SMALL(SimData5000!$C$9:$C$5008,3520)</f>
        <v>0.71008622953650047</v>
      </c>
      <c r="K8528">
        <f>1/(COUNT(SimData5000!$C$9:$C$5008)-1)+$K$8527</f>
        <v>0.70394078815760719</v>
      </c>
    </row>
    <row r="8529" spans="8:11">
      <c r="H8529">
        <f>SMALL(SimData5000!$B$9:$B$5008,3521)</f>
        <v>0.70415907328528327</v>
      </c>
      <c r="I8529">
        <f>1/(COUNT(SimData5000!$B$9:$B$5008)-1)+$I$8528</f>
        <v>0.70414082816560875</v>
      </c>
      <c r="J8529">
        <f>SMALL(SimData5000!$C$9:$C$5008,3521)</f>
        <v>0.71014621844005887</v>
      </c>
      <c r="K8529">
        <f>1/(COUNT(SimData5000!$C$9:$C$5008)-1)+$K$8528</f>
        <v>0.70414082816560875</v>
      </c>
    </row>
    <row r="8530" spans="8:11">
      <c r="H8530">
        <f>SMALL(SimData5000!$B$9:$B$5008,3522)</f>
        <v>0.70428121025582802</v>
      </c>
      <c r="I8530">
        <f>1/(COUNT(SimData5000!$B$9:$B$5008)-1)+$I$8529</f>
        <v>0.7043408681736103</v>
      </c>
      <c r="J8530">
        <f>SMALL(SimData5000!$C$9:$C$5008,3522)</f>
        <v>0.71016032572697441</v>
      </c>
      <c r="K8530">
        <f>1/(COUNT(SimData5000!$C$9:$C$5008)-1)+$K$8529</f>
        <v>0.7043408681736103</v>
      </c>
    </row>
    <row r="8531" spans="8:11">
      <c r="H8531">
        <f>SMALL(SimData5000!$B$9:$B$5008,3523)</f>
        <v>0.70457607132796574</v>
      </c>
      <c r="I8531">
        <f>1/(COUNT(SimData5000!$B$9:$B$5008)-1)+$I$8530</f>
        <v>0.70454090818161186</v>
      </c>
      <c r="J8531">
        <f>SMALL(SimData5000!$C$9:$C$5008,3523)</f>
        <v>0.71028634896993026</v>
      </c>
      <c r="K8531">
        <f>1/(COUNT(SimData5000!$C$9:$C$5008)-1)+$K$8530</f>
        <v>0.70454090818161186</v>
      </c>
    </row>
    <row r="8532" spans="8:11">
      <c r="H8532">
        <f>SMALL(SimData5000!$B$9:$B$5008,3524)</f>
        <v>0.7046816099509321</v>
      </c>
      <c r="I8532">
        <f>1/(COUNT(SimData5000!$B$9:$B$5008)-1)+$I$8531</f>
        <v>0.70474094818961341</v>
      </c>
      <c r="J8532">
        <f>SMALL(SimData5000!$C$9:$C$5008,3524)</f>
        <v>0.71028791116350476</v>
      </c>
      <c r="K8532">
        <f>1/(COUNT(SimData5000!$C$9:$C$5008)-1)+$K$8531</f>
        <v>0.70474094818961341</v>
      </c>
    </row>
    <row r="8533" spans="8:11">
      <c r="H8533">
        <f>SMALL(SimData5000!$B$9:$B$5008,3525)</f>
        <v>0.70481759588229875</v>
      </c>
      <c r="I8533">
        <f>1/(COUNT(SimData5000!$B$9:$B$5008)-1)+$I$8532</f>
        <v>0.70494098819761497</v>
      </c>
      <c r="J8533">
        <f>SMALL(SimData5000!$C$9:$C$5008,3525)</f>
        <v>0.71108708111660235</v>
      </c>
      <c r="K8533">
        <f>1/(COUNT(SimData5000!$C$9:$C$5008)-1)+$K$8532</f>
        <v>0.70494098819761497</v>
      </c>
    </row>
    <row r="8534" spans="8:11">
      <c r="H8534">
        <f>SMALL(SimData5000!$B$9:$B$5008,3526)</f>
        <v>0.70504684552467589</v>
      </c>
      <c r="I8534">
        <f>1/(COUNT(SimData5000!$B$9:$B$5008)-1)+$I$8533</f>
        <v>0.70514102820561653</v>
      </c>
      <c r="J8534">
        <f>SMALL(SimData5000!$C$9:$C$5008,3526)</f>
        <v>0.71120883173352922</v>
      </c>
      <c r="K8534">
        <f>1/(COUNT(SimData5000!$C$9:$C$5008)-1)+$K$8533</f>
        <v>0.70514102820561653</v>
      </c>
    </row>
    <row r="8535" spans="8:11">
      <c r="H8535">
        <f>SMALL(SimData5000!$B$9:$B$5008,3527)</f>
        <v>0.70535319814727482</v>
      </c>
      <c r="I8535">
        <f>1/(COUNT(SimData5000!$B$9:$B$5008)-1)+$I$8534</f>
        <v>0.70534106821361808</v>
      </c>
      <c r="J8535">
        <f>SMALL(SimData5000!$C$9:$C$5008,3527)</f>
        <v>0.71124726800644567</v>
      </c>
      <c r="K8535">
        <f>1/(COUNT(SimData5000!$C$9:$C$5008)-1)+$K$8534</f>
        <v>0.70534106821361808</v>
      </c>
    </row>
    <row r="8536" spans="8:11">
      <c r="H8536">
        <f>SMALL(SimData5000!$B$9:$B$5008,3528)</f>
        <v>0.70553757088429703</v>
      </c>
      <c r="I8536">
        <f>1/(COUNT(SimData5000!$B$9:$B$5008)-1)+$I$8535</f>
        <v>0.70554110822161964</v>
      </c>
      <c r="J8536">
        <f>SMALL(SimData5000!$C$9:$C$5008,3528)</f>
        <v>0.71138060766861599</v>
      </c>
      <c r="K8536">
        <f>1/(COUNT(SimData5000!$C$9:$C$5008)-1)+$K$8535</f>
        <v>0.70554110822161964</v>
      </c>
    </row>
    <row r="8537" spans="8:11">
      <c r="H8537">
        <f>SMALL(SimData5000!$B$9:$B$5008,3529)</f>
        <v>0.70563937499416984</v>
      </c>
      <c r="I8537">
        <f>1/(COUNT(SimData5000!$B$9:$B$5008)-1)+$I$8536</f>
        <v>0.7057411482296212</v>
      </c>
      <c r="J8537">
        <f>SMALL(SimData5000!$C$9:$C$5008,3529)</f>
        <v>0.71164224236053997</v>
      </c>
      <c r="K8537">
        <f>1/(COUNT(SimData5000!$C$9:$C$5008)-1)+$K$8536</f>
        <v>0.7057411482296212</v>
      </c>
    </row>
    <row r="8538" spans="8:11">
      <c r="H8538">
        <f>SMALL(SimData5000!$B$9:$B$5008,3530)</f>
        <v>0.70582286406662853</v>
      </c>
      <c r="I8538">
        <f>1/(COUNT(SimData5000!$B$9:$B$5008)-1)+$I$8537</f>
        <v>0.70594118823762275</v>
      </c>
      <c r="J8538">
        <f>SMALL(SimData5000!$C$9:$C$5008,3530)</f>
        <v>0.71175854335888289</v>
      </c>
      <c r="K8538">
        <f>1/(COUNT(SimData5000!$C$9:$C$5008)-1)+$K$8537</f>
        <v>0.70594118823762275</v>
      </c>
    </row>
    <row r="8539" spans="8:11">
      <c r="H8539">
        <f>SMALL(SimData5000!$B$9:$B$5008,3531)</f>
        <v>0.70610801292744185</v>
      </c>
      <c r="I8539">
        <f>1/(COUNT(SimData5000!$B$9:$B$5008)-1)+$I$8538</f>
        <v>0.70614122824562431</v>
      </c>
      <c r="J8539">
        <f>SMALL(SimData5000!$C$9:$C$5008,3531)</f>
        <v>0.71190722894152714</v>
      </c>
      <c r="K8539">
        <f>1/(COUNT(SimData5000!$C$9:$C$5008)-1)+$K$8538</f>
        <v>0.70614122824562431</v>
      </c>
    </row>
    <row r="8540" spans="8:11">
      <c r="H8540">
        <f>SMALL(SimData5000!$B$9:$B$5008,3532)</f>
        <v>0.7063141744066761</v>
      </c>
      <c r="I8540">
        <f>1/(COUNT(SimData5000!$B$9:$B$5008)-1)+$I$8539</f>
        <v>0.70634126825362586</v>
      </c>
      <c r="J8540">
        <f>SMALL(SimData5000!$C$9:$C$5008,3532)</f>
        <v>0.71200835958006792</v>
      </c>
      <c r="K8540">
        <f>1/(COUNT(SimData5000!$C$9:$C$5008)-1)+$K$8539</f>
        <v>0.70634126825362586</v>
      </c>
    </row>
    <row r="8541" spans="8:11">
      <c r="H8541">
        <f>SMALL(SimData5000!$B$9:$B$5008,3533)</f>
        <v>0.70646260302510633</v>
      </c>
      <c r="I8541">
        <f>1/(COUNT(SimData5000!$B$9:$B$5008)-1)+$I$8540</f>
        <v>0.70654130826162742</v>
      </c>
      <c r="J8541">
        <f>SMALL(SimData5000!$C$9:$C$5008,3533)</f>
        <v>0.71237551145441103</v>
      </c>
      <c r="K8541">
        <f>1/(COUNT(SimData5000!$C$9:$C$5008)-1)+$K$8540</f>
        <v>0.70654130826162742</v>
      </c>
    </row>
    <row r="8542" spans="8:11">
      <c r="H8542">
        <f>SMALL(SimData5000!$B$9:$B$5008,3534)</f>
        <v>0.7067777789691877</v>
      </c>
      <c r="I8542">
        <f>1/(COUNT(SimData5000!$B$9:$B$5008)-1)+$I$8541</f>
        <v>0.70674134826962898</v>
      </c>
      <c r="J8542">
        <f>SMALL(SimData5000!$C$9:$C$5008,3534)</f>
        <v>0.71243612599482731</v>
      </c>
      <c r="K8542">
        <f>1/(COUNT(SimData5000!$C$9:$C$5008)-1)+$K$8541</f>
        <v>0.70674134826962898</v>
      </c>
    </row>
    <row r="8543" spans="8:11">
      <c r="H8543">
        <f>SMALL(SimData5000!$B$9:$B$5008,3535)</f>
        <v>0.70694531835749408</v>
      </c>
      <c r="I8543">
        <f>1/(COUNT(SimData5000!$B$9:$B$5008)-1)+$I$8542</f>
        <v>0.70694138827763053</v>
      </c>
      <c r="J8543">
        <f>SMALL(SimData5000!$C$9:$C$5008,3535)</f>
        <v>0.71285347845696378</v>
      </c>
      <c r="K8543">
        <f>1/(COUNT(SimData5000!$C$9:$C$5008)-1)+$K$8542</f>
        <v>0.70694138827763053</v>
      </c>
    </row>
    <row r="8544" spans="8:11">
      <c r="H8544">
        <f>SMALL(SimData5000!$B$9:$B$5008,3536)</f>
        <v>0.70702989591775234</v>
      </c>
      <c r="I8544">
        <f>1/(COUNT(SimData5000!$B$9:$B$5008)-1)+$I$8543</f>
        <v>0.70714142828563209</v>
      </c>
      <c r="J8544">
        <f>SMALL(SimData5000!$C$9:$C$5008,3536)</f>
        <v>0.71383670238901686</v>
      </c>
      <c r="K8544">
        <f>1/(COUNT(SimData5000!$C$9:$C$5008)-1)+$K$8543</f>
        <v>0.70714142828563209</v>
      </c>
    </row>
    <row r="8545" spans="8:11">
      <c r="H8545">
        <f>SMALL(SimData5000!$B$9:$B$5008,3537)</f>
        <v>0.70739197052521441</v>
      </c>
      <c r="I8545">
        <f>1/(COUNT(SimData5000!$B$9:$B$5008)-1)+$I$8544</f>
        <v>0.70734146829363365</v>
      </c>
      <c r="J8545">
        <f>SMALL(SimData5000!$C$9:$C$5008,3537)</f>
        <v>0.71425890188675112</v>
      </c>
      <c r="K8545">
        <f>1/(COUNT(SimData5000!$C$9:$C$5008)-1)+$K$8544</f>
        <v>0.70734146829363365</v>
      </c>
    </row>
    <row r="8546" spans="8:11">
      <c r="H8546">
        <f>SMALL(SimData5000!$B$9:$B$5008,3538)</f>
        <v>0.70752410497281804</v>
      </c>
      <c r="I8546">
        <f>1/(COUNT(SimData5000!$B$9:$B$5008)-1)+$I$8545</f>
        <v>0.7075415083016352</v>
      </c>
      <c r="J8546">
        <f>SMALL(SimData5000!$C$9:$C$5008,3538)</f>
        <v>0.71443325173731864</v>
      </c>
      <c r="K8546">
        <f>1/(COUNT(SimData5000!$C$9:$C$5008)-1)+$K$8545</f>
        <v>0.7075415083016352</v>
      </c>
    </row>
    <row r="8547" spans="8:11">
      <c r="H8547">
        <f>SMALL(SimData5000!$B$9:$B$5008,3539)</f>
        <v>0.70765998608569147</v>
      </c>
      <c r="I8547">
        <f>1/(COUNT(SimData5000!$B$9:$B$5008)-1)+$I$8546</f>
        <v>0.70774154830963676</v>
      </c>
      <c r="J8547">
        <f>SMALL(SimData5000!$C$9:$C$5008,3539)</f>
        <v>0.71462424791479862</v>
      </c>
      <c r="K8547">
        <f>1/(COUNT(SimData5000!$C$9:$C$5008)-1)+$K$8546</f>
        <v>0.70774154830963676</v>
      </c>
    </row>
    <row r="8548" spans="8:11">
      <c r="H8548">
        <f>SMALL(SimData5000!$B$9:$B$5008,3540)</f>
        <v>0.70787188029062742</v>
      </c>
      <c r="I8548">
        <f>1/(COUNT(SimData5000!$B$9:$B$5008)-1)+$I$8547</f>
        <v>0.70794158831763832</v>
      </c>
      <c r="J8548">
        <f>SMALL(SimData5000!$C$9:$C$5008,3540)</f>
        <v>0.71474928570114571</v>
      </c>
      <c r="K8548">
        <f>1/(COUNT(SimData5000!$C$9:$C$5008)-1)+$K$8547</f>
        <v>0.70794158831763832</v>
      </c>
    </row>
    <row r="8549" spans="8:11">
      <c r="H8549">
        <f>SMALL(SimData5000!$B$9:$B$5008,3541)</f>
        <v>0.70800453922813866</v>
      </c>
      <c r="I8549">
        <f>1/(COUNT(SimData5000!$B$9:$B$5008)-1)+$I$8548</f>
        <v>0.70814162832563987</v>
      </c>
      <c r="J8549">
        <f>SMALL(SimData5000!$C$9:$C$5008,3541)</f>
        <v>0.71507895079412265</v>
      </c>
      <c r="K8549">
        <f>1/(COUNT(SimData5000!$C$9:$C$5008)-1)+$K$8548</f>
        <v>0.70814162832563987</v>
      </c>
    </row>
    <row r="8550" spans="8:11">
      <c r="H8550">
        <f>SMALL(SimData5000!$B$9:$B$5008,3542)</f>
        <v>0.70838408558969013</v>
      </c>
      <c r="I8550">
        <f>1/(COUNT(SimData5000!$B$9:$B$5008)-1)+$I$8549</f>
        <v>0.70834166833364143</v>
      </c>
      <c r="J8550">
        <f>SMALL(SimData5000!$C$9:$C$5008,3542)</f>
        <v>0.71507928063965664</v>
      </c>
      <c r="K8550">
        <f>1/(COUNT(SimData5000!$C$9:$C$5008)-1)+$K$8549</f>
        <v>0.70834166833364143</v>
      </c>
    </row>
    <row r="8551" spans="8:11">
      <c r="H8551">
        <f>SMALL(SimData5000!$B$9:$B$5008,3543)</f>
        <v>0.70842932797852654</v>
      </c>
      <c r="I8551">
        <f>1/(COUNT(SimData5000!$B$9:$B$5008)-1)+$I$8550</f>
        <v>0.70854170834164298</v>
      </c>
      <c r="J8551">
        <f>SMALL(SimData5000!$C$9:$C$5008,3543)</f>
        <v>0.71535213695460698</v>
      </c>
      <c r="K8551">
        <f>1/(COUNT(SimData5000!$C$9:$C$5008)-1)+$K$8550</f>
        <v>0.70854170834164298</v>
      </c>
    </row>
    <row r="8552" spans="8:11">
      <c r="H8552">
        <f>SMALL(SimData5000!$B$9:$B$5008,3544)</f>
        <v>0.70870215552041826</v>
      </c>
      <c r="I8552">
        <f>1/(COUNT(SimData5000!$B$9:$B$5008)-1)+$I$8551</f>
        <v>0.70874174834964454</v>
      </c>
      <c r="J8552">
        <f>SMALL(SimData5000!$C$9:$C$5008,3544)</f>
        <v>0.71550761983598932</v>
      </c>
      <c r="K8552">
        <f>1/(COUNT(SimData5000!$C$9:$C$5008)-1)+$K$8551</f>
        <v>0.70874174834964454</v>
      </c>
    </row>
    <row r="8553" spans="8:11">
      <c r="H8553">
        <f>SMALL(SimData5000!$B$9:$B$5008,3545)</f>
        <v>0.70893141628516165</v>
      </c>
      <c r="I8553">
        <f>1/(COUNT(SimData5000!$B$9:$B$5008)-1)+$I$8552</f>
        <v>0.7089417883576461</v>
      </c>
      <c r="J8553">
        <f>SMALL(SimData5000!$C$9:$C$5008,3545)</f>
        <v>0.71567060775942082</v>
      </c>
      <c r="K8553">
        <f>1/(COUNT(SimData5000!$C$9:$C$5008)-1)+$K$8552</f>
        <v>0.7089417883576461</v>
      </c>
    </row>
    <row r="8554" spans="8:11">
      <c r="H8554">
        <f>SMALL(SimData5000!$B$9:$B$5008,3546)</f>
        <v>0.70914305901414321</v>
      </c>
      <c r="I8554">
        <f>1/(COUNT(SimData5000!$B$9:$B$5008)-1)+$I$8553</f>
        <v>0.70914182836564765</v>
      </c>
      <c r="J8554">
        <f>SMALL(SimData5000!$C$9:$C$5008,3546)</f>
        <v>0.71574620380488341</v>
      </c>
      <c r="K8554">
        <f>1/(COUNT(SimData5000!$C$9:$C$5008)-1)+$K$8553</f>
        <v>0.70914182836564765</v>
      </c>
    </row>
    <row r="8555" spans="8:11">
      <c r="H8555">
        <f>SMALL(SimData5000!$B$9:$B$5008,3547)</f>
        <v>0.70936099129457975</v>
      </c>
      <c r="I8555">
        <f>1/(COUNT(SimData5000!$B$9:$B$5008)-1)+$I$8554</f>
        <v>0.70934186837364921</v>
      </c>
      <c r="J8555">
        <f>SMALL(SimData5000!$C$9:$C$5008,3547)</f>
        <v>0.71585153932028334</v>
      </c>
      <c r="K8555">
        <f>1/(COUNT(SimData5000!$C$9:$C$5008)-1)+$K$8554</f>
        <v>0.70934186837364921</v>
      </c>
    </row>
    <row r="8556" spans="8:11">
      <c r="H8556">
        <f>SMALL(SimData5000!$B$9:$B$5008,3548)</f>
        <v>0.70940158086507621</v>
      </c>
      <c r="I8556">
        <f>1/(COUNT(SimData5000!$B$9:$B$5008)-1)+$I$8555</f>
        <v>0.70954190838165077</v>
      </c>
      <c r="J8556">
        <f>SMALL(SimData5000!$C$9:$C$5008,3548)</f>
        <v>0.7159525301267422</v>
      </c>
      <c r="K8556">
        <f>1/(COUNT(SimData5000!$C$9:$C$5008)-1)+$K$8555</f>
        <v>0.70954190838165077</v>
      </c>
    </row>
    <row r="8557" spans="8:11">
      <c r="H8557">
        <f>SMALL(SimData5000!$B$9:$B$5008,3549)</f>
        <v>0.70970279483704424</v>
      </c>
      <c r="I8557">
        <f>1/(COUNT(SimData5000!$B$9:$B$5008)-1)+$I$8556</f>
        <v>0.70974194838965232</v>
      </c>
      <c r="J8557">
        <f>SMALL(SimData5000!$C$9:$C$5008,3549)</f>
        <v>0.71618574826516124</v>
      </c>
      <c r="K8557">
        <f>1/(COUNT(SimData5000!$C$9:$C$5008)-1)+$K$8556</f>
        <v>0.70974194838965232</v>
      </c>
    </row>
    <row r="8558" spans="8:11">
      <c r="H8558">
        <f>SMALL(SimData5000!$B$9:$B$5008,3550)</f>
        <v>0.70999576013237142</v>
      </c>
      <c r="I8558">
        <f>1/(COUNT(SimData5000!$B$9:$B$5008)-1)+$I$8557</f>
        <v>0.70994198839765388</v>
      </c>
      <c r="J8558">
        <f>SMALL(SimData5000!$C$9:$C$5008,3550)</f>
        <v>0.71652820621511637</v>
      </c>
      <c r="K8558">
        <f>1/(COUNT(SimData5000!$C$9:$C$5008)-1)+$K$8557</f>
        <v>0.70994198839765388</v>
      </c>
    </row>
    <row r="8559" spans="8:11">
      <c r="H8559">
        <f>SMALL(SimData5000!$B$9:$B$5008,3551)</f>
        <v>0.71012996905993908</v>
      </c>
      <c r="I8559">
        <f>1/(COUNT(SimData5000!$B$9:$B$5008)-1)+$I$8558</f>
        <v>0.71014202840565543</v>
      </c>
      <c r="J8559">
        <f>SMALL(SimData5000!$C$9:$C$5008,3551)</f>
        <v>0.71728854733555636</v>
      </c>
      <c r="K8559">
        <f>1/(COUNT(SimData5000!$C$9:$C$5008)-1)+$K$8558</f>
        <v>0.71014202840565543</v>
      </c>
    </row>
    <row r="8560" spans="8:11">
      <c r="H8560">
        <f>SMALL(SimData5000!$B$9:$B$5008,3552)</f>
        <v>0.71030382219816179</v>
      </c>
      <c r="I8560">
        <f>1/(COUNT(SimData5000!$B$9:$B$5008)-1)+$I$8559</f>
        <v>0.71034206841365699</v>
      </c>
      <c r="J8560">
        <f>SMALL(SimData5000!$C$9:$C$5008,3552)</f>
        <v>0.71758612774283392</v>
      </c>
      <c r="K8560">
        <f>1/(COUNT(SimData5000!$C$9:$C$5008)-1)+$K$8559</f>
        <v>0.71034206841365699</v>
      </c>
    </row>
    <row r="8561" spans="8:11">
      <c r="H8561">
        <f>SMALL(SimData5000!$B$9:$B$5008,3553)</f>
        <v>0.71043348517055471</v>
      </c>
      <c r="I8561">
        <f>1/(COUNT(SimData5000!$B$9:$B$5008)-1)+$I$8560</f>
        <v>0.71054210842165855</v>
      </c>
      <c r="J8561">
        <f>SMALL(SimData5000!$C$9:$C$5008,3553)</f>
        <v>0.71781089492924366</v>
      </c>
      <c r="K8561">
        <f>1/(COUNT(SimData5000!$C$9:$C$5008)-1)+$K$8560</f>
        <v>0.71054210842165855</v>
      </c>
    </row>
    <row r="8562" spans="8:11">
      <c r="H8562">
        <f>SMALL(SimData5000!$B$9:$B$5008,3554)</f>
        <v>0.71078098751222274</v>
      </c>
      <c r="I8562">
        <f>1/(COUNT(SimData5000!$B$9:$B$5008)-1)+$I$8561</f>
        <v>0.7107421484296601</v>
      </c>
      <c r="J8562">
        <f>SMALL(SimData5000!$C$9:$C$5008,3554)</f>
        <v>0.71815477181553433</v>
      </c>
      <c r="K8562">
        <f>1/(COUNT(SimData5000!$C$9:$C$5008)-1)+$K$8561</f>
        <v>0.7107421484296601</v>
      </c>
    </row>
    <row r="8563" spans="8:11">
      <c r="H8563">
        <f>SMALL(SimData5000!$B$9:$B$5008,3555)</f>
        <v>0.71094879899922503</v>
      </c>
      <c r="I8563">
        <f>1/(COUNT(SimData5000!$B$9:$B$5008)-1)+$I$8562</f>
        <v>0.71094218843766166</v>
      </c>
      <c r="J8563">
        <f>SMALL(SimData5000!$C$9:$C$5008,3555)</f>
        <v>0.71823152974957338</v>
      </c>
      <c r="K8563">
        <f>1/(COUNT(SimData5000!$C$9:$C$5008)-1)+$K$8562</f>
        <v>0.71094218843766166</v>
      </c>
    </row>
    <row r="8564" spans="8:11">
      <c r="H8564">
        <f>SMALL(SimData5000!$B$9:$B$5008,3556)</f>
        <v>0.71103756849533817</v>
      </c>
      <c r="I8564">
        <f>1/(COUNT(SimData5000!$B$9:$B$5008)-1)+$I$8563</f>
        <v>0.71114222844566322</v>
      </c>
      <c r="J8564">
        <f>SMALL(SimData5000!$C$9:$C$5008,3556)</f>
        <v>0.71829246228571719</v>
      </c>
      <c r="K8564">
        <f>1/(COUNT(SimData5000!$C$9:$C$5008)-1)+$K$8563</f>
        <v>0.71114222844566322</v>
      </c>
    </row>
    <row r="8565" spans="8:11">
      <c r="H8565">
        <f>SMALL(SimData5000!$B$9:$B$5008,3557)</f>
        <v>0.71122512255218462</v>
      </c>
      <c r="I8565">
        <f>1/(COUNT(SimData5000!$B$9:$B$5008)-1)+$I$8564</f>
        <v>0.71134226845366477</v>
      </c>
      <c r="J8565">
        <f>SMALL(SimData5000!$C$9:$C$5008,3557)</f>
        <v>0.71867804637622612</v>
      </c>
      <c r="K8565">
        <f>1/(COUNT(SimData5000!$C$9:$C$5008)-1)+$K$8564</f>
        <v>0.71134226845366477</v>
      </c>
    </row>
    <row r="8566" spans="8:11">
      <c r="H8566">
        <f>SMALL(SimData5000!$B$9:$B$5008,3558)</f>
        <v>0.71149938164947069</v>
      </c>
      <c r="I8566">
        <f>1/(COUNT(SimData5000!$B$9:$B$5008)-1)+$I$8565</f>
        <v>0.71154230846166633</v>
      </c>
      <c r="J8566">
        <f>SMALL(SimData5000!$C$9:$C$5008,3558)</f>
        <v>0.71886417629684729</v>
      </c>
      <c r="K8566">
        <f>1/(COUNT(SimData5000!$C$9:$C$5008)-1)+$K$8565</f>
        <v>0.71154230846166633</v>
      </c>
    </row>
    <row r="8567" spans="8:11">
      <c r="H8567">
        <f>SMALL(SimData5000!$B$9:$B$5008,3559)</f>
        <v>0.71177205805801136</v>
      </c>
      <c r="I8567">
        <f>1/(COUNT(SimData5000!$B$9:$B$5008)-1)+$I$8566</f>
        <v>0.71174234846966788</v>
      </c>
      <c r="J8567">
        <f>SMALL(SimData5000!$C$9:$C$5008,3559)</f>
        <v>0.71895362996474432</v>
      </c>
      <c r="K8567">
        <f>1/(COUNT(SimData5000!$C$9:$C$5008)-1)+$K$8566</f>
        <v>0.71174234846966788</v>
      </c>
    </row>
    <row r="8568" spans="8:11">
      <c r="H8568">
        <f>SMALL(SimData5000!$B$9:$B$5008,3560)</f>
        <v>0.71197772578750218</v>
      </c>
      <c r="I8568">
        <f>1/(COUNT(SimData5000!$B$9:$B$5008)-1)+$I$8567</f>
        <v>0.71194238847766944</v>
      </c>
      <c r="J8568">
        <f>SMALL(SimData5000!$C$9:$C$5008,3560)</f>
        <v>0.71937748293112236</v>
      </c>
      <c r="K8568">
        <f>1/(COUNT(SimData5000!$C$9:$C$5008)-1)+$K$8567</f>
        <v>0.71194238847766944</v>
      </c>
    </row>
    <row r="8569" spans="8:11">
      <c r="H8569">
        <f>SMALL(SimData5000!$B$9:$B$5008,3561)</f>
        <v>0.71219892895398629</v>
      </c>
      <c r="I8569">
        <f>1/(COUNT(SimData5000!$B$9:$B$5008)-1)+$I$8568</f>
        <v>0.712142428485671</v>
      </c>
      <c r="J8569">
        <f>SMALL(SimData5000!$C$9:$C$5008,3561)</f>
        <v>0.71937784989498255</v>
      </c>
      <c r="K8569">
        <f>1/(COUNT(SimData5000!$C$9:$C$5008)-1)+$K$8568</f>
        <v>0.712142428485671</v>
      </c>
    </row>
    <row r="8570" spans="8:11">
      <c r="H8570">
        <f>SMALL(SimData5000!$B$9:$B$5008,3562)</f>
        <v>0.71231072981243737</v>
      </c>
      <c r="I8570">
        <f>1/(COUNT(SimData5000!$B$9:$B$5008)-1)+$I$8569</f>
        <v>0.71234246849367255</v>
      </c>
      <c r="J8570">
        <f>SMALL(SimData5000!$C$9:$C$5008,3562)</f>
        <v>0.71942076539198752</v>
      </c>
      <c r="K8570">
        <f>1/(COUNT(SimData5000!$C$9:$C$5008)-1)+$K$8569</f>
        <v>0.71234246849367255</v>
      </c>
    </row>
    <row r="8571" spans="8:11">
      <c r="H8571">
        <f>SMALL(SimData5000!$B$9:$B$5008,3563)</f>
        <v>0.71254133548139165</v>
      </c>
      <c r="I8571">
        <f>1/(COUNT(SimData5000!$B$9:$B$5008)-1)+$I$8570</f>
        <v>0.71254250850167411</v>
      </c>
      <c r="J8571">
        <f>SMALL(SimData5000!$C$9:$C$5008,3563)</f>
        <v>0.71945581678573944</v>
      </c>
      <c r="K8571">
        <f>1/(COUNT(SimData5000!$C$9:$C$5008)-1)+$K$8570</f>
        <v>0.71254250850167411</v>
      </c>
    </row>
    <row r="8572" spans="8:11">
      <c r="H8572">
        <f>SMALL(SimData5000!$B$9:$B$5008,3564)</f>
        <v>0.7126424599448784</v>
      </c>
      <c r="I8572">
        <f>1/(COUNT(SimData5000!$B$9:$B$5008)-1)+$I$8571</f>
        <v>0.71274254850967567</v>
      </c>
      <c r="J8572">
        <f>SMALL(SimData5000!$C$9:$C$5008,3564)</f>
        <v>0.71949485433742666</v>
      </c>
      <c r="K8572">
        <f>1/(COUNT(SimData5000!$C$9:$C$5008)-1)+$K$8571</f>
        <v>0.71274254850967567</v>
      </c>
    </row>
    <row r="8573" spans="8:11">
      <c r="H8573">
        <f>SMALL(SimData5000!$B$9:$B$5008,3565)</f>
        <v>0.71289868631318654</v>
      </c>
      <c r="I8573">
        <f>1/(COUNT(SimData5000!$B$9:$B$5008)-1)+$I$8572</f>
        <v>0.71294258851767722</v>
      </c>
      <c r="J8573">
        <f>SMALL(SimData5000!$C$9:$C$5008,3565)</f>
        <v>0.71952011343000777</v>
      </c>
      <c r="K8573">
        <f>1/(COUNT(SimData5000!$C$9:$C$5008)-1)+$K$8572</f>
        <v>0.71294258851767722</v>
      </c>
    </row>
    <row r="8574" spans="8:11">
      <c r="H8574">
        <f>SMALL(SimData5000!$B$9:$B$5008,3566)</f>
        <v>0.71308962188770286</v>
      </c>
      <c r="I8574">
        <f>1/(COUNT(SimData5000!$B$9:$B$5008)-1)+$I$8573</f>
        <v>0.71314262852567878</v>
      </c>
      <c r="J8574">
        <f>SMALL(SimData5000!$C$9:$C$5008,3566)</f>
        <v>0.72001621429717488</v>
      </c>
      <c r="K8574">
        <f>1/(COUNT(SimData5000!$C$9:$C$5008)-1)+$K$8573</f>
        <v>0.71314262852567878</v>
      </c>
    </row>
    <row r="8575" spans="8:11">
      <c r="H8575">
        <f>SMALL(SimData5000!$B$9:$B$5008,3567)</f>
        <v>0.71326784344452154</v>
      </c>
      <c r="I8575">
        <f>1/(COUNT(SimData5000!$B$9:$B$5008)-1)+$I$8574</f>
        <v>0.71334266853368034</v>
      </c>
      <c r="J8575">
        <f>SMALL(SimData5000!$C$9:$C$5008,3567)</f>
        <v>0.72022914824810869</v>
      </c>
      <c r="K8575">
        <f>1/(COUNT(SimData5000!$C$9:$C$5008)-1)+$K$8574</f>
        <v>0.71334266853368034</v>
      </c>
    </row>
    <row r="8576" spans="8:11">
      <c r="H8576">
        <f>SMALL(SimData5000!$B$9:$B$5008,3568)</f>
        <v>0.71356324040721242</v>
      </c>
      <c r="I8576">
        <f>1/(COUNT(SimData5000!$B$9:$B$5008)-1)+$I$8575</f>
        <v>0.71354270854168189</v>
      </c>
      <c r="J8576">
        <f>SMALL(SimData5000!$C$9:$C$5008,3568)</f>
        <v>0.72073621185609227</v>
      </c>
      <c r="K8576">
        <f>1/(COUNT(SimData5000!$C$9:$C$5008)-1)+$K$8575</f>
        <v>0.71354270854168189</v>
      </c>
    </row>
    <row r="8577" spans="8:11">
      <c r="H8577">
        <f>SMALL(SimData5000!$B$9:$B$5008,3569)</f>
        <v>0.71362576256008492</v>
      </c>
      <c r="I8577">
        <f>1/(COUNT(SimData5000!$B$9:$B$5008)-1)+$I$8576</f>
        <v>0.71374274854968345</v>
      </c>
      <c r="J8577">
        <f>SMALL(SimData5000!$C$9:$C$5008,3569)</f>
        <v>0.72110178851926321</v>
      </c>
      <c r="K8577">
        <f>1/(COUNT(SimData5000!$C$9:$C$5008)-1)+$K$8576</f>
        <v>0.71374274854968345</v>
      </c>
    </row>
    <row r="8578" spans="8:11">
      <c r="H8578">
        <f>SMALL(SimData5000!$B$9:$B$5008,3570)</f>
        <v>0.71388871500573325</v>
      </c>
      <c r="I8578">
        <f>1/(COUNT(SimData5000!$B$9:$B$5008)-1)+$I$8577</f>
        <v>0.713942788557685</v>
      </c>
      <c r="J8578">
        <f>SMALL(SimData5000!$C$9:$C$5008,3570)</f>
        <v>0.72137710026436253</v>
      </c>
      <c r="K8578">
        <f>1/(COUNT(SimData5000!$C$9:$C$5008)-1)+$K$8577</f>
        <v>0.713942788557685</v>
      </c>
    </row>
    <row r="8579" spans="8:11">
      <c r="H8579">
        <f>SMALL(SimData5000!$B$9:$B$5008,3571)</f>
        <v>0.714133941860016</v>
      </c>
      <c r="I8579">
        <f>1/(COUNT(SimData5000!$B$9:$B$5008)-1)+$I$8578</f>
        <v>0.71414282856568656</v>
      </c>
      <c r="J8579">
        <f>SMALL(SimData5000!$C$9:$C$5008,3571)</f>
        <v>0.72139639527904365</v>
      </c>
      <c r="K8579">
        <f>1/(COUNT(SimData5000!$C$9:$C$5008)-1)+$K$8578</f>
        <v>0.71414282856568656</v>
      </c>
    </row>
    <row r="8580" spans="8:11">
      <c r="H8580">
        <f>SMALL(SimData5000!$B$9:$B$5008,3572)</f>
        <v>0.714367075373737</v>
      </c>
      <c r="I8580">
        <f>1/(COUNT(SimData5000!$B$9:$B$5008)-1)+$I$8579</f>
        <v>0.71434286857368812</v>
      </c>
      <c r="J8580">
        <f>SMALL(SimData5000!$C$9:$C$5008,3572)</f>
        <v>0.72157421646079456</v>
      </c>
      <c r="K8580">
        <f>1/(COUNT(SimData5000!$C$9:$C$5008)-1)+$K$8579</f>
        <v>0.71434286857368812</v>
      </c>
    </row>
    <row r="8581" spans="8:11">
      <c r="H8581">
        <f>SMALL(SimData5000!$B$9:$B$5008,3573)</f>
        <v>0.7144242281224169</v>
      </c>
      <c r="I8581">
        <f>1/(COUNT(SimData5000!$B$9:$B$5008)-1)+$I$8580</f>
        <v>0.71454290858168967</v>
      </c>
      <c r="J8581">
        <f>SMALL(SimData5000!$C$9:$C$5008,3573)</f>
        <v>0.72162501484854147</v>
      </c>
      <c r="K8581">
        <f>1/(COUNT(SimData5000!$C$9:$C$5008)-1)+$K$8580</f>
        <v>0.71454290858168967</v>
      </c>
    </row>
    <row r="8582" spans="8:11">
      <c r="H8582">
        <f>SMALL(SimData5000!$B$9:$B$5008,3574)</f>
        <v>0.7147961484455494</v>
      </c>
      <c r="I8582">
        <f>1/(COUNT(SimData5000!$B$9:$B$5008)-1)+$I$8581</f>
        <v>0.71474294858969123</v>
      </c>
      <c r="J8582">
        <f>SMALL(SimData5000!$C$9:$C$5008,3574)</f>
        <v>0.72184619156996632</v>
      </c>
      <c r="K8582">
        <f>1/(COUNT(SimData5000!$C$9:$C$5008)-1)+$K$8581</f>
        <v>0.71474294858969123</v>
      </c>
    </row>
    <row r="8583" spans="8:11">
      <c r="H8583">
        <f>SMALL(SimData5000!$B$9:$B$5008,3575)</f>
        <v>0.71485599204074957</v>
      </c>
      <c r="I8583">
        <f>1/(COUNT(SimData5000!$B$9:$B$5008)-1)+$I$8582</f>
        <v>0.71494298859769279</v>
      </c>
      <c r="J8583">
        <f>SMALL(SimData5000!$C$9:$C$5008,3575)</f>
        <v>0.72196640110269072</v>
      </c>
      <c r="K8583">
        <f>1/(COUNT(SimData5000!$C$9:$C$5008)-1)+$K$8582</f>
        <v>0.71494298859769279</v>
      </c>
    </row>
    <row r="8584" spans="8:11">
      <c r="H8584">
        <f>SMALL(SimData5000!$B$9:$B$5008,3576)</f>
        <v>0.71501694059037069</v>
      </c>
      <c r="I8584">
        <f>1/(COUNT(SimData5000!$B$9:$B$5008)-1)+$I$8583</f>
        <v>0.71514302860569434</v>
      </c>
      <c r="J8584">
        <f>SMALL(SimData5000!$C$9:$C$5008,3576)</f>
        <v>0.72236540599897126</v>
      </c>
      <c r="K8584">
        <f>1/(COUNT(SimData5000!$C$9:$C$5008)-1)+$K$8583</f>
        <v>0.71514302860569434</v>
      </c>
    </row>
    <row r="8585" spans="8:11">
      <c r="H8585">
        <f>SMALL(SimData5000!$B$9:$B$5008,3577)</f>
        <v>0.71521195419333228</v>
      </c>
      <c r="I8585">
        <f>1/(COUNT(SimData5000!$B$9:$B$5008)-1)+$I$8584</f>
        <v>0.7153430686136959</v>
      </c>
      <c r="J8585">
        <f>SMALL(SimData5000!$C$9:$C$5008,3577)</f>
        <v>0.72244868031702936</v>
      </c>
      <c r="K8585">
        <f>1/(COUNT(SimData5000!$C$9:$C$5008)-1)+$K$8584</f>
        <v>0.7153430686136959</v>
      </c>
    </row>
    <row r="8586" spans="8:11">
      <c r="H8586">
        <f>SMALL(SimData5000!$B$9:$B$5008,3578)</f>
        <v>0.71558912059352475</v>
      </c>
      <c r="I8586">
        <f>1/(COUNT(SimData5000!$B$9:$B$5008)-1)+$I$8585</f>
        <v>0.71554310862169745</v>
      </c>
      <c r="J8586">
        <f>SMALL(SimData5000!$C$9:$C$5008,3578)</f>
        <v>0.72247502978282796</v>
      </c>
      <c r="K8586">
        <f>1/(COUNT(SimData5000!$C$9:$C$5008)-1)+$K$8585</f>
        <v>0.71554310862169745</v>
      </c>
    </row>
    <row r="8587" spans="8:11">
      <c r="H8587">
        <f>SMALL(SimData5000!$B$9:$B$5008,3579)</f>
        <v>0.71571723367490736</v>
      </c>
      <c r="I8587">
        <f>1/(COUNT(SimData5000!$B$9:$B$5008)-1)+$I$8586</f>
        <v>0.71574314862969901</v>
      </c>
      <c r="J8587">
        <f>SMALL(SimData5000!$C$9:$C$5008,3579)</f>
        <v>0.72251033412157994</v>
      </c>
      <c r="K8587">
        <f>1/(COUNT(SimData5000!$C$9:$C$5008)-1)+$K$8586</f>
        <v>0.71574314862969901</v>
      </c>
    </row>
    <row r="8588" spans="8:11">
      <c r="H8588">
        <f>SMALL(SimData5000!$B$9:$B$5008,3580)</f>
        <v>0.71595361974107885</v>
      </c>
      <c r="I8588">
        <f>1/(COUNT(SimData5000!$B$9:$B$5008)-1)+$I$8587</f>
        <v>0.71594318863770057</v>
      </c>
      <c r="J8588">
        <f>SMALL(SimData5000!$C$9:$C$5008,3580)</f>
        <v>0.72255080676404759</v>
      </c>
      <c r="K8588">
        <f>1/(COUNT(SimData5000!$C$9:$C$5008)-1)+$K$8587</f>
        <v>0.71594318863770057</v>
      </c>
    </row>
    <row r="8589" spans="8:11">
      <c r="H8589">
        <f>SMALL(SimData5000!$B$9:$B$5008,3581)</f>
        <v>0.71619008752936275</v>
      </c>
      <c r="I8589">
        <f>1/(COUNT(SimData5000!$B$9:$B$5008)-1)+$I$8588</f>
        <v>0.71614322864570212</v>
      </c>
      <c r="J8589">
        <f>SMALL(SimData5000!$C$9:$C$5008,3581)</f>
        <v>0.72297636645544117</v>
      </c>
      <c r="K8589">
        <f>1/(COUNT(SimData5000!$C$9:$C$5008)-1)+$K$8588</f>
        <v>0.71614322864570212</v>
      </c>
    </row>
    <row r="8590" spans="8:11">
      <c r="H8590">
        <f>SMALL(SimData5000!$B$9:$B$5008,3582)</f>
        <v>0.71628760053936569</v>
      </c>
      <c r="I8590">
        <f>1/(COUNT(SimData5000!$B$9:$B$5008)-1)+$I$8589</f>
        <v>0.71634326865370368</v>
      </c>
      <c r="J8590">
        <f>SMALL(SimData5000!$C$9:$C$5008,3582)</f>
        <v>0.72327296350340475</v>
      </c>
      <c r="K8590">
        <f>1/(COUNT(SimData5000!$C$9:$C$5008)-1)+$K$8589</f>
        <v>0.71634326865370368</v>
      </c>
    </row>
    <row r="8591" spans="8:11">
      <c r="H8591">
        <f>SMALL(SimData5000!$B$9:$B$5008,3583)</f>
        <v>0.71640194092737552</v>
      </c>
      <c r="I8591">
        <f>1/(COUNT(SimData5000!$B$9:$B$5008)-1)+$I$8590</f>
        <v>0.71654330866170524</v>
      </c>
      <c r="J8591">
        <f>SMALL(SimData5000!$C$9:$C$5008,3583)</f>
        <v>0.72353968459083262</v>
      </c>
      <c r="K8591">
        <f>1/(COUNT(SimData5000!$C$9:$C$5008)-1)+$K$8590</f>
        <v>0.71654330866170524</v>
      </c>
    </row>
    <row r="8592" spans="8:11">
      <c r="H8592">
        <f>SMALL(SimData5000!$B$9:$B$5008,3584)</f>
        <v>0.71668066221961757</v>
      </c>
      <c r="I8592">
        <f>1/(COUNT(SimData5000!$B$9:$B$5008)-1)+$I$8591</f>
        <v>0.71674334866970679</v>
      </c>
      <c r="J8592">
        <f>SMALL(SimData5000!$C$9:$C$5008,3584)</f>
        <v>0.72365847544188</v>
      </c>
      <c r="K8592">
        <f>1/(COUNT(SimData5000!$C$9:$C$5008)-1)+$K$8591</f>
        <v>0.71674334866970679</v>
      </c>
    </row>
    <row r="8593" spans="8:11">
      <c r="H8593">
        <f>SMALL(SimData5000!$B$9:$B$5008,3585)</f>
        <v>0.71695669466945267</v>
      </c>
      <c r="I8593">
        <f>1/(COUNT(SimData5000!$B$9:$B$5008)-1)+$I$8592</f>
        <v>0.71694338867770835</v>
      </c>
      <c r="J8593">
        <f>SMALL(SimData5000!$C$9:$C$5008,3585)</f>
        <v>0.72409646794221771</v>
      </c>
      <c r="K8593">
        <f>1/(COUNT(SimData5000!$C$9:$C$5008)-1)+$K$8592</f>
        <v>0.71694338867770835</v>
      </c>
    </row>
    <row r="8594" spans="8:11">
      <c r="H8594">
        <f>SMALL(SimData5000!$B$9:$B$5008,3586)</f>
        <v>0.71708752882287086</v>
      </c>
      <c r="I8594">
        <f>1/(COUNT(SimData5000!$B$9:$B$5008)-1)+$I$8593</f>
        <v>0.7171434286857099</v>
      </c>
      <c r="J8594">
        <f>SMALL(SimData5000!$C$9:$C$5008,3586)</f>
        <v>0.72425480969286582</v>
      </c>
      <c r="K8594">
        <f>1/(COUNT(SimData5000!$C$9:$C$5008)-1)+$K$8593</f>
        <v>0.7171434286857099</v>
      </c>
    </row>
    <row r="8595" spans="8:11">
      <c r="H8595">
        <f>SMALL(SimData5000!$B$9:$B$5008,3587)</f>
        <v>0.71735232623716638</v>
      </c>
      <c r="I8595">
        <f>1/(COUNT(SimData5000!$B$9:$B$5008)-1)+$I$8594</f>
        <v>0.71734346869371146</v>
      </c>
      <c r="J8595">
        <f>SMALL(SimData5000!$C$9:$C$5008,3587)</f>
        <v>0.72433170461954433</v>
      </c>
      <c r="K8595">
        <f>1/(COUNT(SimData5000!$C$9:$C$5008)-1)+$K$8594</f>
        <v>0.71734346869371146</v>
      </c>
    </row>
    <row r="8596" spans="8:11">
      <c r="H8596">
        <f>SMALL(SimData5000!$B$9:$B$5008,3588)</f>
        <v>0.7174488274420725</v>
      </c>
      <c r="I8596">
        <f>1/(COUNT(SimData5000!$B$9:$B$5008)-1)+$I$8595</f>
        <v>0.71754350870171302</v>
      </c>
      <c r="J8596">
        <f>SMALL(SimData5000!$C$9:$C$5008,3588)</f>
        <v>0.72456624065944197</v>
      </c>
      <c r="K8596">
        <f>1/(COUNT(SimData5000!$C$9:$C$5008)-1)+$K$8595</f>
        <v>0.71754350870171302</v>
      </c>
    </row>
    <row r="8597" spans="8:11">
      <c r="H8597">
        <f>SMALL(SimData5000!$B$9:$B$5008,3589)</f>
        <v>0.71762918759030969</v>
      </c>
      <c r="I8597">
        <f>1/(COUNT(SimData5000!$B$9:$B$5008)-1)+$I$8596</f>
        <v>0.71774354870971457</v>
      </c>
      <c r="J8597">
        <f>SMALL(SimData5000!$C$9:$C$5008,3589)</f>
        <v>0.7247209845463658</v>
      </c>
      <c r="K8597">
        <f>1/(COUNT(SimData5000!$C$9:$C$5008)-1)+$K$8596</f>
        <v>0.71774354870971457</v>
      </c>
    </row>
    <row r="8598" spans="8:11">
      <c r="H8598">
        <f>SMALL(SimData5000!$B$9:$B$5008,3590)</f>
        <v>0.71799638470192362</v>
      </c>
      <c r="I8598">
        <f>1/(COUNT(SimData5000!$B$9:$B$5008)-1)+$I$8597</f>
        <v>0.71794358871771613</v>
      </c>
      <c r="J8598">
        <f>SMALL(SimData5000!$C$9:$C$5008,3590)</f>
        <v>0.72485854312435549</v>
      </c>
      <c r="K8598">
        <f>1/(COUNT(SimData5000!$C$9:$C$5008)-1)+$K$8597</f>
        <v>0.71794358871771613</v>
      </c>
    </row>
    <row r="8599" spans="8:11">
      <c r="H8599">
        <f>SMALL(SimData5000!$B$9:$B$5008,3591)</f>
        <v>0.71811993436909283</v>
      </c>
      <c r="I8599">
        <f>1/(COUNT(SimData5000!$B$9:$B$5008)-1)+$I$8598</f>
        <v>0.71814362872571769</v>
      </c>
      <c r="J8599">
        <f>SMALL(SimData5000!$C$9:$C$5008,3591)</f>
        <v>0.72500661677804601</v>
      </c>
      <c r="K8599">
        <f>1/(COUNT(SimData5000!$C$9:$C$5008)-1)+$K$8598</f>
        <v>0.71814362872571769</v>
      </c>
    </row>
    <row r="8600" spans="8:11">
      <c r="H8600">
        <f>SMALL(SimData5000!$B$9:$B$5008,3592)</f>
        <v>0.71823662250070752</v>
      </c>
      <c r="I8600">
        <f>1/(COUNT(SimData5000!$B$9:$B$5008)-1)+$I$8599</f>
        <v>0.71834366873371924</v>
      </c>
      <c r="J8600">
        <f>SMALL(SimData5000!$C$9:$C$5008,3592)</f>
        <v>0.72510999840505974</v>
      </c>
      <c r="K8600">
        <f>1/(COUNT(SimData5000!$C$9:$C$5008)-1)+$K$8599</f>
        <v>0.71834366873371924</v>
      </c>
    </row>
    <row r="8601" spans="8:11">
      <c r="H8601">
        <f>SMALL(SimData5000!$B$9:$B$5008,3593)</f>
        <v>0.71845921053277784</v>
      </c>
      <c r="I8601">
        <f>1/(COUNT(SimData5000!$B$9:$B$5008)-1)+$I$8600</f>
        <v>0.7185437087417208</v>
      </c>
      <c r="J8601">
        <f>SMALL(SimData5000!$C$9:$C$5008,3593)</f>
        <v>0.72524639164112159</v>
      </c>
      <c r="K8601">
        <f>1/(COUNT(SimData5000!$C$9:$C$5008)-1)+$K$8600</f>
        <v>0.7185437087417208</v>
      </c>
    </row>
    <row r="8602" spans="8:11">
      <c r="H8602">
        <f>SMALL(SimData5000!$B$9:$B$5008,3594)</f>
        <v>0.71876345900408067</v>
      </c>
      <c r="I8602">
        <f>1/(COUNT(SimData5000!$B$9:$B$5008)-1)+$I$8601</f>
        <v>0.71874374874972236</v>
      </c>
      <c r="J8602">
        <f>SMALL(SimData5000!$C$9:$C$5008,3594)</f>
        <v>0.72543047858835052</v>
      </c>
      <c r="K8602">
        <f>1/(COUNT(SimData5000!$C$9:$C$5008)-1)+$K$8601</f>
        <v>0.71874374874972236</v>
      </c>
    </row>
    <row r="8603" spans="8:11">
      <c r="H8603">
        <f>SMALL(SimData5000!$B$9:$B$5008,3595)</f>
        <v>0.71880098831267125</v>
      </c>
      <c r="I8603">
        <f>1/(COUNT(SimData5000!$B$9:$B$5008)-1)+$I$8602</f>
        <v>0.71894378875772391</v>
      </c>
      <c r="J8603">
        <f>SMALL(SimData5000!$C$9:$C$5008,3595)</f>
        <v>0.7258284689651191</v>
      </c>
      <c r="K8603">
        <f>1/(COUNT(SimData5000!$C$9:$C$5008)-1)+$K$8602</f>
        <v>0.71894378875772391</v>
      </c>
    </row>
    <row r="8604" spans="8:11">
      <c r="H8604">
        <f>SMALL(SimData5000!$B$9:$B$5008,3596)</f>
        <v>0.71906508074069053</v>
      </c>
      <c r="I8604">
        <f>1/(COUNT(SimData5000!$B$9:$B$5008)-1)+$I$8603</f>
        <v>0.71914382876572547</v>
      </c>
      <c r="J8604">
        <f>SMALL(SimData5000!$C$9:$C$5008,3596)</f>
        <v>0.72583165243122494</v>
      </c>
      <c r="K8604">
        <f>1/(COUNT(SimData5000!$C$9:$C$5008)-1)+$K$8603</f>
        <v>0.71914382876572547</v>
      </c>
    </row>
    <row r="8605" spans="8:11">
      <c r="H8605">
        <f>SMALL(SimData5000!$B$9:$B$5008,3597)</f>
        <v>0.71938796461485044</v>
      </c>
      <c r="I8605">
        <f>1/(COUNT(SimData5000!$B$9:$B$5008)-1)+$I$8604</f>
        <v>0.71934386877372702</v>
      </c>
      <c r="J8605">
        <f>SMALL(SimData5000!$C$9:$C$5008,3597)</f>
        <v>0.72599044023900206</v>
      </c>
      <c r="K8605">
        <f>1/(COUNT(SimData5000!$C$9:$C$5008)-1)+$K$8604</f>
        <v>0.71934386877372702</v>
      </c>
    </row>
    <row r="8606" spans="8:11">
      <c r="H8606">
        <f>SMALL(SimData5000!$B$9:$B$5008,3598)</f>
        <v>0.71941526286770008</v>
      </c>
      <c r="I8606">
        <f>1/(COUNT(SimData5000!$B$9:$B$5008)-1)+$I$8605</f>
        <v>0.71954390878172858</v>
      </c>
      <c r="J8606">
        <f>SMALL(SimData5000!$C$9:$C$5008,3598)</f>
        <v>0.7260928834148217</v>
      </c>
      <c r="K8606">
        <f>1/(COUNT(SimData5000!$C$9:$C$5008)-1)+$K$8605</f>
        <v>0.71954390878172858</v>
      </c>
    </row>
    <row r="8607" spans="8:11">
      <c r="H8607">
        <f>SMALL(SimData5000!$B$9:$B$5008,3599)</f>
        <v>0.71966630571071677</v>
      </c>
      <c r="I8607">
        <f>1/(COUNT(SimData5000!$B$9:$B$5008)-1)+$I$8606</f>
        <v>0.71974394878973014</v>
      </c>
      <c r="J8607">
        <f>SMALL(SimData5000!$C$9:$C$5008,3599)</f>
        <v>0.72623229920372978</v>
      </c>
      <c r="K8607">
        <f>1/(COUNT(SimData5000!$C$9:$C$5008)-1)+$K$8606</f>
        <v>0.71974394878973014</v>
      </c>
    </row>
    <row r="8608" spans="8:11">
      <c r="H8608">
        <f>SMALL(SimData5000!$B$9:$B$5008,3600)</f>
        <v>0.71998426939691051</v>
      </c>
      <c r="I8608">
        <f>1/(COUNT(SimData5000!$B$9:$B$5008)-1)+$I$8607</f>
        <v>0.71994398879773169</v>
      </c>
      <c r="J8608">
        <f>SMALL(SimData5000!$C$9:$C$5008,3600)</f>
        <v>0.72639731726758328</v>
      </c>
      <c r="K8608">
        <f>1/(COUNT(SimData5000!$C$9:$C$5008)-1)+$K$8607</f>
        <v>0.71994398879773169</v>
      </c>
    </row>
    <row r="8609" spans="8:11">
      <c r="H8609">
        <f>SMALL(SimData5000!$B$9:$B$5008,3601)</f>
        <v>0.72015589012921688</v>
      </c>
      <c r="I8609">
        <f>1/(COUNT(SimData5000!$B$9:$B$5008)-1)+$I$8608</f>
        <v>0.72014402880573325</v>
      </c>
      <c r="J8609">
        <f>SMALL(SimData5000!$C$9:$C$5008,3601)</f>
        <v>0.72670499880587158</v>
      </c>
      <c r="K8609">
        <f>1/(COUNT(SimData5000!$C$9:$C$5008)-1)+$K$8608</f>
        <v>0.72014402880573325</v>
      </c>
    </row>
    <row r="8610" spans="8:11">
      <c r="H8610">
        <f>SMALL(SimData5000!$B$9:$B$5008,3602)</f>
        <v>0.72026112860810498</v>
      </c>
      <c r="I8610">
        <f>1/(COUNT(SimData5000!$B$9:$B$5008)-1)+$I$8609</f>
        <v>0.72034406881373481</v>
      </c>
      <c r="J8610">
        <f>SMALL(SimData5000!$C$9:$C$5008,3602)</f>
        <v>0.72692613063463796</v>
      </c>
      <c r="K8610">
        <f>1/(COUNT(SimData5000!$C$9:$C$5008)-1)+$K$8609</f>
        <v>0.72034406881373481</v>
      </c>
    </row>
    <row r="8611" spans="8:11">
      <c r="H8611">
        <f>SMALL(SimData5000!$B$9:$B$5008,3603)</f>
        <v>0.72053851791665391</v>
      </c>
      <c r="I8611">
        <f>1/(COUNT(SimData5000!$B$9:$B$5008)-1)+$I$8610</f>
        <v>0.72054410882173636</v>
      </c>
      <c r="J8611">
        <f>SMALL(SimData5000!$C$9:$C$5008,3603)</f>
        <v>0.72730810641769494</v>
      </c>
      <c r="K8611">
        <f>1/(COUNT(SimData5000!$C$9:$C$5008)-1)+$K$8610</f>
        <v>0.72054410882173636</v>
      </c>
    </row>
    <row r="8612" spans="8:11">
      <c r="H8612">
        <f>SMALL(SimData5000!$B$9:$B$5008,3604)</f>
        <v>0.72072115196644349</v>
      </c>
      <c r="I8612">
        <f>1/(COUNT(SimData5000!$B$9:$B$5008)-1)+$I$8611</f>
        <v>0.72074414882973792</v>
      </c>
      <c r="J8612">
        <f>SMALL(SimData5000!$C$9:$C$5008,3604)</f>
        <v>0.72759780349770153</v>
      </c>
      <c r="K8612">
        <f>1/(COUNT(SimData5000!$C$9:$C$5008)-1)+$K$8611</f>
        <v>0.72074414882973792</v>
      </c>
    </row>
    <row r="8613" spans="8:11">
      <c r="H8613">
        <f>SMALL(SimData5000!$B$9:$B$5008,3605)</f>
        <v>0.72096589000322064</v>
      </c>
      <c r="I8613">
        <f>1/(COUNT(SimData5000!$B$9:$B$5008)-1)+$I$8612</f>
        <v>0.72094418883773947</v>
      </c>
      <c r="J8613">
        <f>SMALL(SimData5000!$C$9:$C$5008,3605)</f>
        <v>0.72776658239672543</v>
      </c>
      <c r="K8613">
        <f>1/(COUNT(SimData5000!$C$9:$C$5008)-1)+$K$8612</f>
        <v>0.72094418883773947</v>
      </c>
    </row>
    <row r="8614" spans="8:11">
      <c r="H8614">
        <f>SMALL(SimData5000!$B$9:$B$5008,3606)</f>
        <v>0.72113753711351603</v>
      </c>
      <c r="I8614">
        <f>1/(COUNT(SimData5000!$B$9:$B$5008)-1)+$I$8613</f>
        <v>0.72114422884574103</v>
      </c>
      <c r="J8614">
        <f>SMALL(SimData5000!$C$9:$C$5008,3606)</f>
        <v>0.72808815027113383</v>
      </c>
      <c r="K8614">
        <f>1/(COUNT(SimData5000!$C$9:$C$5008)-1)+$K$8613</f>
        <v>0.72114422884574103</v>
      </c>
    </row>
    <row r="8615" spans="8:11">
      <c r="H8615">
        <f>SMALL(SimData5000!$B$9:$B$5008,3607)</f>
        <v>0.72134541673952368</v>
      </c>
      <c r="I8615">
        <f>1/(COUNT(SimData5000!$B$9:$B$5008)-1)+$I$8614</f>
        <v>0.72134426885374259</v>
      </c>
      <c r="J8615">
        <f>SMALL(SimData5000!$C$9:$C$5008,3607)</f>
        <v>0.72813693008902192</v>
      </c>
      <c r="K8615">
        <f>1/(COUNT(SimData5000!$C$9:$C$5008)-1)+$K$8614</f>
        <v>0.72134426885374259</v>
      </c>
    </row>
    <row r="8616" spans="8:11">
      <c r="H8616">
        <f>SMALL(SimData5000!$B$9:$B$5008,3608)</f>
        <v>0.72158588217561737</v>
      </c>
      <c r="I8616">
        <f>1/(COUNT(SimData5000!$B$9:$B$5008)-1)+$I$8615</f>
        <v>0.72154430886174414</v>
      </c>
      <c r="J8616">
        <f>SMALL(SimData5000!$C$9:$C$5008,3608)</f>
        <v>0.72814278542318789</v>
      </c>
      <c r="K8616">
        <f>1/(COUNT(SimData5000!$C$9:$C$5008)-1)+$K$8615</f>
        <v>0.72154430886174414</v>
      </c>
    </row>
    <row r="8617" spans="8:11">
      <c r="H8617">
        <f>SMALL(SimData5000!$B$9:$B$5008,3609)</f>
        <v>0.72168733807645913</v>
      </c>
      <c r="I8617">
        <f>1/(COUNT(SimData5000!$B$9:$B$5008)-1)+$I$8616</f>
        <v>0.7217443488697457</v>
      </c>
      <c r="J8617">
        <f>SMALL(SimData5000!$C$9:$C$5008,3609)</f>
        <v>0.72898324691686867</v>
      </c>
      <c r="K8617">
        <f>1/(COUNT(SimData5000!$C$9:$C$5008)-1)+$K$8616</f>
        <v>0.7217443488697457</v>
      </c>
    </row>
    <row r="8618" spans="8:11">
      <c r="H8618">
        <f>SMALL(SimData5000!$B$9:$B$5008,3610)</f>
        <v>0.72195414342674291</v>
      </c>
      <c r="I8618">
        <f>1/(COUNT(SimData5000!$B$9:$B$5008)-1)+$I$8617</f>
        <v>0.72194438887774726</v>
      </c>
      <c r="J8618">
        <f>SMALL(SimData5000!$C$9:$C$5008,3610)</f>
        <v>0.72919882429687277</v>
      </c>
      <c r="K8618">
        <f>1/(COUNT(SimData5000!$C$9:$C$5008)-1)+$K$8617</f>
        <v>0.72194438887774726</v>
      </c>
    </row>
    <row r="8619" spans="8:11">
      <c r="H8619">
        <f>SMALL(SimData5000!$B$9:$B$5008,3611)</f>
        <v>0.72207827686753079</v>
      </c>
      <c r="I8619">
        <f>1/(COUNT(SimData5000!$B$9:$B$5008)-1)+$I$8618</f>
        <v>0.72214442888574881</v>
      </c>
      <c r="J8619">
        <f>SMALL(SimData5000!$C$9:$C$5008,3611)</f>
        <v>0.73008712904538697</v>
      </c>
      <c r="K8619">
        <f>1/(COUNT(SimData5000!$C$9:$C$5008)-1)+$K$8618</f>
        <v>0.72214442888574881</v>
      </c>
    </row>
    <row r="8620" spans="8:11">
      <c r="H8620">
        <f>SMALL(SimData5000!$B$9:$B$5008,3612)</f>
        <v>0.72234078854367623</v>
      </c>
      <c r="I8620">
        <f>1/(COUNT(SimData5000!$B$9:$B$5008)-1)+$I$8619</f>
        <v>0.72234446889375037</v>
      </c>
      <c r="J8620">
        <f>SMALL(SimData5000!$C$9:$C$5008,3612)</f>
        <v>0.73013360309232667</v>
      </c>
      <c r="K8620">
        <f>1/(COUNT(SimData5000!$C$9:$C$5008)-1)+$K$8619</f>
        <v>0.72234446889375037</v>
      </c>
    </row>
    <row r="8621" spans="8:11">
      <c r="H8621">
        <f>SMALL(SimData5000!$B$9:$B$5008,3613)</f>
        <v>0.72242144584898405</v>
      </c>
      <c r="I8621">
        <f>1/(COUNT(SimData5000!$B$9:$B$5008)-1)+$I$8620</f>
        <v>0.72254450890175193</v>
      </c>
      <c r="J8621">
        <f>SMALL(SimData5000!$C$9:$C$5008,3613)</f>
        <v>0.73017328894638922</v>
      </c>
      <c r="K8621">
        <f>1/(COUNT(SimData5000!$C$9:$C$5008)-1)+$K$8620</f>
        <v>0.72254450890175193</v>
      </c>
    </row>
    <row r="8622" spans="8:11">
      <c r="H8622">
        <f>SMALL(SimData5000!$B$9:$B$5008,3614)</f>
        <v>0.72272082276286576</v>
      </c>
      <c r="I8622">
        <f>1/(COUNT(SimData5000!$B$9:$B$5008)-1)+$I$8621</f>
        <v>0.72274454890975348</v>
      </c>
      <c r="J8622">
        <f>SMALL(SimData5000!$C$9:$C$5008,3614)</f>
        <v>0.73024576064381108</v>
      </c>
      <c r="K8622">
        <f>1/(COUNT(SimData5000!$C$9:$C$5008)-1)+$K$8621</f>
        <v>0.72274454890975348</v>
      </c>
    </row>
    <row r="8623" spans="8:11">
      <c r="H8623">
        <f>SMALL(SimData5000!$B$9:$B$5008,3615)</f>
        <v>0.72294775837663272</v>
      </c>
      <c r="I8623">
        <f>1/(COUNT(SimData5000!$B$9:$B$5008)-1)+$I$8622</f>
        <v>0.72294458891775504</v>
      </c>
      <c r="J8623">
        <f>SMALL(SimData5000!$C$9:$C$5008,3615)</f>
        <v>0.73038154315690917</v>
      </c>
      <c r="K8623">
        <f>1/(COUNT(SimData5000!$C$9:$C$5008)-1)+$K$8622</f>
        <v>0.72294458891775504</v>
      </c>
    </row>
    <row r="8624" spans="8:11">
      <c r="H8624">
        <f>SMALL(SimData5000!$B$9:$B$5008,3616)</f>
        <v>0.72317822954575017</v>
      </c>
      <c r="I8624">
        <f>1/(COUNT(SimData5000!$B$9:$B$5008)-1)+$I$8623</f>
        <v>0.72314462892575659</v>
      </c>
      <c r="J8624">
        <f>SMALL(SimData5000!$C$9:$C$5008,3616)</f>
        <v>0.73038708415333531</v>
      </c>
      <c r="K8624">
        <f>1/(COUNT(SimData5000!$C$9:$C$5008)-1)+$K$8623</f>
        <v>0.72314462892575659</v>
      </c>
    </row>
    <row r="8625" spans="8:11">
      <c r="H8625">
        <f>SMALL(SimData5000!$B$9:$B$5008,3617)</f>
        <v>0.72330921311599883</v>
      </c>
      <c r="I8625">
        <f>1/(COUNT(SimData5000!$B$9:$B$5008)-1)+$I$8624</f>
        <v>0.72334466893375815</v>
      </c>
      <c r="J8625">
        <f>SMALL(SimData5000!$C$9:$C$5008,3617)</f>
        <v>0.73044423817191273</v>
      </c>
      <c r="K8625">
        <f>1/(COUNT(SimData5000!$C$9:$C$5008)-1)+$K$8624</f>
        <v>0.72334466893375815</v>
      </c>
    </row>
    <row r="8626" spans="8:11">
      <c r="H8626">
        <f>SMALL(SimData5000!$B$9:$B$5008,3618)</f>
        <v>0.7235227909699834</v>
      </c>
      <c r="I8626">
        <f>1/(COUNT(SimData5000!$B$9:$B$5008)-1)+$I$8625</f>
        <v>0.72354470894175971</v>
      </c>
      <c r="J8626">
        <f>SMALL(SimData5000!$C$9:$C$5008,3618)</f>
        <v>0.73053563628220175</v>
      </c>
      <c r="K8626">
        <f>1/(COUNT(SimData5000!$C$9:$C$5008)-1)+$K$8625</f>
        <v>0.72354470894175971</v>
      </c>
    </row>
    <row r="8627" spans="8:11">
      <c r="H8627">
        <f>SMALL(SimData5000!$B$9:$B$5008,3619)</f>
        <v>0.72362591161770418</v>
      </c>
      <c r="I8627">
        <f>1/(COUNT(SimData5000!$B$9:$B$5008)-1)+$I$8626</f>
        <v>0.72374474894976126</v>
      </c>
      <c r="J8627">
        <f>SMALL(SimData5000!$C$9:$C$5008,3619)</f>
        <v>0.73071340603564749</v>
      </c>
      <c r="K8627">
        <f>1/(COUNT(SimData5000!$C$9:$C$5008)-1)+$K$8626</f>
        <v>0.72374474894976126</v>
      </c>
    </row>
    <row r="8628" spans="8:11">
      <c r="H8628">
        <f>SMALL(SimData5000!$B$9:$B$5008,3620)</f>
        <v>0.72391426103667222</v>
      </c>
      <c r="I8628">
        <f>1/(COUNT(SimData5000!$B$9:$B$5008)-1)+$I$8627</f>
        <v>0.72394478895776282</v>
      </c>
      <c r="J8628">
        <f>SMALL(SimData5000!$C$9:$C$5008,3620)</f>
        <v>0.73076424001465057</v>
      </c>
      <c r="K8628">
        <f>1/(COUNT(SimData5000!$C$9:$C$5008)-1)+$K$8627</f>
        <v>0.72394478895776282</v>
      </c>
    </row>
    <row r="8629" spans="8:11">
      <c r="H8629">
        <f>SMALL(SimData5000!$B$9:$B$5008,3621)</f>
        <v>0.72404968737625741</v>
      </c>
      <c r="I8629">
        <f>1/(COUNT(SimData5000!$B$9:$B$5008)-1)+$I$8628</f>
        <v>0.72414482896576438</v>
      </c>
      <c r="J8629">
        <f>SMALL(SimData5000!$C$9:$C$5008,3621)</f>
        <v>0.73100037908261584</v>
      </c>
      <c r="K8629">
        <f>1/(COUNT(SimData5000!$C$9:$C$5008)-1)+$K$8628</f>
        <v>0.72414482896576438</v>
      </c>
    </row>
    <row r="8630" spans="8:11">
      <c r="H8630">
        <f>SMALL(SimData5000!$B$9:$B$5008,3622)</f>
        <v>0.72427567501139734</v>
      </c>
      <c r="I8630">
        <f>1/(COUNT(SimData5000!$B$9:$B$5008)-1)+$I$8629</f>
        <v>0.72434486897376593</v>
      </c>
      <c r="J8630">
        <f>SMALL(SimData5000!$C$9:$C$5008,3622)</f>
        <v>0.73141305266562995</v>
      </c>
      <c r="K8630">
        <f>1/(COUNT(SimData5000!$C$9:$C$5008)-1)+$K$8629</f>
        <v>0.72434486897376593</v>
      </c>
    </row>
    <row r="8631" spans="8:11">
      <c r="H8631">
        <f>SMALL(SimData5000!$B$9:$B$5008,3623)</f>
        <v>0.7244267284320729</v>
      </c>
      <c r="I8631">
        <f>1/(COUNT(SimData5000!$B$9:$B$5008)-1)+$I$8630</f>
        <v>0.72454490898176749</v>
      </c>
      <c r="J8631">
        <f>SMALL(SimData5000!$C$9:$C$5008,3623)</f>
        <v>0.73142907587043737</v>
      </c>
      <c r="K8631">
        <f>1/(COUNT(SimData5000!$C$9:$C$5008)-1)+$K$8630</f>
        <v>0.72454490898176749</v>
      </c>
    </row>
    <row r="8632" spans="8:11">
      <c r="H8632">
        <f>SMALL(SimData5000!$B$9:$B$5008,3624)</f>
        <v>0.72475875927045907</v>
      </c>
      <c r="I8632">
        <f>1/(COUNT(SimData5000!$B$9:$B$5008)-1)+$I$8631</f>
        <v>0.72474494898976904</v>
      </c>
      <c r="J8632">
        <f>SMALL(SimData5000!$C$9:$C$5008,3624)</f>
        <v>0.73147335279736581</v>
      </c>
      <c r="K8632">
        <f>1/(COUNT(SimData5000!$C$9:$C$5008)-1)+$K$8631</f>
        <v>0.72474494898976904</v>
      </c>
    </row>
    <row r="8633" spans="8:11">
      <c r="H8633">
        <f>SMALL(SimData5000!$B$9:$B$5008,3625)</f>
        <v>0.72496480042174571</v>
      </c>
      <c r="I8633">
        <f>1/(COUNT(SimData5000!$B$9:$B$5008)-1)+$I$8632</f>
        <v>0.7249449889977706</v>
      </c>
      <c r="J8633">
        <f>SMALL(SimData5000!$C$9:$C$5008,3625)</f>
        <v>0.73159367668813502</v>
      </c>
      <c r="K8633">
        <f>1/(COUNT(SimData5000!$C$9:$C$5008)-1)+$K$8632</f>
        <v>0.7249449889977706</v>
      </c>
    </row>
    <row r="8634" spans="8:11">
      <c r="H8634">
        <f>SMALL(SimData5000!$B$9:$B$5008,3626)</f>
        <v>0.72507495459748317</v>
      </c>
      <c r="I8634">
        <f>1/(COUNT(SimData5000!$B$9:$B$5008)-1)+$I$8633</f>
        <v>0.72514502900577216</v>
      </c>
      <c r="J8634">
        <f>SMALL(SimData5000!$C$9:$C$5008,3626)</f>
        <v>0.73160197151264583</v>
      </c>
      <c r="K8634">
        <f>1/(COUNT(SimData5000!$C$9:$C$5008)-1)+$K$8633</f>
        <v>0.72514502900577216</v>
      </c>
    </row>
    <row r="8635" spans="8:11">
      <c r="H8635">
        <f>SMALL(SimData5000!$B$9:$B$5008,3627)</f>
        <v>0.72522005146216129</v>
      </c>
      <c r="I8635">
        <f>1/(COUNT(SimData5000!$B$9:$B$5008)-1)+$I$8634</f>
        <v>0.72534506901377371</v>
      </c>
      <c r="J8635">
        <f>SMALL(SimData5000!$C$9:$C$5008,3627)</f>
        <v>0.7317180098980316</v>
      </c>
      <c r="K8635">
        <f>1/(COUNT(SimData5000!$C$9:$C$5008)-1)+$K$8634</f>
        <v>0.72534506901377371</v>
      </c>
    </row>
    <row r="8636" spans="8:11">
      <c r="H8636">
        <f>SMALL(SimData5000!$B$9:$B$5008,3628)</f>
        <v>0.725432020720847</v>
      </c>
      <c r="I8636">
        <f>1/(COUNT(SimData5000!$B$9:$B$5008)-1)+$I$8635</f>
        <v>0.72554510902177527</v>
      </c>
      <c r="J8636">
        <f>SMALL(SimData5000!$C$9:$C$5008,3628)</f>
        <v>0.73181218988702312</v>
      </c>
      <c r="K8636">
        <f>1/(COUNT(SimData5000!$C$9:$C$5008)-1)+$K$8635</f>
        <v>0.72554510902177527</v>
      </c>
    </row>
    <row r="8637" spans="8:11">
      <c r="H8637">
        <f>SMALL(SimData5000!$B$9:$B$5008,3629)</f>
        <v>0.72564255151009249</v>
      </c>
      <c r="I8637">
        <f>1/(COUNT(SimData5000!$B$9:$B$5008)-1)+$I$8636</f>
        <v>0.72574514902977683</v>
      </c>
      <c r="J8637">
        <f>SMALL(SimData5000!$C$9:$C$5008,3629)</f>
        <v>0.73186971584527782</v>
      </c>
      <c r="K8637">
        <f>1/(COUNT(SimData5000!$C$9:$C$5008)-1)+$K$8636</f>
        <v>0.72574514902977683</v>
      </c>
    </row>
    <row r="8638" spans="8:11">
      <c r="H8638">
        <f>SMALL(SimData5000!$B$9:$B$5008,3630)</f>
        <v>0.72593568328352076</v>
      </c>
      <c r="I8638">
        <f>1/(COUNT(SimData5000!$B$9:$B$5008)-1)+$I$8637</f>
        <v>0.72594518903777838</v>
      </c>
      <c r="J8638">
        <f>SMALL(SimData5000!$C$9:$C$5008,3630)</f>
        <v>0.73188242862306652</v>
      </c>
      <c r="K8638">
        <f>1/(COUNT(SimData5000!$C$9:$C$5008)-1)+$K$8637</f>
        <v>0.72594518903777838</v>
      </c>
    </row>
    <row r="8639" spans="8:11">
      <c r="H8639">
        <f>SMALL(SimData5000!$B$9:$B$5008,3631)</f>
        <v>0.72610308478802976</v>
      </c>
      <c r="I8639">
        <f>1/(COUNT(SimData5000!$B$9:$B$5008)-1)+$I$8638</f>
        <v>0.72614522904577994</v>
      </c>
      <c r="J8639">
        <f>SMALL(SimData5000!$C$9:$C$5008,3631)</f>
        <v>0.73201738623629353</v>
      </c>
      <c r="K8639">
        <f>1/(COUNT(SimData5000!$C$9:$C$5008)-1)+$K$8638</f>
        <v>0.72614522904577994</v>
      </c>
    </row>
    <row r="8640" spans="8:11">
      <c r="H8640">
        <f>SMALL(SimData5000!$B$9:$B$5008,3632)</f>
        <v>0.72621260509193231</v>
      </c>
      <c r="I8640">
        <f>1/(COUNT(SimData5000!$B$9:$B$5008)-1)+$I$8639</f>
        <v>0.72634526905378149</v>
      </c>
      <c r="J8640">
        <f>SMALL(SimData5000!$C$9:$C$5008,3632)</f>
        <v>0.7324257551726987</v>
      </c>
      <c r="K8640">
        <f>1/(COUNT(SimData5000!$C$9:$C$5008)-1)+$K$8639</f>
        <v>0.72634526905378149</v>
      </c>
    </row>
    <row r="8641" spans="8:11">
      <c r="H8641">
        <f>SMALL(SimData5000!$B$9:$B$5008,3633)</f>
        <v>0.72655489014628227</v>
      </c>
      <c r="I8641">
        <f>1/(COUNT(SimData5000!$B$9:$B$5008)-1)+$I$8640</f>
        <v>0.72654530906178305</v>
      </c>
      <c r="J8641">
        <f>SMALL(SimData5000!$C$9:$C$5008,3633)</f>
        <v>0.73268259545329784</v>
      </c>
      <c r="K8641">
        <f>1/(COUNT(SimData5000!$C$9:$C$5008)-1)+$K$8640</f>
        <v>0.72654530906178305</v>
      </c>
    </row>
    <row r="8642" spans="8:11">
      <c r="H8642">
        <f>SMALL(SimData5000!$B$9:$B$5008,3634)</f>
        <v>0.72661834994983354</v>
      </c>
      <c r="I8642">
        <f>1/(COUNT(SimData5000!$B$9:$B$5008)-1)+$I$8641</f>
        <v>0.72674534906978461</v>
      </c>
      <c r="J8642">
        <f>SMALL(SimData5000!$C$9:$C$5008,3634)</f>
        <v>0.73277018079079426</v>
      </c>
      <c r="K8642">
        <f>1/(COUNT(SimData5000!$C$9:$C$5008)-1)+$K$8641</f>
        <v>0.72674534906978461</v>
      </c>
    </row>
    <row r="8643" spans="8:11">
      <c r="H8643">
        <f>SMALL(SimData5000!$B$9:$B$5008,3635)</f>
        <v>0.72693967964875972</v>
      </c>
      <c r="I8643">
        <f>1/(COUNT(SimData5000!$B$9:$B$5008)-1)+$I$8642</f>
        <v>0.72694538907778616</v>
      </c>
      <c r="J8643">
        <f>SMALL(SimData5000!$C$9:$C$5008,3635)</f>
        <v>0.73315615766841802</v>
      </c>
      <c r="K8643">
        <f>1/(COUNT(SimData5000!$C$9:$C$5008)-1)+$K$8642</f>
        <v>0.72694538907778616</v>
      </c>
    </row>
    <row r="8644" spans="8:11">
      <c r="H8644">
        <f>SMALL(SimData5000!$B$9:$B$5008,3636)</f>
        <v>0.7270026701204485</v>
      </c>
      <c r="I8644">
        <f>1/(COUNT(SimData5000!$B$9:$B$5008)-1)+$I$8643</f>
        <v>0.72714542908578772</v>
      </c>
      <c r="J8644">
        <f>SMALL(SimData5000!$C$9:$C$5008,3636)</f>
        <v>0.73327238453839527</v>
      </c>
      <c r="K8644">
        <f>1/(COUNT(SimData5000!$C$9:$C$5008)-1)+$K$8643</f>
        <v>0.72714542908578772</v>
      </c>
    </row>
    <row r="8645" spans="8:11">
      <c r="H8645">
        <f>SMALL(SimData5000!$B$9:$B$5008,3637)</f>
        <v>0.72720188329592395</v>
      </c>
      <c r="I8645">
        <f>1/(COUNT(SimData5000!$B$9:$B$5008)-1)+$I$8644</f>
        <v>0.72734546909378928</v>
      </c>
      <c r="J8645">
        <f>SMALL(SimData5000!$C$9:$C$5008,3637)</f>
        <v>0.73329695027041453</v>
      </c>
      <c r="K8645">
        <f>1/(COUNT(SimData5000!$C$9:$C$5008)-1)+$K$8644</f>
        <v>0.72734546909378928</v>
      </c>
    </row>
    <row r="8646" spans="8:11">
      <c r="H8646">
        <f>SMALL(SimData5000!$B$9:$B$5008,3638)</f>
        <v>0.72756358316986902</v>
      </c>
      <c r="I8646">
        <f>1/(COUNT(SimData5000!$B$9:$B$5008)-1)+$I$8645</f>
        <v>0.72754550910179083</v>
      </c>
      <c r="J8646">
        <f>SMALL(SimData5000!$C$9:$C$5008,3638)</f>
        <v>0.73358946850476059</v>
      </c>
      <c r="K8646">
        <f>1/(COUNT(SimData5000!$C$9:$C$5008)-1)+$K$8645</f>
        <v>0.72754550910179083</v>
      </c>
    </row>
    <row r="8647" spans="8:11">
      <c r="H8647">
        <f>SMALL(SimData5000!$B$9:$B$5008,3639)</f>
        <v>0.72770580867349777</v>
      </c>
      <c r="I8647">
        <f>1/(COUNT(SimData5000!$B$9:$B$5008)-1)+$I$8646</f>
        <v>0.72774554910979239</v>
      </c>
      <c r="J8647">
        <f>SMALL(SimData5000!$C$9:$C$5008,3639)</f>
        <v>0.73361914357064961</v>
      </c>
      <c r="K8647">
        <f>1/(COUNT(SimData5000!$C$9:$C$5008)-1)+$K$8646</f>
        <v>0.72774554910979239</v>
      </c>
    </row>
    <row r="8648" spans="8:11">
      <c r="H8648">
        <f>SMALL(SimData5000!$B$9:$B$5008,3640)</f>
        <v>0.72798816596897975</v>
      </c>
      <c r="I8648">
        <f>1/(COUNT(SimData5000!$B$9:$B$5008)-1)+$I$8647</f>
        <v>0.72794558911779395</v>
      </c>
      <c r="J8648">
        <f>SMALL(SimData5000!$C$9:$C$5008,3640)</f>
        <v>0.73391819245352963</v>
      </c>
      <c r="K8648">
        <f>1/(COUNT(SimData5000!$C$9:$C$5008)-1)+$K$8647</f>
        <v>0.72794558911779395</v>
      </c>
    </row>
    <row r="8649" spans="8:11">
      <c r="H8649">
        <f>SMALL(SimData5000!$B$9:$B$5008,3641)</f>
        <v>0.72813857392820969</v>
      </c>
      <c r="I8649">
        <f>1/(COUNT(SimData5000!$B$9:$B$5008)-1)+$I$8648</f>
        <v>0.7281456291257955</v>
      </c>
      <c r="J8649">
        <f>SMALL(SimData5000!$C$9:$C$5008,3641)</f>
        <v>0.73405035609539482</v>
      </c>
      <c r="K8649">
        <f>1/(COUNT(SimData5000!$C$9:$C$5008)-1)+$K$8648</f>
        <v>0.7281456291257955</v>
      </c>
    </row>
    <row r="8650" spans="8:11">
      <c r="H8650">
        <f>SMALL(SimData5000!$B$9:$B$5008,3642)</f>
        <v>0.72833466801427649</v>
      </c>
      <c r="I8650">
        <f>1/(COUNT(SimData5000!$B$9:$B$5008)-1)+$I$8649</f>
        <v>0.72834566913379706</v>
      </c>
      <c r="J8650">
        <f>SMALL(SimData5000!$C$9:$C$5008,3642)</f>
        <v>0.73420362491197011</v>
      </c>
      <c r="K8650">
        <f>1/(COUNT(SimData5000!$C$9:$C$5008)-1)+$K$8649</f>
        <v>0.72834566913379706</v>
      </c>
    </row>
    <row r="8651" spans="8:11">
      <c r="H8651">
        <f>SMALL(SimData5000!$B$9:$B$5008,3643)</f>
        <v>0.72840190522605597</v>
      </c>
      <c r="I8651">
        <f>1/(COUNT(SimData5000!$B$9:$B$5008)-1)+$I$8650</f>
        <v>0.72854570914179861</v>
      </c>
      <c r="J8651">
        <f>SMALL(SimData5000!$C$9:$C$5008,3643)</f>
        <v>0.73447128793350203</v>
      </c>
      <c r="K8651">
        <f>1/(COUNT(SimData5000!$C$9:$C$5008)-1)+$K$8650</f>
        <v>0.72854570914179861</v>
      </c>
    </row>
    <row r="8652" spans="8:11">
      <c r="H8652">
        <f>SMALL(SimData5000!$B$9:$B$5008,3644)</f>
        <v>0.72878653784976033</v>
      </c>
      <c r="I8652">
        <f>1/(COUNT(SimData5000!$B$9:$B$5008)-1)+$I$8651</f>
        <v>0.72874574914980017</v>
      </c>
      <c r="J8652">
        <f>SMALL(SimData5000!$C$9:$C$5008,3644)</f>
        <v>0.7347555711021414</v>
      </c>
      <c r="K8652">
        <f>1/(COUNT(SimData5000!$C$9:$C$5008)-1)+$K$8651</f>
        <v>0.72874574914980017</v>
      </c>
    </row>
    <row r="8653" spans="8:11">
      <c r="H8653">
        <f>SMALL(SimData5000!$B$9:$B$5008,3645)</f>
        <v>0.72889089118207129</v>
      </c>
      <c r="I8653">
        <f>1/(COUNT(SimData5000!$B$9:$B$5008)-1)+$I$8652</f>
        <v>0.72894578915780173</v>
      </c>
      <c r="J8653">
        <f>SMALL(SimData5000!$C$9:$C$5008,3645)</f>
        <v>0.73478613783208857</v>
      </c>
      <c r="K8653">
        <f>1/(COUNT(SimData5000!$C$9:$C$5008)-1)+$K$8652</f>
        <v>0.72894578915780173</v>
      </c>
    </row>
    <row r="8654" spans="8:11">
      <c r="H8654">
        <f>SMALL(SimData5000!$B$9:$B$5008,3646)</f>
        <v>0.72917680732863421</v>
      </c>
      <c r="I8654">
        <f>1/(COUNT(SimData5000!$B$9:$B$5008)-1)+$I$8653</f>
        <v>0.72914582916580328</v>
      </c>
      <c r="J8654">
        <f>SMALL(SimData5000!$C$9:$C$5008,3646)</f>
        <v>0.73488777353941259</v>
      </c>
      <c r="K8654">
        <f>1/(COUNT(SimData5000!$C$9:$C$5008)-1)+$K$8653</f>
        <v>0.72914582916580328</v>
      </c>
    </row>
    <row r="8655" spans="8:11">
      <c r="H8655">
        <f>SMALL(SimData5000!$B$9:$B$5008,3647)</f>
        <v>0.72930313714954609</v>
      </c>
      <c r="I8655">
        <f>1/(COUNT(SimData5000!$B$9:$B$5008)-1)+$I$8654</f>
        <v>0.72934586917380484</v>
      </c>
      <c r="J8655">
        <f>SMALL(SimData5000!$C$9:$C$5008,3647)</f>
        <v>0.73506400479618605</v>
      </c>
      <c r="K8655">
        <f>1/(COUNT(SimData5000!$C$9:$C$5008)-1)+$K$8654</f>
        <v>0.72934586917380484</v>
      </c>
    </row>
    <row r="8656" spans="8:11">
      <c r="H8656">
        <f>SMALL(SimData5000!$B$9:$B$5008,3648)</f>
        <v>0.72958998813247067</v>
      </c>
      <c r="I8656">
        <f>1/(COUNT(SimData5000!$B$9:$B$5008)-1)+$I$8655</f>
        <v>0.7295459091818064</v>
      </c>
      <c r="J8656">
        <f>SMALL(SimData5000!$C$9:$C$5008,3648)</f>
        <v>0.73510333674130379</v>
      </c>
      <c r="K8656">
        <f>1/(COUNT(SimData5000!$C$9:$C$5008)-1)+$K$8655</f>
        <v>0.7295459091818064</v>
      </c>
    </row>
    <row r="8657" spans="8:11">
      <c r="H8657">
        <f>SMALL(SimData5000!$B$9:$B$5008,3649)</f>
        <v>0.72970071430488037</v>
      </c>
      <c r="I8657">
        <f>1/(COUNT(SimData5000!$B$9:$B$5008)-1)+$I$8656</f>
        <v>0.72974594918980795</v>
      </c>
      <c r="J8657">
        <f>SMALL(SimData5000!$C$9:$C$5008,3649)</f>
        <v>0.73525878945929435</v>
      </c>
      <c r="K8657">
        <f>1/(COUNT(SimData5000!$C$9:$C$5008)-1)+$K$8656</f>
        <v>0.72974594918980795</v>
      </c>
    </row>
    <row r="8658" spans="8:11">
      <c r="H8658">
        <f>SMALL(SimData5000!$B$9:$B$5008,3650)</f>
        <v>0.72993841023154982</v>
      </c>
      <c r="I8658">
        <f>1/(COUNT(SimData5000!$B$9:$B$5008)-1)+$I$8657</f>
        <v>0.72994598919780951</v>
      </c>
      <c r="J8658">
        <f>SMALL(SimData5000!$C$9:$C$5008,3650)</f>
        <v>0.73534626706532435</v>
      </c>
      <c r="K8658">
        <f>1/(COUNT(SimData5000!$C$9:$C$5008)-1)+$K$8657</f>
        <v>0.72994598919780951</v>
      </c>
    </row>
    <row r="8659" spans="8:11">
      <c r="H8659">
        <f>SMALL(SimData5000!$B$9:$B$5008,3651)</f>
        <v>0.7300256988931042</v>
      </c>
      <c r="I8659">
        <f>1/(COUNT(SimData5000!$B$9:$B$5008)-1)+$I$8658</f>
        <v>0.73014602920581106</v>
      </c>
      <c r="J8659">
        <f>SMALL(SimData5000!$C$9:$C$5008,3651)</f>
        <v>0.73551579926424893</v>
      </c>
      <c r="K8659">
        <f>1/(COUNT(SimData5000!$C$9:$C$5008)-1)+$K$8658</f>
        <v>0.73014602920581106</v>
      </c>
    </row>
    <row r="8660" spans="8:11">
      <c r="H8660">
        <f>SMALL(SimData5000!$B$9:$B$5008,3652)</f>
        <v>0.73023817861001894</v>
      </c>
      <c r="I8660">
        <f>1/(COUNT(SimData5000!$B$9:$B$5008)-1)+$I$8659</f>
        <v>0.73034606921381262</v>
      </c>
      <c r="J8660">
        <f>SMALL(SimData5000!$C$9:$C$5008,3652)</f>
        <v>0.7355378264473984</v>
      </c>
      <c r="K8660">
        <f>1/(COUNT(SimData5000!$C$9:$C$5008)-1)+$K$8659</f>
        <v>0.73034606921381262</v>
      </c>
    </row>
    <row r="8661" spans="8:11">
      <c r="H8661">
        <f>SMALL(SimData5000!$B$9:$B$5008,3653)</f>
        <v>0.73040275876564043</v>
      </c>
      <c r="I8661">
        <f>1/(COUNT(SimData5000!$B$9:$B$5008)-1)+$I$8660</f>
        <v>0.73054610922181418</v>
      </c>
      <c r="J8661">
        <f>SMALL(SimData5000!$C$9:$C$5008,3653)</f>
        <v>0.73563562759227352</v>
      </c>
      <c r="K8661">
        <f>1/(COUNT(SimData5000!$C$9:$C$5008)-1)+$K$8660</f>
        <v>0.73054610922181418</v>
      </c>
    </row>
    <row r="8662" spans="8:11">
      <c r="H8662">
        <f>SMALL(SimData5000!$B$9:$B$5008,3654)</f>
        <v>0.73060551783656824</v>
      </c>
      <c r="I8662">
        <f>1/(COUNT(SimData5000!$B$9:$B$5008)-1)+$I$8661</f>
        <v>0.73074614922981573</v>
      </c>
      <c r="J8662">
        <f>SMALL(SimData5000!$C$9:$C$5008,3654)</f>
        <v>0.73605073565795465</v>
      </c>
      <c r="K8662">
        <f>1/(COUNT(SimData5000!$C$9:$C$5008)-1)+$K$8661</f>
        <v>0.73074614922981573</v>
      </c>
    </row>
    <row r="8663" spans="8:11">
      <c r="H8663">
        <f>SMALL(SimData5000!$B$9:$B$5008,3655)</f>
        <v>0.73086703651101959</v>
      </c>
      <c r="I8663">
        <f>1/(COUNT(SimData5000!$B$9:$B$5008)-1)+$I$8662</f>
        <v>0.73094618923781729</v>
      </c>
      <c r="J8663">
        <f>SMALL(SimData5000!$C$9:$C$5008,3655)</f>
        <v>0.73640666556002543</v>
      </c>
      <c r="K8663">
        <f>1/(COUNT(SimData5000!$C$9:$C$5008)-1)+$K$8662</f>
        <v>0.73094618923781729</v>
      </c>
    </row>
    <row r="8664" spans="8:11">
      <c r="H8664">
        <f>SMALL(SimData5000!$B$9:$B$5008,3656)</f>
        <v>0.73111824144407134</v>
      </c>
      <c r="I8664">
        <f>1/(COUNT(SimData5000!$B$9:$B$5008)-1)+$I$8663</f>
        <v>0.73114622924581885</v>
      </c>
      <c r="J8664">
        <f>SMALL(SimData5000!$C$9:$C$5008,3656)</f>
        <v>0.73642275624661124</v>
      </c>
      <c r="K8664">
        <f>1/(COUNT(SimData5000!$C$9:$C$5008)-1)+$K$8663</f>
        <v>0.73114622924581885</v>
      </c>
    </row>
    <row r="8665" spans="8:11">
      <c r="H8665">
        <f>SMALL(SimData5000!$B$9:$B$5008,3657)</f>
        <v>0.73136013836519798</v>
      </c>
      <c r="I8665">
        <f>1/(COUNT(SimData5000!$B$9:$B$5008)-1)+$I$8664</f>
        <v>0.7313462692538204</v>
      </c>
      <c r="J8665">
        <f>SMALL(SimData5000!$C$9:$C$5008,3657)</f>
        <v>0.73691741027596436</v>
      </c>
      <c r="K8665">
        <f>1/(COUNT(SimData5000!$C$9:$C$5008)-1)+$K$8664</f>
        <v>0.7313462692538204</v>
      </c>
    </row>
    <row r="8666" spans="8:11">
      <c r="H8666">
        <f>SMALL(SimData5000!$B$9:$B$5008,3658)</f>
        <v>0.73159243420264508</v>
      </c>
      <c r="I8666">
        <f>1/(COUNT(SimData5000!$B$9:$B$5008)-1)+$I$8665</f>
        <v>0.73154630926182196</v>
      </c>
      <c r="J8666">
        <f>SMALL(SimData5000!$C$9:$C$5008,3658)</f>
        <v>0.73705694430555013</v>
      </c>
      <c r="K8666">
        <f>1/(COUNT(SimData5000!$C$9:$C$5008)-1)+$K$8665</f>
        <v>0.73154630926182196</v>
      </c>
    </row>
    <row r="8667" spans="8:11">
      <c r="H8667">
        <f>SMALL(SimData5000!$B$9:$B$5008,3659)</f>
        <v>0.731651165036869</v>
      </c>
      <c r="I8667">
        <f>1/(COUNT(SimData5000!$B$9:$B$5008)-1)+$I$8666</f>
        <v>0.73174634926982352</v>
      </c>
      <c r="J8667">
        <f>SMALL(SimData5000!$C$9:$C$5008,3659)</f>
        <v>0.73747816718241666</v>
      </c>
      <c r="K8667">
        <f>1/(COUNT(SimData5000!$C$9:$C$5008)-1)+$K$8666</f>
        <v>0.73174634926982352</v>
      </c>
    </row>
    <row r="8668" spans="8:11">
      <c r="H8668">
        <f>SMALL(SimData5000!$B$9:$B$5008,3660)</f>
        <v>0.73190606280968207</v>
      </c>
      <c r="I8668">
        <f>1/(COUNT(SimData5000!$B$9:$B$5008)-1)+$I$8667</f>
        <v>0.73194638927782507</v>
      </c>
      <c r="J8668">
        <f>SMALL(SimData5000!$C$9:$C$5008,3660)</f>
        <v>0.73754533671854006</v>
      </c>
      <c r="K8668">
        <f>1/(COUNT(SimData5000!$C$9:$C$5008)-1)+$K$8667</f>
        <v>0.73194638927782507</v>
      </c>
    </row>
    <row r="8669" spans="8:11">
      <c r="H8669">
        <f>SMALL(SimData5000!$B$9:$B$5008,3661)</f>
        <v>0.73204605814224255</v>
      </c>
      <c r="I8669">
        <f>1/(COUNT(SimData5000!$B$9:$B$5008)-1)+$I$8668</f>
        <v>0.73214642928582663</v>
      </c>
      <c r="J8669">
        <f>SMALL(SimData5000!$C$9:$C$5008,3661)</f>
        <v>0.73779348108382692</v>
      </c>
      <c r="K8669">
        <f>1/(COUNT(SimData5000!$C$9:$C$5008)-1)+$K$8668</f>
        <v>0.73214642928582663</v>
      </c>
    </row>
    <row r="8670" spans="8:11">
      <c r="H8670">
        <f>SMALL(SimData5000!$B$9:$B$5008,3662)</f>
        <v>0.73220465714922289</v>
      </c>
      <c r="I8670">
        <f>1/(COUNT(SimData5000!$B$9:$B$5008)-1)+$I$8669</f>
        <v>0.73234646929382818</v>
      </c>
      <c r="J8670">
        <f>SMALL(SimData5000!$C$9:$C$5008,3662)</f>
        <v>0.73785225887968409</v>
      </c>
      <c r="K8670">
        <f>1/(COUNT(SimData5000!$C$9:$C$5008)-1)+$K$8669</f>
        <v>0.73234646929382818</v>
      </c>
    </row>
    <row r="8671" spans="8:11">
      <c r="H8671">
        <f>SMALL(SimData5000!$B$9:$B$5008,3663)</f>
        <v>0.73242834993773809</v>
      </c>
      <c r="I8671">
        <f>1/(COUNT(SimData5000!$B$9:$B$5008)-1)+$I$8670</f>
        <v>0.73254650930182974</v>
      </c>
      <c r="J8671">
        <f>SMALL(SimData5000!$C$9:$C$5008,3663)</f>
        <v>0.73786543390542647</v>
      </c>
      <c r="K8671">
        <f>1/(COUNT(SimData5000!$C$9:$C$5008)-1)+$K$8670</f>
        <v>0.73254650930182974</v>
      </c>
    </row>
    <row r="8672" spans="8:11">
      <c r="H8672">
        <f>SMALL(SimData5000!$B$9:$B$5008,3664)</f>
        <v>0.73262525151973246</v>
      </c>
      <c r="I8672">
        <f>1/(COUNT(SimData5000!$B$9:$B$5008)-1)+$I$8671</f>
        <v>0.7327465493098313</v>
      </c>
      <c r="J8672">
        <f>SMALL(SimData5000!$C$9:$C$5008,3664)</f>
        <v>0.73794246337365621</v>
      </c>
      <c r="K8672">
        <f>1/(COUNT(SimData5000!$C$9:$C$5008)-1)+$K$8671</f>
        <v>0.7327465493098313</v>
      </c>
    </row>
    <row r="8673" spans="8:11">
      <c r="H8673">
        <f>SMALL(SimData5000!$B$9:$B$5008,3665)</f>
        <v>0.73299268729174338</v>
      </c>
      <c r="I8673">
        <f>1/(COUNT(SimData5000!$B$9:$B$5008)-1)+$I$8672</f>
        <v>0.73294658931783285</v>
      </c>
      <c r="J8673">
        <f>SMALL(SimData5000!$C$9:$C$5008,3665)</f>
        <v>0.7380861630617801</v>
      </c>
      <c r="K8673">
        <f>1/(COUNT(SimData5000!$C$9:$C$5008)-1)+$K$8672</f>
        <v>0.73294658931783285</v>
      </c>
    </row>
    <row r="8674" spans="8:11">
      <c r="H8674">
        <f>SMALL(SimData5000!$B$9:$B$5008,3666)</f>
        <v>0.7331959546018848</v>
      </c>
      <c r="I8674">
        <f>1/(COUNT(SimData5000!$B$9:$B$5008)-1)+$I$8673</f>
        <v>0.73314662932583441</v>
      </c>
      <c r="J8674">
        <f>SMALL(SimData5000!$C$9:$C$5008,3666)</f>
        <v>0.73821348305500578</v>
      </c>
      <c r="K8674">
        <f>1/(COUNT(SimData5000!$C$9:$C$5008)-1)+$K$8673</f>
        <v>0.73314662932583441</v>
      </c>
    </row>
    <row r="8675" spans="8:11">
      <c r="H8675">
        <f>SMALL(SimData5000!$B$9:$B$5008,3667)</f>
        <v>0.73327651931482285</v>
      </c>
      <c r="I8675">
        <f>1/(COUNT(SimData5000!$B$9:$B$5008)-1)+$I$8674</f>
        <v>0.73334666933383597</v>
      </c>
      <c r="J8675">
        <f>SMALL(SimData5000!$C$9:$C$5008,3667)</f>
        <v>0.73827690672442259</v>
      </c>
      <c r="K8675">
        <f>1/(COUNT(SimData5000!$C$9:$C$5008)-1)+$K$8674</f>
        <v>0.73334666933383597</v>
      </c>
    </row>
    <row r="8676" spans="8:11">
      <c r="H8676">
        <f>SMALL(SimData5000!$B$9:$B$5008,3668)</f>
        <v>0.73343623452802098</v>
      </c>
      <c r="I8676">
        <f>1/(COUNT(SimData5000!$B$9:$B$5008)-1)+$I$8675</f>
        <v>0.73354670934183752</v>
      </c>
      <c r="J8676">
        <f>SMALL(SimData5000!$C$9:$C$5008,3668)</f>
        <v>0.73842192416213948</v>
      </c>
      <c r="K8676">
        <f>1/(COUNT(SimData5000!$C$9:$C$5008)-1)+$K$8675</f>
        <v>0.73354670934183752</v>
      </c>
    </row>
    <row r="8677" spans="8:11">
      <c r="H8677">
        <f>SMALL(SimData5000!$B$9:$B$5008,3669)</f>
        <v>0.73366309614518266</v>
      </c>
      <c r="I8677">
        <f>1/(COUNT(SimData5000!$B$9:$B$5008)-1)+$I$8676</f>
        <v>0.73374674934983908</v>
      </c>
      <c r="J8677">
        <f>SMALL(SimData5000!$C$9:$C$5008,3669)</f>
        <v>0.73844534661839134</v>
      </c>
      <c r="K8677">
        <f>1/(COUNT(SimData5000!$C$9:$C$5008)-1)+$K$8676</f>
        <v>0.73374674934983908</v>
      </c>
    </row>
    <row r="8678" spans="8:11">
      <c r="H8678">
        <f>SMALL(SimData5000!$B$9:$B$5008,3670)</f>
        <v>0.7338502075992176</v>
      </c>
      <c r="I8678">
        <f>1/(COUNT(SimData5000!$B$9:$B$5008)-1)+$I$8677</f>
        <v>0.73394678935784063</v>
      </c>
      <c r="J8678">
        <f>SMALL(SimData5000!$C$9:$C$5008,3670)</f>
        <v>0.73847292128903064</v>
      </c>
      <c r="K8678">
        <f>1/(COUNT(SimData5000!$C$9:$C$5008)-1)+$K$8677</f>
        <v>0.73394678935784063</v>
      </c>
    </row>
    <row r="8679" spans="8:11">
      <c r="H8679">
        <f>SMALL(SimData5000!$B$9:$B$5008,3671)</f>
        <v>0.73417480626054454</v>
      </c>
      <c r="I8679">
        <f>1/(COUNT(SimData5000!$B$9:$B$5008)-1)+$I$8678</f>
        <v>0.73414682936584219</v>
      </c>
      <c r="J8679">
        <f>SMALL(SimData5000!$C$9:$C$5008,3671)</f>
        <v>0.73850045946619503</v>
      </c>
      <c r="K8679">
        <f>1/(COUNT(SimData5000!$C$9:$C$5008)-1)+$K$8678</f>
        <v>0.73414682936584219</v>
      </c>
    </row>
    <row r="8680" spans="8:11">
      <c r="H8680">
        <f>SMALL(SimData5000!$B$9:$B$5008,3672)</f>
        <v>0.73429404662742603</v>
      </c>
      <c r="I8680">
        <f>1/(COUNT(SimData5000!$B$9:$B$5008)-1)+$I$8679</f>
        <v>0.73434686937384375</v>
      </c>
      <c r="J8680">
        <f>SMALL(SimData5000!$C$9:$C$5008,3672)</f>
        <v>0.73891866625763214</v>
      </c>
      <c r="K8680">
        <f>1/(COUNT(SimData5000!$C$9:$C$5008)-1)+$K$8679</f>
        <v>0.73434686937384375</v>
      </c>
    </row>
    <row r="8681" spans="8:11">
      <c r="H8681">
        <f>SMALL(SimData5000!$B$9:$B$5008,3673)</f>
        <v>0.73453709556668467</v>
      </c>
      <c r="I8681">
        <f>1/(COUNT(SimData5000!$B$9:$B$5008)-1)+$I$8680</f>
        <v>0.7345469093818453</v>
      </c>
      <c r="J8681">
        <f>SMALL(SimData5000!$C$9:$C$5008,3673)</f>
        <v>0.73913649779842672</v>
      </c>
      <c r="K8681">
        <f>1/(COUNT(SimData5000!$C$9:$C$5008)-1)+$K$8680</f>
        <v>0.7345469093818453</v>
      </c>
    </row>
    <row r="8682" spans="8:11">
      <c r="H8682">
        <f>SMALL(SimData5000!$B$9:$B$5008,3674)</f>
        <v>0.73473833105492836</v>
      </c>
      <c r="I8682">
        <f>1/(COUNT(SimData5000!$B$9:$B$5008)-1)+$I$8681</f>
        <v>0.73474694938984686</v>
      </c>
      <c r="J8682">
        <f>SMALL(SimData5000!$C$9:$C$5008,3674)</f>
        <v>0.73982767862435139</v>
      </c>
      <c r="K8682">
        <f>1/(COUNT(SimData5000!$C$9:$C$5008)-1)+$K$8681</f>
        <v>0.73474694938984686</v>
      </c>
    </row>
    <row r="8683" spans="8:11">
      <c r="H8683">
        <f>SMALL(SimData5000!$B$9:$B$5008,3675)</f>
        <v>0.73485574641829721</v>
      </c>
      <c r="I8683">
        <f>1/(COUNT(SimData5000!$B$9:$B$5008)-1)+$I$8682</f>
        <v>0.73494698939784842</v>
      </c>
      <c r="J8683">
        <f>SMALL(SimData5000!$C$9:$C$5008,3675)</f>
        <v>0.7403582235065187</v>
      </c>
      <c r="K8683">
        <f>1/(COUNT(SimData5000!$C$9:$C$5008)-1)+$K$8682</f>
        <v>0.73494698939784842</v>
      </c>
    </row>
    <row r="8684" spans="8:11">
      <c r="H8684">
        <f>SMALL(SimData5000!$B$9:$B$5008,3676)</f>
        <v>0.73508643907184856</v>
      </c>
      <c r="I8684">
        <f>1/(COUNT(SimData5000!$B$9:$B$5008)-1)+$I$8683</f>
        <v>0.73514702940584997</v>
      </c>
      <c r="J8684">
        <f>SMALL(SimData5000!$C$9:$C$5008,3676)</f>
        <v>0.74062040389617323</v>
      </c>
      <c r="K8684">
        <f>1/(COUNT(SimData5000!$C$9:$C$5008)-1)+$K$8683</f>
        <v>0.73514702940584997</v>
      </c>
    </row>
    <row r="8685" spans="8:11">
      <c r="H8685">
        <f>SMALL(SimData5000!$B$9:$B$5008,3677)</f>
        <v>0.73527772576847994</v>
      </c>
      <c r="I8685">
        <f>1/(COUNT(SimData5000!$B$9:$B$5008)-1)+$I$8684</f>
        <v>0.73534706941385153</v>
      </c>
      <c r="J8685">
        <f>SMALL(SimData5000!$C$9:$C$5008,3677)</f>
        <v>0.74064512864515564</v>
      </c>
      <c r="K8685">
        <f>1/(COUNT(SimData5000!$C$9:$C$5008)-1)+$K$8684</f>
        <v>0.73534706941385153</v>
      </c>
    </row>
    <row r="8686" spans="8:11">
      <c r="H8686">
        <f>SMALL(SimData5000!$B$9:$B$5008,3678)</f>
        <v>0.73542772668027967</v>
      </c>
      <c r="I8686">
        <f>1/(COUNT(SimData5000!$B$9:$B$5008)-1)+$I$8685</f>
        <v>0.73554710942185308</v>
      </c>
      <c r="J8686">
        <f>SMALL(SimData5000!$C$9:$C$5008,3678)</f>
        <v>0.74066991834388318</v>
      </c>
      <c r="K8686">
        <f>1/(COUNT(SimData5000!$C$9:$C$5008)-1)+$K$8685</f>
        <v>0.73554710942185308</v>
      </c>
    </row>
    <row r="8687" spans="8:11">
      <c r="H8687">
        <f>SMALL(SimData5000!$B$9:$B$5008,3679)</f>
        <v>0.73561072714911091</v>
      </c>
      <c r="I8687">
        <f>1/(COUNT(SimData5000!$B$9:$B$5008)-1)+$I$8686</f>
        <v>0.73574714942985464</v>
      </c>
      <c r="J8687">
        <f>SMALL(SimData5000!$C$9:$C$5008,3679)</f>
        <v>0.7407114522811753</v>
      </c>
      <c r="K8687">
        <f>1/(COUNT(SimData5000!$C$9:$C$5008)-1)+$K$8686</f>
        <v>0.73574714942985464</v>
      </c>
    </row>
    <row r="8688" spans="8:11">
      <c r="H8688">
        <f>SMALL(SimData5000!$B$9:$B$5008,3680)</f>
        <v>0.73590324088258274</v>
      </c>
      <c r="I8688">
        <f>1/(COUNT(SimData5000!$B$9:$B$5008)-1)+$I$8687</f>
        <v>0.7359471894378562</v>
      </c>
      <c r="J8688">
        <f>SMALL(SimData5000!$C$9:$C$5008,3680)</f>
        <v>0.74073192643754737</v>
      </c>
      <c r="K8688">
        <f>1/(COUNT(SimData5000!$C$9:$C$5008)-1)+$K$8687</f>
        <v>0.7359471894378562</v>
      </c>
    </row>
    <row r="8689" spans="8:11">
      <c r="H8689">
        <f>SMALL(SimData5000!$B$9:$B$5008,3681)</f>
        <v>0.73612901700263123</v>
      </c>
      <c r="I8689">
        <f>1/(COUNT(SimData5000!$B$9:$B$5008)-1)+$I$8688</f>
        <v>0.73614722944585775</v>
      </c>
      <c r="J8689">
        <f>SMALL(SimData5000!$C$9:$C$5008,3681)</f>
        <v>0.74078683495372388</v>
      </c>
      <c r="K8689">
        <f>1/(COUNT(SimData5000!$C$9:$C$5008)-1)+$K$8688</f>
        <v>0.73614722944585775</v>
      </c>
    </row>
    <row r="8690" spans="8:11">
      <c r="H8690">
        <f>SMALL(SimData5000!$B$9:$B$5008,3682)</f>
        <v>0.73636626428364926</v>
      </c>
      <c r="I8690">
        <f>1/(COUNT(SimData5000!$B$9:$B$5008)-1)+$I$8689</f>
        <v>0.73634726945385931</v>
      </c>
      <c r="J8690">
        <f>SMALL(SimData5000!$C$9:$C$5008,3682)</f>
        <v>0.7409189407244412</v>
      </c>
      <c r="K8690">
        <f>1/(COUNT(SimData5000!$C$9:$C$5008)-1)+$K$8689</f>
        <v>0.73634726945385931</v>
      </c>
    </row>
    <row r="8691" spans="8:11">
      <c r="H8691">
        <f>SMALL(SimData5000!$B$9:$B$5008,3683)</f>
        <v>0.73649872457238352</v>
      </c>
      <c r="I8691">
        <f>1/(COUNT(SimData5000!$B$9:$B$5008)-1)+$I$8690</f>
        <v>0.73654730946186087</v>
      </c>
      <c r="J8691">
        <f>SMALL(SimData5000!$C$9:$C$5008,3683)</f>
        <v>0.74103433229447546</v>
      </c>
      <c r="K8691">
        <f>1/(COUNT(SimData5000!$C$9:$C$5008)-1)+$K$8690</f>
        <v>0.73654730946186087</v>
      </c>
    </row>
    <row r="8692" spans="8:11">
      <c r="H8692">
        <f>SMALL(SimData5000!$B$9:$B$5008,3684)</f>
        <v>0.73670109634425052</v>
      </c>
      <c r="I8692">
        <f>1/(COUNT(SimData5000!$B$9:$B$5008)-1)+$I$8691</f>
        <v>0.73674734946986242</v>
      </c>
      <c r="J8692">
        <f>SMALL(SimData5000!$C$9:$C$5008,3684)</f>
        <v>0.7410739430324611</v>
      </c>
      <c r="K8692">
        <f>1/(COUNT(SimData5000!$C$9:$C$5008)-1)+$K$8691</f>
        <v>0.73674734946986242</v>
      </c>
    </row>
    <row r="8693" spans="8:11">
      <c r="H8693">
        <f>SMALL(SimData5000!$B$9:$B$5008,3685)</f>
        <v>0.73692440039900231</v>
      </c>
      <c r="I8693">
        <f>1/(COUNT(SimData5000!$B$9:$B$5008)-1)+$I$8692</f>
        <v>0.73694738947786398</v>
      </c>
      <c r="J8693">
        <f>SMALL(SimData5000!$C$9:$C$5008,3685)</f>
        <v>0.74132603082398418</v>
      </c>
      <c r="K8693">
        <f>1/(COUNT(SimData5000!$C$9:$C$5008)-1)+$K$8692</f>
        <v>0.73694738947786398</v>
      </c>
    </row>
    <row r="8694" spans="8:11">
      <c r="H8694">
        <f>SMALL(SimData5000!$B$9:$B$5008,3686)</f>
        <v>0.73706763974471656</v>
      </c>
      <c r="I8694">
        <f>1/(COUNT(SimData5000!$B$9:$B$5008)-1)+$I$8693</f>
        <v>0.73714742948586554</v>
      </c>
      <c r="J8694">
        <f>SMALL(SimData5000!$C$9:$C$5008,3686)</f>
        <v>0.74136303073009913</v>
      </c>
      <c r="K8694">
        <f>1/(COUNT(SimData5000!$C$9:$C$5008)-1)+$K$8693</f>
        <v>0.73714742948586554</v>
      </c>
    </row>
    <row r="8695" spans="8:11">
      <c r="H8695">
        <f>SMALL(SimData5000!$B$9:$B$5008,3687)</f>
        <v>0.73723685274558071</v>
      </c>
      <c r="I8695">
        <f>1/(COUNT(SimData5000!$B$9:$B$5008)-1)+$I$8694</f>
        <v>0.73734746949386709</v>
      </c>
      <c r="J8695">
        <f>SMALL(SimData5000!$C$9:$C$5008,3687)</f>
        <v>0.74164930265487783</v>
      </c>
      <c r="K8695">
        <f>1/(COUNT(SimData5000!$C$9:$C$5008)-1)+$K$8694</f>
        <v>0.73734746949386709</v>
      </c>
    </row>
    <row r="8696" spans="8:11">
      <c r="H8696">
        <f>SMALL(SimData5000!$B$9:$B$5008,3688)</f>
        <v>0.73749096849325368</v>
      </c>
      <c r="I8696">
        <f>1/(COUNT(SimData5000!$B$9:$B$5008)-1)+$I$8695</f>
        <v>0.73754750950186865</v>
      </c>
      <c r="J8696">
        <f>SMALL(SimData5000!$C$9:$C$5008,3688)</f>
        <v>0.74167619005220331</v>
      </c>
      <c r="K8696">
        <f>1/(COUNT(SimData5000!$C$9:$C$5008)-1)+$K$8695</f>
        <v>0.73754750950186865</v>
      </c>
    </row>
    <row r="8697" spans="8:11">
      <c r="H8697">
        <f>SMALL(SimData5000!$B$9:$B$5008,3689)</f>
        <v>0.73779959333222356</v>
      </c>
      <c r="I8697">
        <f>1/(COUNT(SimData5000!$B$9:$B$5008)-1)+$I$8696</f>
        <v>0.7377475495098702</v>
      </c>
      <c r="J8697">
        <f>SMALL(SimData5000!$C$9:$C$5008,3689)</f>
        <v>0.74173692475596908</v>
      </c>
      <c r="K8697">
        <f>1/(COUNT(SimData5000!$C$9:$C$5008)-1)+$K$8696</f>
        <v>0.7377475495098702</v>
      </c>
    </row>
    <row r="8698" spans="8:11">
      <c r="H8698">
        <f>SMALL(SimData5000!$B$9:$B$5008,3690)</f>
        <v>0.73796207637511246</v>
      </c>
      <c r="I8698">
        <f>1/(COUNT(SimData5000!$B$9:$B$5008)-1)+$I$8697</f>
        <v>0.73794758951787176</v>
      </c>
      <c r="J8698">
        <f>SMALL(SimData5000!$C$9:$C$5008,3690)</f>
        <v>0.74177543063342455</v>
      </c>
      <c r="K8698">
        <f>1/(COUNT(SimData5000!$C$9:$C$5008)-1)+$K$8697</f>
        <v>0.73794758951787176</v>
      </c>
    </row>
    <row r="8699" spans="8:11">
      <c r="H8699">
        <f>SMALL(SimData5000!$B$9:$B$5008,3691)</f>
        <v>0.73809527901459837</v>
      </c>
      <c r="I8699">
        <f>1/(COUNT(SimData5000!$B$9:$B$5008)-1)+$I$8698</f>
        <v>0.73814762952587332</v>
      </c>
      <c r="J8699">
        <f>SMALL(SimData5000!$C$9:$C$5008,3691)</f>
        <v>0.74188179806060361</v>
      </c>
      <c r="K8699">
        <f>1/(COUNT(SimData5000!$C$9:$C$5008)-1)+$K$8698</f>
        <v>0.73814762952587332</v>
      </c>
    </row>
    <row r="8700" spans="8:11">
      <c r="H8700">
        <f>SMALL(SimData5000!$B$9:$B$5008,3692)</f>
        <v>0.73822609767914427</v>
      </c>
      <c r="I8700">
        <f>1/(COUNT(SimData5000!$B$9:$B$5008)-1)+$I$8699</f>
        <v>0.73834766953387487</v>
      </c>
      <c r="J8700">
        <f>SMALL(SimData5000!$C$9:$C$5008,3692)</f>
        <v>0.74276013818689535</v>
      </c>
      <c r="K8700">
        <f>1/(COUNT(SimData5000!$C$9:$C$5008)-1)+$K$8699</f>
        <v>0.73834766953387487</v>
      </c>
    </row>
    <row r="8701" spans="8:11">
      <c r="H8701">
        <f>SMALL(SimData5000!$B$9:$B$5008,3693)</f>
        <v>0.73850810466914163</v>
      </c>
      <c r="I8701">
        <f>1/(COUNT(SimData5000!$B$9:$B$5008)-1)+$I$8700</f>
        <v>0.73854770954187643</v>
      </c>
      <c r="J8701">
        <f>SMALL(SimData5000!$C$9:$C$5008,3693)</f>
        <v>0.74307724597747438</v>
      </c>
      <c r="K8701">
        <f>1/(COUNT(SimData5000!$C$9:$C$5008)-1)+$K$8700</f>
        <v>0.73854770954187643</v>
      </c>
    </row>
    <row r="8702" spans="8:11">
      <c r="H8702">
        <f>SMALL(SimData5000!$B$9:$B$5008,3694)</f>
        <v>0.73863267628840001</v>
      </c>
      <c r="I8702">
        <f>1/(COUNT(SimData5000!$B$9:$B$5008)-1)+$I$8701</f>
        <v>0.73874774954987799</v>
      </c>
      <c r="J8702">
        <f>SMALL(SimData5000!$C$9:$C$5008,3694)</f>
        <v>0.74314524428882578</v>
      </c>
      <c r="K8702">
        <f>1/(COUNT(SimData5000!$C$9:$C$5008)-1)+$K$8701</f>
        <v>0.73874774954987799</v>
      </c>
    </row>
    <row r="8703" spans="8:11">
      <c r="H8703">
        <f>SMALL(SimData5000!$B$9:$B$5008,3695)</f>
        <v>0.73892300577753289</v>
      </c>
      <c r="I8703">
        <f>1/(COUNT(SimData5000!$B$9:$B$5008)-1)+$I$8702</f>
        <v>0.73894778955787954</v>
      </c>
      <c r="J8703">
        <f>SMALL(SimData5000!$C$9:$C$5008,3695)</f>
        <v>0.74334839212042425</v>
      </c>
      <c r="K8703">
        <f>1/(COUNT(SimData5000!$C$9:$C$5008)-1)+$K$8702</f>
        <v>0.73894778955787954</v>
      </c>
    </row>
    <row r="8704" spans="8:11">
      <c r="H8704">
        <f>SMALL(SimData5000!$B$9:$B$5008,3696)</f>
        <v>0.73906611441370706</v>
      </c>
      <c r="I8704">
        <f>1/(COUNT(SimData5000!$B$9:$B$5008)-1)+$I$8703</f>
        <v>0.7391478295658811</v>
      </c>
      <c r="J8704">
        <f>SMALL(SimData5000!$C$9:$C$5008,3696)</f>
        <v>0.74364377361598599</v>
      </c>
      <c r="K8704">
        <f>1/(COUNT(SimData5000!$C$9:$C$5008)-1)+$K$8703</f>
        <v>0.7391478295658811</v>
      </c>
    </row>
    <row r="8705" spans="8:11">
      <c r="H8705">
        <f>SMALL(SimData5000!$B$9:$B$5008,3697)</f>
        <v>0.73933480664252649</v>
      </c>
      <c r="I8705">
        <f>1/(COUNT(SimData5000!$B$9:$B$5008)-1)+$I$8704</f>
        <v>0.73934786957388265</v>
      </c>
      <c r="J8705">
        <f>SMALL(SimData5000!$C$9:$C$5008,3697)</f>
        <v>0.74380411408674263</v>
      </c>
      <c r="K8705">
        <f>1/(COUNT(SimData5000!$C$9:$C$5008)-1)+$K$8704</f>
        <v>0.73934786957388265</v>
      </c>
    </row>
    <row r="8706" spans="8:11">
      <c r="H8706">
        <f>SMALL(SimData5000!$B$9:$B$5008,3698)</f>
        <v>0.73957152105788038</v>
      </c>
      <c r="I8706">
        <f>1/(COUNT(SimData5000!$B$9:$B$5008)-1)+$I$8705</f>
        <v>0.73954790958188421</v>
      </c>
      <c r="J8706">
        <f>SMALL(SimData5000!$C$9:$C$5008,3698)</f>
        <v>0.74405213413592719</v>
      </c>
      <c r="K8706">
        <f>1/(COUNT(SimData5000!$C$9:$C$5008)-1)+$K$8705</f>
        <v>0.73954790958188421</v>
      </c>
    </row>
    <row r="8707" spans="8:11">
      <c r="H8707">
        <f>SMALL(SimData5000!$B$9:$B$5008,3699)</f>
        <v>0.73964032572709026</v>
      </c>
      <c r="I8707">
        <f>1/(COUNT(SimData5000!$B$9:$B$5008)-1)+$I$8706</f>
        <v>0.73974794958988577</v>
      </c>
      <c r="J8707">
        <f>SMALL(SimData5000!$C$9:$C$5008,3699)</f>
        <v>0.74421441122285614</v>
      </c>
      <c r="K8707">
        <f>1/(COUNT(SimData5000!$C$9:$C$5008)-1)+$K$8706</f>
        <v>0.73974794958988577</v>
      </c>
    </row>
    <row r="8708" spans="8:11">
      <c r="H8708">
        <f>SMALL(SimData5000!$B$9:$B$5008,3700)</f>
        <v>0.73993549100019396</v>
      </c>
      <c r="I8708">
        <f>1/(COUNT(SimData5000!$B$9:$B$5008)-1)+$I$8707</f>
        <v>0.73994798959788732</v>
      </c>
      <c r="J8708">
        <f>SMALL(SimData5000!$C$9:$C$5008,3700)</f>
        <v>0.74440481771398481</v>
      </c>
      <c r="K8708">
        <f>1/(COUNT(SimData5000!$C$9:$C$5008)-1)+$K$8707</f>
        <v>0.73994798959788732</v>
      </c>
    </row>
    <row r="8709" spans="8:11">
      <c r="H8709">
        <f>SMALL(SimData5000!$B$9:$B$5008,3701)</f>
        <v>0.74003772369093213</v>
      </c>
      <c r="I8709">
        <f>1/(COUNT(SimData5000!$B$9:$B$5008)-1)+$I$8708</f>
        <v>0.74014802960588888</v>
      </c>
      <c r="J8709">
        <f>SMALL(SimData5000!$C$9:$C$5008,3701)</f>
        <v>0.74448492180272297</v>
      </c>
      <c r="K8709">
        <f>1/(COUNT(SimData5000!$C$9:$C$5008)-1)+$K$8708</f>
        <v>0.74014802960588888</v>
      </c>
    </row>
    <row r="8710" spans="8:11">
      <c r="H8710">
        <f>SMALL(SimData5000!$B$9:$B$5008,3702)</f>
        <v>0.74028985862063468</v>
      </c>
      <c r="I8710">
        <f>1/(COUNT(SimData5000!$B$9:$B$5008)-1)+$I$8709</f>
        <v>0.74034806961389044</v>
      </c>
      <c r="J8710">
        <f>SMALL(SimData5000!$C$9:$C$5008,3702)</f>
        <v>0.74451022384982934</v>
      </c>
      <c r="K8710">
        <f>1/(COUNT(SimData5000!$C$9:$C$5008)-1)+$K$8709</f>
        <v>0.74034806961389044</v>
      </c>
    </row>
    <row r="8711" spans="8:11">
      <c r="H8711">
        <f>SMALL(SimData5000!$B$9:$B$5008,3703)</f>
        <v>0.74047174959161133</v>
      </c>
      <c r="I8711">
        <f>1/(COUNT(SimData5000!$B$9:$B$5008)-1)+$I$8710</f>
        <v>0.74054810962189199</v>
      </c>
      <c r="J8711">
        <f>SMALL(SimData5000!$C$9:$C$5008,3703)</f>
        <v>0.74485913836178952</v>
      </c>
      <c r="K8711">
        <f>1/(COUNT(SimData5000!$C$9:$C$5008)-1)+$K$8710</f>
        <v>0.74054810962189199</v>
      </c>
    </row>
    <row r="8712" spans="8:11">
      <c r="H8712">
        <f>SMALL(SimData5000!$B$9:$B$5008,3704)</f>
        <v>0.74066158698090856</v>
      </c>
      <c r="I8712">
        <f>1/(COUNT(SimData5000!$B$9:$B$5008)-1)+$I$8711</f>
        <v>0.74074814962989355</v>
      </c>
      <c r="J8712">
        <f>SMALL(SimData5000!$C$9:$C$5008,3704)</f>
        <v>0.74507758731397189</v>
      </c>
      <c r="K8712">
        <f>1/(COUNT(SimData5000!$C$9:$C$5008)-1)+$K$8711</f>
        <v>0.74074814962989355</v>
      </c>
    </row>
    <row r="8713" spans="8:11">
      <c r="H8713">
        <f>SMALL(SimData5000!$B$9:$B$5008,3705)</f>
        <v>0.74092650001876204</v>
      </c>
      <c r="I8713">
        <f>1/(COUNT(SimData5000!$B$9:$B$5008)-1)+$I$8712</f>
        <v>0.7409481896378951</v>
      </c>
      <c r="J8713">
        <f>SMALL(SimData5000!$C$9:$C$5008,3705)</f>
        <v>0.74537462047010195</v>
      </c>
      <c r="K8713">
        <f>1/(COUNT(SimData5000!$C$9:$C$5008)-1)+$K$8712</f>
        <v>0.7409481896378951</v>
      </c>
    </row>
    <row r="8714" spans="8:11">
      <c r="H8714">
        <f>SMALL(SimData5000!$B$9:$B$5008,3706)</f>
        <v>0.74110321207998864</v>
      </c>
      <c r="I8714">
        <f>1/(COUNT(SimData5000!$B$9:$B$5008)-1)+$I$8713</f>
        <v>0.74114822964589666</v>
      </c>
      <c r="J8714">
        <f>SMALL(SimData5000!$C$9:$C$5008,3706)</f>
        <v>0.74539486452158599</v>
      </c>
      <c r="K8714">
        <f>1/(COUNT(SimData5000!$C$9:$C$5008)-1)+$K$8713</f>
        <v>0.74114822964589666</v>
      </c>
    </row>
    <row r="8715" spans="8:11">
      <c r="H8715">
        <f>SMALL(SimData5000!$B$9:$B$5008,3707)</f>
        <v>0.74124974891768058</v>
      </c>
      <c r="I8715">
        <f>1/(COUNT(SimData5000!$B$9:$B$5008)-1)+$I$8714</f>
        <v>0.74134826965389822</v>
      </c>
      <c r="J8715">
        <f>SMALL(SimData5000!$C$9:$C$5008,3707)</f>
        <v>0.74549130550258269</v>
      </c>
      <c r="K8715">
        <f>1/(COUNT(SimData5000!$C$9:$C$5008)-1)+$K$8714</f>
        <v>0.74134826965389822</v>
      </c>
    </row>
    <row r="8716" spans="8:11">
      <c r="H8716">
        <f>SMALL(SimData5000!$B$9:$B$5008,3708)</f>
        <v>0.74143582364032878</v>
      </c>
      <c r="I8716">
        <f>1/(COUNT(SimData5000!$B$9:$B$5008)-1)+$I$8715</f>
        <v>0.74154830966189977</v>
      </c>
      <c r="J8716">
        <f>SMALL(SimData5000!$C$9:$C$5008,3708)</f>
        <v>0.7458966983067512</v>
      </c>
      <c r="K8716">
        <f>1/(COUNT(SimData5000!$C$9:$C$5008)-1)+$K$8715</f>
        <v>0.74154830966189977</v>
      </c>
    </row>
    <row r="8717" spans="8:11">
      <c r="H8717">
        <f>SMALL(SimData5000!$B$9:$B$5008,3709)</f>
        <v>0.74168090905567652</v>
      </c>
      <c r="I8717">
        <f>1/(COUNT(SimData5000!$B$9:$B$5008)-1)+$I$8716</f>
        <v>0.74174834966990133</v>
      </c>
      <c r="J8717">
        <f>SMALL(SimData5000!$C$9:$C$5008,3709)</f>
        <v>0.74607314284730819</v>
      </c>
      <c r="K8717">
        <f>1/(COUNT(SimData5000!$C$9:$C$5008)-1)+$K$8716</f>
        <v>0.74174834966990133</v>
      </c>
    </row>
    <row r="8718" spans="8:11">
      <c r="H8718">
        <f>SMALL(SimData5000!$B$9:$B$5008,3710)</f>
        <v>0.7419424943403673</v>
      </c>
      <c r="I8718">
        <f>1/(COUNT(SimData5000!$B$9:$B$5008)-1)+$I$8717</f>
        <v>0.74194838967790289</v>
      </c>
      <c r="J8718">
        <f>SMALL(SimData5000!$C$9:$C$5008,3710)</f>
        <v>0.74621106872564269</v>
      </c>
      <c r="K8718">
        <f>1/(COUNT(SimData5000!$C$9:$C$5008)-1)+$K$8717</f>
        <v>0.74194838967790289</v>
      </c>
    </row>
    <row r="8719" spans="8:11">
      <c r="H8719">
        <f>SMALL(SimData5000!$B$9:$B$5008,3711)</f>
        <v>0.74209276727267837</v>
      </c>
      <c r="I8719">
        <f>1/(COUNT(SimData5000!$B$9:$B$5008)-1)+$I$8718</f>
        <v>0.74214842968590444</v>
      </c>
      <c r="J8719">
        <f>SMALL(SimData5000!$C$9:$C$5008,3711)</f>
        <v>0.746420302453771</v>
      </c>
      <c r="K8719">
        <f>1/(COUNT(SimData5000!$C$9:$C$5008)-1)+$K$8718</f>
        <v>0.74214842968590444</v>
      </c>
    </row>
    <row r="8720" spans="8:11">
      <c r="H8720">
        <f>SMALL(SimData5000!$B$9:$B$5008,3712)</f>
        <v>0.74229094547296204</v>
      </c>
      <c r="I8720">
        <f>1/(COUNT(SimData5000!$B$9:$B$5008)-1)+$I$8719</f>
        <v>0.742348469693906</v>
      </c>
      <c r="J8720">
        <f>SMALL(SimData5000!$C$9:$C$5008,3712)</f>
        <v>0.74664819065765187</v>
      </c>
      <c r="K8720">
        <f>1/(COUNT(SimData5000!$C$9:$C$5008)-1)+$K$8719</f>
        <v>0.742348469693906</v>
      </c>
    </row>
    <row r="8721" spans="8:11">
      <c r="H8721">
        <f>SMALL(SimData5000!$B$9:$B$5008,3713)</f>
        <v>0.74254150100474747</v>
      </c>
      <c r="I8721">
        <f>1/(COUNT(SimData5000!$B$9:$B$5008)-1)+$I$8720</f>
        <v>0.74254850970190756</v>
      </c>
      <c r="J8721">
        <f>SMALL(SimData5000!$C$9:$C$5008,3713)</f>
        <v>0.74682650105933135</v>
      </c>
      <c r="K8721">
        <f>1/(COUNT(SimData5000!$C$9:$C$5008)-1)+$K$8720</f>
        <v>0.74254850970190756</v>
      </c>
    </row>
    <row r="8722" spans="8:11">
      <c r="H8722">
        <f>SMALL(SimData5000!$B$9:$B$5008,3714)</f>
        <v>0.74262395884460397</v>
      </c>
      <c r="I8722">
        <f>1/(COUNT(SimData5000!$B$9:$B$5008)-1)+$I$8721</f>
        <v>0.74274854970990911</v>
      </c>
      <c r="J8722">
        <f>SMALL(SimData5000!$C$9:$C$5008,3714)</f>
        <v>0.74682862949066475</v>
      </c>
      <c r="K8722">
        <f>1/(COUNT(SimData5000!$C$9:$C$5008)-1)+$K$8721</f>
        <v>0.74274854970990911</v>
      </c>
    </row>
    <row r="8723" spans="8:11">
      <c r="H8723">
        <f>SMALL(SimData5000!$B$9:$B$5008,3715)</f>
        <v>0.74282926046676689</v>
      </c>
      <c r="I8723">
        <f>1/(COUNT(SimData5000!$B$9:$B$5008)-1)+$I$8722</f>
        <v>0.74294858971791067</v>
      </c>
      <c r="J8723">
        <f>SMALL(SimData5000!$C$9:$C$5008,3715)</f>
        <v>0.74743922446670652</v>
      </c>
      <c r="K8723">
        <f>1/(COUNT(SimData5000!$C$9:$C$5008)-1)+$K$8722</f>
        <v>0.74294858971791067</v>
      </c>
    </row>
    <row r="8724" spans="8:11">
      <c r="H8724">
        <f>SMALL(SimData5000!$B$9:$B$5008,3716)</f>
        <v>0.74300929479189437</v>
      </c>
      <c r="I8724">
        <f>1/(COUNT(SimData5000!$B$9:$B$5008)-1)+$I$8723</f>
        <v>0.74314862972591222</v>
      </c>
      <c r="J8724">
        <f>SMALL(SimData5000!$C$9:$C$5008,3716)</f>
        <v>0.74771378420246037</v>
      </c>
      <c r="K8724">
        <f>1/(COUNT(SimData5000!$C$9:$C$5008)-1)+$K$8723</f>
        <v>0.74314862972591222</v>
      </c>
    </row>
    <row r="8725" spans="8:11">
      <c r="H8725">
        <f>SMALL(SimData5000!$B$9:$B$5008,3717)</f>
        <v>0.74321491891448732</v>
      </c>
      <c r="I8725">
        <f>1/(COUNT(SimData5000!$B$9:$B$5008)-1)+$I$8724</f>
        <v>0.74334866973391378</v>
      </c>
      <c r="J8725">
        <f>SMALL(SimData5000!$C$9:$C$5008,3717)</f>
        <v>0.74774000435172638</v>
      </c>
      <c r="K8725">
        <f>1/(COUNT(SimData5000!$C$9:$C$5008)-1)+$K$8724</f>
        <v>0.74334866973391378</v>
      </c>
    </row>
    <row r="8726" spans="8:11">
      <c r="H8726">
        <f>SMALL(SimData5000!$B$9:$B$5008,3718)</f>
        <v>0.74355179387348513</v>
      </c>
      <c r="I8726">
        <f>1/(COUNT(SimData5000!$B$9:$B$5008)-1)+$I$8725</f>
        <v>0.74354870974191534</v>
      </c>
      <c r="J8726">
        <f>SMALL(SimData5000!$C$9:$C$5008,3718)</f>
        <v>0.74775105163644184</v>
      </c>
      <c r="K8726">
        <f>1/(COUNT(SimData5000!$C$9:$C$5008)-1)+$K$8725</f>
        <v>0.74354870974191534</v>
      </c>
    </row>
    <row r="8727" spans="8:11">
      <c r="H8727">
        <f>SMALL(SimData5000!$B$9:$B$5008,3719)</f>
        <v>0.7436824208482361</v>
      </c>
      <c r="I8727">
        <f>1/(COUNT(SimData5000!$B$9:$B$5008)-1)+$I$8726</f>
        <v>0.74374874974991689</v>
      </c>
      <c r="J8727">
        <f>SMALL(SimData5000!$C$9:$C$5008,3719)</f>
        <v>0.74776940959600324</v>
      </c>
      <c r="K8727">
        <f>1/(COUNT(SimData5000!$C$9:$C$5008)-1)+$K$8726</f>
        <v>0.74374874974991689</v>
      </c>
    </row>
    <row r="8728" spans="8:11">
      <c r="H8728">
        <f>SMALL(SimData5000!$B$9:$B$5008,3720)</f>
        <v>0.74398433320731494</v>
      </c>
      <c r="I8728">
        <f>1/(COUNT(SimData5000!$B$9:$B$5008)-1)+$I$8727</f>
        <v>0.74394878975791845</v>
      </c>
      <c r="J8728">
        <f>SMALL(SimData5000!$C$9:$C$5008,3720)</f>
        <v>0.74785678930675203</v>
      </c>
      <c r="K8728">
        <f>1/(COUNT(SimData5000!$C$9:$C$5008)-1)+$K$8727</f>
        <v>0.74394878975791845</v>
      </c>
    </row>
    <row r="8729" spans="8:11">
      <c r="H8729">
        <f>SMALL(SimData5000!$B$9:$B$5008,3721)</f>
        <v>0.74404889969007315</v>
      </c>
      <c r="I8729">
        <f>1/(COUNT(SimData5000!$B$9:$B$5008)-1)+$I$8728</f>
        <v>0.74414882976592001</v>
      </c>
      <c r="J8729">
        <f>SMALL(SimData5000!$C$9:$C$5008,3721)</f>
        <v>0.74788369920770492</v>
      </c>
      <c r="K8729">
        <f>1/(COUNT(SimData5000!$C$9:$C$5008)-1)+$K$8728</f>
        <v>0.74414882976592001</v>
      </c>
    </row>
    <row r="8730" spans="8:11">
      <c r="H8730">
        <f>SMALL(SimData5000!$B$9:$B$5008,3722)</f>
        <v>0.74436877318540795</v>
      </c>
      <c r="I8730">
        <f>1/(COUNT(SimData5000!$B$9:$B$5008)-1)+$I$8729</f>
        <v>0.74434886977392156</v>
      </c>
      <c r="J8730">
        <f>SMALL(SimData5000!$C$9:$C$5008,3722)</f>
        <v>0.74823986256114949</v>
      </c>
      <c r="K8730">
        <f>1/(COUNT(SimData5000!$C$9:$C$5008)-1)+$K$8729</f>
        <v>0.74434886977392156</v>
      </c>
    </row>
    <row r="8731" spans="8:11">
      <c r="H8731">
        <f>SMALL(SimData5000!$B$9:$B$5008,3723)</f>
        <v>0.74448977921132231</v>
      </c>
      <c r="I8731">
        <f>1/(COUNT(SimData5000!$B$9:$B$5008)-1)+$I$8730</f>
        <v>0.74454890978192312</v>
      </c>
      <c r="J8731">
        <f>SMALL(SimData5000!$C$9:$C$5008,3723)</f>
        <v>0.74826623458102404</v>
      </c>
      <c r="K8731">
        <f>1/(COUNT(SimData5000!$C$9:$C$5008)-1)+$K$8730</f>
        <v>0.74454890978192312</v>
      </c>
    </row>
    <row r="8732" spans="8:11">
      <c r="H8732">
        <f>SMALL(SimData5000!$B$9:$B$5008,3724)</f>
        <v>0.74460086148236893</v>
      </c>
      <c r="I8732">
        <f>1/(COUNT(SimData5000!$B$9:$B$5008)-1)+$I$8731</f>
        <v>0.74474894978992467</v>
      </c>
      <c r="J8732">
        <f>SMALL(SimData5000!$C$9:$C$5008,3724)</f>
        <v>0.74829718374076037</v>
      </c>
      <c r="K8732">
        <f>1/(COUNT(SimData5000!$C$9:$C$5008)-1)+$K$8731</f>
        <v>0.74474894978992467</v>
      </c>
    </row>
    <row r="8733" spans="8:11">
      <c r="H8733">
        <f>SMALL(SimData5000!$B$9:$B$5008,3725)</f>
        <v>0.74491655760107478</v>
      </c>
      <c r="I8733">
        <f>1/(COUNT(SimData5000!$B$9:$B$5008)-1)+$I$8732</f>
        <v>0.74494898979792623</v>
      </c>
      <c r="J8733">
        <f>SMALL(SimData5000!$C$9:$C$5008,3725)</f>
        <v>0.74836533816414885</v>
      </c>
      <c r="K8733">
        <f>1/(COUNT(SimData5000!$C$9:$C$5008)-1)+$K$8732</f>
        <v>0.74494898979792623</v>
      </c>
    </row>
    <row r="8734" spans="8:11">
      <c r="H8734">
        <f>SMALL(SimData5000!$B$9:$B$5008,3726)</f>
        <v>0.74519883539974663</v>
      </c>
      <c r="I8734">
        <f>1/(COUNT(SimData5000!$B$9:$B$5008)-1)+$I$8733</f>
        <v>0.74514902980592779</v>
      </c>
      <c r="J8734">
        <f>SMALL(SimData5000!$C$9:$C$5008,3726)</f>
        <v>0.74860699726013991</v>
      </c>
      <c r="K8734">
        <f>1/(COUNT(SimData5000!$C$9:$C$5008)-1)+$K$8733</f>
        <v>0.74514902980592779</v>
      </c>
    </row>
    <row r="8735" spans="8:11">
      <c r="H8735">
        <f>SMALL(SimData5000!$B$9:$B$5008,3727)</f>
        <v>0.74533546188984423</v>
      </c>
      <c r="I8735">
        <f>1/(COUNT(SimData5000!$B$9:$B$5008)-1)+$I$8734</f>
        <v>0.74534906981392934</v>
      </c>
      <c r="J8735">
        <f>SMALL(SimData5000!$C$9:$C$5008,3727)</f>
        <v>0.7492220307876778</v>
      </c>
      <c r="K8735">
        <f>1/(COUNT(SimData5000!$C$9:$C$5008)-1)+$K$8734</f>
        <v>0.74534906981392934</v>
      </c>
    </row>
    <row r="8736" spans="8:11">
      <c r="H8736">
        <f>SMALL(SimData5000!$B$9:$B$5008,3728)</f>
        <v>0.74543050001720679</v>
      </c>
      <c r="I8736">
        <f>1/(COUNT(SimData5000!$B$9:$B$5008)-1)+$I$8735</f>
        <v>0.7455491098219309</v>
      </c>
      <c r="J8736">
        <f>SMALL(SimData5000!$C$9:$C$5008,3728)</f>
        <v>0.74956709623074858</v>
      </c>
      <c r="K8736">
        <f>1/(COUNT(SimData5000!$C$9:$C$5008)-1)+$K$8735</f>
        <v>0.7455491098219309</v>
      </c>
    </row>
    <row r="8737" spans="8:11">
      <c r="H8737">
        <f>SMALL(SimData5000!$B$9:$B$5008,3729)</f>
        <v>0.74563948541889891</v>
      </c>
      <c r="I8737">
        <f>1/(COUNT(SimData5000!$B$9:$B$5008)-1)+$I$8736</f>
        <v>0.74574914982993246</v>
      </c>
      <c r="J8737">
        <f>SMALL(SimData5000!$C$9:$C$5008,3729)</f>
        <v>0.75023815434724384</v>
      </c>
      <c r="K8737">
        <f>1/(COUNT(SimData5000!$C$9:$C$5008)-1)+$K$8736</f>
        <v>0.74574914982993246</v>
      </c>
    </row>
    <row r="8738" spans="8:11">
      <c r="H8738">
        <f>SMALL(SimData5000!$B$9:$B$5008,3730)</f>
        <v>0.74595238817482079</v>
      </c>
      <c r="I8738">
        <f>1/(COUNT(SimData5000!$B$9:$B$5008)-1)+$I$8737</f>
        <v>0.74594918983793401</v>
      </c>
      <c r="J8738">
        <f>SMALL(SimData5000!$C$9:$C$5008,3730)</f>
        <v>0.75035119142194162</v>
      </c>
      <c r="K8738">
        <f>1/(COUNT(SimData5000!$C$9:$C$5008)-1)+$K$8737</f>
        <v>0.74594918983793401</v>
      </c>
    </row>
    <row r="8739" spans="8:11">
      <c r="H8739">
        <f>SMALL(SimData5000!$B$9:$B$5008,3731)</f>
        <v>0.74617303833970172</v>
      </c>
      <c r="I8739">
        <f>1/(COUNT(SimData5000!$B$9:$B$5008)-1)+$I$8738</f>
        <v>0.74614922984593557</v>
      </c>
      <c r="J8739">
        <f>SMALL(SimData5000!$C$9:$C$5008,3731)</f>
        <v>0.75051992744556628</v>
      </c>
      <c r="K8739">
        <f>1/(COUNT(SimData5000!$C$9:$C$5008)-1)+$K$8738</f>
        <v>0.74614922984593557</v>
      </c>
    </row>
    <row r="8740" spans="8:11">
      <c r="H8740">
        <f>SMALL(SimData5000!$B$9:$B$5008,3732)</f>
        <v>0.74622867843057694</v>
      </c>
      <c r="I8740">
        <f>1/(COUNT(SimData5000!$B$9:$B$5008)-1)+$I$8739</f>
        <v>0.74634926985393713</v>
      </c>
      <c r="J8740">
        <f>SMALL(SimData5000!$C$9:$C$5008,3732)</f>
        <v>0.75076856513442181</v>
      </c>
      <c r="K8740">
        <f>1/(COUNT(SimData5000!$C$9:$C$5008)-1)+$K$8739</f>
        <v>0.74634926985393713</v>
      </c>
    </row>
    <row r="8741" spans="8:11">
      <c r="H8741">
        <f>SMALL(SimData5000!$B$9:$B$5008,3733)</f>
        <v>0.74644517596653781</v>
      </c>
      <c r="I8741">
        <f>1/(COUNT(SimData5000!$B$9:$B$5008)-1)+$I$8740</f>
        <v>0.74654930986193868</v>
      </c>
      <c r="J8741">
        <f>SMALL(SimData5000!$C$9:$C$5008,3733)</f>
        <v>0.75151030947381514</v>
      </c>
      <c r="K8741">
        <f>1/(COUNT(SimData5000!$C$9:$C$5008)-1)+$K$8740</f>
        <v>0.74654930986193868</v>
      </c>
    </row>
    <row r="8742" spans="8:11">
      <c r="H8742">
        <f>SMALL(SimData5000!$B$9:$B$5008,3734)</f>
        <v>0.74666453018455403</v>
      </c>
      <c r="I8742">
        <f>1/(COUNT(SimData5000!$B$9:$B$5008)-1)+$I$8741</f>
        <v>0.74674934986994024</v>
      </c>
      <c r="J8742">
        <f>SMALL(SimData5000!$C$9:$C$5008,3734)</f>
        <v>0.75154745237523457</v>
      </c>
      <c r="K8742">
        <f>1/(COUNT(SimData5000!$C$9:$C$5008)-1)+$K$8741</f>
        <v>0.74674934986994024</v>
      </c>
    </row>
    <row r="8743" spans="8:11">
      <c r="H8743">
        <f>SMALL(SimData5000!$B$9:$B$5008,3735)</f>
        <v>0.74698385954713076</v>
      </c>
      <c r="I8743">
        <f>1/(COUNT(SimData5000!$B$9:$B$5008)-1)+$I$8742</f>
        <v>0.74694938987794179</v>
      </c>
      <c r="J8743">
        <f>SMALL(SimData5000!$C$9:$C$5008,3735)</f>
        <v>0.75169046103201254</v>
      </c>
      <c r="K8743">
        <f>1/(COUNT(SimData5000!$C$9:$C$5008)-1)+$K$8742</f>
        <v>0.74694938987794179</v>
      </c>
    </row>
    <row r="8744" spans="8:11">
      <c r="H8744">
        <f>SMALL(SimData5000!$B$9:$B$5008,3736)</f>
        <v>0.74707705865224749</v>
      </c>
      <c r="I8744">
        <f>1/(COUNT(SimData5000!$B$9:$B$5008)-1)+$I$8743</f>
        <v>0.74714942988594335</v>
      </c>
      <c r="J8744">
        <f>SMALL(SimData5000!$C$9:$C$5008,3736)</f>
        <v>0.75185345805039105</v>
      </c>
      <c r="K8744">
        <f>1/(COUNT(SimData5000!$C$9:$C$5008)-1)+$K$8743</f>
        <v>0.74714942988594335</v>
      </c>
    </row>
    <row r="8745" spans="8:11">
      <c r="H8745">
        <f>SMALL(SimData5000!$B$9:$B$5008,3737)</f>
        <v>0.74723263540692464</v>
      </c>
      <c r="I8745">
        <f>1/(COUNT(SimData5000!$B$9:$B$5008)-1)+$I$8744</f>
        <v>0.74734946989394491</v>
      </c>
      <c r="J8745">
        <f>SMALL(SimData5000!$C$9:$C$5008,3737)</f>
        <v>0.75220046136064411</v>
      </c>
      <c r="K8745">
        <f>1/(COUNT(SimData5000!$C$9:$C$5008)-1)+$K$8744</f>
        <v>0.74734946989394491</v>
      </c>
    </row>
    <row r="8746" spans="8:11">
      <c r="H8746">
        <f>SMALL(SimData5000!$B$9:$B$5008,3738)</f>
        <v>0.74759740221518955</v>
      </c>
      <c r="I8746">
        <f>1/(COUNT(SimData5000!$B$9:$B$5008)-1)+$I$8745</f>
        <v>0.74754950990194646</v>
      </c>
      <c r="J8746">
        <f>SMALL(SimData5000!$C$9:$C$5008,3738)</f>
        <v>0.75220107694167382</v>
      </c>
      <c r="K8746">
        <f>1/(COUNT(SimData5000!$C$9:$C$5008)-1)+$K$8745</f>
        <v>0.74754950990194646</v>
      </c>
    </row>
    <row r="8747" spans="8:11">
      <c r="H8747">
        <f>SMALL(SimData5000!$B$9:$B$5008,3739)</f>
        <v>0.74769074172430916</v>
      </c>
      <c r="I8747">
        <f>1/(COUNT(SimData5000!$B$9:$B$5008)-1)+$I$8746</f>
        <v>0.74774954990994802</v>
      </c>
      <c r="J8747">
        <f>SMALL(SimData5000!$C$9:$C$5008,3739)</f>
        <v>0.75221285564657592</v>
      </c>
      <c r="K8747">
        <f>1/(COUNT(SimData5000!$C$9:$C$5008)-1)+$K$8746</f>
        <v>0.74774954990994802</v>
      </c>
    </row>
    <row r="8748" spans="8:11">
      <c r="H8748">
        <f>SMALL(SimData5000!$B$9:$B$5008,3740)</f>
        <v>0.74784259639909556</v>
      </c>
      <c r="I8748">
        <f>1/(COUNT(SimData5000!$B$9:$B$5008)-1)+$I$8747</f>
        <v>0.74794958991794958</v>
      </c>
      <c r="J8748">
        <f>SMALL(SimData5000!$C$9:$C$5008,3740)</f>
        <v>0.75248331990314909</v>
      </c>
      <c r="K8748">
        <f>1/(COUNT(SimData5000!$C$9:$C$5008)-1)+$K$8747</f>
        <v>0.74794958991794958</v>
      </c>
    </row>
    <row r="8749" spans="8:11">
      <c r="H8749">
        <f>SMALL(SimData5000!$B$9:$B$5008,3741)</f>
        <v>0.74802778221169197</v>
      </c>
      <c r="I8749">
        <f>1/(COUNT(SimData5000!$B$9:$B$5008)-1)+$I$8748</f>
        <v>0.74814962992595113</v>
      </c>
      <c r="J8749">
        <f>SMALL(SimData5000!$C$9:$C$5008,3741)</f>
        <v>0.75258039601521887</v>
      </c>
      <c r="K8749">
        <f>1/(COUNT(SimData5000!$C$9:$C$5008)-1)+$K$8748</f>
        <v>0.74814962992595113</v>
      </c>
    </row>
    <row r="8750" spans="8:11">
      <c r="H8750">
        <f>SMALL(SimData5000!$B$9:$B$5008,3742)</f>
        <v>0.74833184028797128</v>
      </c>
      <c r="I8750">
        <f>1/(COUNT(SimData5000!$B$9:$B$5008)-1)+$I$8749</f>
        <v>0.74834966993395269</v>
      </c>
      <c r="J8750">
        <f>SMALL(SimData5000!$C$9:$C$5008,3742)</f>
        <v>0.75265095687700523</v>
      </c>
      <c r="K8750">
        <f>1/(COUNT(SimData5000!$C$9:$C$5008)-1)+$K$8749</f>
        <v>0.74834966993395269</v>
      </c>
    </row>
    <row r="8751" spans="8:11">
      <c r="H8751">
        <f>SMALL(SimData5000!$B$9:$B$5008,3743)</f>
        <v>0.74854365823584235</v>
      </c>
      <c r="I8751">
        <f>1/(COUNT(SimData5000!$B$9:$B$5008)-1)+$I$8750</f>
        <v>0.74854970994195424</v>
      </c>
      <c r="J8751">
        <f>SMALL(SimData5000!$C$9:$C$5008,3743)</f>
        <v>0.75289125261861045</v>
      </c>
      <c r="K8751">
        <f>1/(COUNT(SimData5000!$C$9:$C$5008)-1)+$K$8750</f>
        <v>0.74854970994195424</v>
      </c>
    </row>
    <row r="8752" spans="8:11">
      <c r="H8752">
        <f>SMALL(SimData5000!$B$9:$B$5008,3744)</f>
        <v>0.74862810860672691</v>
      </c>
      <c r="I8752">
        <f>1/(COUNT(SimData5000!$B$9:$B$5008)-1)+$I$8751</f>
        <v>0.7487497499499558</v>
      </c>
      <c r="J8752">
        <f>SMALL(SimData5000!$C$9:$C$5008,3744)</f>
        <v>0.75289352012532618</v>
      </c>
      <c r="K8752">
        <f>1/(COUNT(SimData5000!$C$9:$C$5008)-1)+$K$8751</f>
        <v>0.7487497499499558</v>
      </c>
    </row>
    <row r="8753" spans="8:11">
      <c r="H8753">
        <f>SMALL(SimData5000!$B$9:$B$5008,3745)</f>
        <v>0.74885569596724955</v>
      </c>
      <c r="I8753">
        <f>1/(COUNT(SimData5000!$B$9:$B$5008)-1)+$I$8752</f>
        <v>0.74894978995795736</v>
      </c>
      <c r="J8753">
        <f>SMALL(SimData5000!$C$9:$C$5008,3745)</f>
        <v>0.75291186128197296</v>
      </c>
      <c r="K8753">
        <f>1/(COUNT(SimData5000!$C$9:$C$5008)-1)+$K$8752</f>
        <v>0.74894978995795736</v>
      </c>
    </row>
    <row r="8754" spans="8:11">
      <c r="H8754">
        <f>SMALL(SimData5000!$B$9:$B$5008,3746)</f>
        <v>0.74919092136001941</v>
      </c>
      <c r="I8754">
        <f>1/(COUNT(SimData5000!$B$9:$B$5008)-1)+$I$8753</f>
        <v>0.74914982996595891</v>
      </c>
      <c r="J8754">
        <f>SMALL(SimData5000!$C$9:$C$5008,3746)</f>
        <v>0.75295228742743348</v>
      </c>
      <c r="K8754">
        <f>1/(COUNT(SimData5000!$C$9:$C$5008)-1)+$K$8753</f>
        <v>0.74914982996595891</v>
      </c>
    </row>
    <row r="8755" spans="8:11">
      <c r="H8755">
        <f>SMALL(SimData5000!$B$9:$B$5008,3747)</f>
        <v>0.74937490585967315</v>
      </c>
      <c r="I8755">
        <f>1/(COUNT(SimData5000!$B$9:$B$5008)-1)+$I$8754</f>
        <v>0.74934986997396047</v>
      </c>
      <c r="J8755">
        <f>SMALL(SimData5000!$C$9:$C$5008,3747)</f>
        <v>0.75312790411499009</v>
      </c>
      <c r="K8755">
        <f>1/(COUNT(SimData5000!$C$9:$C$5008)-1)+$K$8754</f>
        <v>0.74934986997396047</v>
      </c>
    </row>
    <row r="8756" spans="8:11">
      <c r="H8756">
        <f>SMALL(SimData5000!$B$9:$B$5008,3748)</f>
        <v>0.74945634672168093</v>
      </c>
      <c r="I8756">
        <f>1/(COUNT(SimData5000!$B$9:$B$5008)-1)+$I$8755</f>
        <v>0.74954990998196203</v>
      </c>
      <c r="J8756">
        <f>SMALL(SimData5000!$C$9:$C$5008,3748)</f>
        <v>0.75328054747842543</v>
      </c>
      <c r="K8756">
        <f>1/(COUNT(SimData5000!$C$9:$C$5008)-1)+$K$8755</f>
        <v>0.74954990998196203</v>
      </c>
    </row>
    <row r="8757" spans="8:11">
      <c r="H8757">
        <f>SMALL(SimData5000!$B$9:$B$5008,3749)</f>
        <v>0.74976406914497817</v>
      </c>
      <c r="I8757">
        <f>1/(COUNT(SimData5000!$B$9:$B$5008)-1)+$I$8756</f>
        <v>0.74974994998996358</v>
      </c>
      <c r="J8757">
        <f>SMALL(SimData5000!$C$9:$C$5008,3749)</f>
        <v>0.75362739506454091</v>
      </c>
      <c r="K8757">
        <f>1/(COUNT(SimData5000!$C$9:$C$5008)-1)+$K$8756</f>
        <v>0.74974994998996358</v>
      </c>
    </row>
    <row r="8758" spans="8:11">
      <c r="H8758">
        <f>SMALL(SimData5000!$B$9:$B$5008,3750)</f>
        <v>0.74990958418592568</v>
      </c>
      <c r="I8758">
        <f>1/(COUNT(SimData5000!$B$9:$B$5008)-1)+$I$8757</f>
        <v>0.74994998999796514</v>
      </c>
      <c r="J8758">
        <f>SMALL(SimData5000!$C$9:$C$5008,3750)</f>
        <v>0.75368944583533448</v>
      </c>
      <c r="K8758">
        <f>1/(COUNT(SimData5000!$C$9:$C$5008)-1)+$K$8757</f>
        <v>0.74994998999796514</v>
      </c>
    </row>
    <row r="8759" spans="8:11">
      <c r="H8759">
        <f>SMALL(SimData5000!$B$9:$B$5008,3751)</f>
        <v>0.75005899196808667</v>
      </c>
      <c r="I8759">
        <f>1/(COUNT(SimData5000!$B$9:$B$5008)-1)+$I$8758</f>
        <v>0.75015003000596669</v>
      </c>
      <c r="J8759">
        <f>SMALL(SimData5000!$C$9:$C$5008,3751)</f>
        <v>0.7538527219385287</v>
      </c>
      <c r="K8759">
        <f>1/(COUNT(SimData5000!$C$9:$C$5008)-1)+$K$8758</f>
        <v>0.75015003000596669</v>
      </c>
    </row>
    <row r="8760" spans="8:11">
      <c r="H8760">
        <f>SMALL(SimData5000!$B$9:$B$5008,3752)</f>
        <v>0.75030347180243195</v>
      </c>
      <c r="I8760">
        <f>1/(COUNT(SimData5000!$B$9:$B$5008)-1)+$I$8759</f>
        <v>0.75035007001396825</v>
      </c>
      <c r="J8760">
        <f>SMALL(SimData5000!$C$9:$C$5008,3752)</f>
        <v>0.75397384395546396</v>
      </c>
      <c r="K8760">
        <f>1/(COUNT(SimData5000!$C$9:$C$5008)-1)+$K$8759</f>
        <v>0.75035007001396825</v>
      </c>
    </row>
    <row r="8761" spans="8:11">
      <c r="H8761">
        <f>SMALL(SimData5000!$B$9:$B$5008,3753)</f>
        <v>0.75054585514584227</v>
      </c>
      <c r="I8761">
        <f>1/(COUNT(SimData5000!$B$9:$B$5008)-1)+$I$8760</f>
        <v>0.75055011002196981</v>
      </c>
      <c r="J8761">
        <f>SMALL(SimData5000!$C$9:$C$5008,3753)</f>
        <v>0.75458175123549154</v>
      </c>
      <c r="K8761">
        <f>1/(COUNT(SimData5000!$C$9:$C$5008)-1)+$K$8760</f>
        <v>0.75055011002196981</v>
      </c>
    </row>
    <row r="8762" spans="8:11">
      <c r="H8762">
        <f>SMALL(SimData5000!$B$9:$B$5008,3754)</f>
        <v>0.75073211985959953</v>
      </c>
      <c r="I8762">
        <f>1/(COUNT(SimData5000!$B$9:$B$5008)-1)+$I$8761</f>
        <v>0.75075015002997136</v>
      </c>
      <c r="J8762">
        <f>SMALL(SimData5000!$C$9:$C$5008,3754)</f>
        <v>0.75465417069972318</v>
      </c>
      <c r="K8762">
        <f>1/(COUNT(SimData5000!$C$9:$C$5008)-1)+$K$8761</f>
        <v>0.75075015002997136</v>
      </c>
    </row>
    <row r="8763" spans="8:11">
      <c r="H8763">
        <f>SMALL(SimData5000!$B$9:$B$5008,3755)</f>
        <v>0.75095078824226524</v>
      </c>
      <c r="I8763">
        <f>1/(COUNT(SimData5000!$B$9:$B$5008)-1)+$I$8762</f>
        <v>0.75095019003797292</v>
      </c>
      <c r="J8763">
        <f>SMALL(SimData5000!$C$9:$C$5008,3755)</f>
        <v>0.75470550917270884</v>
      </c>
      <c r="K8763">
        <f>1/(COUNT(SimData5000!$C$9:$C$5008)-1)+$K$8762</f>
        <v>0.75095019003797292</v>
      </c>
    </row>
    <row r="8764" spans="8:11">
      <c r="H8764">
        <f>SMALL(SimData5000!$B$9:$B$5008,3756)</f>
        <v>0.75106119548647232</v>
      </c>
      <c r="I8764">
        <f>1/(COUNT(SimData5000!$B$9:$B$5008)-1)+$I$8763</f>
        <v>0.75115023004597448</v>
      </c>
      <c r="J8764">
        <f>SMALL(SimData5000!$C$9:$C$5008,3756)</f>
        <v>0.75491745504587016</v>
      </c>
      <c r="K8764">
        <f>1/(COUNT(SimData5000!$C$9:$C$5008)-1)+$K$8763</f>
        <v>0.75115023004597448</v>
      </c>
    </row>
    <row r="8765" spans="8:11">
      <c r="H8765">
        <f>SMALL(SimData5000!$B$9:$B$5008,3757)</f>
        <v>0.75139096150924245</v>
      </c>
      <c r="I8765">
        <f>1/(COUNT(SimData5000!$B$9:$B$5008)-1)+$I$8764</f>
        <v>0.75135027005397603</v>
      </c>
      <c r="J8765">
        <f>SMALL(SimData5000!$C$9:$C$5008,3757)</f>
        <v>0.75496183971426944</v>
      </c>
      <c r="K8765">
        <f>1/(COUNT(SimData5000!$C$9:$C$5008)-1)+$K$8764</f>
        <v>0.75135027005397603</v>
      </c>
    </row>
    <row r="8766" spans="8:11">
      <c r="H8766">
        <f>SMALL(SimData5000!$B$9:$B$5008,3758)</f>
        <v>0.75153313071600469</v>
      </c>
      <c r="I8766">
        <f>1/(COUNT(SimData5000!$B$9:$B$5008)-1)+$I$8765</f>
        <v>0.75155031006197759</v>
      </c>
      <c r="J8766">
        <f>SMALL(SimData5000!$C$9:$C$5008,3758)</f>
        <v>0.75498525111834169</v>
      </c>
      <c r="K8766">
        <f>1/(COUNT(SimData5000!$C$9:$C$5008)-1)+$K$8765</f>
        <v>0.75155031006197759</v>
      </c>
    </row>
    <row r="8767" spans="8:11">
      <c r="H8767">
        <f>SMALL(SimData5000!$B$9:$B$5008,3759)</f>
        <v>0.75160938760237983</v>
      </c>
      <c r="I8767">
        <f>1/(COUNT(SimData5000!$B$9:$B$5008)-1)+$I$8766</f>
        <v>0.75175035006997915</v>
      </c>
      <c r="J8767">
        <f>SMALL(SimData5000!$C$9:$C$5008,3759)</f>
        <v>0.75498993326709751</v>
      </c>
      <c r="K8767">
        <f>1/(COUNT(SimData5000!$C$9:$C$5008)-1)+$K$8766</f>
        <v>0.75175035006997915</v>
      </c>
    </row>
    <row r="8768" spans="8:11">
      <c r="H8768">
        <f>SMALL(SimData5000!$B$9:$B$5008,3760)</f>
        <v>0.75183172117686636</v>
      </c>
      <c r="I8768">
        <f>1/(COUNT(SimData5000!$B$9:$B$5008)-1)+$I$8767</f>
        <v>0.7519503900779807</v>
      </c>
      <c r="J8768">
        <f>SMALL(SimData5000!$C$9:$C$5008,3760)</f>
        <v>0.75501451008403819</v>
      </c>
      <c r="K8768">
        <f>1/(COUNT(SimData5000!$C$9:$C$5008)-1)+$K$8767</f>
        <v>0.7519503900779807</v>
      </c>
    </row>
    <row r="8769" spans="8:11">
      <c r="H8769">
        <f>SMALL(SimData5000!$B$9:$B$5008,3761)</f>
        <v>0.75207936770368355</v>
      </c>
      <c r="I8769">
        <f>1/(COUNT(SimData5000!$B$9:$B$5008)-1)+$I$8768</f>
        <v>0.75215043008598226</v>
      </c>
      <c r="J8769">
        <f>SMALL(SimData5000!$C$9:$C$5008,3761)</f>
        <v>0.75518134317280783</v>
      </c>
      <c r="K8769">
        <f>1/(COUNT(SimData5000!$C$9:$C$5008)-1)+$K$8768</f>
        <v>0.75215043008598226</v>
      </c>
    </row>
    <row r="8770" spans="8:11">
      <c r="H8770">
        <f>SMALL(SimData5000!$B$9:$B$5008,3762)</f>
        <v>0.75230970643370176</v>
      </c>
      <c r="I8770">
        <f>1/(COUNT(SimData5000!$B$9:$B$5008)-1)+$I$8769</f>
        <v>0.75235047009398381</v>
      </c>
      <c r="J8770">
        <f>SMALL(SimData5000!$C$9:$C$5008,3762)</f>
        <v>0.75520683086597273</v>
      </c>
      <c r="K8770">
        <f>1/(COUNT(SimData5000!$C$9:$C$5008)-1)+$K$8769</f>
        <v>0.75235047009398381</v>
      </c>
    </row>
    <row r="8771" spans="8:11">
      <c r="H8771">
        <f>SMALL(SimData5000!$B$9:$B$5008,3763)</f>
        <v>0.75243453142993022</v>
      </c>
      <c r="I8771">
        <f>1/(COUNT(SimData5000!$B$9:$B$5008)-1)+$I$8770</f>
        <v>0.75255051010198537</v>
      </c>
      <c r="J8771">
        <f>SMALL(SimData5000!$C$9:$C$5008,3763)</f>
        <v>0.75522892182925716</v>
      </c>
      <c r="K8771">
        <f>1/(COUNT(SimData5000!$C$9:$C$5008)-1)+$K$8770</f>
        <v>0.75255051010198537</v>
      </c>
    </row>
    <row r="8772" spans="8:11">
      <c r="H8772">
        <f>SMALL(SimData5000!$B$9:$B$5008,3764)</f>
        <v>0.75275849767563829</v>
      </c>
      <c r="I8772">
        <f>1/(COUNT(SimData5000!$B$9:$B$5008)-1)+$I$8771</f>
        <v>0.75275055010998693</v>
      </c>
      <c r="J8772">
        <f>SMALL(SimData5000!$C$9:$C$5008,3764)</f>
        <v>0.75530526923284924</v>
      </c>
      <c r="K8772">
        <f>1/(COUNT(SimData5000!$C$9:$C$5008)-1)+$K$8771</f>
        <v>0.75275055010998693</v>
      </c>
    </row>
    <row r="8773" spans="8:11">
      <c r="H8773">
        <f>SMALL(SimData5000!$B$9:$B$5008,3765)</f>
        <v>0.75288408396297224</v>
      </c>
      <c r="I8773">
        <f>1/(COUNT(SimData5000!$B$9:$B$5008)-1)+$I$8772</f>
        <v>0.75295059011798848</v>
      </c>
      <c r="J8773">
        <f>SMALL(SimData5000!$C$9:$C$5008,3765)</f>
        <v>0.75531331081310782</v>
      </c>
      <c r="K8773">
        <f>1/(COUNT(SimData5000!$C$9:$C$5008)-1)+$K$8772</f>
        <v>0.75295059011798848</v>
      </c>
    </row>
    <row r="8774" spans="8:11">
      <c r="H8774">
        <f>SMALL(SimData5000!$B$9:$B$5008,3766)</f>
        <v>0.75306333030519623</v>
      </c>
      <c r="I8774">
        <f>1/(COUNT(SimData5000!$B$9:$B$5008)-1)+$I$8773</f>
        <v>0.75315063012599004</v>
      </c>
      <c r="J8774">
        <f>SMALL(SimData5000!$C$9:$C$5008,3766)</f>
        <v>0.75531519559081062</v>
      </c>
      <c r="K8774">
        <f>1/(COUNT(SimData5000!$C$9:$C$5008)-1)+$K$8773</f>
        <v>0.75315063012599004</v>
      </c>
    </row>
    <row r="8775" spans="8:11">
      <c r="H8775">
        <f>SMALL(SimData5000!$B$9:$B$5008,3767)</f>
        <v>0.75332978859304678</v>
      </c>
      <c r="I8775">
        <f>1/(COUNT(SimData5000!$B$9:$B$5008)-1)+$I$8774</f>
        <v>0.7533506701339916</v>
      </c>
      <c r="J8775">
        <f>SMALL(SimData5000!$C$9:$C$5008,3767)</f>
        <v>0.75532082624249597</v>
      </c>
      <c r="K8775">
        <f>1/(COUNT(SimData5000!$C$9:$C$5008)-1)+$K$8774</f>
        <v>0.7533506701339916</v>
      </c>
    </row>
    <row r="8776" spans="8:11">
      <c r="H8776">
        <f>SMALL(SimData5000!$B$9:$B$5008,3768)</f>
        <v>0.75342563129184437</v>
      </c>
      <c r="I8776">
        <f>1/(COUNT(SimData5000!$B$9:$B$5008)-1)+$I$8775</f>
        <v>0.75355071014199315</v>
      </c>
      <c r="J8776">
        <f>SMALL(SimData5000!$C$9:$C$5008,3768)</f>
        <v>0.75533788320717576</v>
      </c>
      <c r="K8776">
        <f>1/(COUNT(SimData5000!$C$9:$C$5008)-1)+$K$8775</f>
        <v>0.75355071014199315</v>
      </c>
    </row>
    <row r="8777" spans="8:11">
      <c r="H8777">
        <f>SMALL(SimData5000!$B$9:$B$5008,3769)</f>
        <v>0.75367298006933947</v>
      </c>
      <c r="I8777">
        <f>1/(COUNT(SimData5000!$B$9:$B$5008)-1)+$I$8776</f>
        <v>0.75375075014999471</v>
      </c>
      <c r="J8777">
        <f>SMALL(SimData5000!$C$9:$C$5008,3769)</f>
        <v>0.75576526189342985</v>
      </c>
      <c r="K8777">
        <f>1/(COUNT(SimData5000!$C$9:$C$5008)-1)+$K$8776</f>
        <v>0.75375075014999471</v>
      </c>
    </row>
    <row r="8778" spans="8:11">
      <c r="H8778">
        <f>SMALL(SimData5000!$B$9:$B$5008,3770)</f>
        <v>0.75397767085320733</v>
      </c>
      <c r="I8778">
        <f>1/(COUNT(SimData5000!$B$9:$B$5008)-1)+$I$8777</f>
        <v>0.75395079015799626</v>
      </c>
      <c r="J8778">
        <f>SMALL(SimData5000!$C$9:$C$5008,3770)</f>
        <v>0.75582380036121322</v>
      </c>
      <c r="K8778">
        <f>1/(COUNT(SimData5000!$C$9:$C$5008)-1)+$K$8777</f>
        <v>0.75395079015799626</v>
      </c>
    </row>
    <row r="8779" spans="8:11">
      <c r="H8779">
        <f>SMALL(SimData5000!$B$9:$B$5008,3771)</f>
        <v>0.75416232961871721</v>
      </c>
      <c r="I8779">
        <f>1/(COUNT(SimData5000!$B$9:$B$5008)-1)+$I$8778</f>
        <v>0.75415083016599782</v>
      </c>
      <c r="J8779">
        <f>SMALL(SimData5000!$C$9:$C$5008,3771)</f>
        <v>0.75596857755499514</v>
      </c>
      <c r="K8779">
        <f>1/(COUNT(SimData5000!$C$9:$C$5008)-1)+$K$8778</f>
        <v>0.75415083016599782</v>
      </c>
    </row>
    <row r="8780" spans="8:11">
      <c r="H8780">
        <f>SMALL(SimData5000!$B$9:$B$5008,3772)</f>
        <v>0.75433045264005905</v>
      </c>
      <c r="I8780">
        <f>1/(COUNT(SimData5000!$B$9:$B$5008)-1)+$I$8779</f>
        <v>0.75435087017399938</v>
      </c>
      <c r="J8780">
        <f>SMALL(SimData5000!$C$9:$C$5008,3772)</f>
        <v>0.75613261832222634</v>
      </c>
      <c r="K8780">
        <f>1/(COUNT(SimData5000!$C$9:$C$5008)-1)+$K$8779</f>
        <v>0.75435087017399938</v>
      </c>
    </row>
    <row r="8781" spans="8:11">
      <c r="H8781">
        <f>SMALL(SimData5000!$B$9:$B$5008,3773)</f>
        <v>0.75455291788199752</v>
      </c>
      <c r="I8781">
        <f>1/(COUNT(SimData5000!$B$9:$B$5008)-1)+$I$8780</f>
        <v>0.75455091018200093</v>
      </c>
      <c r="J8781">
        <f>SMALL(SimData5000!$C$9:$C$5008,3773)</f>
        <v>0.75622236134495324</v>
      </c>
      <c r="K8781">
        <f>1/(COUNT(SimData5000!$C$9:$C$5008)-1)+$K$8780</f>
        <v>0.75455091018200093</v>
      </c>
    </row>
    <row r="8782" spans="8:11">
      <c r="H8782">
        <f>SMALL(SimData5000!$B$9:$B$5008,3774)</f>
        <v>0.75477666049780712</v>
      </c>
      <c r="I8782">
        <f>1/(COUNT(SimData5000!$B$9:$B$5008)-1)+$I$8781</f>
        <v>0.75475095019000249</v>
      </c>
      <c r="J8782">
        <f>SMALL(SimData5000!$C$9:$C$5008,3774)</f>
        <v>0.75647357824527717</v>
      </c>
      <c r="K8782">
        <f>1/(COUNT(SimData5000!$C$9:$C$5008)-1)+$K$8781</f>
        <v>0.75475095019000249</v>
      </c>
    </row>
    <row r="8783" spans="8:11">
      <c r="H8783">
        <f>SMALL(SimData5000!$B$9:$B$5008,3775)</f>
        <v>0.75499614014481098</v>
      </c>
      <c r="I8783">
        <f>1/(COUNT(SimData5000!$B$9:$B$5008)-1)+$I$8782</f>
        <v>0.75495099019800405</v>
      </c>
      <c r="J8783">
        <f>SMALL(SimData5000!$C$9:$C$5008,3775)</f>
        <v>0.75648464697587769</v>
      </c>
      <c r="K8783">
        <f>1/(COUNT(SimData5000!$C$9:$C$5008)-1)+$K$8782</f>
        <v>0.75495099019800405</v>
      </c>
    </row>
    <row r="8784" spans="8:11">
      <c r="H8784">
        <f>SMALL(SimData5000!$B$9:$B$5008,3776)</f>
        <v>0.75504919805336956</v>
      </c>
      <c r="I8784">
        <f>1/(COUNT(SimData5000!$B$9:$B$5008)-1)+$I$8783</f>
        <v>0.7551510302060056</v>
      </c>
      <c r="J8784">
        <f>SMALL(SimData5000!$C$9:$C$5008,3776)</f>
        <v>0.75684413262388262</v>
      </c>
      <c r="K8784">
        <f>1/(COUNT(SimData5000!$C$9:$C$5008)-1)+$K$8783</f>
        <v>0.7551510302060056</v>
      </c>
    </row>
    <row r="8785" spans="8:11">
      <c r="H8785">
        <f>SMALL(SimData5000!$B$9:$B$5008,3777)</f>
        <v>0.75521515810857887</v>
      </c>
      <c r="I8785">
        <f>1/(COUNT(SimData5000!$B$9:$B$5008)-1)+$I$8784</f>
        <v>0.75535107021400716</v>
      </c>
      <c r="J8785">
        <f>SMALL(SimData5000!$C$9:$C$5008,3777)</f>
        <v>0.7568710007080881</v>
      </c>
      <c r="K8785">
        <f>1/(COUNT(SimData5000!$C$9:$C$5008)-1)+$K$8784</f>
        <v>0.75535107021400716</v>
      </c>
    </row>
    <row r="8786" spans="8:11">
      <c r="H8786">
        <f>SMALL(SimData5000!$B$9:$B$5008,3778)</f>
        <v>0.755543601076059</v>
      </c>
      <c r="I8786">
        <f>1/(COUNT(SimData5000!$B$9:$B$5008)-1)+$I$8785</f>
        <v>0.75555111022200871</v>
      </c>
      <c r="J8786">
        <f>SMALL(SimData5000!$C$9:$C$5008,3778)</f>
        <v>0.75761489207798149</v>
      </c>
      <c r="K8786">
        <f>1/(COUNT(SimData5000!$C$9:$C$5008)-1)+$K$8785</f>
        <v>0.75555111022200871</v>
      </c>
    </row>
    <row r="8787" spans="8:11">
      <c r="H8787">
        <f>SMALL(SimData5000!$B$9:$B$5008,3779)</f>
        <v>0.7556857134875109</v>
      </c>
      <c r="I8787">
        <f>1/(COUNT(SimData5000!$B$9:$B$5008)-1)+$I$8786</f>
        <v>0.75575115023001027</v>
      </c>
      <c r="J8787">
        <f>SMALL(SimData5000!$C$9:$C$5008,3779)</f>
        <v>0.75814369545241789</v>
      </c>
      <c r="K8787">
        <f>1/(COUNT(SimData5000!$C$9:$C$5008)-1)+$K$8786</f>
        <v>0.75575115023001027</v>
      </c>
    </row>
    <row r="8788" spans="8:11">
      <c r="H8788">
        <f>SMALL(SimData5000!$B$9:$B$5008,3780)</f>
        <v>0.75596315473051823</v>
      </c>
      <c r="I8788">
        <f>1/(COUNT(SimData5000!$B$9:$B$5008)-1)+$I$8787</f>
        <v>0.75595119023801183</v>
      </c>
      <c r="J8788">
        <f>SMALL(SimData5000!$C$9:$C$5008,3780)</f>
        <v>0.75820542937981372</v>
      </c>
      <c r="K8788">
        <f>1/(COUNT(SimData5000!$C$9:$C$5008)-1)+$K$8787</f>
        <v>0.75595119023801183</v>
      </c>
    </row>
    <row r="8789" spans="8:11">
      <c r="H8789">
        <f>SMALL(SimData5000!$B$9:$B$5008,3781)</f>
        <v>0.75607760487200637</v>
      </c>
      <c r="I8789">
        <f>1/(COUNT(SimData5000!$B$9:$B$5008)-1)+$I$8788</f>
        <v>0.75615123024601338</v>
      </c>
      <c r="J8789">
        <f>SMALL(SimData5000!$C$9:$C$5008,3781)</f>
        <v>0.75866497508286557</v>
      </c>
      <c r="K8789">
        <f>1/(COUNT(SimData5000!$C$9:$C$5008)-1)+$K$8788</f>
        <v>0.75615123024601338</v>
      </c>
    </row>
    <row r="8790" spans="8:11">
      <c r="H8790">
        <f>SMALL(SimData5000!$B$9:$B$5008,3782)</f>
        <v>0.75632271740271773</v>
      </c>
      <c r="I8790">
        <f>1/(COUNT(SimData5000!$B$9:$B$5008)-1)+$I$8789</f>
        <v>0.75635127025401494</v>
      </c>
      <c r="J8790">
        <f>SMALL(SimData5000!$C$9:$C$5008,3782)</f>
        <v>0.7589761227973213</v>
      </c>
      <c r="K8790">
        <f>1/(COUNT(SimData5000!$C$9:$C$5008)-1)+$K$8789</f>
        <v>0.75635127025401494</v>
      </c>
    </row>
    <row r="8791" spans="8:11">
      <c r="H8791">
        <f>SMALL(SimData5000!$B$9:$B$5008,3783)</f>
        <v>0.7565214857206497</v>
      </c>
      <c r="I8791">
        <f>1/(COUNT(SimData5000!$B$9:$B$5008)-1)+$I$8790</f>
        <v>0.7565513102620165</v>
      </c>
      <c r="J8791">
        <f>SMALL(SimData5000!$C$9:$C$5008,3783)</f>
        <v>0.75922390276809892</v>
      </c>
      <c r="K8791">
        <f>1/(COUNT(SimData5000!$C$9:$C$5008)-1)+$K$8790</f>
        <v>0.7565513102620165</v>
      </c>
    </row>
    <row r="8792" spans="8:11">
      <c r="H8792">
        <f>SMALL(SimData5000!$B$9:$B$5008,3784)</f>
        <v>0.75679501849464026</v>
      </c>
      <c r="I8792">
        <f>1/(COUNT(SimData5000!$B$9:$B$5008)-1)+$I$8791</f>
        <v>0.75675135027001805</v>
      </c>
      <c r="J8792">
        <f>SMALL(SimData5000!$C$9:$C$5008,3784)</f>
        <v>0.75928454257064004</v>
      </c>
      <c r="K8792">
        <f>1/(COUNT(SimData5000!$C$9:$C$5008)-1)+$K$8791</f>
        <v>0.75675135027001805</v>
      </c>
    </row>
    <row r="8793" spans="8:11">
      <c r="H8793">
        <f>SMALL(SimData5000!$B$9:$B$5008,3785)</f>
        <v>0.75680020687640659</v>
      </c>
      <c r="I8793">
        <f>1/(COUNT(SimData5000!$B$9:$B$5008)-1)+$I$8792</f>
        <v>0.75695139027801961</v>
      </c>
      <c r="J8793">
        <f>SMALL(SimData5000!$C$9:$C$5008,3785)</f>
        <v>0.75945945544935967</v>
      </c>
      <c r="K8793">
        <f>1/(COUNT(SimData5000!$C$9:$C$5008)-1)+$K$8792</f>
        <v>0.75695139027801961</v>
      </c>
    </row>
    <row r="8794" spans="8:11">
      <c r="H8794">
        <f>SMALL(SimData5000!$B$9:$B$5008,3786)</f>
        <v>0.7571812776572493</v>
      </c>
      <c r="I8794">
        <f>1/(COUNT(SimData5000!$B$9:$B$5008)-1)+$I$8793</f>
        <v>0.75715143028602117</v>
      </c>
      <c r="J8794">
        <f>SMALL(SimData5000!$C$9:$C$5008,3786)</f>
        <v>0.7595158092553902</v>
      </c>
      <c r="K8794">
        <f>1/(COUNT(SimData5000!$C$9:$C$5008)-1)+$K$8793</f>
        <v>0.75715143028602117</v>
      </c>
    </row>
    <row r="8795" spans="8:11">
      <c r="H8795">
        <f>SMALL(SimData5000!$B$9:$B$5008,3787)</f>
        <v>0.75738399774217602</v>
      </c>
      <c r="I8795">
        <f>1/(COUNT(SimData5000!$B$9:$B$5008)-1)+$I$8794</f>
        <v>0.75735147029402272</v>
      </c>
      <c r="J8795">
        <f>SMALL(SimData5000!$C$9:$C$5008,3787)</f>
        <v>0.75996182349535957</v>
      </c>
      <c r="K8795">
        <f>1/(COUNT(SimData5000!$C$9:$C$5008)-1)+$K$8794</f>
        <v>0.75735147029402272</v>
      </c>
    </row>
    <row r="8796" spans="8:11">
      <c r="H8796">
        <f>SMALL(SimData5000!$B$9:$B$5008,3788)</f>
        <v>0.75752117545039421</v>
      </c>
      <c r="I8796">
        <f>1/(COUNT(SimData5000!$B$9:$B$5008)-1)+$I$8795</f>
        <v>0.75755151030202428</v>
      </c>
      <c r="J8796">
        <f>SMALL(SimData5000!$C$9:$C$5008,3788)</f>
        <v>0.75996989958275663</v>
      </c>
      <c r="K8796">
        <f>1/(COUNT(SimData5000!$C$9:$C$5008)-1)+$K$8795</f>
        <v>0.75755151030202428</v>
      </c>
    </row>
    <row r="8797" spans="8:11">
      <c r="H8797">
        <f>SMALL(SimData5000!$B$9:$B$5008,3789)</f>
        <v>0.757644019176961</v>
      </c>
      <c r="I8797">
        <f>1/(COUNT(SimData5000!$B$9:$B$5008)-1)+$I$8796</f>
        <v>0.75775155031002583</v>
      </c>
      <c r="J8797">
        <f>SMALL(SimData5000!$C$9:$C$5008,3789)</f>
        <v>0.76007727520754997</v>
      </c>
      <c r="K8797">
        <f>1/(COUNT(SimData5000!$C$9:$C$5008)-1)+$K$8796</f>
        <v>0.75775155031002583</v>
      </c>
    </row>
    <row r="8798" spans="8:11">
      <c r="H8798">
        <f>SMALL(SimData5000!$B$9:$B$5008,3790)</f>
        <v>0.75789503183511431</v>
      </c>
      <c r="I8798">
        <f>1/(COUNT(SimData5000!$B$9:$B$5008)-1)+$I$8797</f>
        <v>0.75795159031802739</v>
      </c>
      <c r="J8798">
        <f>SMALL(SimData5000!$C$9:$C$5008,3790)</f>
        <v>0.76008039494172408</v>
      </c>
      <c r="K8798">
        <f>1/(COUNT(SimData5000!$C$9:$C$5008)-1)+$K$8797</f>
        <v>0.75795159031802739</v>
      </c>
    </row>
    <row r="8799" spans="8:11">
      <c r="H8799">
        <f>SMALL(SimData5000!$B$9:$B$5008,3791)</f>
        <v>0.7581438251385334</v>
      </c>
      <c r="I8799">
        <f>1/(COUNT(SimData5000!$B$9:$B$5008)-1)+$I$8798</f>
        <v>0.75815163032602895</v>
      </c>
      <c r="J8799">
        <f>SMALL(SimData5000!$C$9:$C$5008,3791)</f>
        <v>0.76037375847408839</v>
      </c>
      <c r="K8799">
        <f>1/(COUNT(SimData5000!$C$9:$C$5008)-1)+$K$8798</f>
        <v>0.75815163032602895</v>
      </c>
    </row>
    <row r="8800" spans="8:11">
      <c r="H8800">
        <f>SMALL(SimData5000!$B$9:$B$5008,3792)</f>
        <v>0.75827937892379227</v>
      </c>
      <c r="I8800">
        <f>1/(COUNT(SimData5000!$B$9:$B$5008)-1)+$I$8799</f>
        <v>0.7583516703340305</v>
      </c>
      <c r="J8800">
        <f>SMALL(SimData5000!$C$9:$C$5008,3792)</f>
        <v>0.76049666803373839</v>
      </c>
      <c r="K8800">
        <f>1/(COUNT(SimData5000!$C$9:$C$5008)-1)+$K$8799</f>
        <v>0.7583516703340305</v>
      </c>
    </row>
    <row r="8801" spans="8:11">
      <c r="H8801">
        <f>SMALL(SimData5000!$B$9:$B$5008,3793)</f>
        <v>0.75849865667528915</v>
      </c>
      <c r="I8801">
        <f>1/(COUNT(SimData5000!$B$9:$B$5008)-1)+$I$8800</f>
        <v>0.75855171034203206</v>
      </c>
      <c r="J8801">
        <f>SMALL(SimData5000!$C$9:$C$5008,3793)</f>
        <v>0.76080733307298942</v>
      </c>
      <c r="K8801">
        <f>1/(COUNT(SimData5000!$C$9:$C$5008)-1)+$K$8800</f>
        <v>0.75855171034203206</v>
      </c>
    </row>
    <row r="8802" spans="8:11">
      <c r="H8802">
        <f>SMALL(SimData5000!$B$9:$B$5008,3794)</f>
        <v>0.75870346295887225</v>
      </c>
      <c r="I8802">
        <f>1/(COUNT(SimData5000!$B$9:$B$5008)-1)+$I$8801</f>
        <v>0.75875175035003362</v>
      </c>
      <c r="J8802">
        <f>SMALL(SimData5000!$C$9:$C$5008,3794)</f>
        <v>0.7608380022475103</v>
      </c>
      <c r="K8802">
        <f>1/(COUNT(SimData5000!$C$9:$C$5008)-1)+$K$8801</f>
        <v>0.75875175035003362</v>
      </c>
    </row>
    <row r="8803" spans="8:11">
      <c r="H8803">
        <f>SMALL(SimData5000!$B$9:$B$5008,3795)</f>
        <v>0.75897878543589703</v>
      </c>
      <c r="I8803">
        <f>1/(COUNT(SimData5000!$B$9:$B$5008)-1)+$I$8802</f>
        <v>0.75895179035803517</v>
      </c>
      <c r="J8803">
        <f>SMALL(SimData5000!$C$9:$C$5008,3795)</f>
        <v>0.76166952358016715</v>
      </c>
      <c r="K8803">
        <f>1/(COUNT(SimData5000!$C$9:$C$5008)-1)+$K$8802</f>
        <v>0.75895179035803517</v>
      </c>
    </row>
    <row r="8804" spans="8:11">
      <c r="H8804">
        <f>SMALL(SimData5000!$B$9:$B$5008,3796)</f>
        <v>0.75911070421117133</v>
      </c>
      <c r="I8804">
        <f>1/(COUNT(SimData5000!$B$9:$B$5008)-1)+$I$8803</f>
        <v>0.75915183036603673</v>
      </c>
      <c r="J8804">
        <f>SMALL(SimData5000!$C$9:$C$5008,3796)</f>
        <v>0.76171877205706551</v>
      </c>
      <c r="K8804">
        <f>1/(COUNT(SimData5000!$C$9:$C$5008)-1)+$K$8803</f>
        <v>0.75915183036603673</v>
      </c>
    </row>
    <row r="8805" spans="8:11">
      <c r="H8805">
        <f>SMALL(SimData5000!$B$9:$B$5008,3797)</f>
        <v>0.75933813573684039</v>
      </c>
      <c r="I8805">
        <f>1/(COUNT(SimData5000!$B$9:$B$5008)-1)+$I$8804</f>
        <v>0.75935187037403828</v>
      </c>
      <c r="J8805">
        <f>SMALL(SimData5000!$C$9:$C$5008,3797)</f>
        <v>0.76186305495320994</v>
      </c>
      <c r="K8805">
        <f>1/(COUNT(SimData5000!$C$9:$C$5008)-1)+$K$8804</f>
        <v>0.75935187037403828</v>
      </c>
    </row>
    <row r="8806" spans="8:11">
      <c r="H8806">
        <f>SMALL(SimData5000!$B$9:$B$5008,3798)</f>
        <v>0.75949602867488197</v>
      </c>
      <c r="I8806">
        <f>1/(COUNT(SimData5000!$B$9:$B$5008)-1)+$I$8805</f>
        <v>0.75955191038203984</v>
      </c>
      <c r="J8806">
        <f>SMALL(SimData5000!$C$9:$C$5008,3798)</f>
        <v>0.76214592164342321</v>
      </c>
      <c r="K8806">
        <f>1/(COUNT(SimData5000!$C$9:$C$5008)-1)+$K$8805</f>
        <v>0.75955191038203984</v>
      </c>
    </row>
    <row r="8807" spans="8:11">
      <c r="H8807">
        <f>SMALL(SimData5000!$B$9:$B$5008,3799)</f>
        <v>0.75972055422103046</v>
      </c>
      <c r="I8807">
        <f>1/(COUNT(SimData5000!$B$9:$B$5008)-1)+$I$8806</f>
        <v>0.7597519503900414</v>
      </c>
      <c r="J8807">
        <f>SMALL(SimData5000!$C$9:$C$5008,3799)</f>
        <v>0.76220971803104476</v>
      </c>
      <c r="K8807">
        <f>1/(COUNT(SimData5000!$C$9:$C$5008)-1)+$K$8806</f>
        <v>0.7597519503900414</v>
      </c>
    </row>
    <row r="8808" spans="8:11">
      <c r="H8808">
        <f>SMALL(SimData5000!$B$9:$B$5008,3800)</f>
        <v>0.75990149944869367</v>
      </c>
      <c r="I8808">
        <f>1/(COUNT(SimData5000!$B$9:$B$5008)-1)+$I$8807</f>
        <v>0.75995199039804295</v>
      </c>
      <c r="J8808">
        <f>SMALL(SimData5000!$C$9:$C$5008,3800)</f>
        <v>0.76238812446081283</v>
      </c>
      <c r="K8808">
        <f>1/(COUNT(SimData5000!$C$9:$C$5008)-1)+$K$8807</f>
        <v>0.75995199039804295</v>
      </c>
    </row>
    <row r="8809" spans="8:11">
      <c r="H8809">
        <f>SMALL(SimData5000!$B$9:$B$5008,3801)</f>
        <v>0.76010084467378924</v>
      </c>
      <c r="I8809">
        <f>1/(COUNT(SimData5000!$B$9:$B$5008)-1)+$I$8808</f>
        <v>0.76015203040604451</v>
      </c>
      <c r="J8809">
        <f>SMALL(SimData5000!$C$9:$C$5008,3801)</f>
        <v>0.76256158882006275</v>
      </c>
      <c r="K8809">
        <f>1/(COUNT(SimData5000!$C$9:$C$5008)-1)+$K$8808</f>
        <v>0.76015203040604451</v>
      </c>
    </row>
    <row r="8810" spans="8:11">
      <c r="H8810">
        <f>SMALL(SimData5000!$B$9:$B$5008,3802)</f>
        <v>0.76033527199368345</v>
      </c>
      <c r="I8810">
        <f>1/(COUNT(SimData5000!$B$9:$B$5008)-1)+$I$8809</f>
        <v>0.76035207041404607</v>
      </c>
      <c r="J8810">
        <f>SMALL(SimData5000!$C$9:$C$5008,3802)</f>
        <v>0.76289744588029862</v>
      </c>
      <c r="K8810">
        <f>1/(COUNT(SimData5000!$C$9:$C$5008)-1)+$K$8809</f>
        <v>0.76035207041404607</v>
      </c>
    </row>
    <row r="8811" spans="8:11">
      <c r="H8811">
        <f>SMALL(SimData5000!$B$9:$B$5008,3803)</f>
        <v>0.76057190028838162</v>
      </c>
      <c r="I8811">
        <f>1/(COUNT(SimData5000!$B$9:$B$5008)-1)+$I$8810</f>
        <v>0.76055211042204762</v>
      </c>
      <c r="J8811">
        <f>SMALL(SimData5000!$C$9:$C$5008,3803)</f>
        <v>0.76293088315924251</v>
      </c>
      <c r="K8811">
        <f>1/(COUNT(SimData5000!$C$9:$C$5008)-1)+$K$8810</f>
        <v>0.76055211042204762</v>
      </c>
    </row>
    <row r="8812" spans="8:11">
      <c r="H8812">
        <f>SMALL(SimData5000!$B$9:$B$5008,3804)</f>
        <v>0.76064659321956485</v>
      </c>
      <c r="I8812">
        <f>1/(COUNT(SimData5000!$B$9:$B$5008)-1)+$I$8811</f>
        <v>0.76075215043004918</v>
      </c>
      <c r="J8812">
        <f>SMALL(SimData5000!$C$9:$C$5008,3804)</f>
        <v>0.76302257577481214</v>
      </c>
      <c r="K8812">
        <f>1/(COUNT(SimData5000!$C$9:$C$5008)-1)+$K$8811</f>
        <v>0.76075215043004918</v>
      </c>
    </row>
    <row r="8813" spans="8:11">
      <c r="H8813">
        <f>SMALL(SimData5000!$B$9:$B$5008,3805)</f>
        <v>0.76088174928111996</v>
      </c>
      <c r="I8813">
        <f>1/(COUNT(SimData5000!$B$9:$B$5008)-1)+$I$8812</f>
        <v>0.76095219043805074</v>
      </c>
      <c r="J8813">
        <f>SMALL(SimData5000!$C$9:$C$5008,3805)</f>
        <v>0.7631528563097163</v>
      </c>
      <c r="K8813">
        <f>1/(COUNT(SimData5000!$C$9:$C$5008)-1)+$K$8812</f>
        <v>0.76095219043805074</v>
      </c>
    </row>
    <row r="8814" spans="8:11">
      <c r="H8814">
        <f>SMALL(SimData5000!$B$9:$B$5008,3806)</f>
        <v>0.7610218199641029</v>
      </c>
      <c r="I8814">
        <f>1/(COUNT(SimData5000!$B$9:$B$5008)-1)+$I$8813</f>
        <v>0.76115223044605229</v>
      </c>
      <c r="J8814">
        <f>SMALL(SimData5000!$C$9:$C$5008,3806)</f>
        <v>0.76351387819795491</v>
      </c>
      <c r="K8814">
        <f>1/(COUNT(SimData5000!$C$9:$C$5008)-1)+$K$8813</f>
        <v>0.76115223044605229</v>
      </c>
    </row>
    <row r="8815" spans="8:11">
      <c r="H8815">
        <f>SMALL(SimData5000!$B$9:$B$5008,3807)</f>
        <v>0.76134512629614803</v>
      </c>
      <c r="I8815">
        <f>1/(COUNT(SimData5000!$B$9:$B$5008)-1)+$I$8814</f>
        <v>0.76135227045405385</v>
      </c>
      <c r="J8815">
        <f>SMALL(SimData5000!$C$9:$C$5008,3807)</f>
        <v>0.76418885739440157</v>
      </c>
      <c r="K8815">
        <f>1/(COUNT(SimData5000!$C$9:$C$5008)-1)+$K$8814</f>
        <v>0.76135227045405385</v>
      </c>
    </row>
    <row r="8816" spans="8:11">
      <c r="H8816">
        <f>SMALL(SimData5000!$B$9:$B$5008,3808)</f>
        <v>0.76142846775120787</v>
      </c>
      <c r="I8816">
        <f>1/(COUNT(SimData5000!$B$9:$B$5008)-1)+$I$8815</f>
        <v>0.7615523104620554</v>
      </c>
      <c r="J8816">
        <f>SMALL(SimData5000!$C$9:$C$5008,3808)</f>
        <v>0.76434075100405607</v>
      </c>
      <c r="K8816">
        <f>1/(COUNT(SimData5000!$C$9:$C$5008)-1)+$K$8815</f>
        <v>0.7615523104620554</v>
      </c>
    </row>
    <row r="8817" spans="8:11">
      <c r="H8817">
        <f>SMALL(SimData5000!$B$9:$B$5008,3809)</f>
        <v>0.76160116361170105</v>
      </c>
      <c r="I8817">
        <f>1/(COUNT(SimData5000!$B$9:$B$5008)-1)+$I$8816</f>
        <v>0.76175235047005696</v>
      </c>
      <c r="J8817">
        <f>SMALL(SimData5000!$C$9:$C$5008,3809)</f>
        <v>0.76465209735397366</v>
      </c>
      <c r="K8817">
        <f>1/(COUNT(SimData5000!$C$9:$C$5008)-1)+$K$8816</f>
        <v>0.76175235047005696</v>
      </c>
    </row>
    <row r="8818" spans="8:11">
      <c r="H8818">
        <f>SMALL(SimData5000!$B$9:$B$5008,3810)</f>
        <v>0.76182231887486351</v>
      </c>
      <c r="I8818">
        <f>1/(COUNT(SimData5000!$B$9:$B$5008)-1)+$I$8817</f>
        <v>0.76195239047805852</v>
      </c>
      <c r="J8818">
        <f>SMALL(SimData5000!$C$9:$C$5008,3810)</f>
        <v>0.76514676543592941</v>
      </c>
      <c r="K8818">
        <f>1/(COUNT(SimData5000!$C$9:$C$5008)-1)+$K$8817</f>
        <v>0.76195239047805852</v>
      </c>
    </row>
    <row r="8819" spans="8:11">
      <c r="H8819">
        <f>SMALL(SimData5000!$B$9:$B$5008,3811)</f>
        <v>0.76201438074224037</v>
      </c>
      <c r="I8819">
        <f>1/(COUNT(SimData5000!$B$9:$B$5008)-1)+$I$8818</f>
        <v>0.76215243048606007</v>
      </c>
      <c r="J8819">
        <f>SMALL(SimData5000!$C$9:$C$5008,3811)</f>
        <v>0.76528382404376316</v>
      </c>
      <c r="K8819">
        <f>1/(COUNT(SimData5000!$C$9:$C$5008)-1)+$K$8818</f>
        <v>0.76215243048606007</v>
      </c>
    </row>
    <row r="8820" spans="8:11">
      <c r="H8820">
        <f>SMALL(SimData5000!$B$9:$B$5008,3812)</f>
        <v>0.76237002942193532</v>
      </c>
      <c r="I8820">
        <f>1/(COUNT(SimData5000!$B$9:$B$5008)-1)+$I$8819</f>
        <v>0.76235247049406163</v>
      </c>
      <c r="J8820">
        <f>SMALL(SimData5000!$C$9:$C$5008,3812)</f>
        <v>0.76540862925867259</v>
      </c>
      <c r="K8820">
        <f>1/(COUNT(SimData5000!$C$9:$C$5008)-1)+$K$8819</f>
        <v>0.76235247049406163</v>
      </c>
    </row>
    <row r="8821" spans="8:11">
      <c r="H8821">
        <f>SMALL(SimData5000!$B$9:$B$5008,3813)</f>
        <v>0.76248306822708878</v>
      </c>
      <c r="I8821">
        <f>1/(COUNT(SimData5000!$B$9:$B$5008)-1)+$I$8820</f>
        <v>0.76255251050206319</v>
      </c>
      <c r="J8821">
        <f>SMALL(SimData5000!$C$9:$C$5008,3813)</f>
        <v>0.76547507286704786</v>
      </c>
      <c r="K8821">
        <f>1/(COUNT(SimData5000!$C$9:$C$5008)-1)+$K$8820</f>
        <v>0.76255251050206319</v>
      </c>
    </row>
    <row r="8822" spans="8:11">
      <c r="H8822">
        <f>SMALL(SimData5000!$B$9:$B$5008,3814)</f>
        <v>0.76262181032654408</v>
      </c>
      <c r="I8822">
        <f>1/(COUNT(SimData5000!$B$9:$B$5008)-1)+$I$8821</f>
        <v>0.76275255051006474</v>
      </c>
      <c r="J8822">
        <f>SMALL(SimData5000!$C$9:$C$5008,3814)</f>
        <v>0.76549479149525723</v>
      </c>
      <c r="K8822">
        <f>1/(COUNT(SimData5000!$C$9:$C$5008)-1)+$K$8821</f>
        <v>0.76275255051006474</v>
      </c>
    </row>
    <row r="8823" spans="8:11">
      <c r="H8823">
        <f>SMALL(SimData5000!$B$9:$B$5008,3815)</f>
        <v>0.76296725189559333</v>
      </c>
      <c r="I8823">
        <f>1/(COUNT(SimData5000!$B$9:$B$5008)-1)+$I$8822</f>
        <v>0.7629525905180663</v>
      </c>
      <c r="J8823">
        <f>SMALL(SimData5000!$C$9:$C$5008,3815)</f>
        <v>0.76567726925532043</v>
      </c>
      <c r="K8823">
        <f>1/(COUNT(SimData5000!$C$9:$C$5008)-1)+$K$8822</f>
        <v>0.7629525905180663</v>
      </c>
    </row>
    <row r="8824" spans="8:11">
      <c r="H8824">
        <f>SMALL(SimData5000!$B$9:$B$5008,3816)</f>
        <v>0.76309851474647838</v>
      </c>
      <c r="I8824">
        <f>1/(COUNT(SimData5000!$B$9:$B$5008)-1)+$I$8823</f>
        <v>0.76315263052606785</v>
      </c>
      <c r="J8824">
        <f>SMALL(SimData5000!$C$9:$C$5008,3816)</f>
        <v>0.76582884211347846</v>
      </c>
      <c r="K8824">
        <f>1/(COUNT(SimData5000!$C$9:$C$5008)-1)+$K$8823</f>
        <v>0.76315263052606785</v>
      </c>
    </row>
    <row r="8825" spans="8:11">
      <c r="H8825">
        <f>SMALL(SimData5000!$B$9:$B$5008,3817)</f>
        <v>0.76321035993313657</v>
      </c>
      <c r="I8825">
        <f>1/(COUNT(SimData5000!$B$9:$B$5008)-1)+$I$8824</f>
        <v>0.76335267053406941</v>
      </c>
      <c r="J8825">
        <f>SMALL(SimData5000!$C$9:$C$5008,3817)</f>
        <v>0.7658984022682489</v>
      </c>
      <c r="K8825">
        <f>1/(COUNT(SimData5000!$C$9:$C$5008)-1)+$K$8824</f>
        <v>0.76335267053406941</v>
      </c>
    </row>
    <row r="8826" spans="8:11">
      <c r="H8826">
        <f>SMALL(SimData5000!$B$9:$B$5008,3818)</f>
        <v>0.76346437195564254</v>
      </c>
      <c r="I8826">
        <f>1/(COUNT(SimData5000!$B$9:$B$5008)-1)+$I$8825</f>
        <v>0.76355271054207097</v>
      </c>
      <c r="J8826">
        <f>SMALL(SimData5000!$C$9:$C$5008,3818)</f>
        <v>0.76610798361798516</v>
      </c>
      <c r="K8826">
        <f>1/(COUNT(SimData5000!$C$9:$C$5008)-1)+$K$8825</f>
        <v>0.76355271054207097</v>
      </c>
    </row>
    <row r="8827" spans="8:11">
      <c r="H8827">
        <f>SMALL(SimData5000!$B$9:$B$5008,3819)</f>
        <v>0.76371653704976583</v>
      </c>
      <c r="I8827">
        <f>1/(COUNT(SimData5000!$B$9:$B$5008)-1)+$I$8826</f>
        <v>0.76375275055007252</v>
      </c>
      <c r="J8827">
        <f>SMALL(SimData5000!$C$9:$C$5008,3819)</f>
        <v>0.76651005627081759</v>
      </c>
      <c r="K8827">
        <f>1/(COUNT(SimData5000!$C$9:$C$5008)-1)+$K$8826</f>
        <v>0.76375275055007252</v>
      </c>
    </row>
    <row r="8828" spans="8:11">
      <c r="H8828">
        <f>SMALL(SimData5000!$B$9:$B$5008,3820)</f>
        <v>0.76387773081568944</v>
      </c>
      <c r="I8828">
        <f>1/(COUNT(SimData5000!$B$9:$B$5008)-1)+$I$8827</f>
        <v>0.76395279055807408</v>
      </c>
      <c r="J8828">
        <f>SMALL(SimData5000!$C$9:$C$5008,3820)</f>
        <v>0.76663006896342267</v>
      </c>
      <c r="K8828">
        <f>1/(COUNT(SimData5000!$C$9:$C$5008)-1)+$K$8827</f>
        <v>0.76395279055807408</v>
      </c>
    </row>
    <row r="8829" spans="8:11">
      <c r="H8829">
        <f>SMALL(SimData5000!$B$9:$B$5008,3821)</f>
        <v>0.76409630656854632</v>
      </c>
      <c r="I8829">
        <f>1/(COUNT(SimData5000!$B$9:$B$5008)-1)+$I$8828</f>
        <v>0.76415283056607564</v>
      </c>
      <c r="J8829">
        <f>SMALL(SimData5000!$C$9:$C$5008,3821)</f>
        <v>0.76671000886199181</v>
      </c>
      <c r="K8829">
        <f>1/(COUNT(SimData5000!$C$9:$C$5008)-1)+$K$8828</f>
        <v>0.76415283056607564</v>
      </c>
    </row>
    <row r="8830" spans="8:11">
      <c r="H8830">
        <f>SMALL(SimData5000!$B$9:$B$5008,3822)</f>
        <v>0.76439729043650373</v>
      </c>
      <c r="I8830">
        <f>1/(COUNT(SimData5000!$B$9:$B$5008)-1)+$I$8829</f>
        <v>0.76435287057407719</v>
      </c>
      <c r="J8830">
        <f>SMALL(SimData5000!$C$9:$C$5008,3822)</f>
        <v>0.76694435520403204</v>
      </c>
      <c r="K8830">
        <f>1/(COUNT(SimData5000!$C$9:$C$5008)-1)+$K$8829</f>
        <v>0.76435287057407719</v>
      </c>
    </row>
    <row r="8831" spans="8:11">
      <c r="H8831">
        <f>SMALL(SimData5000!$B$9:$B$5008,3823)</f>
        <v>0.76446018555040007</v>
      </c>
      <c r="I8831">
        <f>1/(COUNT(SimData5000!$B$9:$B$5008)-1)+$I$8830</f>
        <v>0.76455291058207875</v>
      </c>
      <c r="J8831">
        <f>SMALL(SimData5000!$C$9:$C$5008,3823)</f>
        <v>0.76704524040997057</v>
      </c>
      <c r="K8831">
        <f>1/(COUNT(SimData5000!$C$9:$C$5008)-1)+$K$8830</f>
        <v>0.76455291058207875</v>
      </c>
    </row>
    <row r="8832" spans="8:11">
      <c r="H8832">
        <f>SMALL(SimData5000!$B$9:$B$5008,3824)</f>
        <v>0.76465923443256401</v>
      </c>
      <c r="I8832">
        <f>1/(COUNT(SimData5000!$B$9:$B$5008)-1)+$I$8831</f>
        <v>0.7647529505900803</v>
      </c>
      <c r="J8832">
        <f>SMALL(SimData5000!$C$9:$C$5008,3824)</f>
        <v>0.76737729078467964</v>
      </c>
      <c r="K8832">
        <f>1/(COUNT(SimData5000!$C$9:$C$5008)-1)+$K$8831</f>
        <v>0.7647529505900803</v>
      </c>
    </row>
    <row r="8833" spans="8:11">
      <c r="H8833">
        <f>SMALL(SimData5000!$B$9:$B$5008,3825)</f>
        <v>0.76499611460151995</v>
      </c>
      <c r="I8833">
        <f>1/(COUNT(SimData5000!$B$9:$B$5008)-1)+$I$8832</f>
        <v>0.76495299059808186</v>
      </c>
      <c r="J8833">
        <f>SMALL(SimData5000!$C$9:$C$5008,3825)</f>
        <v>0.76753290354645287</v>
      </c>
      <c r="K8833">
        <f>1/(COUNT(SimData5000!$C$9:$C$5008)-1)+$K$8832</f>
        <v>0.76495299059808186</v>
      </c>
    </row>
    <row r="8834" spans="8:11">
      <c r="H8834">
        <f>SMALL(SimData5000!$B$9:$B$5008,3826)</f>
        <v>0.76507406523299271</v>
      </c>
      <c r="I8834">
        <f>1/(COUNT(SimData5000!$B$9:$B$5008)-1)+$I$8833</f>
        <v>0.76515303060608342</v>
      </c>
      <c r="J8834">
        <f>SMALL(SimData5000!$C$9:$C$5008,3826)</f>
        <v>0.7682098081568256</v>
      </c>
      <c r="K8834">
        <f>1/(COUNT(SimData5000!$C$9:$C$5008)-1)+$K$8833</f>
        <v>0.76515303060608342</v>
      </c>
    </row>
    <row r="8835" spans="8:11">
      <c r="H8835">
        <f>SMALL(SimData5000!$B$9:$B$5008,3827)</f>
        <v>0.76526860990055579</v>
      </c>
      <c r="I8835">
        <f>1/(COUNT(SimData5000!$B$9:$B$5008)-1)+$I$8834</f>
        <v>0.76535307061408497</v>
      </c>
      <c r="J8835">
        <f>SMALL(SimData5000!$C$9:$C$5008,3827)</f>
        <v>0.76822643784271349</v>
      </c>
      <c r="K8835">
        <f>1/(COUNT(SimData5000!$C$9:$C$5008)-1)+$K$8834</f>
        <v>0.76535307061408497</v>
      </c>
    </row>
    <row r="8836" spans="8:11">
      <c r="H8836">
        <f>SMALL(SimData5000!$B$9:$B$5008,3828)</f>
        <v>0.76547102625548635</v>
      </c>
      <c r="I8836">
        <f>1/(COUNT(SimData5000!$B$9:$B$5008)-1)+$I$8835</f>
        <v>0.76555311062208653</v>
      </c>
      <c r="J8836">
        <f>SMALL(SimData5000!$C$9:$C$5008,3828)</f>
        <v>0.76840715266462212</v>
      </c>
      <c r="K8836">
        <f>1/(COUNT(SimData5000!$C$9:$C$5008)-1)+$K$8835</f>
        <v>0.76555311062208653</v>
      </c>
    </row>
    <row r="8837" spans="8:11">
      <c r="H8837">
        <f>SMALL(SimData5000!$B$9:$B$5008,3829)</f>
        <v>0.76570607360208087</v>
      </c>
      <c r="I8837">
        <f>1/(COUNT(SimData5000!$B$9:$B$5008)-1)+$I$8836</f>
        <v>0.76575315063008809</v>
      </c>
      <c r="J8837">
        <f>SMALL(SimData5000!$C$9:$C$5008,3829)</f>
        <v>0.76927048415836907</v>
      </c>
      <c r="K8837">
        <f>1/(COUNT(SimData5000!$C$9:$C$5008)-1)+$K$8836</f>
        <v>0.76575315063008809</v>
      </c>
    </row>
    <row r="8838" spans="8:11">
      <c r="H8838">
        <f>SMALL(SimData5000!$B$9:$B$5008,3830)</f>
        <v>0.76584808181832731</v>
      </c>
      <c r="I8838">
        <f>1/(COUNT(SimData5000!$B$9:$B$5008)-1)+$I$8837</f>
        <v>0.76595319063808964</v>
      </c>
      <c r="J8838">
        <f>SMALL(SimData5000!$C$9:$C$5008,3830)</f>
        <v>0.7699153129806291</v>
      </c>
      <c r="K8838">
        <f>1/(COUNT(SimData5000!$C$9:$C$5008)-1)+$K$8837</f>
        <v>0.76595319063808964</v>
      </c>
    </row>
    <row r="8839" spans="8:11">
      <c r="H8839">
        <f>SMALL(SimData5000!$B$9:$B$5008,3831)</f>
        <v>0.7660315275351125</v>
      </c>
      <c r="I8839">
        <f>1/(COUNT(SimData5000!$B$9:$B$5008)-1)+$I$8838</f>
        <v>0.7661532306460912</v>
      </c>
      <c r="J8839">
        <f>SMALL(SimData5000!$C$9:$C$5008,3831)</f>
        <v>0.77021547465938056</v>
      </c>
      <c r="K8839">
        <f>1/(COUNT(SimData5000!$C$9:$C$5008)-1)+$K$8838</f>
        <v>0.7661532306460912</v>
      </c>
    </row>
    <row r="8840" spans="8:11">
      <c r="H8840">
        <f>SMALL(SimData5000!$B$9:$B$5008,3832)</f>
        <v>0.76627593801274796</v>
      </c>
      <c r="I8840">
        <f>1/(COUNT(SimData5000!$B$9:$B$5008)-1)+$I$8839</f>
        <v>0.76635327065409276</v>
      </c>
      <c r="J8840">
        <f>SMALL(SimData5000!$C$9:$C$5008,3832)</f>
        <v>0.77046584714025812</v>
      </c>
      <c r="K8840">
        <f>1/(COUNT(SimData5000!$C$9:$C$5008)-1)+$K$8839</f>
        <v>0.76635327065409276</v>
      </c>
    </row>
    <row r="8841" spans="8:11">
      <c r="H8841">
        <f>SMALL(SimData5000!$B$9:$B$5008,3833)</f>
        <v>0.76643054137361011</v>
      </c>
      <c r="I8841">
        <f>1/(COUNT(SimData5000!$B$9:$B$5008)-1)+$I$8840</f>
        <v>0.76655331066209431</v>
      </c>
      <c r="J8841">
        <f>SMALL(SimData5000!$C$9:$C$5008,3833)</f>
        <v>0.77067927811276604</v>
      </c>
      <c r="K8841">
        <f>1/(COUNT(SimData5000!$C$9:$C$5008)-1)+$K$8840</f>
        <v>0.76655331066209431</v>
      </c>
    </row>
    <row r="8842" spans="8:11">
      <c r="H8842">
        <f>SMALL(SimData5000!$B$9:$B$5008,3834)</f>
        <v>0.76665602962441182</v>
      </c>
      <c r="I8842">
        <f>1/(COUNT(SimData5000!$B$9:$B$5008)-1)+$I$8841</f>
        <v>0.76675335067009587</v>
      </c>
      <c r="J8842">
        <f>SMALL(SimData5000!$C$9:$C$5008,3834)</f>
        <v>0.77072505661089963</v>
      </c>
      <c r="K8842">
        <f>1/(COUNT(SimData5000!$C$9:$C$5008)-1)+$K$8841</f>
        <v>0.76675335067009587</v>
      </c>
    </row>
    <row r="8843" spans="8:11">
      <c r="H8843">
        <f>SMALL(SimData5000!$B$9:$B$5008,3835)</f>
        <v>0.7669553691350286</v>
      </c>
      <c r="I8843">
        <f>1/(COUNT(SimData5000!$B$9:$B$5008)-1)+$I$8842</f>
        <v>0.76695339067809742</v>
      </c>
      <c r="J8843">
        <f>SMALL(SimData5000!$C$9:$C$5008,3835)</f>
        <v>0.77120013589592418</v>
      </c>
      <c r="K8843">
        <f>1/(COUNT(SimData5000!$C$9:$C$5008)-1)+$K$8842</f>
        <v>0.76695339067809742</v>
      </c>
    </row>
    <row r="8844" spans="8:11">
      <c r="H8844">
        <f>SMALL(SimData5000!$B$9:$B$5008,3836)</f>
        <v>0.76701360209873259</v>
      </c>
      <c r="I8844">
        <f>1/(COUNT(SimData5000!$B$9:$B$5008)-1)+$I$8843</f>
        <v>0.76715343068609898</v>
      </c>
      <c r="J8844">
        <f>SMALL(SimData5000!$C$9:$C$5008,3836)</f>
        <v>0.77139522134893923</v>
      </c>
      <c r="K8844">
        <f>1/(COUNT(SimData5000!$C$9:$C$5008)-1)+$K$8843</f>
        <v>0.76715343068609898</v>
      </c>
    </row>
    <row r="8845" spans="8:11">
      <c r="H8845">
        <f>SMALL(SimData5000!$B$9:$B$5008,3837)</f>
        <v>0.76727555340870179</v>
      </c>
      <c r="I8845">
        <f>1/(COUNT(SimData5000!$B$9:$B$5008)-1)+$I$8844</f>
        <v>0.76735347069410054</v>
      </c>
      <c r="J8845">
        <f>SMALL(SimData5000!$C$9:$C$5008,3837)</f>
        <v>0.77158892945044499</v>
      </c>
      <c r="K8845">
        <f>1/(COUNT(SimData5000!$C$9:$C$5008)-1)+$K$8844</f>
        <v>0.76735347069410054</v>
      </c>
    </row>
    <row r="8846" spans="8:11">
      <c r="H8846">
        <f>SMALL(SimData5000!$B$9:$B$5008,3838)</f>
        <v>0.76744812010816488</v>
      </c>
      <c r="I8846">
        <f>1/(COUNT(SimData5000!$B$9:$B$5008)-1)+$I$8845</f>
        <v>0.76755351070210209</v>
      </c>
      <c r="J8846">
        <f>SMALL(SimData5000!$C$9:$C$5008,3838)</f>
        <v>0.77166560417663277</v>
      </c>
      <c r="K8846">
        <f>1/(COUNT(SimData5000!$C$9:$C$5008)-1)+$K$8845</f>
        <v>0.76755351070210209</v>
      </c>
    </row>
    <row r="8847" spans="8:11">
      <c r="H8847">
        <f>SMALL(SimData5000!$B$9:$B$5008,3839)</f>
        <v>0.76775762348136811</v>
      </c>
      <c r="I8847">
        <f>1/(COUNT(SimData5000!$B$9:$B$5008)-1)+$I$8846</f>
        <v>0.76775355071010365</v>
      </c>
      <c r="J8847">
        <f>SMALL(SimData5000!$C$9:$C$5008,3839)</f>
        <v>0.77176604482610855</v>
      </c>
      <c r="K8847">
        <f>1/(COUNT(SimData5000!$C$9:$C$5008)-1)+$K$8846</f>
        <v>0.76775355071010365</v>
      </c>
    </row>
    <row r="8848" spans="8:11">
      <c r="H8848">
        <f>SMALL(SimData5000!$B$9:$B$5008,3840)</f>
        <v>0.76798183093196282</v>
      </c>
      <c r="I8848">
        <f>1/(COUNT(SimData5000!$B$9:$B$5008)-1)+$I$8847</f>
        <v>0.76795359071810521</v>
      </c>
      <c r="J8848">
        <f>SMALL(SimData5000!$C$9:$C$5008,3840)</f>
        <v>0.77180531641170091</v>
      </c>
      <c r="K8848">
        <f>1/(COUNT(SimData5000!$C$9:$C$5008)-1)+$K$8847</f>
        <v>0.76795359071810521</v>
      </c>
    </row>
    <row r="8849" spans="8:11">
      <c r="H8849">
        <f>SMALL(SimData5000!$B$9:$B$5008,3841)</f>
        <v>0.76806243193770352</v>
      </c>
      <c r="I8849">
        <f>1/(COUNT(SimData5000!$B$9:$B$5008)-1)+$I$8848</f>
        <v>0.76815363072610676</v>
      </c>
      <c r="J8849">
        <f>SMALL(SimData5000!$C$9:$C$5008,3841)</f>
        <v>0.77223259817401413</v>
      </c>
      <c r="K8849">
        <f>1/(COUNT(SimData5000!$C$9:$C$5008)-1)+$K$8848</f>
        <v>0.76815363072610676</v>
      </c>
    </row>
    <row r="8850" spans="8:11">
      <c r="H8850">
        <f>SMALL(SimData5000!$B$9:$B$5008,3842)</f>
        <v>0.76820687231314533</v>
      </c>
      <c r="I8850">
        <f>1/(COUNT(SimData5000!$B$9:$B$5008)-1)+$I$8849</f>
        <v>0.76835367073410832</v>
      </c>
      <c r="J8850">
        <f>SMALL(SimData5000!$C$9:$C$5008,3842)</f>
        <v>0.77242809677409241</v>
      </c>
      <c r="K8850">
        <f>1/(COUNT(SimData5000!$C$9:$C$5008)-1)+$K$8849</f>
        <v>0.76835367073410832</v>
      </c>
    </row>
    <row r="8851" spans="8:11">
      <c r="H8851">
        <f>SMALL(SimData5000!$B$9:$B$5008,3843)</f>
        <v>0.76844764814661992</v>
      </c>
      <c r="I8851">
        <f>1/(COUNT(SimData5000!$B$9:$B$5008)-1)+$I$8850</f>
        <v>0.76855371074210987</v>
      </c>
      <c r="J8851">
        <f>SMALL(SimData5000!$C$9:$C$5008,3843)</f>
        <v>0.77266757965571742</v>
      </c>
      <c r="K8851">
        <f>1/(COUNT(SimData5000!$C$9:$C$5008)-1)+$K$8850</f>
        <v>0.76855371074210987</v>
      </c>
    </row>
    <row r="8852" spans="8:11">
      <c r="H8852">
        <f>SMALL(SimData5000!$B$9:$B$5008,3844)</f>
        <v>0.76862074586600548</v>
      </c>
      <c r="I8852">
        <f>1/(COUNT(SimData5000!$B$9:$B$5008)-1)+$I$8851</f>
        <v>0.76875375075011143</v>
      </c>
      <c r="J8852">
        <f>SMALL(SimData5000!$C$9:$C$5008,3844)</f>
        <v>0.77274794820823445</v>
      </c>
      <c r="K8852">
        <f>1/(COUNT(SimData5000!$C$9:$C$5008)-1)+$K$8851</f>
        <v>0.76875375075011143</v>
      </c>
    </row>
    <row r="8853" spans="8:11">
      <c r="H8853">
        <f>SMALL(SimData5000!$B$9:$B$5008,3845)</f>
        <v>0.76891476910810796</v>
      </c>
      <c r="I8853">
        <f>1/(COUNT(SimData5000!$B$9:$B$5008)-1)+$I$8852</f>
        <v>0.76895379075811299</v>
      </c>
      <c r="J8853">
        <f>SMALL(SimData5000!$C$9:$C$5008,3845)</f>
        <v>0.77279062917841657</v>
      </c>
      <c r="K8853">
        <f>1/(COUNT(SimData5000!$C$9:$C$5008)-1)+$K$8852</f>
        <v>0.76895379075811299</v>
      </c>
    </row>
    <row r="8854" spans="8:11">
      <c r="H8854">
        <f>SMALL(SimData5000!$B$9:$B$5008,3846)</f>
        <v>0.76911464359143622</v>
      </c>
      <c r="I8854">
        <f>1/(COUNT(SimData5000!$B$9:$B$5008)-1)+$I$8853</f>
        <v>0.76915383076611454</v>
      </c>
      <c r="J8854">
        <f>SMALL(SimData5000!$C$9:$C$5008,3846)</f>
        <v>0.77312738787622948</v>
      </c>
      <c r="K8854">
        <f>1/(COUNT(SimData5000!$C$9:$C$5008)-1)+$K$8853</f>
        <v>0.76915383076611454</v>
      </c>
    </row>
    <row r="8855" spans="8:11">
      <c r="H8855">
        <f>SMALL(SimData5000!$B$9:$B$5008,3847)</f>
        <v>0.76924673624598583</v>
      </c>
      <c r="I8855">
        <f>1/(COUNT(SimData5000!$B$9:$B$5008)-1)+$I$8854</f>
        <v>0.7693538707741161</v>
      </c>
      <c r="J8855">
        <f>SMALL(SimData5000!$C$9:$C$5008,3847)</f>
        <v>0.77317304916778085</v>
      </c>
      <c r="K8855">
        <f>1/(COUNT(SimData5000!$C$9:$C$5008)-1)+$K$8854</f>
        <v>0.7693538707741161</v>
      </c>
    </row>
    <row r="8856" spans="8:11">
      <c r="H8856">
        <f>SMALL(SimData5000!$B$9:$B$5008,3848)</f>
        <v>0.76945782653616224</v>
      </c>
      <c r="I8856">
        <f>1/(COUNT(SimData5000!$B$9:$B$5008)-1)+$I$8855</f>
        <v>0.76955391078211766</v>
      </c>
      <c r="J8856">
        <f>SMALL(SimData5000!$C$9:$C$5008,3848)</f>
        <v>0.77319913989776978</v>
      </c>
      <c r="K8856">
        <f>1/(COUNT(SimData5000!$C$9:$C$5008)-1)+$K$8855</f>
        <v>0.76955391078211766</v>
      </c>
    </row>
    <row r="8857" spans="8:11">
      <c r="H8857">
        <f>SMALL(SimData5000!$B$9:$B$5008,3849)</f>
        <v>0.76972999496788952</v>
      </c>
      <c r="I8857">
        <f>1/(COUNT(SimData5000!$B$9:$B$5008)-1)+$I$8856</f>
        <v>0.76975395079011921</v>
      </c>
      <c r="J8857">
        <f>SMALL(SimData5000!$C$9:$C$5008,3849)</f>
        <v>0.77342275408591377</v>
      </c>
      <c r="K8857">
        <f>1/(COUNT(SimData5000!$C$9:$C$5008)-1)+$K$8856</f>
        <v>0.76975395079011921</v>
      </c>
    </row>
    <row r="8858" spans="8:11">
      <c r="H8858">
        <f>SMALL(SimData5000!$B$9:$B$5008,3850)</f>
        <v>0.76992564826131005</v>
      </c>
      <c r="I8858">
        <f>1/(COUNT(SimData5000!$B$9:$B$5008)-1)+$I$8857</f>
        <v>0.76995399079812077</v>
      </c>
      <c r="J8858">
        <f>SMALL(SimData5000!$C$9:$C$5008,3850)</f>
        <v>0.77344200273637398</v>
      </c>
      <c r="K8858">
        <f>1/(COUNT(SimData5000!$C$9:$C$5008)-1)+$K$8857</f>
        <v>0.76995399079812077</v>
      </c>
    </row>
    <row r="8859" spans="8:11">
      <c r="H8859">
        <f>SMALL(SimData5000!$B$9:$B$5008,3851)</f>
        <v>0.77014160047176794</v>
      </c>
      <c r="I8859">
        <f>1/(COUNT(SimData5000!$B$9:$B$5008)-1)+$I$8858</f>
        <v>0.77015403080612233</v>
      </c>
      <c r="J8859">
        <f>SMALL(SimData5000!$C$9:$C$5008,3851)</f>
        <v>0.77376866182567028</v>
      </c>
      <c r="K8859">
        <f>1/(COUNT(SimData5000!$C$9:$C$5008)-1)+$K$8858</f>
        <v>0.77015403080612233</v>
      </c>
    </row>
    <row r="8860" spans="8:11">
      <c r="H8860">
        <f>SMALL(SimData5000!$B$9:$B$5008,3852)</f>
        <v>0.77030817360000414</v>
      </c>
      <c r="I8860">
        <f>1/(COUNT(SimData5000!$B$9:$B$5008)-1)+$I$8859</f>
        <v>0.77035407081412388</v>
      </c>
      <c r="J8860">
        <f>SMALL(SimData5000!$C$9:$C$5008,3852)</f>
        <v>0.77377583752604551</v>
      </c>
      <c r="K8860">
        <f>1/(COUNT(SimData5000!$C$9:$C$5008)-1)+$K$8859</f>
        <v>0.77035407081412388</v>
      </c>
    </row>
    <row r="8861" spans="8:11">
      <c r="H8861">
        <f>SMALL(SimData5000!$B$9:$B$5008,3853)</f>
        <v>0.77046613144801601</v>
      </c>
      <c r="I8861">
        <f>1/(COUNT(SimData5000!$B$9:$B$5008)-1)+$I$8860</f>
        <v>0.77055411082212544</v>
      </c>
      <c r="J8861">
        <f>SMALL(SimData5000!$C$9:$C$5008,3853)</f>
        <v>0.77378907536240149</v>
      </c>
      <c r="K8861">
        <f>1/(COUNT(SimData5000!$C$9:$C$5008)-1)+$K$8860</f>
        <v>0.77055411082212544</v>
      </c>
    </row>
    <row r="8862" spans="8:11">
      <c r="H8862">
        <f>SMALL(SimData5000!$B$9:$B$5008,3854)</f>
        <v>0.77068443722680313</v>
      </c>
      <c r="I8862">
        <f>1/(COUNT(SimData5000!$B$9:$B$5008)-1)+$I$8861</f>
        <v>0.77075415083012699</v>
      </c>
      <c r="J8862">
        <f>SMALL(SimData5000!$C$9:$C$5008,3854)</f>
        <v>0.77418455619320525</v>
      </c>
      <c r="K8862">
        <f>1/(COUNT(SimData5000!$C$9:$C$5008)-1)+$K$8861</f>
        <v>0.77075415083012699</v>
      </c>
    </row>
    <row r="8863" spans="8:11">
      <c r="H8863">
        <f>SMALL(SimData5000!$B$9:$B$5008,3855)</f>
        <v>0.77096132050635324</v>
      </c>
      <c r="I8863">
        <f>1/(COUNT(SimData5000!$B$9:$B$5008)-1)+$I$8862</f>
        <v>0.77095419083812855</v>
      </c>
      <c r="J8863">
        <f>SMALL(SimData5000!$C$9:$C$5008,3855)</f>
        <v>0.77483196526554821</v>
      </c>
      <c r="K8863">
        <f>1/(COUNT(SimData5000!$C$9:$C$5008)-1)+$K$8862</f>
        <v>0.77095419083812855</v>
      </c>
    </row>
    <row r="8864" spans="8:11">
      <c r="H8864">
        <f>SMALL(SimData5000!$B$9:$B$5008,3856)</f>
        <v>0.77112492036561597</v>
      </c>
      <c r="I8864">
        <f>1/(COUNT(SimData5000!$B$9:$B$5008)-1)+$I$8863</f>
        <v>0.77115423084613011</v>
      </c>
      <c r="J8864">
        <f>SMALL(SimData5000!$C$9:$C$5008,3856)</f>
        <v>0.77489471824267753</v>
      </c>
      <c r="K8864">
        <f>1/(COUNT(SimData5000!$C$9:$C$5008)-1)+$K$8863</f>
        <v>0.77115423084613011</v>
      </c>
    </row>
    <row r="8865" spans="8:11">
      <c r="H8865">
        <f>SMALL(SimData5000!$B$9:$B$5008,3857)</f>
        <v>0.77120799910566018</v>
      </c>
      <c r="I8865">
        <f>1/(COUNT(SimData5000!$B$9:$B$5008)-1)+$I$8864</f>
        <v>0.77135427085413166</v>
      </c>
      <c r="J8865">
        <f>SMALL(SimData5000!$C$9:$C$5008,3857)</f>
        <v>0.77523585486915181</v>
      </c>
      <c r="K8865">
        <f>1/(COUNT(SimData5000!$C$9:$C$5008)-1)+$K$8864</f>
        <v>0.77135427085413166</v>
      </c>
    </row>
    <row r="8866" spans="8:11">
      <c r="H8866">
        <f>SMALL(SimData5000!$B$9:$B$5008,3858)</f>
        <v>0.77152632353611439</v>
      </c>
      <c r="I8866">
        <f>1/(COUNT(SimData5000!$B$9:$B$5008)-1)+$I$8865</f>
        <v>0.77155431086213322</v>
      </c>
      <c r="J8866">
        <f>SMALL(SimData5000!$C$9:$C$5008,3858)</f>
        <v>0.77564759318011056</v>
      </c>
      <c r="K8866">
        <f>1/(COUNT(SimData5000!$C$9:$C$5008)-1)+$K$8865</f>
        <v>0.77155431086213322</v>
      </c>
    </row>
    <row r="8867" spans="8:11">
      <c r="H8867">
        <f>SMALL(SimData5000!$B$9:$B$5008,3859)</f>
        <v>0.77171097066554029</v>
      </c>
      <c r="I8867">
        <f>1/(COUNT(SimData5000!$B$9:$B$5008)-1)+$I$8866</f>
        <v>0.77175435087013478</v>
      </c>
      <c r="J8867">
        <f>SMALL(SimData5000!$C$9:$C$5008,3859)</f>
        <v>0.77603293088031933</v>
      </c>
      <c r="K8867">
        <f>1/(COUNT(SimData5000!$C$9:$C$5008)-1)+$K$8866</f>
        <v>0.77175435087013478</v>
      </c>
    </row>
    <row r="8868" spans="8:11">
      <c r="H8868">
        <f>SMALL(SimData5000!$B$9:$B$5008,3860)</f>
        <v>0.77192755888358866</v>
      </c>
      <c r="I8868">
        <f>1/(COUNT(SimData5000!$B$9:$B$5008)-1)+$I$8867</f>
        <v>0.77195439087813633</v>
      </c>
      <c r="J8868">
        <f>SMALL(SimData5000!$C$9:$C$5008,3860)</f>
        <v>0.7769954157729444</v>
      </c>
      <c r="K8868">
        <f>1/(COUNT(SimData5000!$C$9:$C$5008)-1)+$K$8867</f>
        <v>0.77195439087813633</v>
      </c>
    </row>
    <row r="8869" spans="8:11">
      <c r="H8869">
        <f>SMALL(SimData5000!$B$9:$B$5008,3861)</f>
        <v>0.77213936637633929</v>
      </c>
      <c r="I8869">
        <f>1/(COUNT(SimData5000!$B$9:$B$5008)-1)+$I$8868</f>
        <v>0.77215443088613789</v>
      </c>
      <c r="J8869">
        <f>SMALL(SimData5000!$C$9:$C$5008,3861)</f>
        <v>0.77735503414714913</v>
      </c>
      <c r="K8869">
        <f>1/(COUNT(SimData5000!$C$9:$C$5008)-1)+$K$8868</f>
        <v>0.77215443088613789</v>
      </c>
    </row>
    <row r="8870" spans="8:11">
      <c r="H8870">
        <f>SMALL(SimData5000!$B$9:$B$5008,3862)</f>
        <v>0.77232436628847478</v>
      </c>
      <c r="I8870">
        <f>1/(COUNT(SimData5000!$B$9:$B$5008)-1)+$I$8869</f>
        <v>0.77235447089413944</v>
      </c>
      <c r="J8870">
        <f>SMALL(SimData5000!$C$9:$C$5008,3862)</f>
        <v>0.77755773671015049</v>
      </c>
      <c r="K8870">
        <f>1/(COUNT(SimData5000!$C$9:$C$5008)-1)+$K$8869</f>
        <v>0.77235447089413944</v>
      </c>
    </row>
    <row r="8871" spans="8:11">
      <c r="H8871">
        <f>SMALL(SimData5000!$B$9:$B$5008,3863)</f>
        <v>0.77253101648006839</v>
      </c>
      <c r="I8871">
        <f>1/(COUNT(SimData5000!$B$9:$B$5008)-1)+$I$8870</f>
        <v>0.772554510902141</v>
      </c>
      <c r="J8871">
        <f>SMALL(SimData5000!$C$9:$C$5008,3863)</f>
        <v>0.77756286055500823</v>
      </c>
      <c r="K8871">
        <f>1/(COUNT(SimData5000!$C$9:$C$5008)-1)+$K$8870</f>
        <v>0.772554510902141</v>
      </c>
    </row>
    <row r="8872" spans="8:11">
      <c r="H8872">
        <f>SMALL(SimData5000!$B$9:$B$5008,3864)</f>
        <v>0.77279941085297599</v>
      </c>
      <c r="I8872">
        <f>1/(COUNT(SimData5000!$B$9:$B$5008)-1)+$I$8871</f>
        <v>0.77275455091014256</v>
      </c>
      <c r="J8872">
        <f>SMALL(SimData5000!$C$9:$C$5008,3864)</f>
        <v>0.77761261777050095</v>
      </c>
      <c r="K8872">
        <f>1/(COUNT(SimData5000!$C$9:$C$5008)-1)+$K$8871</f>
        <v>0.77275455091014256</v>
      </c>
    </row>
    <row r="8873" spans="8:11">
      <c r="H8873">
        <f>SMALL(SimData5000!$B$9:$B$5008,3865)</f>
        <v>0.7728220551387458</v>
      </c>
      <c r="I8873">
        <f>1/(COUNT(SimData5000!$B$9:$B$5008)-1)+$I$8872</f>
        <v>0.77295459091814411</v>
      </c>
      <c r="J8873">
        <f>SMALL(SimData5000!$C$9:$C$5008,3865)</f>
        <v>0.77779003248269873</v>
      </c>
      <c r="K8873">
        <f>1/(COUNT(SimData5000!$C$9:$C$5008)-1)+$K$8872</f>
        <v>0.77295459091814411</v>
      </c>
    </row>
    <row r="8874" spans="8:11">
      <c r="H8874">
        <f>SMALL(SimData5000!$B$9:$B$5008,3866)</f>
        <v>0.77302793703312711</v>
      </c>
      <c r="I8874">
        <f>1/(COUNT(SimData5000!$B$9:$B$5008)-1)+$I$8873</f>
        <v>0.77315463092614567</v>
      </c>
      <c r="J8874">
        <f>SMALL(SimData5000!$C$9:$C$5008,3866)</f>
        <v>0.77820413403969724</v>
      </c>
      <c r="K8874">
        <f>1/(COUNT(SimData5000!$C$9:$C$5008)-1)+$K$8873</f>
        <v>0.77315463092614567</v>
      </c>
    </row>
    <row r="8875" spans="8:11">
      <c r="H8875">
        <f>SMALL(SimData5000!$B$9:$B$5008,3867)</f>
        <v>0.77328046036615983</v>
      </c>
      <c r="I8875">
        <f>1/(COUNT(SimData5000!$B$9:$B$5008)-1)+$I$8874</f>
        <v>0.77335467093414723</v>
      </c>
      <c r="J8875">
        <f>SMALL(SimData5000!$C$9:$C$5008,3867)</f>
        <v>0.77847245286920952</v>
      </c>
      <c r="K8875">
        <f>1/(COUNT(SimData5000!$C$9:$C$5008)-1)+$K$8874</f>
        <v>0.77335467093414723</v>
      </c>
    </row>
    <row r="8876" spans="8:11">
      <c r="H8876">
        <f>SMALL(SimData5000!$B$9:$B$5008,3868)</f>
        <v>0.77345908325497503</v>
      </c>
      <c r="I8876">
        <f>1/(COUNT(SimData5000!$B$9:$B$5008)-1)+$I$8875</f>
        <v>0.77355471094214878</v>
      </c>
      <c r="J8876">
        <f>SMALL(SimData5000!$C$9:$C$5008,3868)</f>
        <v>0.77875466294972284</v>
      </c>
      <c r="K8876">
        <f>1/(COUNT(SimData5000!$C$9:$C$5008)-1)+$K$8875</f>
        <v>0.77355471094214878</v>
      </c>
    </row>
    <row r="8877" spans="8:11">
      <c r="H8877">
        <f>SMALL(SimData5000!$B$9:$B$5008,3869)</f>
        <v>0.77368021951128729</v>
      </c>
      <c r="I8877">
        <f>1/(COUNT(SimData5000!$B$9:$B$5008)-1)+$I$8876</f>
        <v>0.77375475095015034</v>
      </c>
      <c r="J8877">
        <f>SMALL(SimData5000!$C$9:$C$5008,3869)</f>
        <v>0.7795428644230924</v>
      </c>
      <c r="K8877">
        <f>1/(COUNT(SimData5000!$C$9:$C$5008)-1)+$K$8876</f>
        <v>0.77375475095015034</v>
      </c>
    </row>
    <row r="8878" spans="8:11">
      <c r="H8878">
        <f>SMALL(SimData5000!$B$9:$B$5008,3870)</f>
        <v>0.77383235337232059</v>
      </c>
      <c r="I8878">
        <f>1/(COUNT(SimData5000!$B$9:$B$5008)-1)+$I$8877</f>
        <v>0.77395479095815189</v>
      </c>
      <c r="J8878">
        <f>SMALL(SimData5000!$C$9:$C$5008,3870)</f>
        <v>0.7796802039101749</v>
      </c>
      <c r="K8878">
        <f>1/(COUNT(SimData5000!$C$9:$C$5008)-1)+$K$8877</f>
        <v>0.77395479095815189</v>
      </c>
    </row>
    <row r="8879" spans="8:11">
      <c r="H8879">
        <f>SMALL(SimData5000!$B$9:$B$5008,3871)</f>
        <v>0.77404360043686904</v>
      </c>
      <c r="I8879">
        <f>1/(COUNT(SimData5000!$B$9:$B$5008)-1)+$I$8878</f>
        <v>0.77415483096615345</v>
      </c>
      <c r="J8879">
        <f>SMALL(SimData5000!$C$9:$C$5008,3871)</f>
        <v>0.78077918538201629</v>
      </c>
      <c r="K8879">
        <f>1/(COUNT(SimData5000!$C$9:$C$5008)-1)+$K$8878</f>
        <v>0.77415483096615345</v>
      </c>
    </row>
    <row r="8880" spans="8:11">
      <c r="H8880">
        <f>SMALL(SimData5000!$B$9:$B$5008,3872)</f>
        <v>0.77430104935236765</v>
      </c>
      <c r="I8880">
        <f>1/(COUNT(SimData5000!$B$9:$B$5008)-1)+$I$8879</f>
        <v>0.77435487097415501</v>
      </c>
      <c r="J8880">
        <f>SMALL(SimData5000!$C$9:$C$5008,3872)</f>
        <v>0.78087622174462012</v>
      </c>
      <c r="K8880">
        <f>1/(COUNT(SimData5000!$C$9:$C$5008)-1)+$K$8879</f>
        <v>0.77435487097415501</v>
      </c>
    </row>
    <row r="8881" spans="8:11">
      <c r="H8881">
        <f>SMALL(SimData5000!$B$9:$B$5008,3873)</f>
        <v>0.77446910914184275</v>
      </c>
      <c r="I8881">
        <f>1/(COUNT(SimData5000!$B$9:$B$5008)-1)+$I$8880</f>
        <v>0.77455491098215656</v>
      </c>
      <c r="J8881">
        <f>SMALL(SimData5000!$C$9:$C$5008,3873)</f>
        <v>0.78088553330962895</v>
      </c>
      <c r="K8881">
        <f>1/(COUNT(SimData5000!$C$9:$C$5008)-1)+$K$8880</f>
        <v>0.77455491098215656</v>
      </c>
    </row>
    <row r="8882" spans="8:11">
      <c r="H8882">
        <f>SMALL(SimData5000!$B$9:$B$5008,3874)</f>
        <v>0.77477410445431583</v>
      </c>
      <c r="I8882">
        <f>1/(COUNT(SimData5000!$B$9:$B$5008)-1)+$I$8881</f>
        <v>0.77475495099015812</v>
      </c>
      <c r="J8882">
        <f>SMALL(SimData5000!$C$9:$C$5008,3874)</f>
        <v>0.78096616030779842</v>
      </c>
      <c r="K8882">
        <f>1/(COUNT(SimData5000!$C$9:$C$5008)-1)+$K$8881</f>
        <v>0.77475495099015812</v>
      </c>
    </row>
    <row r="8883" spans="8:11">
      <c r="H8883">
        <f>SMALL(SimData5000!$B$9:$B$5008,3875)</f>
        <v>0.77491245071518056</v>
      </c>
      <c r="I8883">
        <f>1/(COUNT(SimData5000!$B$9:$B$5008)-1)+$I$8882</f>
        <v>0.77495499099815968</v>
      </c>
      <c r="J8883">
        <f>SMALL(SimData5000!$C$9:$C$5008,3875)</f>
        <v>0.78098578360368265</v>
      </c>
      <c r="K8883">
        <f>1/(COUNT(SimData5000!$C$9:$C$5008)-1)+$K$8882</f>
        <v>0.77495499099815968</v>
      </c>
    </row>
    <row r="8884" spans="8:11">
      <c r="H8884">
        <f>SMALL(SimData5000!$B$9:$B$5008,3876)</f>
        <v>0.77506411338794601</v>
      </c>
      <c r="I8884">
        <f>1/(COUNT(SimData5000!$B$9:$B$5008)-1)+$I$8883</f>
        <v>0.77515503100616123</v>
      </c>
      <c r="J8884">
        <f>SMALL(SimData5000!$C$9:$C$5008,3876)</f>
        <v>0.7813111948180449</v>
      </c>
      <c r="K8884">
        <f>1/(COUNT(SimData5000!$C$9:$C$5008)-1)+$K$8883</f>
        <v>0.77515503100616123</v>
      </c>
    </row>
    <row r="8885" spans="8:11">
      <c r="H8885">
        <f>SMALL(SimData5000!$B$9:$B$5008,3877)</f>
        <v>0.77533983446395482</v>
      </c>
      <c r="I8885">
        <f>1/(COUNT(SimData5000!$B$9:$B$5008)-1)+$I$8884</f>
        <v>0.77535507101416279</v>
      </c>
      <c r="J8885">
        <f>SMALL(SimData5000!$C$9:$C$5008,3877)</f>
        <v>0.78189674671716602</v>
      </c>
      <c r="K8885">
        <f>1/(COUNT(SimData5000!$C$9:$C$5008)-1)+$K$8884</f>
        <v>0.77535507101416279</v>
      </c>
    </row>
    <row r="8886" spans="8:11">
      <c r="H8886">
        <f>SMALL(SimData5000!$B$9:$B$5008,3878)</f>
        <v>0.77542956923163253</v>
      </c>
      <c r="I8886">
        <f>1/(COUNT(SimData5000!$B$9:$B$5008)-1)+$I$8885</f>
        <v>0.77555511102216435</v>
      </c>
      <c r="J8886">
        <f>SMALL(SimData5000!$C$9:$C$5008,3878)</f>
        <v>0.78204687405741424</v>
      </c>
      <c r="K8886">
        <f>1/(COUNT(SimData5000!$C$9:$C$5008)-1)+$K$8885</f>
        <v>0.77555511102216435</v>
      </c>
    </row>
    <row r="8887" spans="8:11">
      <c r="H8887">
        <f>SMALL(SimData5000!$B$9:$B$5008,3879)</f>
        <v>0.77576299709313612</v>
      </c>
      <c r="I8887">
        <f>1/(COUNT(SimData5000!$B$9:$B$5008)-1)+$I$8886</f>
        <v>0.7757551510301659</v>
      </c>
      <c r="J8887">
        <f>SMALL(SimData5000!$C$9:$C$5008,3879)</f>
        <v>0.78209427279489319</v>
      </c>
      <c r="K8887">
        <f>1/(COUNT(SimData5000!$C$9:$C$5008)-1)+$K$8886</f>
        <v>0.7757551510301659</v>
      </c>
    </row>
    <row r="8888" spans="8:11">
      <c r="H8888">
        <f>SMALL(SimData5000!$B$9:$B$5008,3880)</f>
        <v>0.77596530317756474</v>
      </c>
      <c r="I8888">
        <f>1/(COUNT(SimData5000!$B$9:$B$5008)-1)+$I$8887</f>
        <v>0.77595519103816746</v>
      </c>
      <c r="J8888">
        <f>SMALL(SimData5000!$C$9:$C$5008,3880)</f>
        <v>0.78235572421272082</v>
      </c>
      <c r="K8888">
        <f>1/(COUNT(SimData5000!$C$9:$C$5008)-1)+$K$8887</f>
        <v>0.77595519103816746</v>
      </c>
    </row>
    <row r="8889" spans="8:11">
      <c r="H8889">
        <f>SMALL(SimData5000!$B$9:$B$5008,3881)</f>
        <v>0.77610574084792894</v>
      </c>
      <c r="I8889">
        <f>1/(COUNT(SimData5000!$B$9:$B$5008)-1)+$I$8888</f>
        <v>0.77615523104616901</v>
      </c>
      <c r="J8889">
        <f>SMALL(SimData5000!$C$9:$C$5008,3881)</f>
        <v>0.78283246290993702</v>
      </c>
      <c r="K8889">
        <f>1/(COUNT(SimData5000!$C$9:$C$5008)-1)+$K$8888</f>
        <v>0.77615523104616901</v>
      </c>
    </row>
    <row r="8890" spans="8:11">
      <c r="H8890">
        <f>SMALL(SimData5000!$B$9:$B$5008,3882)</f>
        <v>0.77633045800163658</v>
      </c>
      <c r="I8890">
        <f>1/(COUNT(SimData5000!$B$9:$B$5008)-1)+$I$8889</f>
        <v>0.77635527105417057</v>
      </c>
      <c r="J8890">
        <f>SMALL(SimData5000!$C$9:$C$5008,3882)</f>
        <v>0.7830225908301145</v>
      </c>
      <c r="K8890">
        <f>1/(COUNT(SimData5000!$C$9:$C$5008)-1)+$K$8889</f>
        <v>0.77635527105417057</v>
      </c>
    </row>
    <row r="8891" spans="8:11">
      <c r="H8891">
        <f>SMALL(SimData5000!$B$9:$B$5008,3883)</f>
        <v>0.77642114860131894</v>
      </c>
      <c r="I8891">
        <f>1/(COUNT(SimData5000!$B$9:$B$5008)-1)+$I$8890</f>
        <v>0.77655531106217213</v>
      </c>
      <c r="J8891">
        <f>SMALL(SimData5000!$C$9:$C$5008,3883)</f>
        <v>0.78303907683948637</v>
      </c>
      <c r="K8891">
        <f>1/(COUNT(SimData5000!$C$9:$C$5008)-1)+$K$8890</f>
        <v>0.77655531106217213</v>
      </c>
    </row>
    <row r="8892" spans="8:11">
      <c r="H8892">
        <f>SMALL(SimData5000!$B$9:$B$5008,3884)</f>
        <v>0.77676515352012709</v>
      </c>
      <c r="I8892">
        <f>1/(COUNT(SimData5000!$B$9:$B$5008)-1)+$I$8891</f>
        <v>0.77675535107017368</v>
      </c>
      <c r="J8892">
        <f>SMALL(SimData5000!$C$9:$C$5008,3884)</f>
        <v>0.783399599364202</v>
      </c>
      <c r="K8892">
        <f>1/(COUNT(SimData5000!$C$9:$C$5008)-1)+$K$8891</f>
        <v>0.77675535107017368</v>
      </c>
    </row>
    <row r="8893" spans="8:11">
      <c r="H8893">
        <f>SMALL(SimData5000!$B$9:$B$5008,3885)</f>
        <v>0.77697642295052682</v>
      </c>
      <c r="I8893">
        <f>1/(COUNT(SimData5000!$B$9:$B$5008)-1)+$I$8892</f>
        <v>0.77695539107817524</v>
      </c>
      <c r="J8893">
        <f>SMALL(SimData5000!$C$9:$C$5008,3885)</f>
        <v>0.78359392833681341</v>
      </c>
      <c r="K8893">
        <f>1/(COUNT(SimData5000!$C$9:$C$5008)-1)+$K$8892</f>
        <v>0.77695539107817524</v>
      </c>
    </row>
    <row r="8894" spans="8:11">
      <c r="H8894">
        <f>SMALL(SimData5000!$B$9:$B$5008,3886)</f>
        <v>0.77715538020812802</v>
      </c>
      <c r="I8894">
        <f>1/(COUNT(SimData5000!$B$9:$B$5008)-1)+$I$8893</f>
        <v>0.7771554310861768</v>
      </c>
      <c r="J8894">
        <f>SMALL(SimData5000!$C$9:$C$5008,3886)</f>
        <v>0.78368751094694744</v>
      </c>
      <c r="K8894">
        <f>1/(COUNT(SimData5000!$C$9:$C$5008)-1)+$K$8893</f>
        <v>0.7771554310861768</v>
      </c>
    </row>
    <row r="8895" spans="8:11">
      <c r="H8895">
        <f>SMALL(SimData5000!$B$9:$B$5008,3887)</f>
        <v>0.77725793263950804</v>
      </c>
      <c r="I8895">
        <f>1/(COUNT(SimData5000!$B$9:$B$5008)-1)+$I$8894</f>
        <v>0.77735547109417835</v>
      </c>
      <c r="J8895">
        <f>SMALL(SimData5000!$C$9:$C$5008,3887)</f>
        <v>0.78421278231417091</v>
      </c>
      <c r="K8895">
        <f>1/(COUNT(SimData5000!$C$9:$C$5008)-1)+$K$8894</f>
        <v>0.77735547109417835</v>
      </c>
    </row>
    <row r="8896" spans="8:11">
      <c r="H8896">
        <f>SMALL(SimData5000!$B$9:$B$5008,3888)</f>
        <v>0.77746579254890458</v>
      </c>
      <c r="I8896">
        <f>1/(COUNT(SimData5000!$B$9:$B$5008)-1)+$I$8895</f>
        <v>0.77755551110217991</v>
      </c>
      <c r="J8896">
        <f>SMALL(SimData5000!$C$9:$C$5008,3888)</f>
        <v>0.78498044653770194</v>
      </c>
      <c r="K8896">
        <f>1/(COUNT(SimData5000!$C$9:$C$5008)-1)+$K$8895</f>
        <v>0.77755551110217991</v>
      </c>
    </row>
    <row r="8897" spans="8:11">
      <c r="H8897">
        <f>SMALL(SimData5000!$B$9:$B$5008,3889)</f>
        <v>0.77767502169396607</v>
      </c>
      <c r="I8897">
        <f>1/(COUNT(SimData5000!$B$9:$B$5008)-1)+$I$8896</f>
        <v>0.77775555111018146</v>
      </c>
      <c r="J8897">
        <f>SMALL(SimData5000!$C$9:$C$5008,3889)</f>
        <v>0.78527206249464143</v>
      </c>
      <c r="K8897">
        <f>1/(COUNT(SimData5000!$C$9:$C$5008)-1)+$K$8896</f>
        <v>0.77775555111018146</v>
      </c>
    </row>
    <row r="8898" spans="8:11">
      <c r="H8898">
        <f>SMALL(SimData5000!$B$9:$B$5008,3890)</f>
        <v>0.77783367565642891</v>
      </c>
      <c r="I8898">
        <f>1/(COUNT(SimData5000!$B$9:$B$5008)-1)+$I$8897</f>
        <v>0.77795559111818302</v>
      </c>
      <c r="J8898">
        <f>SMALL(SimData5000!$C$9:$C$5008,3890)</f>
        <v>0.78533471484024631</v>
      </c>
      <c r="K8898">
        <f>1/(COUNT(SimData5000!$C$9:$C$5008)-1)+$K$8897</f>
        <v>0.77795559111818302</v>
      </c>
    </row>
    <row r="8899" spans="8:11">
      <c r="H8899">
        <f>SMALL(SimData5000!$B$9:$B$5008,3891)</f>
        <v>0.77808450814077734</v>
      </c>
      <c r="I8899">
        <f>1/(COUNT(SimData5000!$B$9:$B$5008)-1)+$I$8898</f>
        <v>0.77815563112618458</v>
      </c>
      <c r="J8899">
        <f>SMALL(SimData5000!$C$9:$C$5008,3891)</f>
        <v>0.78552590161598346</v>
      </c>
      <c r="K8899">
        <f>1/(COUNT(SimData5000!$C$9:$C$5008)-1)+$K$8898</f>
        <v>0.77815563112618458</v>
      </c>
    </row>
    <row r="8900" spans="8:11">
      <c r="H8900">
        <f>SMALL(SimData5000!$B$9:$B$5008,3892)</f>
        <v>0.77839213804639695</v>
      </c>
      <c r="I8900">
        <f>1/(COUNT(SimData5000!$B$9:$B$5008)-1)+$I$8899</f>
        <v>0.77835567113418613</v>
      </c>
      <c r="J8900">
        <f>SMALL(SimData5000!$C$9:$C$5008,3892)</f>
        <v>0.78586016905865108</v>
      </c>
      <c r="K8900">
        <f>1/(COUNT(SimData5000!$C$9:$C$5008)-1)+$K$8899</f>
        <v>0.77835567113418613</v>
      </c>
    </row>
    <row r="8901" spans="8:11">
      <c r="H8901">
        <f>SMALL(SimData5000!$B$9:$B$5008,3893)</f>
        <v>0.77848985623994138</v>
      </c>
      <c r="I8901">
        <f>1/(COUNT(SimData5000!$B$9:$B$5008)-1)+$I$8900</f>
        <v>0.77855571114218769</v>
      </c>
      <c r="J8901">
        <f>SMALL(SimData5000!$C$9:$C$5008,3893)</f>
        <v>0.78605676230563404</v>
      </c>
      <c r="K8901">
        <f>1/(COUNT(SimData5000!$C$9:$C$5008)-1)+$K$8900</f>
        <v>0.77855571114218769</v>
      </c>
    </row>
    <row r="8902" spans="8:11">
      <c r="H8902">
        <f>SMALL(SimData5000!$B$9:$B$5008,3894)</f>
        <v>0.77871425394320726</v>
      </c>
      <c r="I8902">
        <f>1/(COUNT(SimData5000!$B$9:$B$5008)-1)+$I$8901</f>
        <v>0.77875575115018925</v>
      </c>
      <c r="J8902">
        <f>SMALL(SimData5000!$C$9:$C$5008,3894)</f>
        <v>0.78622296661160362</v>
      </c>
      <c r="K8902">
        <f>1/(COUNT(SimData5000!$C$9:$C$5008)-1)+$K$8901</f>
        <v>0.77875575115018925</v>
      </c>
    </row>
    <row r="8903" spans="8:11">
      <c r="H8903">
        <f>SMALL(SimData5000!$B$9:$B$5008,3895)</f>
        <v>0.77894596624736345</v>
      </c>
      <c r="I8903">
        <f>1/(COUNT(SimData5000!$B$9:$B$5008)-1)+$I$8902</f>
        <v>0.7789557911581908</v>
      </c>
      <c r="J8903">
        <f>SMALL(SimData5000!$C$9:$C$5008,3895)</f>
        <v>0.78638052758105914</v>
      </c>
      <c r="K8903">
        <f>1/(COUNT(SimData5000!$C$9:$C$5008)-1)+$K$8902</f>
        <v>0.7789557911581908</v>
      </c>
    </row>
    <row r="8904" spans="8:11">
      <c r="H8904">
        <f>SMALL(SimData5000!$B$9:$B$5008,3896)</f>
        <v>0.77915282693159593</v>
      </c>
      <c r="I8904">
        <f>1/(COUNT(SimData5000!$B$9:$B$5008)-1)+$I$8903</f>
        <v>0.77915583116619236</v>
      </c>
      <c r="J8904">
        <f>SMALL(SimData5000!$C$9:$C$5008,3896)</f>
        <v>0.78659157601850893</v>
      </c>
      <c r="K8904">
        <f>1/(COUNT(SimData5000!$C$9:$C$5008)-1)+$K$8903</f>
        <v>0.77915583116619236</v>
      </c>
    </row>
    <row r="8905" spans="8:11">
      <c r="H8905">
        <f>SMALL(SimData5000!$B$9:$B$5008,3897)</f>
        <v>0.77939660580414261</v>
      </c>
      <c r="I8905">
        <f>1/(COUNT(SimData5000!$B$9:$B$5008)-1)+$I$8904</f>
        <v>0.77935587117419391</v>
      </c>
      <c r="J8905">
        <f>SMALL(SimData5000!$C$9:$C$5008,3897)</f>
        <v>0.78696501590002299</v>
      </c>
      <c r="K8905">
        <f>1/(COUNT(SimData5000!$C$9:$C$5008)-1)+$K$8904</f>
        <v>0.77935587117419391</v>
      </c>
    </row>
    <row r="8906" spans="8:11">
      <c r="H8906">
        <f>SMALL(SimData5000!$B$9:$B$5008,3898)</f>
        <v>0.77951998741224404</v>
      </c>
      <c r="I8906">
        <f>1/(COUNT(SimData5000!$B$9:$B$5008)-1)+$I$8905</f>
        <v>0.77955591118219547</v>
      </c>
      <c r="J8906">
        <f>SMALL(SimData5000!$C$9:$C$5008,3898)</f>
        <v>0.78725346983355848</v>
      </c>
      <c r="K8906">
        <f>1/(COUNT(SimData5000!$C$9:$C$5008)-1)+$K$8905</f>
        <v>0.77955591118219547</v>
      </c>
    </row>
    <row r="8907" spans="8:11">
      <c r="H8907">
        <f>SMALL(SimData5000!$B$9:$B$5008,3899)</f>
        <v>0.77963945304165583</v>
      </c>
      <c r="I8907">
        <f>1/(COUNT(SimData5000!$B$9:$B$5008)-1)+$I$8906</f>
        <v>0.77975595119019703</v>
      </c>
      <c r="J8907">
        <f>SMALL(SimData5000!$C$9:$C$5008,3899)</f>
        <v>0.78746095725546184</v>
      </c>
      <c r="K8907">
        <f>1/(COUNT(SimData5000!$C$9:$C$5008)-1)+$K$8906</f>
        <v>0.77975595119019703</v>
      </c>
    </row>
    <row r="8908" spans="8:11">
      <c r="H8908">
        <f>SMALL(SimData5000!$B$9:$B$5008,3900)</f>
        <v>0.77995462646902414</v>
      </c>
      <c r="I8908">
        <f>1/(COUNT(SimData5000!$B$9:$B$5008)-1)+$I$8907</f>
        <v>0.77995599119819858</v>
      </c>
      <c r="J8908">
        <f>SMALL(SimData5000!$C$9:$C$5008,3900)</f>
        <v>0.787677268558582</v>
      </c>
      <c r="K8908">
        <f>1/(COUNT(SimData5000!$C$9:$C$5008)-1)+$K$8907</f>
        <v>0.77995599119819858</v>
      </c>
    </row>
    <row r="8909" spans="8:11">
      <c r="H8909">
        <f>SMALL(SimData5000!$B$9:$B$5008,3901)</f>
        <v>0.78004747163980448</v>
      </c>
      <c r="I8909">
        <f>1/(COUNT(SimData5000!$B$9:$B$5008)-1)+$I$8908</f>
        <v>0.78015603120620014</v>
      </c>
      <c r="J8909">
        <f>SMALL(SimData5000!$C$9:$C$5008,3901)</f>
        <v>0.78769972556438006</v>
      </c>
      <c r="K8909">
        <f>1/(COUNT(SimData5000!$C$9:$C$5008)-1)+$K$8908</f>
        <v>0.78015603120620014</v>
      </c>
    </row>
    <row r="8910" spans="8:11">
      <c r="H8910">
        <f>SMALL(SimData5000!$B$9:$B$5008,3902)</f>
        <v>0.78025160550234174</v>
      </c>
      <c r="I8910">
        <f>1/(COUNT(SimData5000!$B$9:$B$5008)-1)+$I$8909</f>
        <v>0.7803560712142017</v>
      </c>
      <c r="J8910">
        <f>SMALL(SimData5000!$C$9:$C$5008,3902)</f>
        <v>0.78782517739819014</v>
      </c>
      <c r="K8910">
        <f>1/(COUNT(SimData5000!$C$9:$C$5008)-1)+$K$8909</f>
        <v>0.7803560712142017</v>
      </c>
    </row>
    <row r="8911" spans="8:11">
      <c r="H8911">
        <f>SMALL(SimData5000!$B$9:$B$5008,3903)</f>
        <v>0.78043753759973622</v>
      </c>
      <c r="I8911">
        <f>1/(COUNT(SimData5000!$B$9:$B$5008)-1)+$I$8910</f>
        <v>0.78055611122220325</v>
      </c>
      <c r="J8911">
        <f>SMALL(SimData5000!$C$9:$C$5008,3903)</f>
        <v>0.78788314497796819</v>
      </c>
      <c r="K8911">
        <f>1/(COUNT(SimData5000!$C$9:$C$5008)-1)+$K$8910</f>
        <v>0.78055611122220325</v>
      </c>
    </row>
    <row r="8912" spans="8:11">
      <c r="H8912">
        <f>SMALL(SimData5000!$B$9:$B$5008,3904)</f>
        <v>0.78078993033412603</v>
      </c>
      <c r="I8912">
        <f>1/(COUNT(SimData5000!$B$9:$B$5008)-1)+$I$8911</f>
        <v>0.78075615123020481</v>
      </c>
      <c r="J8912">
        <f>SMALL(SimData5000!$C$9:$C$5008,3904)</f>
        <v>0.78796333972240973</v>
      </c>
      <c r="K8912">
        <f>1/(COUNT(SimData5000!$C$9:$C$5008)-1)+$K$8911</f>
        <v>0.78075615123020481</v>
      </c>
    </row>
    <row r="8913" spans="8:11">
      <c r="H8913">
        <f>SMALL(SimData5000!$B$9:$B$5008,3905)</f>
        <v>0.78089386575820241</v>
      </c>
      <c r="I8913">
        <f>1/(COUNT(SimData5000!$B$9:$B$5008)-1)+$I$8912</f>
        <v>0.78095619123820637</v>
      </c>
      <c r="J8913">
        <f>SMALL(SimData5000!$C$9:$C$5008,3905)</f>
        <v>0.78805688534339424</v>
      </c>
      <c r="K8913">
        <f>1/(COUNT(SimData5000!$C$9:$C$5008)-1)+$K$8912</f>
        <v>0.78095619123820637</v>
      </c>
    </row>
    <row r="8914" spans="8:11">
      <c r="H8914">
        <f>SMALL(SimData5000!$B$9:$B$5008,3906)</f>
        <v>0.78114442204813117</v>
      </c>
      <c r="I8914">
        <f>1/(COUNT(SimData5000!$B$9:$B$5008)-1)+$I$8913</f>
        <v>0.78115623124620792</v>
      </c>
      <c r="J8914">
        <f>SMALL(SimData5000!$C$9:$C$5008,3906)</f>
        <v>0.78810779385457863</v>
      </c>
      <c r="K8914">
        <f>1/(COUNT(SimData5000!$C$9:$C$5008)-1)+$K$8913</f>
        <v>0.78115623124620792</v>
      </c>
    </row>
    <row r="8915" spans="8:11">
      <c r="H8915">
        <f>SMALL(SimData5000!$B$9:$B$5008,3907)</f>
        <v>0.78138807706120139</v>
      </c>
      <c r="I8915">
        <f>1/(COUNT(SimData5000!$B$9:$B$5008)-1)+$I$8914</f>
        <v>0.78135627125420948</v>
      </c>
      <c r="J8915">
        <f>SMALL(SimData5000!$C$9:$C$5008,3907)</f>
        <v>0.7881213583496276</v>
      </c>
      <c r="K8915">
        <f>1/(COUNT(SimData5000!$C$9:$C$5008)-1)+$K$8914</f>
        <v>0.78135627125420948</v>
      </c>
    </row>
    <row r="8916" spans="8:11">
      <c r="H8916">
        <f>SMALL(SimData5000!$B$9:$B$5008,3908)</f>
        <v>0.78149859973711389</v>
      </c>
      <c r="I8916">
        <f>1/(COUNT(SimData5000!$B$9:$B$5008)-1)+$I$8915</f>
        <v>0.78155631126221103</v>
      </c>
      <c r="J8916">
        <f>SMALL(SimData5000!$C$9:$C$5008,3908)</f>
        <v>0.7883228425453126</v>
      </c>
      <c r="K8916">
        <f>1/(COUNT(SimData5000!$C$9:$C$5008)-1)+$K$8915</f>
        <v>0.78155631126221103</v>
      </c>
    </row>
    <row r="8917" spans="8:11">
      <c r="H8917">
        <f>SMALL(SimData5000!$B$9:$B$5008,3909)</f>
        <v>0.78160716279014175</v>
      </c>
      <c r="I8917">
        <f>1/(COUNT(SimData5000!$B$9:$B$5008)-1)+$I$8916</f>
        <v>0.78175635127021259</v>
      </c>
      <c r="J8917">
        <f>SMALL(SimData5000!$C$9:$C$5008,3909)</f>
        <v>0.78868920563309075</v>
      </c>
      <c r="K8917">
        <f>1/(COUNT(SimData5000!$C$9:$C$5008)-1)+$K$8916</f>
        <v>0.78175635127021259</v>
      </c>
    </row>
    <row r="8918" spans="8:11">
      <c r="H8918">
        <f>SMALL(SimData5000!$B$9:$B$5008,3910)</f>
        <v>0.78197824699081897</v>
      </c>
      <c r="I8918">
        <f>1/(COUNT(SimData5000!$B$9:$B$5008)-1)+$I$8917</f>
        <v>0.78195639127821415</v>
      </c>
      <c r="J8918">
        <f>SMALL(SimData5000!$C$9:$C$5008,3910)</f>
        <v>0.78874081410685903</v>
      </c>
      <c r="K8918">
        <f>1/(COUNT(SimData5000!$C$9:$C$5008)-1)+$K$8917</f>
        <v>0.78195639127821415</v>
      </c>
    </row>
    <row r="8919" spans="8:11">
      <c r="H8919">
        <f>SMALL(SimData5000!$B$9:$B$5008,3911)</f>
        <v>0.78202077041059281</v>
      </c>
      <c r="I8919">
        <f>1/(COUNT(SimData5000!$B$9:$B$5008)-1)+$I$8918</f>
        <v>0.7821564312862157</v>
      </c>
      <c r="J8919">
        <f>SMALL(SimData5000!$C$9:$C$5008,3911)</f>
        <v>0.78879303590292693</v>
      </c>
      <c r="K8919">
        <f>1/(COUNT(SimData5000!$C$9:$C$5008)-1)+$K$8918</f>
        <v>0.7821564312862157</v>
      </c>
    </row>
    <row r="8920" spans="8:11">
      <c r="H8920">
        <f>SMALL(SimData5000!$B$9:$B$5008,3912)</f>
        <v>0.7823586621638291</v>
      </c>
      <c r="I8920">
        <f>1/(COUNT(SimData5000!$B$9:$B$5008)-1)+$I$8919</f>
        <v>0.78235647129421726</v>
      </c>
      <c r="J8920">
        <f>SMALL(SimData5000!$C$9:$C$5008,3912)</f>
        <v>0.78883239377864811</v>
      </c>
      <c r="K8920">
        <f>1/(COUNT(SimData5000!$C$9:$C$5008)-1)+$K$8919</f>
        <v>0.78235647129421726</v>
      </c>
    </row>
    <row r="8921" spans="8:11">
      <c r="H8921">
        <f>SMALL(SimData5000!$B$9:$B$5008,3913)</f>
        <v>0.78251034693636701</v>
      </c>
      <c r="I8921">
        <f>1/(COUNT(SimData5000!$B$9:$B$5008)-1)+$I$8920</f>
        <v>0.78255651130221882</v>
      </c>
      <c r="J8921">
        <f>SMALL(SimData5000!$C$9:$C$5008,3913)</f>
        <v>0.78883542422317987</v>
      </c>
      <c r="K8921">
        <f>1/(COUNT(SimData5000!$C$9:$C$5008)-1)+$K$8920</f>
        <v>0.78255651130221882</v>
      </c>
    </row>
    <row r="8922" spans="8:11">
      <c r="H8922">
        <f>SMALL(SimData5000!$B$9:$B$5008,3914)</f>
        <v>0.78269836929251868</v>
      </c>
      <c r="I8922">
        <f>1/(COUNT(SimData5000!$B$9:$B$5008)-1)+$I$8921</f>
        <v>0.78275655131022037</v>
      </c>
      <c r="J8922">
        <f>SMALL(SimData5000!$C$9:$C$5008,3914)</f>
        <v>0.78944332406990725</v>
      </c>
      <c r="K8922">
        <f>1/(COUNT(SimData5000!$C$9:$C$5008)-1)+$K$8921</f>
        <v>0.78275655131022037</v>
      </c>
    </row>
    <row r="8923" spans="8:11">
      <c r="H8923">
        <f>SMALL(SimData5000!$B$9:$B$5008,3915)</f>
        <v>0.782856304898778</v>
      </c>
      <c r="I8923">
        <f>1/(COUNT(SimData5000!$B$9:$B$5008)-1)+$I$8922</f>
        <v>0.78295659131822193</v>
      </c>
      <c r="J8923">
        <f>SMALL(SimData5000!$C$9:$C$5008,3915)</f>
        <v>0.78975485397859302</v>
      </c>
      <c r="K8923">
        <f>1/(COUNT(SimData5000!$C$9:$C$5008)-1)+$K$8922</f>
        <v>0.78295659131822193</v>
      </c>
    </row>
    <row r="8924" spans="8:11">
      <c r="H8924">
        <f>SMALL(SimData5000!$B$9:$B$5008,3916)</f>
        <v>0.78315291379605245</v>
      </c>
      <c r="I8924">
        <f>1/(COUNT(SimData5000!$B$9:$B$5008)-1)+$I$8923</f>
        <v>0.78315663132622348</v>
      </c>
      <c r="J8924">
        <f>SMALL(SimData5000!$C$9:$C$5008,3916)</f>
        <v>0.78988452568592038</v>
      </c>
      <c r="K8924">
        <f>1/(COUNT(SimData5000!$C$9:$C$5008)-1)+$K$8923</f>
        <v>0.78315663132622348</v>
      </c>
    </row>
    <row r="8925" spans="8:11">
      <c r="H8925">
        <f>SMALL(SimData5000!$B$9:$B$5008,3917)</f>
        <v>0.78327528940347846</v>
      </c>
      <c r="I8925">
        <f>1/(COUNT(SimData5000!$B$9:$B$5008)-1)+$I$8924</f>
        <v>0.78335667133422504</v>
      </c>
      <c r="J8925">
        <f>SMALL(SimData5000!$C$9:$C$5008,3917)</f>
        <v>0.79050286719302676</v>
      </c>
      <c r="K8925">
        <f>1/(COUNT(SimData5000!$C$9:$C$5008)-1)+$K$8924</f>
        <v>0.78335667133422504</v>
      </c>
    </row>
    <row r="8926" spans="8:11">
      <c r="H8926">
        <f>SMALL(SimData5000!$B$9:$B$5008,3918)</f>
        <v>0.78343417037516694</v>
      </c>
      <c r="I8926">
        <f>1/(COUNT(SimData5000!$B$9:$B$5008)-1)+$I$8925</f>
        <v>0.7835567113422266</v>
      </c>
      <c r="J8926">
        <f>SMALL(SimData5000!$C$9:$C$5008,3918)</f>
        <v>0.79080882229027338</v>
      </c>
      <c r="K8926">
        <f>1/(COUNT(SimData5000!$C$9:$C$5008)-1)+$K$8925</f>
        <v>0.7835567113422266</v>
      </c>
    </row>
    <row r="8927" spans="8:11">
      <c r="H8927">
        <f>SMALL(SimData5000!$B$9:$B$5008,3919)</f>
        <v>0.78364471292454851</v>
      </c>
      <c r="I8927">
        <f>1/(COUNT(SimData5000!$B$9:$B$5008)-1)+$I$8926</f>
        <v>0.78375675135022815</v>
      </c>
      <c r="J8927">
        <f>SMALL(SimData5000!$C$9:$C$5008,3919)</f>
        <v>0.79084429593967798</v>
      </c>
      <c r="K8927">
        <f>1/(COUNT(SimData5000!$C$9:$C$5008)-1)+$K$8926</f>
        <v>0.78375675135022815</v>
      </c>
    </row>
    <row r="8928" spans="8:11">
      <c r="H8928">
        <f>SMALL(SimData5000!$B$9:$B$5008,3920)</f>
        <v>0.78389459002578965</v>
      </c>
      <c r="I8928">
        <f>1/(COUNT(SimData5000!$B$9:$B$5008)-1)+$I$8927</f>
        <v>0.78395679135822971</v>
      </c>
      <c r="J8928">
        <f>SMALL(SimData5000!$C$9:$C$5008,3920)</f>
        <v>0.79087389709184208</v>
      </c>
      <c r="K8928">
        <f>1/(COUNT(SimData5000!$C$9:$C$5008)-1)+$K$8927</f>
        <v>0.78395679135822971</v>
      </c>
    </row>
    <row r="8929" spans="8:11">
      <c r="H8929">
        <f>SMALL(SimData5000!$B$9:$B$5008,3921)</f>
        <v>0.78407032982289571</v>
      </c>
      <c r="I8929">
        <f>1/(COUNT(SimData5000!$B$9:$B$5008)-1)+$I$8928</f>
        <v>0.78415683136623127</v>
      </c>
      <c r="J8929">
        <f>SMALL(SimData5000!$C$9:$C$5008,3921)</f>
        <v>0.79102187754233455</v>
      </c>
      <c r="K8929">
        <f>1/(COUNT(SimData5000!$C$9:$C$5008)-1)+$K$8928</f>
        <v>0.78415683136623127</v>
      </c>
    </row>
    <row r="8930" spans="8:11">
      <c r="H8930">
        <f>SMALL(SimData5000!$B$9:$B$5008,3922)</f>
        <v>0.78426158352742481</v>
      </c>
      <c r="I8930">
        <f>1/(COUNT(SimData5000!$B$9:$B$5008)-1)+$I$8929</f>
        <v>0.78435687137423282</v>
      </c>
      <c r="J8930">
        <f>SMALL(SimData5000!$C$9:$C$5008,3922)</f>
        <v>0.79123538397107041</v>
      </c>
      <c r="K8930">
        <f>1/(COUNT(SimData5000!$C$9:$C$5008)-1)+$K$8929</f>
        <v>0.78435687137423282</v>
      </c>
    </row>
    <row r="8931" spans="8:11">
      <c r="H8931">
        <f>SMALL(SimData5000!$B$9:$B$5008,3923)</f>
        <v>0.78455844060391156</v>
      </c>
      <c r="I8931">
        <f>1/(COUNT(SimData5000!$B$9:$B$5008)-1)+$I$8930</f>
        <v>0.78455691138223438</v>
      </c>
      <c r="J8931">
        <f>SMALL(SimData5000!$C$9:$C$5008,3923)</f>
        <v>0.79140741468927445</v>
      </c>
      <c r="K8931">
        <f>1/(COUNT(SimData5000!$C$9:$C$5008)-1)+$K$8930</f>
        <v>0.78455691138223438</v>
      </c>
    </row>
    <row r="8932" spans="8:11">
      <c r="H8932">
        <f>SMALL(SimData5000!$B$9:$B$5008,3924)</f>
        <v>0.78478172074574548</v>
      </c>
      <c r="I8932">
        <f>1/(COUNT(SimData5000!$B$9:$B$5008)-1)+$I$8931</f>
        <v>0.78475695139023594</v>
      </c>
      <c r="J8932">
        <f>SMALL(SimData5000!$C$9:$C$5008,3924)</f>
        <v>0.79141643979892251</v>
      </c>
      <c r="K8932">
        <f>1/(COUNT(SimData5000!$C$9:$C$5008)-1)+$K$8931</f>
        <v>0.78475695139023594</v>
      </c>
    </row>
    <row r="8933" spans="8:11">
      <c r="H8933">
        <f>SMALL(SimData5000!$B$9:$B$5008,3925)</f>
        <v>0.78488545279942579</v>
      </c>
      <c r="I8933">
        <f>1/(COUNT(SimData5000!$B$9:$B$5008)-1)+$I$8932</f>
        <v>0.78495699139823749</v>
      </c>
      <c r="J8933">
        <f>SMALL(SimData5000!$C$9:$C$5008,3925)</f>
        <v>0.79171308463355672</v>
      </c>
      <c r="K8933">
        <f>1/(COUNT(SimData5000!$C$9:$C$5008)-1)+$K$8932</f>
        <v>0.78495699139823749</v>
      </c>
    </row>
    <row r="8934" spans="8:11">
      <c r="H8934">
        <f>SMALL(SimData5000!$B$9:$B$5008,3926)</f>
        <v>0.78517242770259554</v>
      </c>
      <c r="I8934">
        <f>1/(COUNT(SimData5000!$B$9:$B$5008)-1)+$I$8933</f>
        <v>0.78515703140623905</v>
      </c>
      <c r="J8934">
        <f>SMALL(SimData5000!$C$9:$C$5008,3926)</f>
        <v>0.79189878964736526</v>
      </c>
      <c r="K8934">
        <f>1/(COUNT(SimData5000!$C$9:$C$5008)-1)+$K$8933</f>
        <v>0.78515703140623905</v>
      </c>
    </row>
    <row r="8935" spans="8:11">
      <c r="H8935">
        <f>SMALL(SimData5000!$B$9:$B$5008,3927)</f>
        <v>0.78526942463053151</v>
      </c>
      <c r="I8935">
        <f>1/(COUNT(SimData5000!$B$9:$B$5008)-1)+$I$8934</f>
        <v>0.7853570714142406</v>
      </c>
      <c r="J8935">
        <f>SMALL(SimData5000!$C$9:$C$5008,3927)</f>
        <v>0.7925915372234158</v>
      </c>
      <c r="K8935">
        <f>1/(COUNT(SimData5000!$C$9:$C$5008)-1)+$K$8934</f>
        <v>0.7853570714142406</v>
      </c>
    </row>
    <row r="8936" spans="8:11">
      <c r="H8936">
        <f>SMALL(SimData5000!$B$9:$B$5008,3928)</f>
        <v>0.78556328149166965</v>
      </c>
      <c r="I8936">
        <f>1/(COUNT(SimData5000!$B$9:$B$5008)-1)+$I$8935</f>
        <v>0.78555711142224216</v>
      </c>
      <c r="J8936">
        <f>SMALL(SimData5000!$C$9:$C$5008,3928)</f>
        <v>0.79326669392867188</v>
      </c>
      <c r="K8936">
        <f>1/(COUNT(SimData5000!$C$9:$C$5008)-1)+$K$8935</f>
        <v>0.78555711142224216</v>
      </c>
    </row>
    <row r="8937" spans="8:11">
      <c r="H8937">
        <f>SMALL(SimData5000!$B$9:$B$5008,3929)</f>
        <v>0.78579220781777803</v>
      </c>
      <c r="I8937">
        <f>1/(COUNT(SimData5000!$B$9:$B$5008)-1)+$I$8936</f>
        <v>0.78575715143024372</v>
      </c>
      <c r="J8937">
        <f>SMALL(SimData5000!$C$9:$C$5008,3929)</f>
        <v>0.7932945224119976</v>
      </c>
      <c r="K8937">
        <f>1/(COUNT(SimData5000!$C$9:$C$5008)-1)+$K$8936</f>
        <v>0.78575715143024372</v>
      </c>
    </row>
    <row r="8938" spans="8:11">
      <c r="H8938">
        <f>SMALL(SimData5000!$B$9:$B$5008,3930)</f>
        <v>0.7858709102824496</v>
      </c>
      <c r="I8938">
        <f>1/(COUNT(SimData5000!$B$9:$B$5008)-1)+$I$8937</f>
        <v>0.78595719143824527</v>
      </c>
      <c r="J8938">
        <f>SMALL(SimData5000!$C$9:$C$5008,3930)</f>
        <v>0.79344248857796629</v>
      </c>
      <c r="K8938">
        <f>1/(COUNT(SimData5000!$C$9:$C$5008)-1)+$K$8937</f>
        <v>0.78595719143824527</v>
      </c>
    </row>
    <row r="8939" spans="8:11">
      <c r="H8939">
        <f>SMALL(SimData5000!$B$9:$B$5008,3931)</f>
        <v>0.78609182382968534</v>
      </c>
      <c r="I8939">
        <f>1/(COUNT(SimData5000!$B$9:$B$5008)-1)+$I$8938</f>
        <v>0.78615723144624683</v>
      </c>
      <c r="J8939">
        <f>SMALL(SimData5000!$C$9:$C$5008,3931)</f>
        <v>0.79405848847454763</v>
      </c>
      <c r="K8939">
        <f>1/(COUNT(SimData5000!$C$9:$C$5008)-1)+$K$8938</f>
        <v>0.78615723144624683</v>
      </c>
    </row>
    <row r="8940" spans="8:11">
      <c r="H8940">
        <f>SMALL(SimData5000!$B$9:$B$5008,3932)</f>
        <v>0.78621527405442093</v>
      </c>
      <c r="I8940">
        <f>1/(COUNT(SimData5000!$B$9:$B$5008)-1)+$I$8939</f>
        <v>0.78635727145424839</v>
      </c>
      <c r="J8940">
        <f>SMALL(SimData5000!$C$9:$C$5008,3932)</f>
        <v>0.7941880057205708</v>
      </c>
      <c r="K8940">
        <f>1/(COUNT(SimData5000!$C$9:$C$5008)-1)+$K$8939</f>
        <v>0.78635727145424839</v>
      </c>
    </row>
    <row r="8941" spans="8:11">
      <c r="H8941">
        <f>SMALL(SimData5000!$B$9:$B$5008,3933)</f>
        <v>0.78641704516509014</v>
      </c>
      <c r="I8941">
        <f>1/(COUNT(SimData5000!$B$9:$B$5008)-1)+$I$8940</f>
        <v>0.78655731146224994</v>
      </c>
      <c r="J8941">
        <f>SMALL(SimData5000!$C$9:$C$5008,3933)</f>
        <v>0.79470759627474763</v>
      </c>
      <c r="K8941">
        <f>1/(COUNT(SimData5000!$C$9:$C$5008)-1)+$K$8940</f>
        <v>0.78655731146224994</v>
      </c>
    </row>
    <row r="8942" spans="8:11">
      <c r="H8942">
        <f>SMALL(SimData5000!$B$9:$B$5008,3934)</f>
        <v>0.78660252988850754</v>
      </c>
      <c r="I8942">
        <f>1/(COUNT(SimData5000!$B$9:$B$5008)-1)+$I$8941</f>
        <v>0.7867573514702515</v>
      </c>
      <c r="J8942">
        <f>SMALL(SimData5000!$C$9:$C$5008,3934)</f>
        <v>0.7950534718866038</v>
      </c>
      <c r="K8942">
        <f>1/(COUNT(SimData5000!$C$9:$C$5008)-1)+$K$8941</f>
        <v>0.7867573514702515</v>
      </c>
    </row>
    <row r="8943" spans="8:11">
      <c r="H8943">
        <f>SMALL(SimData5000!$B$9:$B$5008,3935)</f>
        <v>0.78681777241528439</v>
      </c>
      <c r="I8943">
        <f>1/(COUNT(SimData5000!$B$9:$B$5008)-1)+$I$8942</f>
        <v>0.78695739147825305</v>
      </c>
      <c r="J8943">
        <f>SMALL(SimData5000!$C$9:$C$5008,3935)</f>
        <v>0.79517135588594101</v>
      </c>
      <c r="K8943">
        <f>1/(COUNT(SimData5000!$C$9:$C$5008)-1)+$K$8942</f>
        <v>0.78695739147825305</v>
      </c>
    </row>
    <row r="8944" spans="8:11">
      <c r="H8944">
        <f>SMALL(SimData5000!$B$9:$B$5008,3936)</f>
        <v>0.78715395132101929</v>
      </c>
      <c r="I8944">
        <f>1/(COUNT(SimData5000!$B$9:$B$5008)-1)+$I$8943</f>
        <v>0.78715743148625461</v>
      </c>
      <c r="J8944">
        <f>SMALL(SimData5000!$C$9:$C$5008,3936)</f>
        <v>0.7952781654548744</v>
      </c>
      <c r="K8944">
        <f>1/(COUNT(SimData5000!$C$9:$C$5008)-1)+$K$8943</f>
        <v>0.78715743148625461</v>
      </c>
    </row>
    <row r="8945" spans="8:11">
      <c r="H8945">
        <f>SMALL(SimData5000!$B$9:$B$5008,3937)</f>
        <v>0.78723331232537352</v>
      </c>
      <c r="I8945">
        <f>1/(COUNT(SimData5000!$B$9:$B$5008)-1)+$I$8944</f>
        <v>0.78735747149425617</v>
      </c>
      <c r="J8945">
        <f>SMALL(SimData5000!$C$9:$C$5008,3937)</f>
        <v>0.79550689259849605</v>
      </c>
      <c r="K8945">
        <f>1/(COUNT(SimData5000!$C$9:$C$5008)-1)+$K$8944</f>
        <v>0.78735747149425617</v>
      </c>
    </row>
    <row r="8946" spans="8:11">
      <c r="H8946">
        <f>SMALL(SimData5000!$B$9:$B$5008,3938)</f>
        <v>0.78752024383491848</v>
      </c>
      <c r="I8946">
        <f>1/(COUNT(SimData5000!$B$9:$B$5008)-1)+$I$8945</f>
        <v>0.78755751150225772</v>
      </c>
      <c r="J8946">
        <f>SMALL(SimData5000!$C$9:$C$5008,3938)</f>
        <v>0.79560353282613505</v>
      </c>
      <c r="K8946">
        <f>1/(COUNT(SimData5000!$C$9:$C$5008)-1)+$K$8945</f>
        <v>0.78755751150225772</v>
      </c>
    </row>
    <row r="8947" spans="8:11">
      <c r="H8947">
        <f>SMALL(SimData5000!$B$9:$B$5008,3939)</f>
        <v>0.78772937337293503</v>
      </c>
      <c r="I8947">
        <f>1/(COUNT(SimData5000!$B$9:$B$5008)-1)+$I$8946</f>
        <v>0.78775755151025928</v>
      </c>
      <c r="J8947">
        <f>SMALL(SimData5000!$C$9:$C$5008,3939)</f>
        <v>0.79566879340109153</v>
      </c>
      <c r="K8947">
        <f>1/(COUNT(SimData5000!$C$9:$C$5008)-1)+$K$8946</f>
        <v>0.78775755151025928</v>
      </c>
    </row>
    <row r="8948" spans="8:11">
      <c r="H8948">
        <f>SMALL(SimData5000!$B$9:$B$5008,3940)</f>
        <v>0.78796611291127416</v>
      </c>
      <c r="I8948">
        <f>1/(COUNT(SimData5000!$B$9:$B$5008)-1)+$I$8947</f>
        <v>0.78795759151826084</v>
      </c>
      <c r="J8948">
        <f>SMALL(SimData5000!$C$9:$C$5008,3940)</f>
        <v>0.79568738979196496</v>
      </c>
      <c r="K8948">
        <f>1/(COUNT(SimData5000!$C$9:$C$5008)-1)+$K$8947</f>
        <v>0.78795759151826084</v>
      </c>
    </row>
    <row r="8949" spans="8:11">
      <c r="H8949">
        <f>SMALL(SimData5000!$B$9:$B$5008,3941)</f>
        <v>0.78801807063366702</v>
      </c>
      <c r="I8949">
        <f>1/(COUNT(SimData5000!$B$9:$B$5008)-1)+$I$8948</f>
        <v>0.78815763152626239</v>
      </c>
      <c r="J8949">
        <f>SMALL(SimData5000!$C$9:$C$5008,3941)</f>
        <v>0.79591895226258202</v>
      </c>
      <c r="K8949">
        <f>1/(COUNT(SimData5000!$C$9:$C$5008)-1)+$K$8948</f>
        <v>0.78815763152626239</v>
      </c>
    </row>
    <row r="8950" spans="8:11">
      <c r="H8950">
        <f>SMALL(SimData5000!$B$9:$B$5008,3942)</f>
        <v>0.78820736762238841</v>
      </c>
      <c r="I8950">
        <f>1/(COUNT(SimData5000!$B$9:$B$5008)-1)+$I$8949</f>
        <v>0.78835767153426395</v>
      </c>
      <c r="J8950">
        <f>SMALL(SimData5000!$C$9:$C$5008,3942)</f>
        <v>0.7959466446445731</v>
      </c>
      <c r="K8950">
        <f>1/(COUNT(SimData5000!$C$9:$C$5008)-1)+$K$8949</f>
        <v>0.78835767153426395</v>
      </c>
    </row>
    <row r="8951" spans="8:11">
      <c r="H8951">
        <f>SMALL(SimData5000!$B$9:$B$5008,3943)</f>
        <v>0.78856766282649893</v>
      </c>
      <c r="I8951">
        <f>1/(COUNT(SimData5000!$B$9:$B$5008)-1)+$I$8950</f>
        <v>0.7885577115422655</v>
      </c>
      <c r="J8951">
        <f>SMALL(SimData5000!$C$9:$C$5008,3943)</f>
        <v>0.79596369079899887</v>
      </c>
      <c r="K8951">
        <f>1/(COUNT(SimData5000!$C$9:$C$5008)-1)+$K$8950</f>
        <v>0.7885577115422655</v>
      </c>
    </row>
    <row r="8952" spans="8:11">
      <c r="H8952">
        <f>SMALL(SimData5000!$B$9:$B$5008,3944)</f>
        <v>0.78861435121684675</v>
      </c>
      <c r="I8952">
        <f>1/(COUNT(SimData5000!$B$9:$B$5008)-1)+$I$8951</f>
        <v>0.78875775155026706</v>
      </c>
      <c r="J8952">
        <f>SMALL(SimData5000!$C$9:$C$5008,3944)</f>
        <v>0.79614005740950233</v>
      </c>
      <c r="K8952">
        <f>1/(COUNT(SimData5000!$C$9:$C$5008)-1)+$K$8951</f>
        <v>0.78875775155026706</v>
      </c>
    </row>
    <row r="8953" spans="8:11">
      <c r="H8953">
        <f>SMALL(SimData5000!$B$9:$B$5008,3945)</f>
        <v>0.78893846886156549</v>
      </c>
      <c r="I8953">
        <f>1/(COUNT(SimData5000!$B$9:$B$5008)-1)+$I$8952</f>
        <v>0.78895779155826862</v>
      </c>
      <c r="J8953">
        <f>SMALL(SimData5000!$C$9:$C$5008,3945)</f>
        <v>0.7961516324958211</v>
      </c>
      <c r="K8953">
        <f>1/(COUNT(SimData5000!$C$9:$C$5008)-1)+$K$8952</f>
        <v>0.78895779155826862</v>
      </c>
    </row>
    <row r="8954" spans="8:11">
      <c r="H8954">
        <f>SMALL(SimData5000!$B$9:$B$5008,3946)</f>
        <v>0.78919212876949274</v>
      </c>
      <c r="I8954">
        <f>1/(COUNT(SimData5000!$B$9:$B$5008)-1)+$I$8953</f>
        <v>0.78915783156627017</v>
      </c>
      <c r="J8954">
        <f>SMALL(SimData5000!$C$9:$C$5008,3946)</f>
        <v>0.79617504191355692</v>
      </c>
      <c r="K8954">
        <f>1/(COUNT(SimData5000!$C$9:$C$5008)-1)+$K$8953</f>
        <v>0.78915783156627017</v>
      </c>
    </row>
    <row r="8955" spans="8:11">
      <c r="H8955">
        <f>SMALL(SimData5000!$B$9:$B$5008,3947)</f>
        <v>0.78936257005714872</v>
      </c>
      <c r="I8955">
        <f>1/(COUNT(SimData5000!$B$9:$B$5008)-1)+$I$8954</f>
        <v>0.78935787157427173</v>
      </c>
      <c r="J8955">
        <f>SMALL(SimData5000!$C$9:$C$5008,3947)</f>
        <v>0.79650976877292123</v>
      </c>
      <c r="K8955">
        <f>1/(COUNT(SimData5000!$C$9:$C$5008)-1)+$K$8954</f>
        <v>0.78935787157427173</v>
      </c>
    </row>
    <row r="8956" spans="8:11">
      <c r="H8956">
        <f>SMALL(SimData5000!$B$9:$B$5008,3948)</f>
        <v>0.78958257143944088</v>
      </c>
      <c r="I8956">
        <f>1/(COUNT(SimData5000!$B$9:$B$5008)-1)+$I$8955</f>
        <v>0.78955791158227329</v>
      </c>
      <c r="J8956">
        <f>SMALL(SimData5000!$C$9:$C$5008,3948)</f>
        <v>0.79653565698754392</v>
      </c>
      <c r="K8956">
        <f>1/(COUNT(SimData5000!$C$9:$C$5008)-1)+$K$8955</f>
        <v>0.78955791158227329</v>
      </c>
    </row>
    <row r="8957" spans="8:11">
      <c r="H8957">
        <f>SMALL(SimData5000!$B$9:$B$5008,3949)</f>
        <v>0.7897918890505079</v>
      </c>
      <c r="I8957">
        <f>1/(COUNT(SimData5000!$B$9:$B$5008)-1)+$I$8956</f>
        <v>0.78975795159027484</v>
      </c>
      <c r="J8957">
        <f>SMALL(SimData5000!$C$9:$C$5008,3949)</f>
        <v>0.79664141214652773</v>
      </c>
      <c r="K8957">
        <f>1/(COUNT(SimData5000!$C$9:$C$5008)-1)+$K$8956</f>
        <v>0.78975795159027484</v>
      </c>
    </row>
    <row r="8958" spans="8:11">
      <c r="H8958">
        <f>SMALL(SimData5000!$B$9:$B$5008,3950)</f>
        <v>0.78998546191583985</v>
      </c>
      <c r="I8958">
        <f>1/(COUNT(SimData5000!$B$9:$B$5008)-1)+$I$8957</f>
        <v>0.7899579915982764</v>
      </c>
      <c r="J8958">
        <f>SMALL(SimData5000!$C$9:$C$5008,3950)</f>
        <v>0.79685649439397821</v>
      </c>
      <c r="K8958">
        <f>1/(COUNT(SimData5000!$C$9:$C$5008)-1)+$K$8957</f>
        <v>0.7899579915982764</v>
      </c>
    </row>
    <row r="8959" spans="8:11">
      <c r="H8959">
        <f>SMALL(SimData5000!$B$9:$B$5008,3951)</f>
        <v>0.79015137715222117</v>
      </c>
      <c r="I8959">
        <f>1/(COUNT(SimData5000!$B$9:$B$5008)-1)+$I$8958</f>
        <v>0.79015803160627796</v>
      </c>
      <c r="J8959">
        <f>SMALL(SimData5000!$C$9:$C$5008,3951)</f>
        <v>0.79701826871951198</v>
      </c>
      <c r="K8959">
        <f>1/(COUNT(SimData5000!$C$9:$C$5008)-1)+$K$8958</f>
        <v>0.79015803160627796</v>
      </c>
    </row>
    <row r="8960" spans="8:11">
      <c r="H8960">
        <f>SMALL(SimData5000!$B$9:$B$5008,3952)</f>
        <v>0.79023900536783953</v>
      </c>
      <c r="I8960">
        <f>1/(COUNT(SimData5000!$B$9:$B$5008)-1)+$I$8959</f>
        <v>0.79035807161427951</v>
      </c>
      <c r="J8960">
        <f>SMALL(SimData5000!$C$9:$C$5008,3952)</f>
        <v>0.79741009145072894</v>
      </c>
      <c r="K8960">
        <f>1/(COUNT(SimData5000!$C$9:$C$5008)-1)+$K$8959</f>
        <v>0.79035807161427951</v>
      </c>
    </row>
    <row r="8961" spans="8:11">
      <c r="H8961">
        <f>SMALL(SimData5000!$B$9:$B$5008,3953)</f>
        <v>0.79053717084404485</v>
      </c>
      <c r="I8961">
        <f>1/(COUNT(SimData5000!$B$9:$B$5008)-1)+$I$8960</f>
        <v>0.79055811162228107</v>
      </c>
      <c r="J8961">
        <f>SMALL(SimData5000!$C$9:$C$5008,3953)</f>
        <v>0.79797667196180555</v>
      </c>
      <c r="K8961">
        <f>1/(COUNT(SimData5000!$C$9:$C$5008)-1)+$K$8960</f>
        <v>0.79055811162228107</v>
      </c>
    </row>
    <row r="8962" spans="8:11">
      <c r="H8962">
        <f>SMALL(SimData5000!$B$9:$B$5008,3954)</f>
        <v>0.79072436313892813</v>
      </c>
      <c r="I8962">
        <f>1/(COUNT(SimData5000!$B$9:$B$5008)-1)+$I$8961</f>
        <v>0.79075815163028262</v>
      </c>
      <c r="J8962">
        <f>SMALL(SimData5000!$C$9:$C$5008,3954)</f>
        <v>0.79802556774939148</v>
      </c>
      <c r="K8962">
        <f>1/(COUNT(SimData5000!$C$9:$C$5008)-1)+$K$8961</f>
        <v>0.79075815163028262</v>
      </c>
    </row>
    <row r="8963" spans="8:11">
      <c r="H8963">
        <f>SMALL(SimData5000!$B$9:$B$5008,3955)</f>
        <v>0.79081567530082908</v>
      </c>
      <c r="I8963">
        <f>1/(COUNT(SimData5000!$B$9:$B$5008)-1)+$I$8962</f>
        <v>0.79095819163828418</v>
      </c>
      <c r="J8963">
        <f>SMALL(SimData5000!$C$9:$C$5008,3955)</f>
        <v>0.79831242939053482</v>
      </c>
      <c r="K8963">
        <f>1/(COUNT(SimData5000!$C$9:$C$5008)-1)+$K$8962</f>
        <v>0.79095819163828418</v>
      </c>
    </row>
    <row r="8964" spans="8:11">
      <c r="H8964">
        <f>SMALL(SimData5000!$B$9:$B$5008,3956)</f>
        <v>0.79100273277559385</v>
      </c>
      <c r="I8964">
        <f>1/(COUNT(SimData5000!$B$9:$B$5008)-1)+$I$8963</f>
        <v>0.79115823164628574</v>
      </c>
      <c r="J8964">
        <f>SMALL(SimData5000!$C$9:$C$5008,3956)</f>
        <v>0.79839684468424821</v>
      </c>
      <c r="K8964">
        <f>1/(COUNT(SimData5000!$C$9:$C$5008)-1)+$K$8963</f>
        <v>0.79115823164628574</v>
      </c>
    </row>
    <row r="8965" spans="8:11">
      <c r="H8965">
        <f>SMALL(SimData5000!$B$9:$B$5008,3957)</f>
        <v>0.79133572876847713</v>
      </c>
      <c r="I8965">
        <f>1/(COUNT(SimData5000!$B$9:$B$5008)-1)+$I$8964</f>
        <v>0.79135827165428729</v>
      </c>
      <c r="J8965">
        <f>SMALL(SimData5000!$C$9:$C$5008,3957)</f>
        <v>0.79846422682749107</v>
      </c>
      <c r="K8965">
        <f>1/(COUNT(SimData5000!$C$9:$C$5008)-1)+$K$8964</f>
        <v>0.79135827165428729</v>
      </c>
    </row>
    <row r="8966" spans="8:11">
      <c r="H8966">
        <f>SMALL(SimData5000!$B$9:$B$5008,3958)</f>
        <v>0.79154794814632001</v>
      </c>
      <c r="I8966">
        <f>1/(COUNT(SimData5000!$B$9:$B$5008)-1)+$I$8965</f>
        <v>0.79155831166228885</v>
      </c>
      <c r="J8966">
        <f>SMALL(SimData5000!$C$9:$C$5008,3958)</f>
        <v>0.79847769360367238</v>
      </c>
      <c r="K8966">
        <f>1/(COUNT(SimData5000!$C$9:$C$5008)-1)+$K$8965</f>
        <v>0.79155831166228885</v>
      </c>
    </row>
    <row r="8967" spans="8:11">
      <c r="H8967">
        <f>SMALL(SimData5000!$B$9:$B$5008,3959)</f>
        <v>0.79160163635085379</v>
      </c>
      <c r="I8967">
        <f>1/(COUNT(SimData5000!$B$9:$B$5008)-1)+$I$8966</f>
        <v>0.79175835167029041</v>
      </c>
      <c r="J8967">
        <f>SMALL(SimData5000!$C$9:$C$5008,3959)</f>
        <v>0.79850407981757598</v>
      </c>
      <c r="K8967">
        <f>1/(COUNT(SimData5000!$C$9:$C$5008)-1)+$K$8966</f>
        <v>0.79175835167029041</v>
      </c>
    </row>
    <row r="8968" spans="8:11">
      <c r="H8968">
        <f>SMALL(SimData5000!$B$9:$B$5008,3960)</f>
        <v>0.79181692792931968</v>
      </c>
      <c r="I8968">
        <f>1/(COUNT(SimData5000!$B$9:$B$5008)-1)+$I$8967</f>
        <v>0.79195839167829196</v>
      </c>
      <c r="J8968">
        <f>SMALL(SimData5000!$C$9:$C$5008,3960)</f>
        <v>0.79881260731690418</v>
      </c>
      <c r="K8968">
        <f>1/(COUNT(SimData5000!$C$9:$C$5008)-1)+$K$8967</f>
        <v>0.79195839167829196</v>
      </c>
    </row>
    <row r="8969" spans="8:11">
      <c r="H8969">
        <f>SMALL(SimData5000!$B$9:$B$5008,3961)</f>
        <v>0.79212240611112728</v>
      </c>
      <c r="I8969">
        <f>1/(COUNT(SimData5000!$B$9:$B$5008)-1)+$I$8968</f>
        <v>0.79215843168629352</v>
      </c>
      <c r="J8969">
        <f>SMALL(SimData5000!$C$9:$C$5008,3961)</f>
        <v>0.79908287137277512</v>
      </c>
      <c r="K8969">
        <f>1/(COUNT(SimData5000!$C$9:$C$5008)-1)+$K$8968</f>
        <v>0.79215843168629352</v>
      </c>
    </row>
    <row r="8970" spans="8:11">
      <c r="H8970">
        <f>SMALL(SimData5000!$B$9:$B$5008,3962)</f>
        <v>0.79220640614633597</v>
      </c>
      <c r="I8970">
        <f>1/(COUNT(SimData5000!$B$9:$B$5008)-1)+$I$8969</f>
        <v>0.79235847169429507</v>
      </c>
      <c r="J8970">
        <f>SMALL(SimData5000!$C$9:$C$5008,3962)</f>
        <v>0.79919336293187371</v>
      </c>
      <c r="K8970">
        <f>1/(COUNT(SimData5000!$C$9:$C$5008)-1)+$K$8969</f>
        <v>0.79235847169429507</v>
      </c>
    </row>
    <row r="8971" spans="8:11">
      <c r="H8971">
        <f>SMALL(SimData5000!$B$9:$B$5008,3963)</f>
        <v>0.7924308792901763</v>
      </c>
      <c r="I8971">
        <f>1/(COUNT(SimData5000!$B$9:$B$5008)-1)+$I$8970</f>
        <v>0.79255851170229663</v>
      </c>
      <c r="J8971">
        <f>SMALL(SimData5000!$C$9:$C$5008,3963)</f>
        <v>0.79933590407472366</v>
      </c>
      <c r="K8971">
        <f>1/(COUNT(SimData5000!$C$9:$C$5008)-1)+$K$8970</f>
        <v>0.79255851170229663</v>
      </c>
    </row>
    <row r="8972" spans="8:11">
      <c r="H8972">
        <f>SMALL(SimData5000!$B$9:$B$5008,3964)</f>
        <v>0.79272364243025051</v>
      </c>
      <c r="I8972">
        <f>1/(COUNT(SimData5000!$B$9:$B$5008)-1)+$I$8971</f>
        <v>0.79275855171029819</v>
      </c>
      <c r="J8972">
        <f>SMALL(SimData5000!$C$9:$C$5008,3964)</f>
        <v>0.79965127224022581</v>
      </c>
      <c r="K8972">
        <f>1/(COUNT(SimData5000!$C$9:$C$5008)-1)+$K$8971</f>
        <v>0.79275855171029819</v>
      </c>
    </row>
    <row r="8973" spans="8:11">
      <c r="H8973">
        <f>SMALL(SimData5000!$B$9:$B$5008,3965)</f>
        <v>0.79283873796072757</v>
      </c>
      <c r="I8973">
        <f>1/(COUNT(SimData5000!$B$9:$B$5008)-1)+$I$8972</f>
        <v>0.79295859171829974</v>
      </c>
      <c r="J8973">
        <f>SMALL(SimData5000!$C$9:$C$5008,3965)</f>
        <v>0.79976760555382498</v>
      </c>
      <c r="K8973">
        <f>1/(COUNT(SimData5000!$C$9:$C$5008)-1)+$K$8972</f>
        <v>0.79295859171829974</v>
      </c>
    </row>
    <row r="8974" spans="8:11">
      <c r="H8974">
        <f>SMALL(SimData5000!$B$9:$B$5008,3966)</f>
        <v>0.79310387939827143</v>
      </c>
      <c r="I8974">
        <f>1/(COUNT(SimData5000!$B$9:$B$5008)-1)+$I$8973</f>
        <v>0.7931586317263013</v>
      </c>
      <c r="J8974">
        <f>SMALL(SimData5000!$C$9:$C$5008,3966)</f>
        <v>0.80041870998502418</v>
      </c>
      <c r="K8974">
        <f>1/(COUNT(SimData5000!$C$9:$C$5008)-1)+$K$8973</f>
        <v>0.7931586317263013</v>
      </c>
    </row>
    <row r="8975" spans="8:11">
      <c r="H8975">
        <f>SMALL(SimData5000!$B$9:$B$5008,3967)</f>
        <v>0.79329523547950553</v>
      </c>
      <c r="I8975">
        <f>1/(COUNT(SimData5000!$B$9:$B$5008)-1)+$I$8974</f>
        <v>0.79335867173430286</v>
      </c>
      <c r="J8975">
        <f>SMALL(SimData5000!$C$9:$C$5008,3967)</f>
        <v>0.80064995198699762</v>
      </c>
      <c r="K8975">
        <f>1/(COUNT(SimData5000!$C$9:$C$5008)-1)+$K$8974</f>
        <v>0.79335867173430286</v>
      </c>
    </row>
    <row r="8976" spans="8:11">
      <c r="H8976">
        <f>SMALL(SimData5000!$B$9:$B$5008,3968)</f>
        <v>0.793481624531439</v>
      </c>
      <c r="I8976">
        <f>1/(COUNT(SimData5000!$B$9:$B$5008)-1)+$I$8975</f>
        <v>0.79355871174230441</v>
      </c>
      <c r="J8976">
        <f>SMALL(SimData5000!$C$9:$C$5008,3968)</f>
        <v>0.80080663194348745</v>
      </c>
      <c r="K8976">
        <f>1/(COUNT(SimData5000!$C$9:$C$5008)-1)+$K$8975</f>
        <v>0.79355871174230441</v>
      </c>
    </row>
    <row r="8977" spans="8:11">
      <c r="H8977">
        <f>SMALL(SimData5000!$B$9:$B$5008,3969)</f>
        <v>0.79377776496046637</v>
      </c>
      <c r="I8977">
        <f>1/(COUNT(SimData5000!$B$9:$B$5008)-1)+$I$8976</f>
        <v>0.79375875175030597</v>
      </c>
      <c r="J8977">
        <f>SMALL(SimData5000!$C$9:$C$5008,3969)</f>
        <v>0.80088237463860423</v>
      </c>
      <c r="K8977">
        <f>1/(COUNT(SimData5000!$C$9:$C$5008)-1)+$K$8976</f>
        <v>0.79375875175030597</v>
      </c>
    </row>
    <row r="8978" spans="8:11">
      <c r="H8978">
        <f>SMALL(SimData5000!$B$9:$B$5008,3970)</f>
        <v>0.79394748857695319</v>
      </c>
      <c r="I8978">
        <f>1/(COUNT(SimData5000!$B$9:$B$5008)-1)+$I$8977</f>
        <v>0.79395879175830752</v>
      </c>
      <c r="J8978">
        <f>SMALL(SimData5000!$C$9:$C$5008,3970)</f>
        <v>0.80159903082585515</v>
      </c>
      <c r="K8978">
        <f>1/(COUNT(SimData5000!$C$9:$C$5008)-1)+$K$8977</f>
        <v>0.79395879175830752</v>
      </c>
    </row>
    <row r="8979" spans="8:11">
      <c r="H8979">
        <f>SMALL(SimData5000!$B$9:$B$5008,3971)</f>
        <v>0.79410766958289492</v>
      </c>
      <c r="I8979">
        <f>1/(COUNT(SimData5000!$B$9:$B$5008)-1)+$I$8978</f>
        <v>0.79415883176630908</v>
      </c>
      <c r="J8979">
        <f>SMALL(SimData5000!$C$9:$C$5008,3971)</f>
        <v>0.80161974719794671</v>
      </c>
      <c r="K8979">
        <f>1/(COUNT(SimData5000!$C$9:$C$5008)-1)+$K$8978</f>
        <v>0.79415883176630908</v>
      </c>
    </row>
    <row r="8980" spans="8:11">
      <c r="H8980">
        <f>SMALL(SimData5000!$B$9:$B$5008,3972)</f>
        <v>0.79432741347046742</v>
      </c>
      <c r="I8980">
        <f>1/(COUNT(SimData5000!$B$9:$B$5008)-1)+$I$8979</f>
        <v>0.79435887177431064</v>
      </c>
      <c r="J8980">
        <f>SMALL(SimData5000!$C$9:$C$5008,3972)</f>
        <v>0.80214198015073634</v>
      </c>
      <c r="K8980">
        <f>1/(COUNT(SimData5000!$C$9:$C$5008)-1)+$K$8979</f>
        <v>0.79435887177431064</v>
      </c>
    </row>
    <row r="8981" spans="8:11">
      <c r="H8981">
        <f>SMALL(SimData5000!$B$9:$B$5008,3973)</f>
        <v>0.7944653600958328</v>
      </c>
      <c r="I8981">
        <f>1/(COUNT(SimData5000!$B$9:$B$5008)-1)+$I$8980</f>
        <v>0.79455891178231219</v>
      </c>
      <c r="J8981">
        <f>SMALL(SimData5000!$C$9:$C$5008,3973)</f>
        <v>0.80240462257188483</v>
      </c>
      <c r="K8981">
        <f>1/(COUNT(SimData5000!$C$9:$C$5008)-1)+$K$8980</f>
        <v>0.79455891178231219</v>
      </c>
    </row>
    <row r="8982" spans="8:11">
      <c r="H8982">
        <f>SMALL(SimData5000!$B$9:$B$5008,3974)</f>
        <v>0.79461111509525473</v>
      </c>
      <c r="I8982">
        <f>1/(COUNT(SimData5000!$B$9:$B$5008)-1)+$I$8981</f>
        <v>0.79475895179031375</v>
      </c>
      <c r="J8982">
        <f>SMALL(SimData5000!$C$9:$C$5008,3974)</f>
        <v>0.80252105562203724</v>
      </c>
      <c r="K8982">
        <f>1/(COUNT(SimData5000!$C$9:$C$5008)-1)+$K$8981</f>
        <v>0.79475895179031375</v>
      </c>
    </row>
    <row r="8983" spans="8:11">
      <c r="H8983">
        <f>SMALL(SimData5000!$B$9:$B$5008,3975)</f>
        <v>0.79488099986670557</v>
      </c>
      <c r="I8983">
        <f>1/(COUNT(SimData5000!$B$9:$B$5008)-1)+$I$8982</f>
        <v>0.79495899179831531</v>
      </c>
      <c r="J8983">
        <f>SMALL(SimData5000!$C$9:$C$5008,3975)</f>
        <v>0.80267330922106339</v>
      </c>
      <c r="K8983">
        <f>1/(COUNT(SimData5000!$C$9:$C$5008)-1)+$K$8982</f>
        <v>0.79495899179831531</v>
      </c>
    </row>
    <row r="8984" spans="8:11">
      <c r="H8984">
        <f>SMALL(SimData5000!$B$9:$B$5008,3976)</f>
        <v>0.79510345995992038</v>
      </c>
      <c r="I8984">
        <f>1/(COUNT(SimData5000!$B$9:$B$5008)-1)+$I$8983</f>
        <v>0.79515903180631686</v>
      </c>
      <c r="J8984">
        <f>SMALL(SimData5000!$C$9:$C$5008,3976)</f>
        <v>0.80327756574206433</v>
      </c>
      <c r="K8984">
        <f>1/(COUNT(SimData5000!$C$9:$C$5008)-1)+$K$8983</f>
        <v>0.79515903180631686</v>
      </c>
    </row>
    <row r="8985" spans="8:11">
      <c r="H8985">
        <f>SMALL(SimData5000!$B$9:$B$5008,3977)</f>
        <v>0.79520080199344101</v>
      </c>
      <c r="I8985">
        <f>1/(COUNT(SimData5000!$B$9:$B$5008)-1)+$I$8984</f>
        <v>0.79535907181431842</v>
      </c>
      <c r="J8985">
        <f>SMALL(SimData5000!$C$9:$C$5008,3977)</f>
        <v>0.80328045777696389</v>
      </c>
      <c r="K8985">
        <f>1/(COUNT(SimData5000!$C$9:$C$5008)-1)+$K$8984</f>
        <v>0.79535907181431842</v>
      </c>
    </row>
    <row r="8986" spans="8:11">
      <c r="H8986">
        <f>SMALL(SimData5000!$B$9:$B$5008,3978)</f>
        <v>0.79541433776081871</v>
      </c>
      <c r="I8986">
        <f>1/(COUNT(SimData5000!$B$9:$B$5008)-1)+$I$8985</f>
        <v>0.79555911182231998</v>
      </c>
      <c r="J8986">
        <f>SMALL(SimData5000!$C$9:$C$5008,3978)</f>
        <v>0.80328390888826107</v>
      </c>
      <c r="K8986">
        <f>1/(COUNT(SimData5000!$C$9:$C$5008)-1)+$K$8985</f>
        <v>0.79555911182231998</v>
      </c>
    </row>
    <row r="8987" spans="8:11">
      <c r="H8987">
        <f>SMALL(SimData5000!$B$9:$B$5008,3979)</f>
        <v>0.79576585112110854</v>
      </c>
      <c r="I8987">
        <f>1/(COUNT(SimData5000!$B$9:$B$5008)-1)+$I$8986</f>
        <v>0.79575915183032153</v>
      </c>
      <c r="J8987">
        <f>SMALL(SimData5000!$C$9:$C$5008,3979)</f>
        <v>0.80337904145835637</v>
      </c>
      <c r="K8987">
        <f>1/(COUNT(SimData5000!$C$9:$C$5008)-1)+$K$8986</f>
        <v>0.79575915183032153</v>
      </c>
    </row>
    <row r="8988" spans="8:11">
      <c r="H8988">
        <f>SMALL(SimData5000!$B$9:$B$5008,3980)</f>
        <v>0.79593172106862342</v>
      </c>
      <c r="I8988">
        <f>1/(COUNT(SimData5000!$B$9:$B$5008)-1)+$I$8987</f>
        <v>0.79595919183832309</v>
      </c>
      <c r="J8988">
        <f>SMALL(SimData5000!$C$9:$C$5008,3980)</f>
        <v>0.80385165658572078</v>
      </c>
      <c r="K8988">
        <f>1/(COUNT(SimData5000!$C$9:$C$5008)-1)+$K$8987</f>
        <v>0.79595919183832309</v>
      </c>
    </row>
    <row r="8989" spans="8:11">
      <c r="H8989">
        <f>SMALL(SimData5000!$B$9:$B$5008,3981)</f>
        <v>0.79602245070646105</v>
      </c>
      <c r="I8989">
        <f>1/(COUNT(SimData5000!$B$9:$B$5008)-1)+$I$8988</f>
        <v>0.79615923184632464</v>
      </c>
      <c r="J8989">
        <f>SMALL(SimData5000!$C$9:$C$5008,3981)</f>
        <v>0.80410585280515079</v>
      </c>
      <c r="K8989">
        <f>1/(COUNT(SimData5000!$C$9:$C$5008)-1)+$K$8988</f>
        <v>0.79615923184632464</v>
      </c>
    </row>
    <row r="8990" spans="8:11">
      <c r="H8990">
        <f>SMALL(SimData5000!$B$9:$B$5008,3982)</f>
        <v>0.79631398130001363</v>
      </c>
      <c r="I8990">
        <f>1/(COUNT(SimData5000!$B$9:$B$5008)-1)+$I$8989</f>
        <v>0.7963592718543262</v>
      </c>
      <c r="J8990">
        <f>SMALL(SimData5000!$C$9:$C$5008,3982)</f>
        <v>0.80418329315398296</v>
      </c>
      <c r="K8990">
        <f>1/(COUNT(SimData5000!$C$9:$C$5008)-1)+$K$8989</f>
        <v>0.7963592718543262</v>
      </c>
    </row>
    <row r="8991" spans="8:11">
      <c r="H8991">
        <f>SMALL(SimData5000!$B$9:$B$5008,3983)</f>
        <v>0.79649439605634997</v>
      </c>
      <c r="I8991">
        <f>1/(COUNT(SimData5000!$B$9:$B$5008)-1)+$I$8990</f>
        <v>0.79655931186232776</v>
      </c>
      <c r="J8991">
        <f>SMALL(SimData5000!$C$9:$C$5008,3983)</f>
        <v>0.80422419397200429</v>
      </c>
      <c r="K8991">
        <f>1/(COUNT(SimData5000!$C$9:$C$5008)-1)+$K$8990</f>
        <v>0.79655931186232776</v>
      </c>
    </row>
    <row r="8992" spans="8:11">
      <c r="H8992">
        <f>SMALL(SimData5000!$B$9:$B$5008,3984)</f>
        <v>0.79672182848153683</v>
      </c>
      <c r="I8992">
        <f>1/(COUNT(SimData5000!$B$9:$B$5008)-1)+$I$8991</f>
        <v>0.79675935187032931</v>
      </c>
      <c r="J8992">
        <f>SMALL(SimData5000!$C$9:$C$5008,3984)</f>
        <v>0.80427279657760664</v>
      </c>
      <c r="K8992">
        <f>1/(COUNT(SimData5000!$C$9:$C$5008)-1)+$K$8991</f>
        <v>0.79675935187032931</v>
      </c>
    </row>
    <row r="8993" spans="8:11">
      <c r="H8993">
        <f>SMALL(SimData5000!$B$9:$B$5008,3985)</f>
        <v>0.79682829408762701</v>
      </c>
      <c r="I8993">
        <f>1/(COUNT(SimData5000!$B$9:$B$5008)-1)+$I$8992</f>
        <v>0.79695939187833087</v>
      </c>
      <c r="J8993">
        <f>SMALL(SimData5000!$C$9:$C$5008,3985)</f>
        <v>0.8050569682764035</v>
      </c>
      <c r="K8993">
        <f>1/(COUNT(SimData5000!$C$9:$C$5008)-1)+$K$8992</f>
        <v>0.79695939187833087</v>
      </c>
    </row>
    <row r="8994" spans="8:11">
      <c r="H8994">
        <f>SMALL(SimData5000!$B$9:$B$5008,3986)</f>
        <v>0.79713065327655763</v>
      </c>
      <c r="I8994">
        <f>1/(COUNT(SimData5000!$B$9:$B$5008)-1)+$I$8993</f>
        <v>0.79715943188633243</v>
      </c>
      <c r="J8994">
        <f>SMALL(SimData5000!$C$9:$C$5008,3986)</f>
        <v>0.80510487653373275</v>
      </c>
      <c r="K8994">
        <f>1/(COUNT(SimData5000!$C$9:$C$5008)-1)+$K$8993</f>
        <v>0.79715943188633243</v>
      </c>
    </row>
    <row r="8995" spans="8:11">
      <c r="H8995">
        <f>SMALL(SimData5000!$B$9:$B$5008,3987)</f>
        <v>0.79732117882238729</v>
      </c>
      <c r="I8995">
        <f>1/(COUNT(SimData5000!$B$9:$B$5008)-1)+$I$8994</f>
        <v>0.79735947189433398</v>
      </c>
      <c r="J8995">
        <f>SMALL(SimData5000!$C$9:$C$5008,3987)</f>
        <v>0.80526432465740072</v>
      </c>
      <c r="K8995">
        <f>1/(COUNT(SimData5000!$C$9:$C$5008)-1)+$K$8994</f>
        <v>0.79735947189433398</v>
      </c>
    </row>
    <row r="8996" spans="8:11">
      <c r="H8996">
        <f>SMALL(SimData5000!$B$9:$B$5008,3988)</f>
        <v>0.79745809056029149</v>
      </c>
      <c r="I8996">
        <f>1/(COUNT(SimData5000!$B$9:$B$5008)-1)+$I$8995</f>
        <v>0.79755951190233554</v>
      </c>
      <c r="J8996">
        <f>SMALL(SimData5000!$C$9:$C$5008,3988)</f>
        <v>0.80535791528836853</v>
      </c>
      <c r="K8996">
        <f>1/(COUNT(SimData5000!$C$9:$C$5008)-1)+$K$8995</f>
        <v>0.79755951190233554</v>
      </c>
    </row>
    <row r="8997" spans="8:11">
      <c r="H8997">
        <f>SMALL(SimData5000!$B$9:$B$5008,3989)</f>
        <v>0.79763556248327616</v>
      </c>
      <c r="I8997">
        <f>1/(COUNT(SimData5000!$B$9:$B$5008)-1)+$I$8996</f>
        <v>0.79775955191033709</v>
      </c>
      <c r="J8997">
        <f>SMALL(SimData5000!$C$9:$C$5008,3989)</f>
        <v>0.80540446790109854</v>
      </c>
      <c r="K8997">
        <f>1/(COUNT(SimData5000!$C$9:$C$5008)-1)+$K$8996</f>
        <v>0.79775955191033709</v>
      </c>
    </row>
    <row r="8998" spans="8:11">
      <c r="H8998">
        <f>SMALL(SimData5000!$B$9:$B$5008,3990)</f>
        <v>0.7978856697893435</v>
      </c>
      <c r="I8998">
        <f>1/(COUNT(SimData5000!$B$9:$B$5008)-1)+$I$8997</f>
        <v>0.79795959191833865</v>
      </c>
      <c r="J8998">
        <f>SMALL(SimData5000!$C$9:$C$5008,3990)</f>
        <v>0.8055209043186693</v>
      </c>
      <c r="K8998">
        <f>1/(COUNT(SimData5000!$C$9:$C$5008)-1)+$K$8997</f>
        <v>0.79795959191833865</v>
      </c>
    </row>
    <row r="8999" spans="8:11">
      <c r="H8999">
        <f>SMALL(SimData5000!$B$9:$B$5008,3991)</f>
        <v>0.79818564196289177</v>
      </c>
      <c r="I8999">
        <f>1/(COUNT(SimData5000!$B$9:$B$5008)-1)+$I$8998</f>
        <v>0.79815963192634021</v>
      </c>
      <c r="J8999">
        <f>SMALL(SimData5000!$C$9:$C$5008,3991)</f>
        <v>0.80557678064633365</v>
      </c>
      <c r="K8999">
        <f>1/(COUNT(SimData5000!$C$9:$C$5008)-1)+$K$8998</f>
        <v>0.79815963192634021</v>
      </c>
    </row>
    <row r="9000" spans="8:11">
      <c r="H9000">
        <f>SMALL(SimData5000!$B$9:$B$5008,3992)</f>
        <v>0.79838557643671182</v>
      </c>
      <c r="I9000">
        <f>1/(COUNT(SimData5000!$B$9:$B$5008)-1)+$I$8999</f>
        <v>0.79835967193434176</v>
      </c>
      <c r="J9000">
        <f>SMALL(SimData5000!$C$9:$C$5008,3992)</f>
        <v>0.80567471265658241</v>
      </c>
      <c r="K9000">
        <f>1/(COUNT(SimData5000!$C$9:$C$5008)-1)+$K$8999</f>
        <v>0.79835967193434176</v>
      </c>
    </row>
    <row r="9001" spans="8:11">
      <c r="H9001">
        <f>SMALL(SimData5000!$B$9:$B$5008,3993)</f>
        <v>0.7985132628163587</v>
      </c>
      <c r="I9001">
        <f>1/(COUNT(SimData5000!$B$9:$B$5008)-1)+$I$9000</f>
        <v>0.79855971194234332</v>
      </c>
      <c r="J9001">
        <f>SMALL(SimData5000!$C$9:$C$5008,3993)</f>
        <v>0.80570010307746998</v>
      </c>
      <c r="K9001">
        <f>1/(COUNT(SimData5000!$C$9:$C$5008)-1)+$K$9000</f>
        <v>0.79855971194234332</v>
      </c>
    </row>
    <row r="9002" spans="8:11">
      <c r="H9002">
        <f>SMALL(SimData5000!$B$9:$B$5008,3994)</f>
        <v>0.79864715418313803</v>
      </c>
      <c r="I9002">
        <f>1/(COUNT(SimData5000!$B$9:$B$5008)-1)+$I$9001</f>
        <v>0.79875975195034488</v>
      </c>
      <c r="J9002">
        <f>SMALL(SimData5000!$C$9:$C$5008,3994)</f>
        <v>0.80577380670183629</v>
      </c>
      <c r="K9002">
        <f>1/(COUNT(SimData5000!$C$9:$C$5008)-1)+$K$9001</f>
        <v>0.79875975195034488</v>
      </c>
    </row>
    <row r="9003" spans="8:11">
      <c r="H9003">
        <f>SMALL(SimData5000!$B$9:$B$5008,3995)</f>
        <v>0.7988231526006998</v>
      </c>
      <c r="I9003">
        <f>1/(COUNT(SimData5000!$B$9:$B$5008)-1)+$I$9002</f>
        <v>0.79895979195834643</v>
      </c>
      <c r="J9003">
        <f>SMALL(SimData5000!$C$9:$C$5008,3995)</f>
        <v>0.80637213169487154</v>
      </c>
      <c r="K9003">
        <f>1/(COUNT(SimData5000!$C$9:$C$5008)-1)+$K$9002</f>
        <v>0.79895979195834643</v>
      </c>
    </row>
    <row r="9004" spans="8:11">
      <c r="H9004">
        <f>SMALL(SimData5000!$B$9:$B$5008,3996)</f>
        <v>0.79907889122922882</v>
      </c>
      <c r="I9004">
        <f>1/(COUNT(SimData5000!$B$9:$B$5008)-1)+$I$9003</f>
        <v>0.79915983196634799</v>
      </c>
      <c r="J9004">
        <f>SMALL(SimData5000!$C$9:$C$5008,3996)</f>
        <v>0.80658812845831562</v>
      </c>
      <c r="K9004">
        <f>1/(COUNT(SimData5000!$C$9:$C$5008)-1)+$K$9003</f>
        <v>0.79915983196634799</v>
      </c>
    </row>
    <row r="9005" spans="8:11">
      <c r="H9005">
        <f>SMALL(SimData5000!$B$9:$B$5008,3997)</f>
        <v>0.79939944298928589</v>
      </c>
      <c r="I9005">
        <f>1/(COUNT(SimData5000!$B$9:$B$5008)-1)+$I$9004</f>
        <v>0.79935987197434955</v>
      </c>
      <c r="J9005">
        <f>SMALL(SimData5000!$C$9:$C$5008,3997)</f>
        <v>0.80680621801093366</v>
      </c>
      <c r="K9005">
        <f>1/(COUNT(SimData5000!$C$9:$C$5008)-1)+$K$9004</f>
        <v>0.79935987197434955</v>
      </c>
    </row>
    <row r="9006" spans="8:11">
      <c r="H9006">
        <f>SMALL(SimData5000!$B$9:$B$5008,3998)</f>
        <v>0.79940870625805305</v>
      </c>
      <c r="I9006">
        <f>1/(COUNT(SimData5000!$B$9:$B$5008)-1)+$I$9005</f>
        <v>0.7995599119823511</v>
      </c>
      <c r="J9006">
        <f>SMALL(SimData5000!$C$9:$C$5008,3998)</f>
        <v>0.80681110166734982</v>
      </c>
      <c r="K9006">
        <f>1/(COUNT(SimData5000!$C$9:$C$5008)-1)+$K$9005</f>
        <v>0.7995599119823511</v>
      </c>
    </row>
    <row r="9007" spans="8:11">
      <c r="H9007">
        <f>SMALL(SimData5000!$B$9:$B$5008,3999)</f>
        <v>0.79972098929251567</v>
      </c>
      <c r="I9007">
        <f>1/(COUNT(SimData5000!$B$9:$B$5008)-1)+$I$9006</f>
        <v>0.79975995199035266</v>
      </c>
      <c r="J9007">
        <f>SMALL(SimData5000!$C$9:$C$5008,3999)</f>
        <v>0.80692950370666949</v>
      </c>
      <c r="K9007">
        <f>1/(COUNT(SimData5000!$C$9:$C$5008)-1)+$K$9006</f>
        <v>0.79975995199035266</v>
      </c>
    </row>
    <row r="9008" spans="8:11">
      <c r="H9008">
        <f>SMALL(SimData5000!$B$9:$B$5008,4000)</f>
        <v>0.7999134530286568</v>
      </c>
      <c r="I9008">
        <f>1/(COUNT(SimData5000!$B$9:$B$5008)-1)+$I$9007</f>
        <v>0.79995999199835421</v>
      </c>
      <c r="J9008">
        <f>SMALL(SimData5000!$C$9:$C$5008,4000)</f>
        <v>0.80707043019356206</v>
      </c>
      <c r="K9008">
        <f>1/(COUNT(SimData5000!$C$9:$C$5008)-1)+$K$9007</f>
        <v>0.79995999199835421</v>
      </c>
    </row>
    <row r="9009" spans="8:11">
      <c r="H9009">
        <f>SMALL(SimData5000!$B$9:$B$5008,4001)</f>
        <v>0.80007478653413122</v>
      </c>
      <c r="I9009">
        <f>1/(COUNT(SimData5000!$B$9:$B$5008)-1)+$I$9008</f>
        <v>0.80016003200635577</v>
      </c>
      <c r="J9009">
        <f>SMALL(SimData5000!$C$9:$C$5008,4001)</f>
        <v>0.80727450314202542</v>
      </c>
      <c r="K9009">
        <f>1/(COUNT(SimData5000!$C$9:$C$5008)-1)+$K$9008</f>
        <v>0.80016003200635577</v>
      </c>
    </row>
    <row r="9010" spans="8:11">
      <c r="H9010">
        <f>SMALL(SimData5000!$B$9:$B$5008,4002)</f>
        <v>0.80036087758121099</v>
      </c>
      <c r="I9010">
        <f>1/(COUNT(SimData5000!$B$9:$B$5008)-1)+$I$9009</f>
        <v>0.80036007201435733</v>
      </c>
      <c r="J9010">
        <f>SMALL(SimData5000!$C$9:$C$5008,4002)</f>
        <v>0.80747849964973284</v>
      </c>
      <c r="K9010">
        <f>1/(COUNT(SimData5000!$C$9:$C$5008)-1)+$K$9009</f>
        <v>0.80036007201435733</v>
      </c>
    </row>
    <row r="9011" spans="8:11">
      <c r="H9011">
        <f>SMALL(SimData5000!$B$9:$B$5008,4003)</f>
        <v>0.80058022806630003</v>
      </c>
      <c r="I9011">
        <f>1/(COUNT(SimData5000!$B$9:$B$5008)-1)+$I$9010</f>
        <v>0.80056011202235888</v>
      </c>
      <c r="J9011">
        <f>SMALL(SimData5000!$C$9:$C$5008,4003)</f>
        <v>0.80748620958183892</v>
      </c>
      <c r="K9011">
        <f>1/(COUNT(SimData5000!$C$9:$C$5008)-1)+$K$9010</f>
        <v>0.80056011202235888</v>
      </c>
    </row>
    <row r="9012" spans="8:11">
      <c r="H9012">
        <f>SMALL(SimData5000!$B$9:$B$5008,4004)</f>
        <v>0.80075795490722124</v>
      </c>
      <c r="I9012">
        <f>1/(COUNT(SimData5000!$B$9:$B$5008)-1)+$I$9011</f>
        <v>0.80076015203036044</v>
      </c>
      <c r="J9012">
        <f>SMALL(SimData5000!$C$9:$C$5008,4004)</f>
        <v>0.80752379031582677</v>
      </c>
      <c r="K9012">
        <f>1/(COUNT(SimData5000!$C$9:$C$5008)-1)+$K$9011</f>
        <v>0.80076015203036044</v>
      </c>
    </row>
    <row r="9013" spans="8:11">
      <c r="H9013">
        <f>SMALL(SimData5000!$B$9:$B$5008,4005)</f>
        <v>0.80099737892663048</v>
      </c>
      <c r="I9013">
        <f>1/(COUNT(SimData5000!$B$9:$B$5008)-1)+$I$9012</f>
        <v>0.800960192038362</v>
      </c>
      <c r="J9013">
        <f>SMALL(SimData5000!$C$9:$C$5008,4005)</f>
        <v>0.80756268295590417</v>
      </c>
      <c r="K9013">
        <f>1/(COUNT(SimData5000!$C$9:$C$5008)-1)+$K$9012</f>
        <v>0.800960192038362</v>
      </c>
    </row>
    <row r="9014" spans="8:11">
      <c r="H9014">
        <f>SMALL(SimData5000!$B$9:$B$5008,4006)</f>
        <v>0.80100454645035901</v>
      </c>
      <c r="I9014">
        <f>1/(COUNT(SimData5000!$B$9:$B$5008)-1)+$I$9013</f>
        <v>0.80116023204636355</v>
      </c>
      <c r="J9014">
        <f>SMALL(SimData5000!$C$9:$C$5008,4006)</f>
        <v>0.80804310913526933</v>
      </c>
      <c r="K9014">
        <f>1/(COUNT(SimData5000!$C$9:$C$5008)-1)+$K$9013</f>
        <v>0.80116023204636355</v>
      </c>
    </row>
    <row r="9015" spans="8:11">
      <c r="H9015">
        <f>SMALL(SimData5000!$B$9:$B$5008,4007)</f>
        <v>0.80133819873773915</v>
      </c>
      <c r="I9015">
        <f>1/(COUNT(SimData5000!$B$9:$B$5008)-1)+$I$9014</f>
        <v>0.80136027205436511</v>
      </c>
      <c r="J9015">
        <f>SMALL(SimData5000!$C$9:$C$5008,4007)</f>
        <v>0.80810465490412753</v>
      </c>
      <c r="K9015">
        <f>1/(COUNT(SimData5000!$C$9:$C$5008)-1)+$K$9014</f>
        <v>0.80136027205436511</v>
      </c>
    </row>
    <row r="9016" spans="8:11">
      <c r="H9016">
        <f>SMALL(SimData5000!$B$9:$B$5008,4008)</f>
        <v>0.80145314298603987</v>
      </c>
      <c r="I9016">
        <f>1/(COUNT(SimData5000!$B$9:$B$5008)-1)+$I$9015</f>
        <v>0.80156031206236666</v>
      </c>
      <c r="J9016">
        <f>SMALL(SimData5000!$C$9:$C$5008,4008)</f>
        <v>0.80832588818702789</v>
      </c>
      <c r="K9016">
        <f>1/(COUNT(SimData5000!$C$9:$C$5008)-1)+$K$9015</f>
        <v>0.80156031206236666</v>
      </c>
    </row>
    <row r="9017" spans="8:11">
      <c r="H9017">
        <f>SMALL(SimData5000!$B$9:$B$5008,4009)</f>
        <v>0.80171159917346946</v>
      </c>
      <c r="I9017">
        <f>1/(COUNT(SimData5000!$B$9:$B$5008)-1)+$I$9016</f>
        <v>0.80176035207036822</v>
      </c>
      <c r="J9017">
        <f>SMALL(SimData5000!$C$9:$C$5008,4009)</f>
        <v>0.80834961084929091</v>
      </c>
      <c r="K9017">
        <f>1/(COUNT(SimData5000!$C$9:$C$5008)-1)+$K$9016</f>
        <v>0.80176035207036822</v>
      </c>
    </row>
    <row r="9018" spans="8:11">
      <c r="H9018">
        <f>SMALL(SimData5000!$B$9:$B$5008,4010)</f>
        <v>0.80196924241980749</v>
      </c>
      <c r="I9018">
        <f>1/(COUNT(SimData5000!$B$9:$B$5008)-1)+$I$9017</f>
        <v>0.80196039207836978</v>
      </c>
      <c r="J9018">
        <f>SMALL(SimData5000!$C$9:$C$5008,4010)</f>
        <v>0.80863757128736324</v>
      </c>
      <c r="K9018">
        <f>1/(COUNT(SimData5000!$C$9:$C$5008)-1)+$K$9017</f>
        <v>0.80196039207836978</v>
      </c>
    </row>
    <row r="9019" spans="8:11">
      <c r="H9019">
        <f>SMALL(SimData5000!$B$9:$B$5008,4011)</f>
        <v>0.80216524835204828</v>
      </c>
      <c r="I9019">
        <f>1/(COUNT(SimData5000!$B$9:$B$5008)-1)+$I$9018</f>
        <v>0.80216043208637133</v>
      </c>
      <c r="J9019">
        <f>SMALL(SimData5000!$C$9:$C$5008,4011)</f>
        <v>0.80863775451871334</v>
      </c>
      <c r="K9019">
        <f>1/(COUNT(SimData5000!$C$9:$C$5008)-1)+$K$9018</f>
        <v>0.80216043208637133</v>
      </c>
    </row>
    <row r="9020" spans="8:11">
      <c r="H9020">
        <f>SMALL(SimData5000!$B$9:$B$5008,4012)</f>
        <v>0.80232357556892642</v>
      </c>
      <c r="I9020">
        <f>1/(COUNT(SimData5000!$B$9:$B$5008)-1)+$I$9019</f>
        <v>0.80236047209437289</v>
      </c>
      <c r="J9020">
        <f>SMALL(SimData5000!$C$9:$C$5008,4012)</f>
        <v>0.80901265951342793</v>
      </c>
      <c r="K9020">
        <f>1/(COUNT(SimData5000!$C$9:$C$5008)-1)+$K$9019</f>
        <v>0.80236047209437289</v>
      </c>
    </row>
    <row r="9021" spans="8:11">
      <c r="H9021">
        <f>SMALL(SimData5000!$B$9:$B$5008,4013)</f>
        <v>0.80240843560360575</v>
      </c>
      <c r="I9021">
        <f>1/(COUNT(SimData5000!$B$9:$B$5008)-1)+$I$9020</f>
        <v>0.80256051210237445</v>
      </c>
      <c r="J9021">
        <f>SMALL(SimData5000!$C$9:$C$5008,4013)</f>
        <v>0.8091308764714995</v>
      </c>
      <c r="K9021">
        <f>1/(COUNT(SimData5000!$C$9:$C$5008)-1)+$K$9020</f>
        <v>0.80256051210237445</v>
      </c>
    </row>
    <row r="9022" spans="8:11">
      <c r="H9022">
        <f>SMALL(SimData5000!$B$9:$B$5008,4014)</f>
        <v>0.80262944985517048</v>
      </c>
      <c r="I9022">
        <f>1/(COUNT(SimData5000!$B$9:$B$5008)-1)+$I$9021</f>
        <v>0.802760552110376</v>
      </c>
      <c r="J9022">
        <f>SMALL(SimData5000!$C$9:$C$5008,4014)</f>
        <v>0.80927725748551893</v>
      </c>
      <c r="K9022">
        <f>1/(COUNT(SimData5000!$C$9:$C$5008)-1)+$K$9021</f>
        <v>0.802760552110376</v>
      </c>
    </row>
    <row r="9023" spans="8:11">
      <c r="H9023">
        <f>SMALL(SimData5000!$B$9:$B$5008,4015)</f>
        <v>0.80286576201847415</v>
      </c>
      <c r="I9023">
        <f>1/(COUNT(SimData5000!$B$9:$B$5008)-1)+$I$9022</f>
        <v>0.80296059211837756</v>
      </c>
      <c r="J9023">
        <f>SMALL(SimData5000!$C$9:$C$5008,4015)</f>
        <v>0.80931160404725233</v>
      </c>
      <c r="K9023">
        <f>1/(COUNT(SimData5000!$C$9:$C$5008)-1)+$K$9022</f>
        <v>0.80296059211837756</v>
      </c>
    </row>
    <row r="9024" spans="8:11">
      <c r="H9024">
        <f>SMALL(SimData5000!$B$9:$B$5008,4016)</f>
        <v>0.80306787724948203</v>
      </c>
      <c r="I9024">
        <f>1/(COUNT(SimData5000!$B$9:$B$5008)-1)+$I$9023</f>
        <v>0.80316063212637911</v>
      </c>
      <c r="J9024">
        <f>SMALL(SimData5000!$C$9:$C$5008,4016)</f>
        <v>0.8093408510185327</v>
      </c>
      <c r="K9024">
        <f>1/(COUNT(SimData5000!$C$9:$C$5008)-1)+$K$9023</f>
        <v>0.80316063212637911</v>
      </c>
    </row>
    <row r="9025" spans="8:11">
      <c r="H9025">
        <f>SMALL(SimData5000!$B$9:$B$5008,4017)</f>
        <v>0.8033982252986166</v>
      </c>
      <c r="I9025">
        <f>1/(COUNT(SimData5000!$B$9:$B$5008)-1)+$I$9024</f>
        <v>0.80336067213438067</v>
      </c>
      <c r="J9025">
        <f>SMALL(SimData5000!$C$9:$C$5008,4017)</f>
        <v>0.80941172485927382</v>
      </c>
      <c r="K9025">
        <f>1/(COUNT(SimData5000!$C$9:$C$5008)-1)+$K$9024</f>
        <v>0.80336067213438067</v>
      </c>
    </row>
    <row r="9026" spans="8:11">
      <c r="H9026">
        <f>SMALL(SimData5000!$B$9:$B$5008,4018)</f>
        <v>0.80348532535594075</v>
      </c>
      <c r="I9026">
        <f>1/(COUNT(SimData5000!$B$9:$B$5008)-1)+$I$9025</f>
        <v>0.80356071214238223</v>
      </c>
      <c r="J9026">
        <f>SMALL(SimData5000!$C$9:$C$5008,4018)</f>
        <v>0.80960136324210907</v>
      </c>
      <c r="K9026">
        <f>1/(COUNT(SimData5000!$C$9:$C$5008)-1)+$K$9025</f>
        <v>0.80356071214238223</v>
      </c>
    </row>
    <row r="9027" spans="8:11">
      <c r="H9027">
        <f>SMALL(SimData5000!$B$9:$B$5008,4019)</f>
        <v>0.80374626348147782</v>
      </c>
      <c r="I9027">
        <f>1/(COUNT(SimData5000!$B$9:$B$5008)-1)+$I$9026</f>
        <v>0.80376075215038378</v>
      </c>
      <c r="J9027">
        <f>SMALL(SimData5000!$C$9:$C$5008,4019)</f>
        <v>0.80976769137123483</v>
      </c>
      <c r="K9027">
        <f>1/(COUNT(SimData5000!$C$9:$C$5008)-1)+$K$9026</f>
        <v>0.80376075215038378</v>
      </c>
    </row>
    <row r="9028" spans="8:11">
      <c r="H9028">
        <f>SMALL(SimData5000!$B$9:$B$5008,4020)</f>
        <v>0.80385926159165322</v>
      </c>
      <c r="I9028">
        <f>1/(COUNT(SimData5000!$B$9:$B$5008)-1)+$I$9027</f>
        <v>0.80396079215838534</v>
      </c>
      <c r="J9028">
        <f>SMALL(SimData5000!$C$9:$C$5008,4020)</f>
        <v>0.8098162918631715</v>
      </c>
      <c r="K9028">
        <f>1/(COUNT(SimData5000!$C$9:$C$5008)-1)+$K$9027</f>
        <v>0.80396079215838534</v>
      </c>
    </row>
    <row r="9029" spans="8:11">
      <c r="H9029">
        <f>SMALL(SimData5000!$B$9:$B$5008,4021)</f>
        <v>0.80409877061743729</v>
      </c>
      <c r="I9029">
        <f>1/(COUNT(SimData5000!$B$9:$B$5008)-1)+$I$9028</f>
        <v>0.8041608321663869</v>
      </c>
      <c r="J9029">
        <f>SMALL(SimData5000!$C$9:$C$5008,4021)</f>
        <v>0.80990709521302051</v>
      </c>
      <c r="K9029">
        <f>1/(COUNT(SimData5000!$C$9:$C$5008)-1)+$K$9028</f>
        <v>0.8041608321663869</v>
      </c>
    </row>
    <row r="9030" spans="8:11">
      <c r="H9030">
        <f>SMALL(SimData5000!$B$9:$B$5008,4022)</f>
        <v>0.80427642442590475</v>
      </c>
      <c r="I9030">
        <f>1/(COUNT(SimData5000!$B$9:$B$5008)-1)+$I$9029</f>
        <v>0.80436087217438845</v>
      </c>
      <c r="J9030">
        <f>SMALL(SimData5000!$C$9:$C$5008,4022)</f>
        <v>0.80998487551642029</v>
      </c>
      <c r="K9030">
        <f>1/(COUNT(SimData5000!$C$9:$C$5008)-1)+$K$9029</f>
        <v>0.80436087217438845</v>
      </c>
    </row>
    <row r="9031" spans="8:11">
      <c r="H9031">
        <f>SMALL(SimData5000!$B$9:$B$5008,4023)</f>
        <v>0.80458200585776518</v>
      </c>
      <c r="I9031">
        <f>1/(COUNT(SimData5000!$B$9:$B$5008)-1)+$I$9030</f>
        <v>0.80456091218239001</v>
      </c>
      <c r="J9031">
        <f>SMALL(SimData5000!$C$9:$C$5008,4023)</f>
        <v>0.81012298361747526</v>
      </c>
      <c r="K9031">
        <f>1/(COUNT(SimData5000!$C$9:$C$5008)-1)+$K$9030</f>
        <v>0.80456091218239001</v>
      </c>
    </row>
    <row r="9032" spans="8:11">
      <c r="H9032">
        <f>SMALL(SimData5000!$B$9:$B$5008,4024)</f>
        <v>0.80464471967929152</v>
      </c>
      <c r="I9032">
        <f>1/(COUNT(SimData5000!$B$9:$B$5008)-1)+$I$9031</f>
        <v>0.80476095219039157</v>
      </c>
      <c r="J9032">
        <f>SMALL(SimData5000!$C$9:$C$5008,4024)</f>
        <v>0.81066814070527471</v>
      </c>
      <c r="K9032">
        <f>1/(COUNT(SimData5000!$C$9:$C$5008)-1)+$K$9031</f>
        <v>0.80476095219039157</v>
      </c>
    </row>
    <row r="9033" spans="8:11">
      <c r="H9033">
        <f>SMALL(SimData5000!$B$9:$B$5008,4025)</f>
        <v>0.80481005102349679</v>
      </c>
      <c r="I9033">
        <f>1/(COUNT(SimData5000!$B$9:$B$5008)-1)+$I$9032</f>
        <v>0.80496099219839312</v>
      </c>
      <c r="J9033">
        <f>SMALL(SimData5000!$C$9:$C$5008,4025)</f>
        <v>0.81073847716288583</v>
      </c>
      <c r="K9033">
        <f>1/(COUNT(SimData5000!$C$9:$C$5008)-1)+$K$9032</f>
        <v>0.80496099219839312</v>
      </c>
    </row>
    <row r="9034" spans="8:11">
      <c r="H9034">
        <f>SMALL(SimData5000!$B$9:$B$5008,4026)</f>
        <v>0.80512070978221495</v>
      </c>
      <c r="I9034">
        <f>1/(COUNT(SimData5000!$B$9:$B$5008)-1)+$I$9033</f>
        <v>0.80516103220639468</v>
      </c>
      <c r="J9034">
        <f>SMALL(SimData5000!$C$9:$C$5008,4026)</f>
        <v>0.8109191137682501</v>
      </c>
      <c r="K9034">
        <f>1/(COUNT(SimData5000!$C$9:$C$5008)-1)+$K$9033</f>
        <v>0.80516103220639468</v>
      </c>
    </row>
    <row r="9035" spans="8:11">
      <c r="H9035">
        <f>SMALL(SimData5000!$B$9:$B$5008,4027)</f>
        <v>0.80520869914670679</v>
      </c>
      <c r="I9035">
        <f>1/(COUNT(SimData5000!$B$9:$B$5008)-1)+$I$9034</f>
        <v>0.80536107221439623</v>
      </c>
      <c r="J9035">
        <f>SMALL(SimData5000!$C$9:$C$5008,4027)</f>
        <v>0.81096909968164255</v>
      </c>
      <c r="K9035">
        <f>1/(COUNT(SimData5000!$C$9:$C$5008)-1)+$K$9034</f>
        <v>0.80536107221439623</v>
      </c>
    </row>
    <row r="9036" spans="8:11">
      <c r="H9036">
        <f>SMALL(SimData5000!$B$9:$B$5008,4028)</f>
        <v>0.80541100358064543</v>
      </c>
      <c r="I9036">
        <f>1/(COUNT(SimData5000!$B$9:$B$5008)-1)+$I$9035</f>
        <v>0.80556111222239779</v>
      </c>
      <c r="J9036">
        <f>SMALL(SimData5000!$C$9:$C$5008,4028)</f>
        <v>0.81104128286369814</v>
      </c>
      <c r="K9036">
        <f>1/(COUNT(SimData5000!$C$9:$C$5008)-1)+$K$9035</f>
        <v>0.80556111222239779</v>
      </c>
    </row>
    <row r="9037" spans="8:11">
      <c r="H9037">
        <f>SMALL(SimData5000!$B$9:$B$5008,4029)</f>
        <v>0.80577800256697885</v>
      </c>
      <c r="I9037">
        <f>1/(COUNT(SimData5000!$B$9:$B$5008)-1)+$I$9036</f>
        <v>0.80576115223039935</v>
      </c>
      <c r="J9037">
        <f>SMALL(SimData5000!$C$9:$C$5008,4029)</f>
        <v>0.81132904837249953</v>
      </c>
      <c r="K9037">
        <f>1/(COUNT(SimData5000!$C$9:$C$5008)-1)+$K$9036</f>
        <v>0.80576115223039935</v>
      </c>
    </row>
    <row r="9038" spans="8:11">
      <c r="H9038">
        <f>SMALL(SimData5000!$B$9:$B$5008,4030)</f>
        <v>0.80583500648379214</v>
      </c>
      <c r="I9038">
        <f>1/(COUNT(SimData5000!$B$9:$B$5008)-1)+$I$9037</f>
        <v>0.8059611922384009</v>
      </c>
      <c r="J9038">
        <f>SMALL(SimData5000!$C$9:$C$5008,4030)</f>
        <v>0.81144710718675128</v>
      </c>
      <c r="K9038">
        <f>1/(COUNT(SimData5000!$C$9:$C$5008)-1)+$K$9037</f>
        <v>0.8059611922384009</v>
      </c>
    </row>
    <row r="9039" spans="8:11">
      <c r="H9039">
        <f>SMALL(SimData5000!$B$9:$B$5008,4031)</f>
        <v>0.80602474975353677</v>
      </c>
      <c r="I9039">
        <f>1/(COUNT(SimData5000!$B$9:$B$5008)-1)+$I$9038</f>
        <v>0.80616123224640246</v>
      </c>
      <c r="J9039">
        <f>SMALL(SimData5000!$C$9:$C$5008,4031)</f>
        <v>0.81156575600925862</v>
      </c>
      <c r="K9039">
        <f>1/(COUNT(SimData5000!$C$9:$C$5008)-1)+$K$9038</f>
        <v>0.80616123224640246</v>
      </c>
    </row>
    <row r="9040" spans="8:11">
      <c r="H9040">
        <f>SMALL(SimData5000!$B$9:$B$5008,4032)</f>
        <v>0.80638296504779317</v>
      </c>
      <c r="I9040">
        <f>1/(COUNT(SimData5000!$B$9:$B$5008)-1)+$I$9039</f>
        <v>0.80636127225440402</v>
      </c>
      <c r="J9040">
        <f>SMALL(SimData5000!$C$9:$C$5008,4032)</f>
        <v>0.81177491655307676</v>
      </c>
      <c r="K9040">
        <f>1/(COUNT(SimData5000!$C$9:$C$5008)-1)+$K$9039</f>
        <v>0.80636127225440402</v>
      </c>
    </row>
    <row r="9041" spans="8:11">
      <c r="H9041">
        <f>SMALL(SimData5000!$B$9:$B$5008,4033)</f>
        <v>0.80641516499920174</v>
      </c>
      <c r="I9041">
        <f>1/(COUNT(SimData5000!$B$9:$B$5008)-1)+$I$9040</f>
        <v>0.80656131226240557</v>
      </c>
      <c r="J9041">
        <f>SMALL(SimData5000!$C$9:$C$5008,4033)</f>
        <v>0.81190520523068699</v>
      </c>
      <c r="K9041">
        <f>1/(COUNT(SimData5000!$C$9:$C$5008)-1)+$K$9040</f>
        <v>0.80656131226240557</v>
      </c>
    </row>
    <row r="9042" spans="8:11">
      <c r="H9042">
        <f>SMALL(SimData5000!$B$9:$B$5008,4034)</f>
        <v>0.80662537788013589</v>
      </c>
      <c r="I9042">
        <f>1/(COUNT(SimData5000!$B$9:$B$5008)-1)+$I$9041</f>
        <v>0.80676135227040713</v>
      </c>
      <c r="J9042">
        <f>SMALL(SimData5000!$C$9:$C$5008,4034)</f>
        <v>0.81201189009061636</v>
      </c>
      <c r="K9042">
        <f>1/(COUNT(SimData5000!$C$9:$C$5008)-1)+$K$9041</f>
        <v>0.80676135227040713</v>
      </c>
    </row>
    <row r="9043" spans="8:11">
      <c r="H9043">
        <f>SMALL(SimData5000!$B$9:$B$5008,4035)</f>
        <v>0.8068441753415494</v>
      </c>
      <c r="I9043">
        <f>1/(COUNT(SimData5000!$B$9:$B$5008)-1)+$I$9042</f>
        <v>0.80696139227840868</v>
      </c>
      <c r="J9043">
        <f>SMALL(SimData5000!$C$9:$C$5008,4035)</f>
        <v>0.81229285309656518</v>
      </c>
      <c r="K9043">
        <f>1/(COUNT(SimData5000!$C$9:$C$5008)-1)+$K$9042</f>
        <v>0.80696139227840868</v>
      </c>
    </row>
    <row r="9044" spans="8:11">
      <c r="H9044">
        <f>SMALL(SimData5000!$B$9:$B$5008,4036)</f>
        <v>0.8071417953185136</v>
      </c>
      <c r="I9044">
        <f>1/(COUNT(SimData5000!$B$9:$B$5008)-1)+$I$9043</f>
        <v>0.80716143228641024</v>
      </c>
      <c r="J9044">
        <f>SMALL(SimData5000!$C$9:$C$5008,4036)</f>
        <v>0.81239457814263005</v>
      </c>
      <c r="K9044">
        <f>1/(COUNT(SimData5000!$C$9:$C$5008)-1)+$K$9043</f>
        <v>0.80716143228641024</v>
      </c>
    </row>
    <row r="9045" spans="8:11">
      <c r="H9045">
        <f>SMALL(SimData5000!$B$9:$B$5008,4037)</f>
        <v>0.80738584632258537</v>
      </c>
      <c r="I9045">
        <f>1/(COUNT(SimData5000!$B$9:$B$5008)-1)+$I$9044</f>
        <v>0.8073614722944118</v>
      </c>
      <c r="J9045">
        <f>SMALL(SimData5000!$C$9:$C$5008,4037)</f>
        <v>0.81253325426226297</v>
      </c>
      <c r="K9045">
        <f>1/(COUNT(SimData5000!$C$9:$C$5008)-1)+$K$9044</f>
        <v>0.8073614722944118</v>
      </c>
    </row>
    <row r="9046" spans="8:11">
      <c r="H9046">
        <f>SMALL(SimData5000!$B$9:$B$5008,4038)</f>
        <v>0.80759609537394628</v>
      </c>
      <c r="I9046">
        <f>1/(COUNT(SimData5000!$B$9:$B$5008)-1)+$I$9045</f>
        <v>0.80756151230241335</v>
      </c>
      <c r="J9046">
        <f>SMALL(SimData5000!$C$9:$C$5008,4038)</f>
        <v>0.81263176575521356</v>
      </c>
      <c r="K9046">
        <f>1/(COUNT(SimData5000!$C$9:$C$5008)-1)+$K$9045</f>
        <v>0.80756151230241335</v>
      </c>
    </row>
    <row r="9047" spans="8:11">
      <c r="H9047">
        <f>SMALL(SimData5000!$B$9:$B$5008,4039)</f>
        <v>0.80761299560973721</v>
      </c>
      <c r="I9047">
        <f>1/(COUNT(SimData5000!$B$9:$B$5008)-1)+$I$9046</f>
        <v>0.80776155231041491</v>
      </c>
      <c r="J9047">
        <f>SMALL(SimData5000!$C$9:$C$5008,4039)</f>
        <v>0.81280976748257672</v>
      </c>
      <c r="K9047">
        <f>1/(COUNT(SimData5000!$C$9:$C$5008)-1)+$K$9046</f>
        <v>0.80776155231041491</v>
      </c>
    </row>
    <row r="9048" spans="8:11">
      <c r="H9048">
        <f>SMALL(SimData5000!$B$9:$B$5008,4040)</f>
        <v>0.80797867094827314</v>
      </c>
      <c r="I9048">
        <f>1/(COUNT(SimData5000!$B$9:$B$5008)-1)+$I$9047</f>
        <v>0.80796159231841647</v>
      </c>
      <c r="J9048">
        <f>SMALL(SimData5000!$C$9:$C$5008,4040)</f>
        <v>0.81281403783123096</v>
      </c>
      <c r="K9048">
        <f>1/(COUNT(SimData5000!$C$9:$C$5008)-1)+$K$9047</f>
        <v>0.80796159231841647</v>
      </c>
    </row>
    <row r="9049" spans="8:11">
      <c r="H9049">
        <f>SMALL(SimData5000!$B$9:$B$5008,4041)</f>
        <v>0.80808458372421677</v>
      </c>
      <c r="I9049">
        <f>1/(COUNT(SimData5000!$B$9:$B$5008)-1)+$I$9048</f>
        <v>0.80816163232641802</v>
      </c>
      <c r="J9049">
        <f>SMALL(SimData5000!$C$9:$C$5008,4041)</f>
        <v>0.81284400495860609</v>
      </c>
      <c r="K9049">
        <f>1/(COUNT(SimData5000!$C$9:$C$5008)-1)+$K$9048</f>
        <v>0.80816163232641802</v>
      </c>
    </row>
    <row r="9050" spans="8:11">
      <c r="H9050">
        <f>SMALL(SimData5000!$B$9:$B$5008,4042)</f>
        <v>0.80837739504794059</v>
      </c>
      <c r="I9050">
        <f>1/(COUNT(SimData5000!$B$9:$B$5008)-1)+$I$9049</f>
        <v>0.80836167233441958</v>
      </c>
      <c r="J9050">
        <f>SMALL(SimData5000!$C$9:$C$5008,4042)</f>
        <v>0.81328398011646641</v>
      </c>
      <c r="K9050">
        <f>1/(COUNT(SimData5000!$C$9:$C$5008)-1)+$K$9049</f>
        <v>0.80836167233441958</v>
      </c>
    </row>
    <row r="9051" spans="8:11">
      <c r="H9051">
        <f>SMALL(SimData5000!$B$9:$B$5008,4043)</f>
        <v>0.80856209711296534</v>
      </c>
      <c r="I9051">
        <f>1/(COUNT(SimData5000!$B$9:$B$5008)-1)+$I$9050</f>
        <v>0.80856171234242113</v>
      </c>
      <c r="J9051">
        <f>SMALL(SimData5000!$C$9:$C$5008,4043)</f>
        <v>0.81384546596655127</v>
      </c>
      <c r="K9051">
        <f>1/(COUNT(SimData5000!$C$9:$C$5008)-1)+$K$9050</f>
        <v>0.80856171234242113</v>
      </c>
    </row>
    <row r="9052" spans="8:11">
      <c r="H9052">
        <f>SMALL(SimData5000!$B$9:$B$5008,4044)</f>
        <v>0.80879098198669752</v>
      </c>
      <c r="I9052">
        <f>1/(COUNT(SimData5000!$B$9:$B$5008)-1)+$I$9051</f>
        <v>0.80876175235042269</v>
      </c>
      <c r="J9052">
        <f>SMALL(SimData5000!$C$9:$C$5008,4044)</f>
        <v>0.81396698126536648</v>
      </c>
      <c r="K9052">
        <f>1/(COUNT(SimData5000!$C$9:$C$5008)-1)+$K$9051</f>
        <v>0.80876175235042269</v>
      </c>
    </row>
    <row r="9053" spans="8:11">
      <c r="H9053">
        <f>SMALL(SimData5000!$B$9:$B$5008,4045)</f>
        <v>0.8088926407021686</v>
      </c>
      <c r="I9053">
        <f>1/(COUNT(SimData5000!$B$9:$B$5008)-1)+$I$9052</f>
        <v>0.80896179235842425</v>
      </c>
      <c r="J9053">
        <f>SMALL(SimData5000!$C$9:$C$5008,4045)</f>
        <v>0.81416081139559537</v>
      </c>
      <c r="K9053">
        <f>1/(COUNT(SimData5000!$C$9:$C$5008)-1)+$K$9052</f>
        <v>0.80896179235842425</v>
      </c>
    </row>
    <row r="9054" spans="8:11">
      <c r="H9054">
        <f>SMALL(SimData5000!$B$9:$B$5008,4046)</f>
        <v>0.80909820655470199</v>
      </c>
      <c r="I9054">
        <f>1/(COUNT(SimData5000!$B$9:$B$5008)-1)+$I$9053</f>
        <v>0.8091618323664258</v>
      </c>
      <c r="J9054">
        <f>SMALL(SimData5000!$C$9:$C$5008,4046)</f>
        <v>0.81419508670569485</v>
      </c>
      <c r="K9054">
        <f>1/(COUNT(SimData5000!$C$9:$C$5008)-1)+$K$9053</f>
        <v>0.8091618323664258</v>
      </c>
    </row>
    <row r="9055" spans="8:11">
      <c r="H9055">
        <f>SMALL(SimData5000!$B$9:$B$5008,4047)</f>
        <v>0.80927098205747805</v>
      </c>
      <c r="I9055">
        <f>1/(COUNT(SimData5000!$B$9:$B$5008)-1)+$I$9054</f>
        <v>0.80936187237442736</v>
      </c>
      <c r="J9055">
        <f>SMALL(SimData5000!$C$9:$C$5008,4047)</f>
        <v>0.81487163296060316</v>
      </c>
      <c r="K9055">
        <f>1/(COUNT(SimData5000!$C$9:$C$5008)-1)+$K$9054</f>
        <v>0.80936187237442736</v>
      </c>
    </row>
    <row r="9056" spans="8:11">
      <c r="H9056">
        <f>SMALL(SimData5000!$B$9:$B$5008,4048)</f>
        <v>0.80946270455742786</v>
      </c>
      <c r="I9056">
        <f>1/(COUNT(SimData5000!$B$9:$B$5008)-1)+$I$9055</f>
        <v>0.80956191238242892</v>
      </c>
      <c r="J9056">
        <f>SMALL(SimData5000!$C$9:$C$5008,4048)</f>
        <v>0.81490290043620917</v>
      </c>
      <c r="K9056">
        <f>1/(COUNT(SimData5000!$C$9:$C$5008)-1)+$K$9055</f>
        <v>0.80956191238242892</v>
      </c>
    </row>
    <row r="9057" spans="8:11">
      <c r="H9057">
        <f>SMALL(SimData5000!$B$9:$B$5008,4049)</f>
        <v>0.80972410081939872</v>
      </c>
      <c r="I9057">
        <f>1/(COUNT(SimData5000!$B$9:$B$5008)-1)+$I$9056</f>
        <v>0.80976195239043047</v>
      </c>
      <c r="J9057">
        <f>SMALL(SimData5000!$C$9:$C$5008,4049)</f>
        <v>0.81495184353843797</v>
      </c>
      <c r="K9057">
        <f>1/(COUNT(SimData5000!$C$9:$C$5008)-1)+$K$9056</f>
        <v>0.80976195239043047</v>
      </c>
    </row>
    <row r="9058" spans="8:11">
      <c r="H9058">
        <f>SMALL(SimData5000!$B$9:$B$5008,4050)</f>
        <v>0.80987945684322138</v>
      </c>
      <c r="I9058">
        <f>1/(COUNT(SimData5000!$B$9:$B$5008)-1)+$I$9057</f>
        <v>0.80996199239843203</v>
      </c>
      <c r="J9058">
        <f>SMALL(SimData5000!$C$9:$C$5008,4050)</f>
        <v>0.8154047980424366</v>
      </c>
      <c r="K9058">
        <f>1/(COUNT(SimData5000!$C$9:$C$5008)-1)+$K$9057</f>
        <v>0.80996199239843203</v>
      </c>
    </row>
    <row r="9059" spans="8:11">
      <c r="H9059">
        <f>SMALL(SimData5000!$B$9:$B$5008,4051)</f>
        <v>0.81004194630636872</v>
      </c>
      <c r="I9059">
        <f>1/(COUNT(SimData5000!$B$9:$B$5008)-1)+$I$9058</f>
        <v>0.81016203240643359</v>
      </c>
      <c r="J9059">
        <f>SMALL(SimData5000!$C$9:$C$5008,4051)</f>
        <v>0.81543412331393483</v>
      </c>
      <c r="K9059">
        <f>1/(COUNT(SimData5000!$C$9:$C$5008)-1)+$K$9058</f>
        <v>0.81016203240643359</v>
      </c>
    </row>
    <row r="9060" spans="8:11">
      <c r="H9060">
        <f>SMALL(SimData5000!$B$9:$B$5008,4052)</f>
        <v>0.81025045464254231</v>
      </c>
      <c r="I9060">
        <f>1/(COUNT(SimData5000!$B$9:$B$5008)-1)+$I$9059</f>
        <v>0.81036207241443514</v>
      </c>
      <c r="J9060">
        <f>SMALL(SimData5000!$C$9:$C$5008,4052)</f>
        <v>0.81543603330101178</v>
      </c>
      <c r="K9060">
        <f>1/(COUNT(SimData5000!$C$9:$C$5008)-1)+$K$9059</f>
        <v>0.81036207241443514</v>
      </c>
    </row>
    <row r="9061" spans="8:11">
      <c r="H9061">
        <f>SMALL(SimData5000!$B$9:$B$5008,4053)</f>
        <v>0.810576718906168</v>
      </c>
      <c r="I9061">
        <f>1/(COUNT(SimData5000!$B$9:$B$5008)-1)+$I$9060</f>
        <v>0.8105621124224367</v>
      </c>
      <c r="J9061">
        <f>SMALL(SimData5000!$C$9:$C$5008,4053)</f>
        <v>0.81543774813508207</v>
      </c>
      <c r="K9061">
        <f>1/(COUNT(SimData5000!$C$9:$C$5008)-1)+$K$9060</f>
        <v>0.8105621124224367</v>
      </c>
    </row>
    <row r="9062" spans="8:11">
      <c r="H9062">
        <f>SMALL(SimData5000!$B$9:$B$5008,4054)</f>
        <v>0.81067486967711588</v>
      </c>
      <c r="I9062">
        <f>1/(COUNT(SimData5000!$B$9:$B$5008)-1)+$I$9061</f>
        <v>0.81076215243043825</v>
      </c>
      <c r="J9062">
        <f>SMALL(SimData5000!$C$9:$C$5008,4054)</f>
        <v>0.81577512962758192</v>
      </c>
      <c r="K9062">
        <f>1/(COUNT(SimData5000!$C$9:$C$5008)-1)+$K$9061</f>
        <v>0.81076215243043825</v>
      </c>
    </row>
    <row r="9063" spans="8:11">
      <c r="H9063">
        <f>SMALL(SimData5000!$B$9:$B$5008,4055)</f>
        <v>0.81095527687700364</v>
      </c>
      <c r="I9063">
        <f>1/(COUNT(SimData5000!$B$9:$B$5008)-1)+$I$9062</f>
        <v>0.81096219243843981</v>
      </c>
      <c r="J9063">
        <f>SMALL(SimData5000!$C$9:$C$5008,4055)</f>
        <v>0.81587228530952416</v>
      </c>
      <c r="K9063">
        <f>1/(COUNT(SimData5000!$C$9:$C$5008)-1)+$K$9062</f>
        <v>0.81096219243843981</v>
      </c>
    </row>
    <row r="9064" spans="8:11">
      <c r="H9064">
        <f>SMALL(SimData5000!$B$9:$B$5008,4056)</f>
        <v>0.81113641155514316</v>
      </c>
      <c r="I9064">
        <f>1/(COUNT(SimData5000!$B$9:$B$5008)-1)+$I$9063</f>
        <v>0.81116223244644137</v>
      </c>
      <c r="J9064">
        <f>SMALL(SimData5000!$C$9:$C$5008,4056)</f>
        <v>0.81601664637219073</v>
      </c>
      <c r="K9064">
        <f>1/(COUNT(SimData5000!$C$9:$C$5008)-1)+$K$9063</f>
        <v>0.81116223244644137</v>
      </c>
    </row>
    <row r="9065" spans="8:11">
      <c r="H9065">
        <f>SMALL(SimData5000!$B$9:$B$5008,4057)</f>
        <v>0.81124253798435497</v>
      </c>
      <c r="I9065">
        <f>1/(COUNT(SimData5000!$B$9:$B$5008)-1)+$I$9064</f>
        <v>0.81136227245444292</v>
      </c>
      <c r="J9065">
        <f>SMALL(SimData5000!$C$9:$C$5008,4057)</f>
        <v>0.81621923647799122</v>
      </c>
      <c r="K9065">
        <f>1/(COUNT(SimData5000!$C$9:$C$5008)-1)+$K$9064</f>
        <v>0.81136227245444292</v>
      </c>
    </row>
    <row r="9066" spans="8:11">
      <c r="H9066">
        <f>SMALL(SimData5000!$B$9:$B$5008,4058)</f>
        <v>0.81140970521886124</v>
      </c>
      <c r="I9066">
        <f>1/(COUNT(SimData5000!$B$9:$B$5008)-1)+$I$9065</f>
        <v>0.81156231246244448</v>
      </c>
      <c r="J9066">
        <f>SMALL(SimData5000!$C$9:$C$5008,4058)</f>
        <v>0.81623632888840802</v>
      </c>
      <c r="K9066">
        <f>1/(COUNT(SimData5000!$C$9:$C$5008)-1)+$K$9065</f>
        <v>0.81156231246244448</v>
      </c>
    </row>
    <row r="9067" spans="8:11">
      <c r="H9067">
        <f>SMALL(SimData5000!$B$9:$B$5008,4059)</f>
        <v>0.81172265287738354</v>
      </c>
      <c r="I9067">
        <f>1/(COUNT(SimData5000!$B$9:$B$5008)-1)+$I$9066</f>
        <v>0.81176235247044604</v>
      </c>
      <c r="J9067">
        <f>SMALL(SimData5000!$C$9:$C$5008,4059)</f>
        <v>0.81628226483098842</v>
      </c>
      <c r="K9067">
        <f>1/(COUNT(SimData5000!$C$9:$C$5008)-1)+$K$9066</f>
        <v>0.81176235247044604</v>
      </c>
    </row>
    <row r="9068" spans="8:11">
      <c r="H9068">
        <f>SMALL(SimData5000!$B$9:$B$5008,4060)</f>
        <v>0.8118634432529247</v>
      </c>
      <c r="I9068">
        <f>1/(COUNT(SimData5000!$B$9:$B$5008)-1)+$I$9067</f>
        <v>0.81196239247844759</v>
      </c>
      <c r="J9068">
        <f>SMALL(SimData5000!$C$9:$C$5008,4060)</f>
        <v>0.81630168493396127</v>
      </c>
      <c r="K9068">
        <f>1/(COUNT(SimData5000!$C$9:$C$5008)-1)+$K$9067</f>
        <v>0.81196239247844759</v>
      </c>
    </row>
    <row r="9069" spans="8:11">
      <c r="H9069">
        <f>SMALL(SimData5000!$B$9:$B$5008,4061)</f>
        <v>0.81212254397108286</v>
      </c>
      <c r="I9069">
        <f>1/(COUNT(SimData5000!$B$9:$B$5008)-1)+$I$9068</f>
        <v>0.81216243248644915</v>
      </c>
      <c r="J9069">
        <f>SMALL(SimData5000!$C$9:$C$5008,4061)</f>
        <v>0.81648958325331478</v>
      </c>
      <c r="K9069">
        <f>1/(COUNT(SimData5000!$C$9:$C$5008)-1)+$K$9068</f>
        <v>0.81216243248644915</v>
      </c>
    </row>
    <row r="9070" spans="8:11">
      <c r="H9070">
        <f>SMALL(SimData5000!$B$9:$B$5008,4062)</f>
        <v>0.81234794334898419</v>
      </c>
      <c r="I9070">
        <f>1/(COUNT(SimData5000!$B$9:$B$5008)-1)+$I$9069</f>
        <v>0.8123624724944507</v>
      </c>
      <c r="J9070">
        <f>SMALL(SimData5000!$C$9:$C$5008,4062)</f>
        <v>0.81652939845298533</v>
      </c>
      <c r="K9070">
        <f>1/(COUNT(SimData5000!$C$9:$C$5008)-1)+$K$9069</f>
        <v>0.8123624724944507</v>
      </c>
    </row>
    <row r="9071" spans="8:11">
      <c r="H9071">
        <f>SMALL(SimData5000!$B$9:$B$5008,4063)</f>
        <v>0.81246733184169684</v>
      </c>
      <c r="I9071">
        <f>1/(COUNT(SimData5000!$B$9:$B$5008)-1)+$I$9070</f>
        <v>0.81256251250245226</v>
      </c>
      <c r="J9071">
        <f>SMALL(SimData5000!$C$9:$C$5008,4063)</f>
        <v>0.81679256809820799</v>
      </c>
      <c r="K9071">
        <f>1/(COUNT(SimData5000!$C$9:$C$5008)-1)+$K$9070</f>
        <v>0.81256251250245226</v>
      </c>
    </row>
    <row r="9072" spans="8:11">
      <c r="H9072">
        <f>SMALL(SimData5000!$B$9:$B$5008,4064)</f>
        <v>0.81268694517297835</v>
      </c>
      <c r="I9072">
        <f>1/(COUNT(SimData5000!$B$9:$B$5008)-1)+$I$9071</f>
        <v>0.81276255251045382</v>
      </c>
      <c r="J9072">
        <f>SMALL(SimData5000!$C$9:$C$5008,4064)</f>
        <v>0.81710833692795859</v>
      </c>
      <c r="K9072">
        <f>1/(COUNT(SimData5000!$C$9:$C$5008)-1)+$K$9071</f>
        <v>0.81276255251045382</v>
      </c>
    </row>
    <row r="9073" spans="8:11">
      <c r="H9073">
        <f>SMALL(SimData5000!$B$9:$B$5008,4065)</f>
        <v>0.81287291373193105</v>
      </c>
      <c r="I9073">
        <f>1/(COUNT(SimData5000!$B$9:$B$5008)-1)+$I$9072</f>
        <v>0.81296259251845537</v>
      </c>
      <c r="J9073">
        <f>SMALL(SimData5000!$C$9:$C$5008,4065)</f>
        <v>0.81765474064286536</v>
      </c>
      <c r="K9073">
        <f>1/(COUNT(SimData5000!$C$9:$C$5008)-1)+$K$9072</f>
        <v>0.81296259251845537</v>
      </c>
    </row>
    <row r="9074" spans="8:11">
      <c r="H9074">
        <f>SMALL(SimData5000!$B$9:$B$5008,4066)</f>
        <v>0.81316801860676335</v>
      </c>
      <c r="I9074">
        <f>1/(COUNT(SimData5000!$B$9:$B$5008)-1)+$I$9073</f>
        <v>0.81316263252645693</v>
      </c>
      <c r="J9074">
        <f>SMALL(SimData5000!$C$9:$C$5008,4066)</f>
        <v>0.81772174740035553</v>
      </c>
      <c r="K9074">
        <f>1/(COUNT(SimData5000!$C$9:$C$5008)-1)+$K$9073</f>
        <v>0.81316263252645693</v>
      </c>
    </row>
    <row r="9075" spans="8:11">
      <c r="H9075">
        <f>SMALL(SimData5000!$B$9:$B$5008,4067)</f>
        <v>0.81336178224407174</v>
      </c>
      <c r="I9075">
        <f>1/(COUNT(SimData5000!$B$9:$B$5008)-1)+$I$9074</f>
        <v>0.81336267253445849</v>
      </c>
      <c r="J9075">
        <f>SMALL(SimData5000!$C$9:$C$5008,4067)</f>
        <v>0.81796591783404438</v>
      </c>
      <c r="K9075">
        <f>1/(COUNT(SimData5000!$C$9:$C$5008)-1)+$K$9074</f>
        <v>0.81336267253445849</v>
      </c>
    </row>
    <row r="9076" spans="8:11">
      <c r="H9076">
        <f>SMALL(SimData5000!$B$9:$B$5008,4068)</f>
        <v>0.81347499798952483</v>
      </c>
      <c r="I9076">
        <f>1/(COUNT(SimData5000!$B$9:$B$5008)-1)+$I$9075</f>
        <v>0.81356271254246004</v>
      </c>
      <c r="J9076">
        <f>SMALL(SimData5000!$C$9:$C$5008,4068)</f>
        <v>0.8180989477186813</v>
      </c>
      <c r="K9076">
        <f>1/(COUNT(SimData5000!$C$9:$C$5008)-1)+$K$9075</f>
        <v>0.81356271254246004</v>
      </c>
    </row>
    <row r="9077" spans="8:11">
      <c r="H9077">
        <f>SMALL(SimData5000!$B$9:$B$5008,4069)</f>
        <v>0.81367602548512541</v>
      </c>
      <c r="I9077">
        <f>1/(COUNT(SimData5000!$B$9:$B$5008)-1)+$I$9076</f>
        <v>0.8137627525504616</v>
      </c>
      <c r="J9077">
        <f>SMALL(SimData5000!$C$9:$C$5008,4069)</f>
        <v>0.81832389789997251</v>
      </c>
      <c r="K9077">
        <f>1/(COUNT(SimData5000!$C$9:$C$5008)-1)+$K$9076</f>
        <v>0.8137627525504616</v>
      </c>
    </row>
    <row r="9078" spans="8:11">
      <c r="H9078">
        <f>SMALL(SimData5000!$B$9:$B$5008,4070)</f>
        <v>0.81391925050535219</v>
      </c>
      <c r="I9078">
        <f>1/(COUNT(SimData5000!$B$9:$B$5008)-1)+$I$9077</f>
        <v>0.81396279255846316</v>
      </c>
      <c r="J9078">
        <f>SMALL(SimData5000!$C$9:$C$5008,4070)</f>
        <v>0.81850266372293845</v>
      </c>
      <c r="K9078">
        <f>1/(COUNT(SimData5000!$C$9:$C$5008)-1)+$K$9077</f>
        <v>0.81396279255846316</v>
      </c>
    </row>
    <row r="9079" spans="8:11">
      <c r="H9079">
        <f>SMALL(SimData5000!$B$9:$B$5008,4071)</f>
        <v>0.81411401390021532</v>
      </c>
      <c r="I9079">
        <f>1/(COUNT(SimData5000!$B$9:$B$5008)-1)+$I$9078</f>
        <v>0.81416283256646471</v>
      </c>
      <c r="J9079">
        <f>SMALL(SimData5000!$C$9:$C$5008,4071)</f>
        <v>0.8185357595602909</v>
      </c>
      <c r="K9079">
        <f>1/(COUNT(SimData5000!$C$9:$C$5008)-1)+$K$9078</f>
        <v>0.81416283256646471</v>
      </c>
    </row>
    <row r="9080" spans="8:11">
      <c r="H9080">
        <f>SMALL(SimData5000!$B$9:$B$5008,4072)</f>
        <v>0.81426674802719312</v>
      </c>
      <c r="I9080">
        <f>1/(COUNT(SimData5000!$B$9:$B$5008)-1)+$I$9079</f>
        <v>0.81436287257446627</v>
      </c>
      <c r="J9080">
        <f>SMALL(SimData5000!$C$9:$C$5008,4072)</f>
        <v>0.81871982618213224</v>
      </c>
      <c r="K9080">
        <f>1/(COUNT(SimData5000!$C$9:$C$5008)-1)+$K$9079</f>
        <v>0.81436287257446627</v>
      </c>
    </row>
    <row r="9081" spans="8:11">
      <c r="H9081">
        <f>SMALL(SimData5000!$B$9:$B$5008,4073)</f>
        <v>0.81451801339395302</v>
      </c>
      <c r="I9081">
        <f>1/(COUNT(SimData5000!$B$9:$B$5008)-1)+$I$9080</f>
        <v>0.81456291258246782</v>
      </c>
      <c r="J9081">
        <f>SMALL(SimData5000!$C$9:$C$5008,4073)</f>
        <v>0.81879891125754511</v>
      </c>
      <c r="K9081">
        <f>1/(COUNT(SimData5000!$C$9:$C$5008)-1)+$K$9080</f>
        <v>0.81456291258246782</v>
      </c>
    </row>
    <row r="9082" spans="8:11">
      <c r="H9082">
        <f>SMALL(SimData5000!$B$9:$B$5008,4074)</f>
        <v>0.81463186787130126</v>
      </c>
      <c r="I9082">
        <f>1/(COUNT(SimData5000!$B$9:$B$5008)-1)+$I$9081</f>
        <v>0.81476295259046938</v>
      </c>
      <c r="J9082">
        <f>SMALL(SimData5000!$C$9:$C$5008,4074)</f>
        <v>0.81894219661990064</v>
      </c>
      <c r="K9082">
        <f>1/(COUNT(SimData5000!$C$9:$C$5008)-1)+$K$9081</f>
        <v>0.81476295259046938</v>
      </c>
    </row>
    <row r="9083" spans="8:11">
      <c r="H9083">
        <f>SMALL(SimData5000!$B$9:$B$5008,4075)</f>
        <v>0.81488675343182093</v>
      </c>
      <c r="I9083">
        <f>1/(COUNT(SimData5000!$B$9:$B$5008)-1)+$I$9082</f>
        <v>0.81496299259847094</v>
      </c>
      <c r="J9083">
        <f>SMALL(SimData5000!$C$9:$C$5008,4075)</f>
        <v>0.81914806800978113</v>
      </c>
      <c r="K9083">
        <f>1/(COUNT(SimData5000!$C$9:$C$5008)-1)+$K$9082</f>
        <v>0.81496299259847094</v>
      </c>
    </row>
    <row r="9084" spans="8:11">
      <c r="H9084">
        <f>SMALL(SimData5000!$B$9:$B$5008,4076)</f>
        <v>0.81512041150110781</v>
      </c>
      <c r="I9084">
        <f>1/(COUNT(SimData5000!$B$9:$B$5008)-1)+$I$9083</f>
        <v>0.81516303260647249</v>
      </c>
      <c r="J9084">
        <f>SMALL(SimData5000!$C$9:$C$5008,4076)</f>
        <v>0.81944625687265216</v>
      </c>
      <c r="K9084">
        <f>1/(COUNT(SimData5000!$C$9:$C$5008)-1)+$K$9083</f>
        <v>0.81516303260647249</v>
      </c>
    </row>
    <row r="9085" spans="8:11">
      <c r="H9085">
        <f>SMALL(SimData5000!$B$9:$B$5008,4077)</f>
        <v>0.81535371605203344</v>
      </c>
      <c r="I9085">
        <f>1/(COUNT(SimData5000!$B$9:$B$5008)-1)+$I$9084</f>
        <v>0.81536307261447405</v>
      </c>
      <c r="J9085">
        <f>SMALL(SimData5000!$C$9:$C$5008,4077)</f>
        <v>0.81966232648574078</v>
      </c>
      <c r="K9085">
        <f>1/(COUNT(SimData5000!$C$9:$C$5008)-1)+$K$9084</f>
        <v>0.81536307261447405</v>
      </c>
    </row>
    <row r="9086" spans="8:11">
      <c r="H9086">
        <f>SMALL(SimData5000!$B$9:$B$5008,4078)</f>
        <v>0.81554368501690766</v>
      </c>
      <c r="I9086">
        <f>1/(COUNT(SimData5000!$B$9:$B$5008)-1)+$I$9085</f>
        <v>0.81556311262247561</v>
      </c>
      <c r="J9086">
        <f>SMALL(SimData5000!$C$9:$C$5008,4078)</f>
        <v>0.81977938768432068</v>
      </c>
      <c r="K9086">
        <f>1/(COUNT(SimData5000!$C$9:$C$5008)-1)+$K$9085</f>
        <v>0.81556311262247561</v>
      </c>
    </row>
    <row r="9087" spans="8:11">
      <c r="H9087">
        <f>SMALL(SimData5000!$B$9:$B$5008,4079)</f>
        <v>0.81573860064585202</v>
      </c>
      <c r="I9087">
        <f>1/(COUNT(SimData5000!$B$9:$B$5008)-1)+$I$9086</f>
        <v>0.81576315263047716</v>
      </c>
      <c r="J9087">
        <f>SMALL(SimData5000!$C$9:$C$5008,4079)</f>
        <v>0.8204777685168807</v>
      </c>
      <c r="K9087">
        <f>1/(COUNT(SimData5000!$C$9:$C$5008)-1)+$K$9086</f>
        <v>0.81576315263047716</v>
      </c>
    </row>
    <row r="9088" spans="8:11">
      <c r="H9088">
        <f>SMALL(SimData5000!$B$9:$B$5008,4080)</f>
        <v>0.81596741718192767</v>
      </c>
      <c r="I9088">
        <f>1/(COUNT(SimData5000!$B$9:$B$5008)-1)+$I$9087</f>
        <v>0.81596319263847872</v>
      </c>
      <c r="J9088">
        <f>SMALL(SimData5000!$C$9:$C$5008,4080)</f>
        <v>0.82097477681782038</v>
      </c>
      <c r="K9088">
        <f>1/(COUNT(SimData5000!$C$9:$C$5008)-1)+$K$9087</f>
        <v>0.81596319263847872</v>
      </c>
    </row>
    <row r="9089" spans="8:11">
      <c r="H9089">
        <f>SMALL(SimData5000!$B$9:$B$5008,4081)</f>
        <v>0.81601544152195926</v>
      </c>
      <c r="I9089">
        <f>1/(COUNT(SimData5000!$B$9:$B$5008)-1)+$I$9088</f>
        <v>0.81616323264648027</v>
      </c>
      <c r="J9089">
        <f>SMALL(SimData5000!$C$9:$C$5008,4081)</f>
        <v>0.8210253650759114</v>
      </c>
      <c r="K9089">
        <f>1/(COUNT(SimData5000!$C$9:$C$5008)-1)+$K$9088</f>
        <v>0.81616323264648027</v>
      </c>
    </row>
    <row r="9090" spans="8:11">
      <c r="H9090">
        <f>SMALL(SimData5000!$B$9:$B$5008,4082)</f>
        <v>0.8163260980217546</v>
      </c>
      <c r="I9090">
        <f>1/(COUNT(SimData5000!$B$9:$B$5008)-1)+$I$9089</f>
        <v>0.81636327265448183</v>
      </c>
      <c r="J9090">
        <f>SMALL(SimData5000!$C$9:$C$5008,4082)</f>
        <v>0.82111095293839753</v>
      </c>
      <c r="K9090">
        <f>1/(COUNT(SimData5000!$C$9:$C$5008)-1)+$K$9089</f>
        <v>0.81636327265448183</v>
      </c>
    </row>
    <row r="9091" spans="8:11">
      <c r="H9091">
        <f>SMALL(SimData5000!$B$9:$B$5008,4083)</f>
        <v>0.81650139744652006</v>
      </c>
      <c r="I9091">
        <f>1/(COUNT(SimData5000!$B$9:$B$5008)-1)+$I$9090</f>
        <v>0.81656331266248339</v>
      </c>
      <c r="J9091">
        <f>SMALL(SimData5000!$C$9:$C$5008,4083)</f>
        <v>0.82122454505952192</v>
      </c>
      <c r="K9091">
        <f>1/(COUNT(SimData5000!$C$9:$C$5008)-1)+$K$9090</f>
        <v>0.81656331266248339</v>
      </c>
    </row>
    <row r="9092" spans="8:11">
      <c r="H9092">
        <f>SMALL(SimData5000!$B$9:$B$5008,4084)</f>
        <v>0.81661313629378873</v>
      </c>
      <c r="I9092">
        <f>1/(COUNT(SimData5000!$B$9:$B$5008)-1)+$I$9091</f>
        <v>0.81676335267048494</v>
      </c>
      <c r="J9092">
        <f>SMALL(SimData5000!$C$9:$C$5008,4084)</f>
        <v>0.82141270511874609</v>
      </c>
      <c r="K9092">
        <f>1/(COUNT(SimData5000!$C$9:$C$5008)-1)+$K$9091</f>
        <v>0.81676335267048494</v>
      </c>
    </row>
    <row r="9093" spans="8:11">
      <c r="H9093">
        <f>SMALL(SimData5000!$B$9:$B$5008,4085)</f>
        <v>0.81699984458698893</v>
      </c>
      <c r="I9093">
        <f>1/(COUNT(SimData5000!$B$9:$B$5008)-1)+$I$9092</f>
        <v>0.8169633926784865</v>
      </c>
      <c r="J9093">
        <f>SMALL(SimData5000!$C$9:$C$5008,4085)</f>
        <v>0.82141817704814457</v>
      </c>
      <c r="K9093">
        <f>1/(COUNT(SimData5000!$C$9:$C$5008)-1)+$K$9092</f>
        <v>0.8169633926784865</v>
      </c>
    </row>
    <row r="9094" spans="8:11">
      <c r="H9094">
        <f>SMALL(SimData5000!$B$9:$B$5008,4086)</f>
        <v>0.81719501500381042</v>
      </c>
      <c r="I9094">
        <f>1/(COUNT(SimData5000!$B$9:$B$5008)-1)+$I$9093</f>
        <v>0.81716343268648806</v>
      </c>
      <c r="J9094">
        <f>SMALL(SimData5000!$C$9:$C$5008,4086)</f>
        <v>0.8215577718710847</v>
      </c>
      <c r="K9094">
        <f>1/(COUNT(SimData5000!$C$9:$C$5008)-1)+$K$9093</f>
        <v>0.81716343268648806</v>
      </c>
    </row>
    <row r="9095" spans="8:11">
      <c r="H9095">
        <f>SMALL(SimData5000!$B$9:$B$5008,4087)</f>
        <v>0.81720842195544596</v>
      </c>
      <c r="I9095">
        <f>1/(COUNT(SimData5000!$B$9:$B$5008)-1)+$I$9094</f>
        <v>0.81736347269448961</v>
      </c>
      <c r="J9095">
        <f>SMALL(SimData5000!$C$9:$C$5008,4087)</f>
        <v>0.82189642893354176</v>
      </c>
      <c r="K9095">
        <f>1/(COUNT(SimData5000!$C$9:$C$5008)-1)+$K$9094</f>
        <v>0.81736347269448961</v>
      </c>
    </row>
    <row r="9096" spans="8:11">
      <c r="H9096">
        <f>SMALL(SimData5000!$B$9:$B$5008,4088)</f>
        <v>0.81752179098784039</v>
      </c>
      <c r="I9096">
        <f>1/(COUNT(SimData5000!$B$9:$B$5008)-1)+$I$9095</f>
        <v>0.81756351270249117</v>
      </c>
      <c r="J9096">
        <f>SMALL(SimData5000!$C$9:$C$5008,4088)</f>
        <v>0.82260729878362326</v>
      </c>
      <c r="K9096">
        <f>1/(COUNT(SimData5000!$C$9:$C$5008)-1)+$K$9095</f>
        <v>0.81756351270249117</v>
      </c>
    </row>
    <row r="9097" spans="8:11">
      <c r="H9097">
        <f>SMALL(SimData5000!$B$9:$B$5008,4089)</f>
        <v>0.81773829946181231</v>
      </c>
      <c r="I9097">
        <f>1/(COUNT(SimData5000!$B$9:$B$5008)-1)+$I$9096</f>
        <v>0.81776355271049272</v>
      </c>
      <c r="J9097">
        <f>SMALL(SimData5000!$C$9:$C$5008,4089)</f>
        <v>0.82301552582521253</v>
      </c>
      <c r="K9097">
        <f>1/(COUNT(SimData5000!$C$9:$C$5008)-1)+$K$9096</f>
        <v>0.81776355271049272</v>
      </c>
    </row>
    <row r="9098" spans="8:11">
      <c r="H9098">
        <f>SMALL(SimData5000!$B$9:$B$5008,4090)</f>
        <v>0.81789845185030685</v>
      </c>
      <c r="I9098">
        <f>1/(COUNT(SimData5000!$B$9:$B$5008)-1)+$I$9097</f>
        <v>0.81796359271849428</v>
      </c>
      <c r="J9098">
        <f>SMALL(SimData5000!$C$9:$C$5008,4090)</f>
        <v>0.82323490803173627</v>
      </c>
      <c r="K9098">
        <f>1/(COUNT(SimData5000!$C$9:$C$5008)-1)+$K$9097</f>
        <v>0.81796359271849428</v>
      </c>
    </row>
    <row r="9099" spans="8:11">
      <c r="H9099">
        <f>SMALL(SimData5000!$B$9:$B$5008,4091)</f>
        <v>0.81804394187518481</v>
      </c>
      <c r="I9099">
        <f>1/(COUNT(SimData5000!$B$9:$B$5008)-1)+$I$9098</f>
        <v>0.81816363272649584</v>
      </c>
      <c r="J9099">
        <f>SMALL(SimData5000!$C$9:$C$5008,4091)</f>
        <v>0.82329512418436934</v>
      </c>
      <c r="K9099">
        <f>1/(COUNT(SimData5000!$C$9:$C$5008)-1)+$K$9098</f>
        <v>0.81816363272649584</v>
      </c>
    </row>
    <row r="9100" spans="8:11">
      <c r="H9100">
        <f>SMALL(SimData5000!$B$9:$B$5008,4092)</f>
        <v>0.81821881283522091</v>
      </c>
      <c r="I9100">
        <f>1/(COUNT(SimData5000!$B$9:$B$5008)-1)+$I$9099</f>
        <v>0.81836367273449739</v>
      </c>
      <c r="J9100">
        <f>SMALL(SimData5000!$C$9:$C$5008,4092)</f>
        <v>0.82352391156018712</v>
      </c>
      <c r="K9100">
        <f>1/(COUNT(SimData5000!$C$9:$C$5008)-1)+$K$9099</f>
        <v>0.81836367273449739</v>
      </c>
    </row>
    <row r="9101" spans="8:11">
      <c r="H9101">
        <f>SMALL(SimData5000!$B$9:$B$5008,4093)</f>
        <v>0.81859684062334637</v>
      </c>
      <c r="I9101">
        <f>1/(COUNT(SimData5000!$B$9:$B$5008)-1)+$I$9100</f>
        <v>0.81856371274249895</v>
      </c>
      <c r="J9101">
        <f>SMALL(SimData5000!$C$9:$C$5008,4093)</f>
        <v>0.82380474924502778</v>
      </c>
      <c r="K9101">
        <f>1/(COUNT(SimData5000!$C$9:$C$5008)-1)+$K$9100</f>
        <v>0.81856371274249895</v>
      </c>
    </row>
    <row r="9102" spans="8:11">
      <c r="H9102">
        <f>SMALL(SimData5000!$B$9:$B$5008,4094)</f>
        <v>0.81860819733869472</v>
      </c>
      <c r="I9102">
        <f>1/(COUNT(SimData5000!$B$9:$B$5008)-1)+$I$9101</f>
        <v>0.81876375275050051</v>
      </c>
      <c r="J9102">
        <f>SMALL(SimData5000!$C$9:$C$5008,4094)</f>
        <v>0.82387279525391932</v>
      </c>
      <c r="K9102">
        <f>1/(COUNT(SimData5000!$C$9:$C$5008)-1)+$K$9101</f>
        <v>0.81876375275050051</v>
      </c>
    </row>
    <row r="9103" spans="8:11">
      <c r="H9103">
        <f>SMALL(SimData5000!$B$9:$B$5008,4095)</f>
        <v>0.81889185663086639</v>
      </c>
      <c r="I9103">
        <f>1/(COUNT(SimData5000!$B$9:$B$5008)-1)+$I$9102</f>
        <v>0.81896379275850206</v>
      </c>
      <c r="J9103">
        <f>SMALL(SimData5000!$C$9:$C$5008,4095)</f>
        <v>0.82395077114051674</v>
      </c>
      <c r="K9103">
        <f>1/(COUNT(SimData5000!$C$9:$C$5008)-1)+$K$9102</f>
        <v>0.81896379275850206</v>
      </c>
    </row>
    <row r="9104" spans="8:11">
      <c r="H9104">
        <f>SMALL(SimData5000!$B$9:$B$5008,4096)</f>
        <v>0.81912000831088994</v>
      </c>
      <c r="I9104">
        <f>1/(COUNT(SimData5000!$B$9:$B$5008)-1)+$I$9103</f>
        <v>0.81916383276650362</v>
      </c>
      <c r="J9104">
        <f>SMALL(SimData5000!$C$9:$C$5008,4096)</f>
        <v>0.82406740955775604</v>
      </c>
      <c r="K9104">
        <f>1/(COUNT(SimData5000!$C$9:$C$5008)-1)+$K$9103</f>
        <v>0.81916383276650362</v>
      </c>
    </row>
    <row r="9105" spans="8:11">
      <c r="H9105">
        <f>SMALL(SimData5000!$B$9:$B$5008,4097)</f>
        <v>0.81936364323984912</v>
      </c>
      <c r="I9105">
        <f>1/(COUNT(SimData5000!$B$9:$B$5008)-1)+$I$9104</f>
        <v>0.81936387277450518</v>
      </c>
      <c r="J9105">
        <f>SMALL(SimData5000!$C$9:$C$5008,4097)</f>
        <v>0.82431153311244998</v>
      </c>
      <c r="K9105">
        <f>1/(COUNT(SimData5000!$C$9:$C$5008)-1)+$K$9104</f>
        <v>0.81936387277450518</v>
      </c>
    </row>
    <row r="9106" spans="8:11">
      <c r="H9106">
        <f>SMALL(SimData5000!$B$9:$B$5008,4098)</f>
        <v>0.81957351746456075</v>
      </c>
      <c r="I9106">
        <f>1/(COUNT(SimData5000!$B$9:$B$5008)-1)+$I$9105</f>
        <v>0.81956391278250673</v>
      </c>
      <c r="J9106">
        <f>SMALL(SimData5000!$C$9:$C$5008,4098)</f>
        <v>0.82440530304484128</v>
      </c>
      <c r="K9106">
        <f>1/(COUNT(SimData5000!$C$9:$C$5008)-1)+$K$9105</f>
        <v>0.81956391278250673</v>
      </c>
    </row>
    <row r="9107" spans="8:11">
      <c r="H9107">
        <f>SMALL(SimData5000!$B$9:$B$5008,4099)</f>
        <v>0.81965594201755154</v>
      </c>
      <c r="I9107">
        <f>1/(COUNT(SimData5000!$B$9:$B$5008)-1)+$I$9106</f>
        <v>0.81976395279050829</v>
      </c>
      <c r="J9107">
        <f>SMALL(SimData5000!$C$9:$C$5008,4099)</f>
        <v>0.82527782334636868</v>
      </c>
      <c r="K9107">
        <f>1/(COUNT(SimData5000!$C$9:$C$5008)-1)+$K$9106</f>
        <v>0.81976395279050829</v>
      </c>
    </row>
    <row r="9108" spans="8:11">
      <c r="H9108">
        <f>SMALL(SimData5000!$B$9:$B$5008,4100)</f>
        <v>0.81993883063251594</v>
      </c>
      <c r="I9108">
        <f>1/(COUNT(SimData5000!$B$9:$B$5008)-1)+$I$9107</f>
        <v>0.81996399279850984</v>
      </c>
      <c r="J9108">
        <f>SMALL(SimData5000!$C$9:$C$5008,4100)</f>
        <v>0.82533740763710739</v>
      </c>
      <c r="K9108">
        <f>1/(COUNT(SimData5000!$C$9:$C$5008)-1)+$K$9107</f>
        <v>0.81996399279850984</v>
      </c>
    </row>
    <row r="9109" spans="8:11">
      <c r="H9109">
        <f>SMALL(SimData5000!$B$9:$B$5008,4101)</f>
        <v>0.82004967353116953</v>
      </c>
      <c r="I9109">
        <f>1/(COUNT(SimData5000!$B$9:$B$5008)-1)+$I$9108</f>
        <v>0.8201640328065114</v>
      </c>
      <c r="J9109">
        <f>SMALL(SimData5000!$C$9:$C$5008,4101)</f>
        <v>0.82541721397319634</v>
      </c>
      <c r="K9109">
        <f>1/(COUNT(SimData5000!$C$9:$C$5008)-1)+$K$9108</f>
        <v>0.8201640328065114</v>
      </c>
    </row>
    <row r="9110" spans="8:11">
      <c r="H9110">
        <f>SMALL(SimData5000!$B$9:$B$5008,4102)</f>
        <v>0.82020117219719146</v>
      </c>
      <c r="I9110">
        <f>1/(COUNT(SimData5000!$B$9:$B$5008)-1)+$I$9109</f>
        <v>0.82036407281451296</v>
      </c>
      <c r="J9110">
        <f>SMALL(SimData5000!$C$9:$C$5008,4102)</f>
        <v>0.82545619114171132</v>
      </c>
      <c r="K9110">
        <f>1/(COUNT(SimData5000!$C$9:$C$5008)-1)+$K$9109</f>
        <v>0.82036407281451296</v>
      </c>
    </row>
    <row r="9111" spans="8:11">
      <c r="H9111">
        <f>SMALL(SimData5000!$B$9:$B$5008,4103)</f>
        <v>0.82049291625346354</v>
      </c>
      <c r="I9111">
        <f>1/(COUNT(SimData5000!$B$9:$B$5008)-1)+$I$9110</f>
        <v>0.82056411282251451</v>
      </c>
      <c r="J9111">
        <f>SMALL(SimData5000!$C$9:$C$5008,4103)</f>
        <v>0.82614941022984567</v>
      </c>
      <c r="K9111">
        <f>1/(COUNT(SimData5000!$C$9:$C$5008)-1)+$K$9110</f>
        <v>0.82056411282251451</v>
      </c>
    </row>
    <row r="9112" spans="8:11">
      <c r="H9112">
        <f>SMALL(SimData5000!$B$9:$B$5008,4104)</f>
        <v>0.82077813287935641</v>
      </c>
      <c r="I9112">
        <f>1/(COUNT(SimData5000!$B$9:$B$5008)-1)+$I$9111</f>
        <v>0.82076415283051607</v>
      </c>
      <c r="J9112">
        <f>SMALL(SimData5000!$C$9:$C$5008,4104)</f>
        <v>0.82678486153236008</v>
      </c>
      <c r="K9112">
        <f>1/(COUNT(SimData5000!$C$9:$C$5008)-1)+$K$9111</f>
        <v>0.82076415283051607</v>
      </c>
    </row>
    <row r="9113" spans="8:11">
      <c r="H9113">
        <f>SMALL(SimData5000!$B$9:$B$5008,4105)</f>
        <v>0.82088248588970925</v>
      </c>
      <c r="I9113">
        <f>1/(COUNT(SimData5000!$B$9:$B$5008)-1)+$I$9112</f>
        <v>0.82096419283851763</v>
      </c>
      <c r="J9113">
        <f>SMALL(SimData5000!$C$9:$C$5008,4105)</f>
        <v>0.82682510454378644</v>
      </c>
      <c r="K9113">
        <f>1/(COUNT(SimData5000!$C$9:$C$5008)-1)+$K$9112</f>
        <v>0.82096419283851763</v>
      </c>
    </row>
    <row r="9114" spans="8:11">
      <c r="H9114">
        <f>SMALL(SimData5000!$B$9:$B$5008,4106)</f>
        <v>0.82109274383338471</v>
      </c>
      <c r="I9114">
        <f>1/(COUNT(SimData5000!$B$9:$B$5008)-1)+$I$9113</f>
        <v>0.82116423284651918</v>
      </c>
      <c r="J9114">
        <f>SMALL(SimData5000!$C$9:$C$5008,4106)</f>
        <v>0.8268436679009028</v>
      </c>
      <c r="K9114">
        <f>1/(COUNT(SimData5000!$C$9:$C$5008)-1)+$K$9113</f>
        <v>0.82116423284651918</v>
      </c>
    </row>
    <row r="9115" spans="8:11">
      <c r="H9115">
        <f>SMALL(SimData5000!$B$9:$B$5008,4107)</f>
        <v>0.82131413235890538</v>
      </c>
      <c r="I9115">
        <f>1/(COUNT(SimData5000!$B$9:$B$5008)-1)+$I$9114</f>
        <v>0.82136427285452074</v>
      </c>
      <c r="J9115">
        <f>SMALL(SimData5000!$C$9:$C$5008,4107)</f>
        <v>0.82706145092106453</v>
      </c>
      <c r="K9115">
        <f>1/(COUNT(SimData5000!$C$9:$C$5008)-1)+$K$9114</f>
        <v>0.82136427285452074</v>
      </c>
    </row>
    <row r="9116" spans="8:11">
      <c r="H9116">
        <f>SMALL(SimData5000!$B$9:$B$5008,4108)</f>
        <v>0.82146702070796562</v>
      </c>
      <c r="I9116">
        <f>1/(COUNT(SimData5000!$B$9:$B$5008)-1)+$I$9115</f>
        <v>0.82156431286252229</v>
      </c>
      <c r="J9116">
        <f>SMALL(SimData5000!$C$9:$C$5008,4108)</f>
        <v>0.82707114979348262</v>
      </c>
      <c r="K9116">
        <f>1/(COUNT(SimData5000!$C$9:$C$5008)-1)+$K$9115</f>
        <v>0.82156431286252229</v>
      </c>
    </row>
    <row r="9117" spans="8:11">
      <c r="H9117">
        <f>SMALL(SimData5000!$B$9:$B$5008,4109)</f>
        <v>0.8216497420686879</v>
      </c>
      <c r="I9117">
        <f>1/(COUNT(SimData5000!$B$9:$B$5008)-1)+$I$9116</f>
        <v>0.82176435287052385</v>
      </c>
      <c r="J9117">
        <f>SMALL(SimData5000!$C$9:$C$5008,4109)</f>
        <v>0.82707797889906942</v>
      </c>
      <c r="K9117">
        <f>1/(COUNT(SimData5000!$C$9:$C$5008)-1)+$K$9116</f>
        <v>0.82176435287052385</v>
      </c>
    </row>
    <row r="9118" spans="8:11">
      <c r="H9118">
        <f>SMALL(SimData5000!$B$9:$B$5008,4110)</f>
        <v>0.82193428049691353</v>
      </c>
      <c r="I9118">
        <f>1/(COUNT(SimData5000!$B$9:$B$5008)-1)+$I$9117</f>
        <v>0.82196439287852541</v>
      </c>
      <c r="J9118">
        <f>SMALL(SimData5000!$C$9:$C$5008,4110)</f>
        <v>0.82708134409313061</v>
      </c>
      <c r="K9118">
        <f>1/(COUNT(SimData5000!$C$9:$C$5008)-1)+$K$9117</f>
        <v>0.82196439287852541</v>
      </c>
    </row>
    <row r="9119" spans="8:11">
      <c r="H9119">
        <f>SMALL(SimData5000!$B$9:$B$5008,4111)</f>
        <v>0.82208265377587708</v>
      </c>
      <c r="I9119">
        <f>1/(COUNT(SimData5000!$B$9:$B$5008)-1)+$I$9118</f>
        <v>0.82216443288652696</v>
      </c>
      <c r="J9119">
        <f>SMALL(SimData5000!$C$9:$C$5008,4111)</f>
        <v>0.82715196402386937</v>
      </c>
      <c r="K9119">
        <f>1/(COUNT(SimData5000!$C$9:$C$5008)-1)+$K$9118</f>
        <v>0.82216443288652696</v>
      </c>
    </row>
    <row r="9120" spans="8:11">
      <c r="H9120">
        <f>SMALL(SimData5000!$B$9:$B$5008,4112)</f>
        <v>0.82226175236591648</v>
      </c>
      <c r="I9120">
        <f>1/(COUNT(SimData5000!$B$9:$B$5008)-1)+$I$9119</f>
        <v>0.82236447289452852</v>
      </c>
      <c r="J9120">
        <f>SMALL(SimData5000!$C$9:$C$5008,4112)</f>
        <v>0.82730967522002175</v>
      </c>
      <c r="K9120">
        <f>1/(COUNT(SimData5000!$C$9:$C$5008)-1)+$K$9119</f>
        <v>0.82236447289452852</v>
      </c>
    </row>
    <row r="9121" spans="8:11">
      <c r="H9121">
        <f>SMALL(SimData5000!$B$9:$B$5008,4113)</f>
        <v>0.8224428083391494</v>
      </c>
      <c r="I9121">
        <f>1/(COUNT(SimData5000!$B$9:$B$5008)-1)+$I$9120</f>
        <v>0.82256451290253008</v>
      </c>
      <c r="J9121">
        <f>SMALL(SimData5000!$C$9:$C$5008,4113)</f>
        <v>0.82735535304163932</v>
      </c>
      <c r="K9121">
        <f>1/(COUNT(SimData5000!$C$9:$C$5008)-1)+$K$9120</f>
        <v>0.82256451290253008</v>
      </c>
    </row>
    <row r="9122" spans="8:11">
      <c r="H9122">
        <f>SMALL(SimData5000!$B$9:$B$5008,4114)</f>
        <v>0.82279698467589846</v>
      </c>
      <c r="I9122">
        <f>1/(COUNT(SimData5000!$B$9:$B$5008)-1)+$I$9121</f>
        <v>0.82276455291053163</v>
      </c>
      <c r="J9122">
        <f>SMALL(SimData5000!$C$9:$C$5008,4114)</f>
        <v>0.82742327118467074</v>
      </c>
      <c r="K9122">
        <f>1/(COUNT(SimData5000!$C$9:$C$5008)-1)+$K$9121</f>
        <v>0.82276455291053163</v>
      </c>
    </row>
    <row r="9123" spans="8:11">
      <c r="H9123">
        <f>SMALL(SimData5000!$B$9:$B$5008,4115)</f>
        <v>0.82290373039513454</v>
      </c>
      <c r="I9123">
        <f>1/(COUNT(SimData5000!$B$9:$B$5008)-1)+$I$9122</f>
        <v>0.82296459291853319</v>
      </c>
      <c r="J9123">
        <f>SMALL(SimData5000!$C$9:$C$5008,4115)</f>
        <v>0.82748127270770055</v>
      </c>
      <c r="K9123">
        <f>1/(COUNT(SimData5000!$C$9:$C$5008)-1)+$K$9122</f>
        <v>0.82296459291853319</v>
      </c>
    </row>
    <row r="9124" spans="8:11">
      <c r="H9124">
        <f>SMALL(SimData5000!$B$9:$B$5008,4116)</f>
        <v>0.82316075832926694</v>
      </c>
      <c r="I9124">
        <f>1/(COUNT(SimData5000!$B$9:$B$5008)-1)+$I$9123</f>
        <v>0.82316463292653475</v>
      </c>
      <c r="J9124">
        <f>SMALL(SimData5000!$C$9:$C$5008,4116)</f>
        <v>0.82756690749738482</v>
      </c>
      <c r="K9124">
        <f>1/(COUNT(SimData5000!$C$9:$C$5008)-1)+$K$9123</f>
        <v>0.82316463292653475</v>
      </c>
    </row>
    <row r="9125" spans="8:11">
      <c r="H9125">
        <f>SMALL(SimData5000!$B$9:$B$5008,4117)</f>
        <v>0.82323175525782444</v>
      </c>
      <c r="I9125">
        <f>1/(COUNT(SimData5000!$B$9:$B$5008)-1)+$I$9124</f>
        <v>0.8233646729345363</v>
      </c>
      <c r="J9125">
        <f>SMALL(SimData5000!$C$9:$C$5008,4117)</f>
        <v>0.82757963088261022</v>
      </c>
      <c r="K9125">
        <f>1/(COUNT(SimData5000!$C$9:$C$5008)-1)+$K$9124</f>
        <v>0.8233646729345363</v>
      </c>
    </row>
    <row r="9126" spans="8:11">
      <c r="H9126">
        <f>SMALL(SimData5000!$B$9:$B$5008,4118)</f>
        <v>0.82343612604761407</v>
      </c>
      <c r="I9126">
        <f>1/(COUNT(SimData5000!$B$9:$B$5008)-1)+$I$9125</f>
        <v>0.82356471294253786</v>
      </c>
      <c r="J9126">
        <f>SMALL(SimData5000!$C$9:$C$5008,4118)</f>
        <v>0.82772658879275696</v>
      </c>
      <c r="K9126">
        <f>1/(COUNT(SimData5000!$C$9:$C$5008)-1)+$K$9125</f>
        <v>0.82356471294253786</v>
      </c>
    </row>
    <row r="9127" spans="8:11">
      <c r="H9127">
        <f>SMALL(SimData5000!$B$9:$B$5008,4119)</f>
        <v>0.82365182824718108</v>
      </c>
      <c r="I9127">
        <f>1/(COUNT(SimData5000!$B$9:$B$5008)-1)+$I$9126</f>
        <v>0.82376475295053941</v>
      </c>
      <c r="J9127">
        <f>SMALL(SimData5000!$C$9:$C$5008,4119)</f>
        <v>0.82777610669836577</v>
      </c>
      <c r="K9127">
        <f>1/(COUNT(SimData5000!$C$9:$C$5008)-1)+$K$9126</f>
        <v>0.82376475295053941</v>
      </c>
    </row>
    <row r="9128" spans="8:11">
      <c r="H9128">
        <f>SMALL(SimData5000!$B$9:$B$5008,4120)</f>
        <v>0.82394384385993324</v>
      </c>
      <c r="I9128">
        <f>1/(COUNT(SimData5000!$B$9:$B$5008)-1)+$I$9127</f>
        <v>0.82396479295854097</v>
      </c>
      <c r="J9128">
        <f>SMALL(SimData5000!$C$9:$C$5008,4120)</f>
        <v>0.82780826191992674</v>
      </c>
      <c r="K9128">
        <f>1/(COUNT(SimData5000!$C$9:$C$5008)-1)+$K$9127</f>
        <v>0.82396479295854097</v>
      </c>
    </row>
    <row r="9129" spans="8:11">
      <c r="H9129">
        <f>SMALL(SimData5000!$B$9:$B$5008,4121)</f>
        <v>0.82406052917946604</v>
      </c>
      <c r="I9129">
        <f>1/(COUNT(SimData5000!$B$9:$B$5008)-1)+$I$9128</f>
        <v>0.82416483296654253</v>
      </c>
      <c r="J9129">
        <f>SMALL(SimData5000!$C$9:$C$5008,4121)</f>
        <v>0.82794179183292727</v>
      </c>
      <c r="K9129">
        <f>1/(COUNT(SimData5000!$C$9:$C$5008)-1)+$K$9128</f>
        <v>0.82416483296654253</v>
      </c>
    </row>
    <row r="9130" spans="8:11">
      <c r="H9130">
        <f>SMALL(SimData5000!$B$9:$B$5008,4122)</f>
        <v>0.82425752940435382</v>
      </c>
      <c r="I9130">
        <f>1/(COUNT(SimData5000!$B$9:$B$5008)-1)+$I$9129</f>
        <v>0.82436487297454408</v>
      </c>
      <c r="J9130">
        <f>SMALL(SimData5000!$C$9:$C$5008,4122)</f>
        <v>0.8279946857401228</v>
      </c>
      <c r="K9130">
        <f>1/(COUNT(SimData5000!$C$9:$C$5008)-1)+$K$9129</f>
        <v>0.82436487297454408</v>
      </c>
    </row>
    <row r="9131" spans="8:11">
      <c r="H9131">
        <f>SMALL(SimData5000!$B$9:$B$5008,4123)</f>
        <v>0.82449934764376354</v>
      </c>
      <c r="I9131">
        <f>1/(COUNT(SimData5000!$B$9:$B$5008)-1)+$I$9130</f>
        <v>0.82456491298254564</v>
      </c>
      <c r="J9131">
        <f>SMALL(SimData5000!$C$9:$C$5008,4123)</f>
        <v>0.82848171525802172</v>
      </c>
      <c r="K9131">
        <f>1/(COUNT(SimData5000!$C$9:$C$5008)-1)+$K$9130</f>
        <v>0.82456491298254564</v>
      </c>
    </row>
    <row r="9132" spans="8:11">
      <c r="H9132">
        <f>SMALL(SimData5000!$B$9:$B$5008,4124)</f>
        <v>0.82460970716732773</v>
      </c>
      <c r="I9132">
        <f>1/(COUNT(SimData5000!$B$9:$B$5008)-1)+$I$9131</f>
        <v>0.8247649529905472</v>
      </c>
      <c r="J9132">
        <f>SMALL(SimData5000!$C$9:$C$5008,4124)</f>
        <v>0.8290281900053742</v>
      </c>
      <c r="K9132">
        <f>1/(COUNT(SimData5000!$C$9:$C$5008)-1)+$K$9131</f>
        <v>0.8247649529905472</v>
      </c>
    </row>
    <row r="9133" spans="8:11">
      <c r="H9133">
        <f>SMALL(SimData5000!$B$9:$B$5008,4125)</f>
        <v>0.82481998994569772</v>
      </c>
      <c r="I9133">
        <f>1/(COUNT(SimData5000!$B$9:$B$5008)-1)+$I$9132</f>
        <v>0.82496499299854875</v>
      </c>
      <c r="J9133">
        <f>SMALL(SimData5000!$C$9:$C$5008,4125)</f>
        <v>0.82924285580429569</v>
      </c>
      <c r="K9133">
        <f>1/(COUNT(SimData5000!$C$9:$C$5008)-1)+$K$9132</f>
        <v>0.82496499299854875</v>
      </c>
    </row>
    <row r="9134" spans="8:11">
      <c r="H9134">
        <f>SMALL(SimData5000!$B$9:$B$5008,4126)</f>
        <v>0.82502449223944552</v>
      </c>
      <c r="I9134">
        <f>1/(COUNT(SimData5000!$B$9:$B$5008)-1)+$I$9133</f>
        <v>0.82516503300655031</v>
      </c>
      <c r="J9134">
        <f>SMALL(SimData5000!$C$9:$C$5008,4126)</f>
        <v>0.82943886885368556</v>
      </c>
      <c r="K9134">
        <f>1/(COUNT(SimData5000!$C$9:$C$5008)-1)+$K$9133</f>
        <v>0.82516503300655031</v>
      </c>
    </row>
    <row r="9135" spans="8:11">
      <c r="H9135">
        <f>SMALL(SimData5000!$B$9:$B$5008,4127)</f>
        <v>0.8252155860856677</v>
      </c>
      <c r="I9135">
        <f>1/(COUNT(SimData5000!$B$9:$B$5008)-1)+$I$9134</f>
        <v>0.82536507301455186</v>
      </c>
      <c r="J9135">
        <f>SMALL(SimData5000!$C$9:$C$5008,4127)</f>
        <v>0.8294985313223151</v>
      </c>
      <c r="K9135">
        <f>1/(COUNT(SimData5000!$C$9:$C$5008)-1)+$K$9134</f>
        <v>0.82536507301455186</v>
      </c>
    </row>
    <row r="9136" spans="8:11">
      <c r="H9136">
        <f>SMALL(SimData5000!$B$9:$B$5008,4128)</f>
        <v>0.82546294915188645</v>
      </c>
      <c r="I9136">
        <f>1/(COUNT(SimData5000!$B$9:$B$5008)-1)+$I$9135</f>
        <v>0.82556511302255342</v>
      </c>
      <c r="J9136">
        <f>SMALL(SimData5000!$C$9:$C$5008,4128)</f>
        <v>0.82956391203424573</v>
      </c>
      <c r="K9136">
        <f>1/(COUNT(SimData5000!$C$9:$C$5008)-1)+$K$9135</f>
        <v>0.82556511302255342</v>
      </c>
    </row>
    <row r="9137" spans="8:11">
      <c r="H9137">
        <f>SMALL(SimData5000!$B$9:$B$5008,4129)</f>
        <v>0.82572219449074979</v>
      </c>
      <c r="I9137">
        <f>1/(COUNT(SimData5000!$B$9:$B$5008)-1)+$I$9136</f>
        <v>0.82576515303055498</v>
      </c>
      <c r="J9137">
        <f>SMALL(SimData5000!$C$9:$C$5008,4129)</f>
        <v>0.82978048352015321</v>
      </c>
      <c r="K9137">
        <f>1/(COUNT(SimData5000!$C$9:$C$5008)-1)+$K$9136</f>
        <v>0.82576515303055498</v>
      </c>
    </row>
    <row r="9138" spans="8:11">
      <c r="H9138">
        <f>SMALL(SimData5000!$B$9:$B$5008,4130)</f>
        <v>0.82581273237415875</v>
      </c>
      <c r="I9138">
        <f>1/(COUNT(SimData5000!$B$9:$B$5008)-1)+$I$9137</f>
        <v>0.82596519303855653</v>
      </c>
      <c r="J9138">
        <f>SMALL(SimData5000!$C$9:$C$5008,4130)</f>
        <v>0.8303360923218861</v>
      </c>
      <c r="K9138">
        <f>1/(COUNT(SimData5000!$C$9:$C$5008)-1)+$K$9137</f>
        <v>0.82596519303855653</v>
      </c>
    </row>
    <row r="9139" spans="8:11">
      <c r="H9139">
        <f>SMALL(SimData5000!$B$9:$B$5008,4131)</f>
        <v>0.82614868590965596</v>
      </c>
      <c r="I9139">
        <f>1/(COUNT(SimData5000!$B$9:$B$5008)-1)+$I$9138</f>
        <v>0.82616523304655809</v>
      </c>
      <c r="J9139">
        <f>SMALL(SimData5000!$C$9:$C$5008,4131)</f>
        <v>0.83035329668564373</v>
      </c>
      <c r="K9139">
        <f>1/(COUNT(SimData5000!$C$9:$C$5008)-1)+$K$9138</f>
        <v>0.82616523304655809</v>
      </c>
    </row>
    <row r="9140" spans="8:11">
      <c r="H9140">
        <f>SMALL(SimData5000!$B$9:$B$5008,4132)</f>
        <v>0.82623734605085042</v>
      </c>
      <c r="I9140">
        <f>1/(COUNT(SimData5000!$B$9:$B$5008)-1)+$I$9139</f>
        <v>0.82636527305455965</v>
      </c>
      <c r="J9140">
        <f>SMALL(SimData5000!$C$9:$C$5008,4132)</f>
        <v>0.83047172883561871</v>
      </c>
      <c r="K9140">
        <f>1/(COUNT(SimData5000!$C$9:$C$5008)-1)+$K$9139</f>
        <v>0.82636527305455965</v>
      </c>
    </row>
    <row r="9141" spans="8:11">
      <c r="H9141">
        <f>SMALL(SimData5000!$B$9:$B$5008,4133)</f>
        <v>0.82648518474425314</v>
      </c>
      <c r="I9141">
        <f>1/(COUNT(SimData5000!$B$9:$B$5008)-1)+$I$9140</f>
        <v>0.8265653130625612</v>
      </c>
      <c r="J9141">
        <f>SMALL(SimData5000!$C$9:$C$5008,4133)</f>
        <v>0.83059247255641822</v>
      </c>
      <c r="K9141">
        <f>1/(COUNT(SimData5000!$C$9:$C$5008)-1)+$K$9140</f>
        <v>0.8265653130625612</v>
      </c>
    </row>
    <row r="9142" spans="8:11">
      <c r="H9142">
        <f>SMALL(SimData5000!$B$9:$B$5008,4134)</f>
        <v>0.82666185651041146</v>
      </c>
      <c r="I9142">
        <f>1/(COUNT(SimData5000!$B$9:$B$5008)-1)+$I$9141</f>
        <v>0.82676535307056276</v>
      </c>
      <c r="J9142">
        <f>SMALL(SimData5000!$C$9:$C$5008,4134)</f>
        <v>0.83080124898424401</v>
      </c>
      <c r="K9142">
        <f>1/(COUNT(SimData5000!$C$9:$C$5008)-1)+$K$9141</f>
        <v>0.82676535307056276</v>
      </c>
    </row>
    <row r="9143" spans="8:11">
      <c r="H9143">
        <f>SMALL(SimData5000!$B$9:$B$5008,4135)</f>
        <v>0.82695912247783487</v>
      </c>
      <c r="I9143">
        <f>1/(COUNT(SimData5000!$B$9:$B$5008)-1)+$I$9142</f>
        <v>0.82696539307856431</v>
      </c>
      <c r="J9143">
        <f>SMALL(SimData5000!$C$9:$C$5008,4135)</f>
        <v>0.83088838248659158</v>
      </c>
      <c r="K9143">
        <f>1/(COUNT(SimData5000!$C$9:$C$5008)-1)+$K$9142</f>
        <v>0.82696539307856431</v>
      </c>
    </row>
    <row r="9144" spans="8:11">
      <c r="H9144">
        <f>SMALL(SimData5000!$B$9:$B$5008,4136)</f>
        <v>0.82710885149331492</v>
      </c>
      <c r="I9144">
        <f>1/(COUNT(SimData5000!$B$9:$B$5008)-1)+$I$9143</f>
        <v>0.82716543308656587</v>
      </c>
      <c r="J9144">
        <f>SMALL(SimData5000!$C$9:$C$5008,4136)</f>
        <v>0.83121027958986815</v>
      </c>
      <c r="K9144">
        <f>1/(COUNT(SimData5000!$C$9:$C$5008)-1)+$K$9143</f>
        <v>0.82716543308656587</v>
      </c>
    </row>
    <row r="9145" spans="8:11">
      <c r="H9145">
        <f>SMALL(SimData5000!$B$9:$B$5008,4137)</f>
        <v>0.82720909378943253</v>
      </c>
      <c r="I9145">
        <f>1/(COUNT(SimData5000!$B$9:$B$5008)-1)+$I$9144</f>
        <v>0.82736547309456743</v>
      </c>
      <c r="J9145">
        <f>SMALL(SimData5000!$C$9:$C$5008,4137)</f>
        <v>0.83129009185995528</v>
      </c>
      <c r="K9145">
        <f>1/(COUNT(SimData5000!$C$9:$C$5008)-1)+$K$9144</f>
        <v>0.82736547309456743</v>
      </c>
    </row>
    <row r="9146" spans="8:11">
      <c r="H9146">
        <f>SMALL(SimData5000!$B$9:$B$5008,4138)</f>
        <v>0.8275674846859572</v>
      </c>
      <c r="I9146">
        <f>1/(COUNT(SimData5000!$B$9:$B$5008)-1)+$I$9145</f>
        <v>0.82756551310256898</v>
      </c>
      <c r="J9146">
        <f>SMALL(SimData5000!$C$9:$C$5008,4138)</f>
        <v>0.83140695721522206</v>
      </c>
      <c r="K9146">
        <f>1/(COUNT(SimData5000!$C$9:$C$5008)-1)+$K$9145</f>
        <v>0.82756551310256898</v>
      </c>
    </row>
    <row r="9147" spans="8:11">
      <c r="H9147">
        <f>SMALL(SimData5000!$B$9:$B$5008,4139)</f>
        <v>0.82776276125050208</v>
      </c>
      <c r="I9147">
        <f>1/(COUNT(SimData5000!$B$9:$B$5008)-1)+$I$9146</f>
        <v>0.82776555311057054</v>
      </c>
      <c r="J9147">
        <f>SMALL(SimData5000!$C$9:$C$5008,4139)</f>
        <v>0.83149729651358939</v>
      </c>
      <c r="K9147">
        <f>1/(COUNT(SimData5000!$C$9:$C$5008)-1)+$K$9146</f>
        <v>0.82776555311057054</v>
      </c>
    </row>
    <row r="9148" spans="8:11">
      <c r="H9148">
        <f>SMALL(SimData5000!$B$9:$B$5008,4140)</f>
        <v>0.82781302047628291</v>
      </c>
      <c r="I9148">
        <f>1/(COUNT(SimData5000!$B$9:$B$5008)-1)+$I$9147</f>
        <v>0.8279655931185721</v>
      </c>
      <c r="J9148">
        <f>SMALL(SimData5000!$C$9:$C$5008,4140)</f>
        <v>0.8315786557368483</v>
      </c>
      <c r="K9148">
        <f>1/(COUNT(SimData5000!$C$9:$C$5008)-1)+$K$9147</f>
        <v>0.8279655931185721</v>
      </c>
    </row>
    <row r="9149" spans="8:11">
      <c r="H9149">
        <f>SMALL(SimData5000!$B$9:$B$5008,4141)</f>
        <v>0.82817520133735967</v>
      </c>
      <c r="I9149">
        <f>1/(COUNT(SimData5000!$B$9:$B$5008)-1)+$I$9148</f>
        <v>0.82816563312657365</v>
      </c>
      <c r="J9149">
        <f>SMALL(SimData5000!$C$9:$C$5008,4141)</f>
        <v>0.831654623652895</v>
      </c>
      <c r="K9149">
        <f>1/(COUNT(SimData5000!$C$9:$C$5008)-1)+$K$9148</f>
        <v>0.82816563312657365</v>
      </c>
    </row>
    <row r="9150" spans="8:11">
      <c r="H9150">
        <f>SMALL(SimData5000!$B$9:$B$5008,4142)</f>
        <v>0.82826673062519784</v>
      </c>
      <c r="I9150">
        <f>1/(COUNT(SimData5000!$B$9:$B$5008)-1)+$I$9149</f>
        <v>0.82836567313457521</v>
      </c>
      <c r="J9150">
        <f>SMALL(SimData5000!$C$9:$C$5008,4142)</f>
        <v>0.83194607818586519</v>
      </c>
      <c r="K9150">
        <f>1/(COUNT(SimData5000!$C$9:$C$5008)-1)+$K$9149</f>
        <v>0.82836567313457521</v>
      </c>
    </row>
    <row r="9151" spans="8:11">
      <c r="H9151">
        <f>SMALL(SimData5000!$B$9:$B$5008,4143)</f>
        <v>0.82848382059267811</v>
      </c>
      <c r="I9151">
        <f>1/(COUNT(SimData5000!$B$9:$B$5008)-1)+$I$9150</f>
        <v>0.82856571314257677</v>
      </c>
      <c r="J9151">
        <f>SMALL(SimData5000!$C$9:$C$5008,4143)</f>
        <v>0.832393945507647</v>
      </c>
      <c r="K9151">
        <f>1/(COUNT(SimData5000!$C$9:$C$5008)-1)+$K$9150</f>
        <v>0.82856571314257677</v>
      </c>
    </row>
    <row r="9152" spans="8:11">
      <c r="H9152">
        <f>SMALL(SimData5000!$B$9:$B$5008,4144)</f>
        <v>0.82873227125884319</v>
      </c>
      <c r="I9152">
        <f>1/(COUNT(SimData5000!$B$9:$B$5008)-1)+$I$9151</f>
        <v>0.82876575315057832</v>
      </c>
      <c r="J9152">
        <f>SMALL(SimData5000!$C$9:$C$5008,4144)</f>
        <v>0.83247902237781091</v>
      </c>
      <c r="K9152">
        <f>1/(COUNT(SimData5000!$C$9:$C$5008)-1)+$K$9151</f>
        <v>0.82876575315057832</v>
      </c>
    </row>
    <row r="9153" spans="8:11">
      <c r="H9153">
        <f>SMALL(SimData5000!$B$9:$B$5008,4145)</f>
        <v>0.82881562737450365</v>
      </c>
      <c r="I9153">
        <f>1/(COUNT(SimData5000!$B$9:$B$5008)-1)+$I$9152</f>
        <v>0.82896579315857988</v>
      </c>
      <c r="J9153">
        <f>SMALL(SimData5000!$C$9:$C$5008,4145)</f>
        <v>0.83259133739375102</v>
      </c>
      <c r="K9153">
        <f>1/(COUNT(SimData5000!$C$9:$C$5008)-1)+$K$9152</f>
        <v>0.82896579315857988</v>
      </c>
    </row>
    <row r="9154" spans="8:11">
      <c r="H9154">
        <f>SMALL(SimData5000!$B$9:$B$5008,4146)</f>
        <v>0.82914460624641384</v>
      </c>
      <c r="I9154">
        <f>1/(COUNT(SimData5000!$B$9:$B$5008)-1)+$I$9153</f>
        <v>0.82916583316658143</v>
      </c>
      <c r="J9154">
        <f>SMALL(SimData5000!$C$9:$C$5008,4146)</f>
        <v>0.83264323955609143</v>
      </c>
      <c r="K9154">
        <f>1/(COUNT(SimData5000!$C$9:$C$5008)-1)+$K$9153</f>
        <v>0.82916583316658143</v>
      </c>
    </row>
    <row r="9155" spans="8:11">
      <c r="H9155">
        <f>SMALL(SimData5000!$B$9:$B$5008,4147)</f>
        <v>0.82921949194656208</v>
      </c>
      <c r="I9155">
        <f>1/(COUNT(SimData5000!$B$9:$B$5008)-1)+$I$9154</f>
        <v>0.82936587317458299</v>
      </c>
      <c r="J9155">
        <f>SMALL(SimData5000!$C$9:$C$5008,4147)</f>
        <v>0.83280255303361628</v>
      </c>
      <c r="K9155">
        <f>1/(COUNT(SimData5000!$C$9:$C$5008)-1)+$K$9154</f>
        <v>0.82936587317458299</v>
      </c>
    </row>
    <row r="9156" spans="8:11">
      <c r="H9156">
        <f>SMALL(SimData5000!$B$9:$B$5008,4148)</f>
        <v>0.8295665124408822</v>
      </c>
      <c r="I9156">
        <f>1/(COUNT(SimData5000!$B$9:$B$5008)-1)+$I$9155</f>
        <v>0.82956591318258455</v>
      </c>
      <c r="J9156">
        <f>SMALL(SimData5000!$C$9:$C$5008,4148)</f>
        <v>0.83291670212020108</v>
      </c>
      <c r="K9156">
        <f>1/(COUNT(SimData5000!$C$9:$C$5008)-1)+$K$9155</f>
        <v>0.82956591318258455</v>
      </c>
    </row>
    <row r="9157" spans="8:11">
      <c r="H9157">
        <f>SMALL(SimData5000!$B$9:$B$5008,4149)</f>
        <v>0.82964456835869804</v>
      </c>
      <c r="I9157">
        <f>1/(COUNT(SimData5000!$B$9:$B$5008)-1)+$I$9156</f>
        <v>0.8297659531905861</v>
      </c>
      <c r="J9157">
        <f>SMALL(SimData5000!$C$9:$C$5008,4149)</f>
        <v>0.83356561381606298</v>
      </c>
      <c r="K9157">
        <f>1/(COUNT(SimData5000!$C$9:$C$5008)-1)+$K$9156</f>
        <v>0.8297659531905861</v>
      </c>
    </row>
    <row r="9158" spans="8:11">
      <c r="H9158">
        <f>SMALL(SimData5000!$B$9:$B$5008,4150)</f>
        <v>0.82984357432500544</v>
      </c>
      <c r="I9158">
        <f>1/(COUNT(SimData5000!$B$9:$B$5008)-1)+$I$9157</f>
        <v>0.82996599319858766</v>
      </c>
      <c r="J9158">
        <f>SMALL(SimData5000!$C$9:$C$5008,4150)</f>
        <v>0.83410189056121453</v>
      </c>
      <c r="K9158">
        <f>1/(COUNT(SimData5000!$C$9:$C$5008)-1)+$K$9157</f>
        <v>0.82996599319858766</v>
      </c>
    </row>
    <row r="9159" spans="8:11">
      <c r="H9159">
        <f>SMALL(SimData5000!$B$9:$B$5008,4151)</f>
        <v>0.83019468039339284</v>
      </c>
      <c r="I9159">
        <f>1/(COUNT(SimData5000!$B$9:$B$5008)-1)+$I$9158</f>
        <v>0.83016603320658922</v>
      </c>
      <c r="J9159">
        <f>SMALL(SimData5000!$C$9:$C$5008,4151)</f>
        <v>0.83516752677860495</v>
      </c>
      <c r="K9159">
        <f>1/(COUNT(SimData5000!$C$9:$C$5008)-1)+$K$9158</f>
        <v>0.83016603320658922</v>
      </c>
    </row>
    <row r="9160" spans="8:11">
      <c r="H9160">
        <f>SMALL(SimData5000!$B$9:$B$5008,4152)</f>
        <v>0.83028051504718148</v>
      </c>
      <c r="I9160">
        <f>1/(COUNT(SimData5000!$B$9:$B$5008)-1)+$I$9159</f>
        <v>0.83036607321459077</v>
      </c>
      <c r="J9160">
        <f>SMALL(SimData5000!$C$9:$C$5008,4152)</f>
        <v>0.83535679986107425</v>
      </c>
      <c r="K9160">
        <f>1/(COUNT(SimData5000!$C$9:$C$5008)-1)+$K$9159</f>
        <v>0.83036607321459077</v>
      </c>
    </row>
    <row r="9161" spans="8:11">
      <c r="H9161">
        <f>SMALL(SimData5000!$B$9:$B$5008,4153)</f>
        <v>0.83053007673386714</v>
      </c>
      <c r="I9161">
        <f>1/(COUNT(SimData5000!$B$9:$B$5008)-1)+$I$9160</f>
        <v>0.83056611322259233</v>
      </c>
      <c r="J9161">
        <f>SMALL(SimData5000!$C$9:$C$5008,4153)</f>
        <v>0.83538900804796867</v>
      </c>
      <c r="K9161">
        <f>1/(COUNT(SimData5000!$C$9:$C$5008)-1)+$K$9160</f>
        <v>0.83056611322259233</v>
      </c>
    </row>
    <row r="9162" spans="8:11">
      <c r="H9162">
        <f>SMALL(SimData5000!$B$9:$B$5008,4154)</f>
        <v>0.83063921721941769</v>
      </c>
      <c r="I9162">
        <f>1/(COUNT(SimData5000!$B$9:$B$5008)-1)+$I$9161</f>
        <v>0.83076615323059388</v>
      </c>
      <c r="J9162">
        <f>SMALL(SimData5000!$C$9:$C$5008,4154)</f>
        <v>0.83568903816012607</v>
      </c>
      <c r="K9162">
        <f>1/(COUNT(SimData5000!$C$9:$C$5008)-1)+$K$9161</f>
        <v>0.83076615323059388</v>
      </c>
    </row>
    <row r="9163" spans="8:11">
      <c r="H9163">
        <f>SMALL(SimData5000!$B$9:$B$5008,4155)</f>
        <v>0.83091957925286131</v>
      </c>
      <c r="I9163">
        <f>1/(COUNT(SimData5000!$B$9:$B$5008)-1)+$I$9162</f>
        <v>0.83096619323859544</v>
      </c>
      <c r="J9163">
        <f>SMALL(SimData5000!$C$9:$C$5008,4155)</f>
        <v>0.83577695041367406</v>
      </c>
      <c r="K9163">
        <f>1/(COUNT(SimData5000!$C$9:$C$5008)-1)+$K$9162</f>
        <v>0.83096619323859544</v>
      </c>
    </row>
    <row r="9164" spans="8:11">
      <c r="H9164">
        <f>SMALL(SimData5000!$B$9:$B$5008,4156)</f>
        <v>0.8310149784707499</v>
      </c>
      <c r="I9164">
        <f>1/(COUNT(SimData5000!$B$9:$B$5008)-1)+$I$9163</f>
        <v>0.831166233246597</v>
      </c>
      <c r="J9164">
        <f>SMALL(SimData5000!$C$9:$C$5008,4156)</f>
        <v>0.8358948034565401</v>
      </c>
      <c r="K9164">
        <f>1/(COUNT(SimData5000!$C$9:$C$5008)-1)+$K$9163</f>
        <v>0.831166233246597</v>
      </c>
    </row>
    <row r="9165" spans="8:11">
      <c r="H9165">
        <f>SMALL(SimData5000!$B$9:$B$5008,4157)</f>
        <v>0.83136390383126313</v>
      </c>
      <c r="I9165">
        <f>1/(COUNT(SimData5000!$B$9:$B$5008)-1)+$I$9164</f>
        <v>0.83136627325459855</v>
      </c>
      <c r="J9165">
        <f>SMALL(SimData5000!$C$9:$C$5008,4157)</f>
        <v>0.83593378235855198</v>
      </c>
      <c r="K9165">
        <f>1/(COUNT(SimData5000!$C$9:$C$5008)-1)+$K$9164</f>
        <v>0.83136627325459855</v>
      </c>
    </row>
    <row r="9166" spans="8:11">
      <c r="H9166">
        <f>SMALL(SimData5000!$B$9:$B$5008,4158)</f>
        <v>0.83152292325005928</v>
      </c>
      <c r="I9166">
        <f>1/(COUNT(SimData5000!$B$9:$B$5008)-1)+$I$9165</f>
        <v>0.83156631326260011</v>
      </c>
      <c r="J9166">
        <f>SMALL(SimData5000!$C$9:$C$5008,4158)</f>
        <v>0.83605863508182665</v>
      </c>
      <c r="K9166">
        <f>1/(COUNT(SimData5000!$C$9:$C$5008)-1)+$K$9165</f>
        <v>0.83156631326260011</v>
      </c>
    </row>
    <row r="9167" spans="8:11">
      <c r="H9167">
        <f>SMALL(SimData5000!$B$9:$B$5008,4159)</f>
        <v>0.8317430859058963</v>
      </c>
      <c r="I9167">
        <f>1/(COUNT(SimData5000!$B$9:$B$5008)-1)+$I$9166</f>
        <v>0.83176635327060167</v>
      </c>
      <c r="J9167">
        <f>SMALL(SimData5000!$C$9:$C$5008,4159)</f>
        <v>0.83616149690442398</v>
      </c>
      <c r="K9167">
        <f>1/(COUNT(SimData5000!$C$9:$C$5008)-1)+$K$9166</f>
        <v>0.83176635327060167</v>
      </c>
    </row>
    <row r="9168" spans="8:11">
      <c r="H9168">
        <f>SMALL(SimData5000!$B$9:$B$5008,4160)</f>
        <v>0.83183843675089031</v>
      </c>
      <c r="I9168">
        <f>1/(COUNT(SimData5000!$B$9:$B$5008)-1)+$I$9167</f>
        <v>0.83196639327860322</v>
      </c>
      <c r="J9168">
        <f>SMALL(SimData5000!$C$9:$C$5008,4160)</f>
        <v>0.83619023958635808</v>
      </c>
      <c r="K9168">
        <f>1/(COUNT(SimData5000!$C$9:$C$5008)-1)+$K$9167</f>
        <v>0.83196639327860322</v>
      </c>
    </row>
    <row r="9169" spans="8:11">
      <c r="H9169">
        <f>SMALL(SimData5000!$B$9:$B$5008,4161)</f>
        <v>0.83218381890686777</v>
      </c>
      <c r="I9169">
        <f>1/(COUNT(SimData5000!$B$9:$B$5008)-1)+$I$9168</f>
        <v>0.83216643328660478</v>
      </c>
      <c r="J9169">
        <f>SMALL(SimData5000!$C$9:$C$5008,4161)</f>
        <v>0.83645826751853747</v>
      </c>
      <c r="K9169">
        <f>1/(COUNT(SimData5000!$C$9:$C$5008)-1)+$K$9168</f>
        <v>0.83216643328660478</v>
      </c>
    </row>
    <row r="9170" spans="8:11">
      <c r="H9170">
        <f>SMALL(SimData5000!$B$9:$B$5008,4162)</f>
        <v>0.8322807379125805</v>
      </c>
      <c r="I9170">
        <f>1/(COUNT(SimData5000!$B$9:$B$5008)-1)+$I$9169</f>
        <v>0.83236647329460633</v>
      </c>
      <c r="J9170">
        <f>SMALL(SimData5000!$C$9:$C$5008,4162)</f>
        <v>0.83670203026395029</v>
      </c>
      <c r="K9170">
        <f>1/(COUNT(SimData5000!$C$9:$C$5008)-1)+$K$9169</f>
        <v>0.83236647329460633</v>
      </c>
    </row>
    <row r="9171" spans="8:11">
      <c r="H9171">
        <f>SMALL(SimData5000!$B$9:$B$5008,4163)</f>
        <v>0.8325132449437197</v>
      </c>
      <c r="I9171">
        <f>1/(COUNT(SimData5000!$B$9:$B$5008)-1)+$I$9170</f>
        <v>0.83256651330260789</v>
      </c>
      <c r="J9171">
        <f>SMALL(SimData5000!$C$9:$C$5008,4163)</f>
        <v>0.83681183140652138</v>
      </c>
      <c r="K9171">
        <f>1/(COUNT(SimData5000!$C$9:$C$5008)-1)+$K$9170</f>
        <v>0.83256651330260789</v>
      </c>
    </row>
    <row r="9172" spans="8:11">
      <c r="H9172">
        <f>SMALL(SimData5000!$B$9:$B$5008,4164)</f>
        <v>0.83265174328872271</v>
      </c>
      <c r="I9172">
        <f>1/(COUNT(SimData5000!$B$9:$B$5008)-1)+$I$9171</f>
        <v>0.83276655331060945</v>
      </c>
      <c r="J9172">
        <f>SMALL(SimData5000!$C$9:$C$5008,4164)</f>
        <v>0.8369699159047741</v>
      </c>
      <c r="K9172">
        <f>1/(COUNT(SimData5000!$C$9:$C$5008)-1)+$K$9171</f>
        <v>0.83276655331060945</v>
      </c>
    </row>
    <row r="9173" spans="8:11">
      <c r="H9173">
        <f>SMALL(SimData5000!$B$9:$B$5008,4165)</f>
        <v>0.8328857139615542</v>
      </c>
      <c r="I9173">
        <f>1/(COUNT(SimData5000!$B$9:$B$5008)-1)+$I$9172</f>
        <v>0.832966593318611</v>
      </c>
      <c r="J9173">
        <f>SMALL(SimData5000!$C$9:$C$5008,4165)</f>
        <v>0.83751661712085479</v>
      </c>
      <c r="K9173">
        <f>1/(COUNT(SimData5000!$C$9:$C$5008)-1)+$K$9172</f>
        <v>0.832966593318611</v>
      </c>
    </row>
    <row r="9174" spans="8:11">
      <c r="H9174">
        <f>SMALL(SimData5000!$B$9:$B$5008,4166)</f>
        <v>0.83316527178282052</v>
      </c>
      <c r="I9174">
        <f>1/(COUNT(SimData5000!$B$9:$B$5008)-1)+$I$9173</f>
        <v>0.83316663332661256</v>
      </c>
      <c r="J9174">
        <f>SMALL(SimData5000!$C$9:$C$5008,4166)</f>
        <v>0.83756841460399301</v>
      </c>
      <c r="K9174">
        <f>1/(COUNT(SimData5000!$C$9:$C$5008)-1)+$K$9173</f>
        <v>0.83316663332661256</v>
      </c>
    </row>
    <row r="9175" spans="8:11">
      <c r="H9175">
        <f>SMALL(SimData5000!$B$9:$B$5008,4167)</f>
        <v>0.83333696582851391</v>
      </c>
      <c r="I9175">
        <f>1/(COUNT(SimData5000!$B$9:$B$5008)-1)+$I$9174</f>
        <v>0.83336667333461412</v>
      </c>
      <c r="J9175">
        <f>SMALL(SimData5000!$C$9:$C$5008,4167)</f>
        <v>0.83771008544135839</v>
      </c>
      <c r="K9175">
        <f>1/(COUNT(SimData5000!$C$9:$C$5008)-1)+$K$9174</f>
        <v>0.83336667333461412</v>
      </c>
    </row>
    <row r="9176" spans="8:11">
      <c r="H9176">
        <f>SMALL(SimData5000!$B$9:$B$5008,4168)</f>
        <v>0.83343438993716479</v>
      </c>
      <c r="I9176">
        <f>1/(COUNT(SimData5000!$B$9:$B$5008)-1)+$I$9175</f>
        <v>0.83356671334261567</v>
      </c>
      <c r="J9176">
        <f>SMALL(SimData5000!$C$9:$C$5008,4168)</f>
        <v>0.83806291178916581</v>
      </c>
      <c r="K9176">
        <f>1/(COUNT(SimData5000!$C$9:$C$5008)-1)+$K$9175</f>
        <v>0.83356671334261567</v>
      </c>
    </row>
    <row r="9177" spans="8:11">
      <c r="H9177">
        <f>SMALL(SimData5000!$B$9:$B$5008,4169)</f>
        <v>0.83379844145281201</v>
      </c>
      <c r="I9177">
        <f>1/(COUNT(SimData5000!$B$9:$B$5008)-1)+$I$9176</f>
        <v>0.83376675335061723</v>
      </c>
      <c r="J9177">
        <f>SMALL(SimData5000!$C$9:$C$5008,4169)</f>
        <v>0.83820579910388915</v>
      </c>
      <c r="K9177">
        <f>1/(COUNT(SimData5000!$C$9:$C$5008)-1)+$K$9176</f>
        <v>0.83376675335061723</v>
      </c>
    </row>
    <row r="9178" spans="8:11">
      <c r="H9178">
        <f>SMALL(SimData5000!$B$9:$B$5008,4170)</f>
        <v>0.83394299720505782</v>
      </c>
      <c r="I9178">
        <f>1/(COUNT(SimData5000!$B$9:$B$5008)-1)+$I$9177</f>
        <v>0.83396679335861879</v>
      </c>
      <c r="J9178">
        <f>SMALL(SimData5000!$C$9:$C$5008,4170)</f>
        <v>0.83853945005466812</v>
      </c>
      <c r="K9178">
        <f>1/(COUNT(SimData5000!$C$9:$C$5008)-1)+$K$9177</f>
        <v>0.83396679335861879</v>
      </c>
    </row>
    <row r="9179" spans="8:11">
      <c r="H9179">
        <f>SMALL(SimData5000!$B$9:$B$5008,4171)</f>
        <v>0.83402100439267723</v>
      </c>
      <c r="I9179">
        <f>1/(COUNT(SimData5000!$B$9:$B$5008)-1)+$I$9178</f>
        <v>0.83416683336662034</v>
      </c>
      <c r="J9179">
        <f>SMALL(SimData5000!$C$9:$C$5008,4171)</f>
        <v>0.8387071060751623</v>
      </c>
      <c r="K9179">
        <f>1/(COUNT(SimData5000!$C$9:$C$5008)-1)+$K$9178</f>
        <v>0.83416683336662034</v>
      </c>
    </row>
    <row r="9180" spans="8:11">
      <c r="H9180">
        <f>SMALL(SimData5000!$B$9:$B$5008,4172)</f>
        <v>0.83423746434125057</v>
      </c>
      <c r="I9180">
        <f>1/(COUNT(SimData5000!$B$9:$B$5008)-1)+$I$9179</f>
        <v>0.8343668733746219</v>
      </c>
      <c r="J9180">
        <f>SMALL(SimData5000!$C$9:$C$5008,4172)</f>
        <v>0.83883177297686373</v>
      </c>
      <c r="K9180">
        <f>1/(COUNT(SimData5000!$C$9:$C$5008)-1)+$K$9179</f>
        <v>0.8343668733746219</v>
      </c>
    </row>
    <row r="9181" spans="8:11">
      <c r="H9181">
        <f>SMALL(SimData5000!$B$9:$B$5008,4173)</f>
        <v>0.8345008318655428</v>
      </c>
      <c r="I9181">
        <f>1/(COUNT(SimData5000!$B$9:$B$5008)-1)+$I$9180</f>
        <v>0.83456691338262345</v>
      </c>
      <c r="J9181">
        <f>SMALL(SimData5000!$C$9:$C$5008,4173)</f>
        <v>0.83909145598681789</v>
      </c>
      <c r="K9181">
        <f>1/(COUNT(SimData5000!$C$9:$C$5008)-1)+$K$9180</f>
        <v>0.83456691338262345</v>
      </c>
    </row>
    <row r="9182" spans="8:11">
      <c r="H9182">
        <f>SMALL(SimData5000!$B$9:$B$5008,4174)</f>
        <v>0.83469684525618726</v>
      </c>
      <c r="I9182">
        <f>1/(COUNT(SimData5000!$B$9:$B$5008)-1)+$I$9181</f>
        <v>0.83476695339062501</v>
      </c>
      <c r="J9182">
        <f>SMALL(SimData5000!$C$9:$C$5008,4174)</f>
        <v>0.83913723873956769</v>
      </c>
      <c r="K9182">
        <f>1/(COUNT(SimData5000!$C$9:$C$5008)-1)+$K$9181</f>
        <v>0.83476695339062501</v>
      </c>
    </row>
    <row r="9183" spans="8:11">
      <c r="H9183">
        <f>SMALL(SimData5000!$B$9:$B$5008,4175)</f>
        <v>0.83482308945553918</v>
      </c>
      <c r="I9183">
        <f>1/(COUNT(SimData5000!$B$9:$B$5008)-1)+$I$9182</f>
        <v>0.83496699339862657</v>
      </c>
      <c r="J9183">
        <f>SMALL(SimData5000!$C$9:$C$5008,4175)</f>
        <v>0.83932805337462923</v>
      </c>
      <c r="K9183">
        <f>1/(COUNT(SimData5000!$C$9:$C$5008)-1)+$K$9182</f>
        <v>0.83496699339862657</v>
      </c>
    </row>
    <row r="9184" spans="8:11">
      <c r="H9184">
        <f>SMALL(SimData5000!$B$9:$B$5008,4176)</f>
        <v>0.83516766243105944</v>
      </c>
      <c r="I9184">
        <f>1/(COUNT(SimData5000!$B$9:$B$5008)-1)+$I$9183</f>
        <v>0.83516703340662812</v>
      </c>
      <c r="J9184">
        <f>SMALL(SimData5000!$C$9:$C$5008,4176)</f>
        <v>0.84036667978489277</v>
      </c>
      <c r="K9184">
        <f>1/(COUNT(SimData5000!$C$9:$C$5008)-1)+$K$9183</f>
        <v>0.83516703340662812</v>
      </c>
    </row>
    <row r="9185" spans="8:11">
      <c r="H9185">
        <f>SMALL(SimData5000!$B$9:$B$5008,4177)</f>
        <v>0.83532876072817686</v>
      </c>
      <c r="I9185">
        <f>1/(COUNT(SimData5000!$B$9:$B$5008)-1)+$I$9184</f>
        <v>0.83536707341462968</v>
      </c>
      <c r="J9185">
        <f>SMALL(SimData5000!$C$9:$C$5008,4177)</f>
        <v>0.84042966000833985</v>
      </c>
      <c r="K9185">
        <f>1/(COUNT(SimData5000!$C$9:$C$5008)-1)+$K$9184</f>
        <v>0.83536707341462968</v>
      </c>
    </row>
    <row r="9186" spans="8:11">
      <c r="H9186">
        <f>SMALL(SimData5000!$B$9:$B$5008,4178)</f>
        <v>0.83546471903018305</v>
      </c>
      <c r="I9186">
        <f>1/(COUNT(SimData5000!$B$9:$B$5008)-1)+$I$9185</f>
        <v>0.83556711342263124</v>
      </c>
      <c r="J9186">
        <f>SMALL(SimData5000!$C$9:$C$5008,4178)</f>
        <v>0.84045443789364072</v>
      </c>
      <c r="K9186">
        <f>1/(COUNT(SimData5000!$C$9:$C$5008)-1)+$K$9185</f>
        <v>0.83556711342263124</v>
      </c>
    </row>
    <row r="9187" spans="8:11">
      <c r="H9187">
        <f>SMALL(SimData5000!$B$9:$B$5008,4179)</f>
        <v>0.83579014585711753</v>
      </c>
      <c r="I9187">
        <f>1/(COUNT(SimData5000!$B$9:$B$5008)-1)+$I$9186</f>
        <v>0.83576715343063279</v>
      </c>
      <c r="J9187">
        <f>SMALL(SimData5000!$C$9:$C$5008,4179)</f>
        <v>0.8408232176780075</v>
      </c>
      <c r="K9187">
        <f>1/(COUNT(SimData5000!$C$9:$C$5008)-1)+$K$9186</f>
        <v>0.83576715343063279</v>
      </c>
    </row>
    <row r="9188" spans="8:11">
      <c r="H9188">
        <f>SMALL(SimData5000!$B$9:$B$5008,4180)</f>
        <v>0.83585669270382656</v>
      </c>
      <c r="I9188">
        <f>1/(COUNT(SimData5000!$B$9:$B$5008)-1)+$I$9187</f>
        <v>0.83596719343863435</v>
      </c>
      <c r="J9188">
        <f>SMALL(SimData5000!$C$9:$C$5008,4180)</f>
        <v>0.84101223196284991</v>
      </c>
      <c r="K9188">
        <f>1/(COUNT(SimData5000!$C$9:$C$5008)-1)+$K$9187</f>
        <v>0.83596719343863435</v>
      </c>
    </row>
    <row r="9189" spans="8:11">
      <c r="H9189">
        <f>SMALL(SimData5000!$B$9:$B$5008,4181)</f>
        <v>0.83611273824170063</v>
      </c>
      <c r="I9189">
        <f>1/(COUNT(SimData5000!$B$9:$B$5008)-1)+$I$9188</f>
        <v>0.8361672334466359</v>
      </c>
      <c r="J9189">
        <f>SMALL(SimData5000!$C$9:$C$5008,4181)</f>
        <v>0.8412605366538628</v>
      </c>
      <c r="K9189">
        <f>1/(COUNT(SimData5000!$C$9:$C$5008)-1)+$K$9188</f>
        <v>0.8361672334466359</v>
      </c>
    </row>
    <row r="9190" spans="8:11">
      <c r="H9190">
        <f>SMALL(SimData5000!$B$9:$B$5008,4182)</f>
        <v>0.83625500176485035</v>
      </c>
      <c r="I9190">
        <f>1/(COUNT(SimData5000!$B$9:$B$5008)-1)+$I$9189</f>
        <v>0.83636727345463746</v>
      </c>
      <c r="J9190">
        <f>SMALL(SimData5000!$C$9:$C$5008,4182)</f>
        <v>0.84130816804372444</v>
      </c>
      <c r="K9190">
        <f>1/(COUNT(SimData5000!$C$9:$C$5008)-1)+$K$9189</f>
        <v>0.83636727345463746</v>
      </c>
    </row>
    <row r="9191" spans="8:11">
      <c r="H9191">
        <f>SMALL(SimData5000!$B$9:$B$5008,4183)</f>
        <v>0.83649229480696197</v>
      </c>
      <c r="I9191">
        <f>1/(COUNT(SimData5000!$B$9:$B$5008)-1)+$I$9190</f>
        <v>0.83656731346263902</v>
      </c>
      <c r="J9191">
        <f>SMALL(SimData5000!$C$9:$C$5008,4183)</f>
        <v>0.84154120806397259</v>
      </c>
      <c r="K9191">
        <f>1/(COUNT(SimData5000!$C$9:$C$5008)-1)+$K$9190</f>
        <v>0.83656731346263902</v>
      </c>
    </row>
    <row r="9192" spans="8:11">
      <c r="H9192">
        <f>SMALL(SimData5000!$B$9:$B$5008,4184)</f>
        <v>0.83661402708129351</v>
      </c>
      <c r="I9192">
        <f>1/(COUNT(SimData5000!$B$9:$B$5008)-1)+$I$9191</f>
        <v>0.83676735347064057</v>
      </c>
      <c r="J9192">
        <f>SMALL(SimData5000!$C$9:$C$5008,4184)</f>
        <v>0.84184602736240777</v>
      </c>
      <c r="K9192">
        <f>1/(COUNT(SimData5000!$C$9:$C$5008)-1)+$K$9191</f>
        <v>0.83676735347064057</v>
      </c>
    </row>
    <row r="9193" spans="8:11">
      <c r="H9193">
        <f>SMALL(SimData5000!$B$9:$B$5008,4185)</f>
        <v>0.83699552297321966</v>
      </c>
      <c r="I9193">
        <f>1/(COUNT(SimData5000!$B$9:$B$5008)-1)+$I$9192</f>
        <v>0.83696739347864213</v>
      </c>
      <c r="J9193">
        <f>SMALL(SimData5000!$C$9:$C$5008,4185)</f>
        <v>0.84243832431093324</v>
      </c>
      <c r="K9193">
        <f>1/(COUNT(SimData5000!$C$9:$C$5008)-1)+$K$9192</f>
        <v>0.83696739347864213</v>
      </c>
    </row>
    <row r="9194" spans="8:11">
      <c r="H9194">
        <f>SMALL(SimData5000!$B$9:$B$5008,4186)</f>
        <v>0.83715165000696468</v>
      </c>
      <c r="I9194">
        <f>1/(COUNT(SimData5000!$B$9:$B$5008)-1)+$I$9193</f>
        <v>0.83716743348664369</v>
      </c>
      <c r="J9194">
        <f>SMALL(SimData5000!$C$9:$C$5008,4186)</f>
        <v>0.84246767210242979</v>
      </c>
      <c r="K9194">
        <f>1/(COUNT(SimData5000!$C$9:$C$5008)-1)+$K$9193</f>
        <v>0.83716743348664369</v>
      </c>
    </row>
    <row r="9195" spans="8:11">
      <c r="H9195">
        <f>SMALL(SimData5000!$B$9:$B$5008,4187)</f>
        <v>0.83725825809544385</v>
      </c>
      <c r="I9195">
        <f>1/(COUNT(SimData5000!$B$9:$B$5008)-1)+$I$9194</f>
        <v>0.83736747349464524</v>
      </c>
      <c r="J9195">
        <f>SMALL(SimData5000!$C$9:$C$5008,4187)</f>
        <v>0.84253453450583038</v>
      </c>
      <c r="K9195">
        <f>1/(COUNT(SimData5000!$C$9:$C$5008)-1)+$K$9194</f>
        <v>0.83736747349464524</v>
      </c>
    </row>
    <row r="9196" spans="8:11">
      <c r="H9196">
        <f>SMALL(SimData5000!$B$9:$B$5008,4188)</f>
        <v>0.83740978078358108</v>
      </c>
      <c r="I9196">
        <f>1/(COUNT(SimData5000!$B$9:$B$5008)-1)+$I$9195</f>
        <v>0.8375675135026468</v>
      </c>
      <c r="J9196">
        <f>SMALL(SimData5000!$C$9:$C$5008,4188)</f>
        <v>0.84254275113926269</v>
      </c>
      <c r="K9196">
        <f>1/(COUNT(SimData5000!$C$9:$C$5008)-1)+$K$9195</f>
        <v>0.8375675135026468</v>
      </c>
    </row>
    <row r="9197" spans="8:11">
      <c r="H9197">
        <f>SMALL(SimData5000!$B$9:$B$5008,4189)</f>
        <v>0.83771579431316712</v>
      </c>
      <c r="I9197">
        <f>1/(COUNT(SimData5000!$B$9:$B$5008)-1)+$I$9196</f>
        <v>0.83776755351064836</v>
      </c>
      <c r="J9197">
        <f>SMALL(SimData5000!$C$9:$C$5008,4189)</f>
        <v>0.84272629845781921</v>
      </c>
      <c r="K9197">
        <f>1/(COUNT(SimData5000!$C$9:$C$5008)-1)+$K$9196</f>
        <v>0.83776755351064836</v>
      </c>
    </row>
    <row r="9198" spans="8:11">
      <c r="H9198">
        <f>SMALL(SimData5000!$B$9:$B$5008,4190)</f>
        <v>0.8378765459342572</v>
      </c>
      <c r="I9198">
        <f>1/(COUNT(SimData5000!$B$9:$B$5008)-1)+$I$9197</f>
        <v>0.83796759351864991</v>
      </c>
      <c r="J9198">
        <f>SMALL(SimData5000!$C$9:$C$5008,4190)</f>
        <v>0.84289489120783401</v>
      </c>
      <c r="K9198">
        <f>1/(COUNT(SimData5000!$C$9:$C$5008)-1)+$K$9197</f>
        <v>0.83796759351864991</v>
      </c>
    </row>
    <row r="9199" spans="8:11">
      <c r="H9199">
        <f>SMALL(SimData5000!$B$9:$B$5008,4191)</f>
        <v>0.83806196575748304</v>
      </c>
      <c r="I9199">
        <f>1/(COUNT(SimData5000!$B$9:$B$5008)-1)+$I$9198</f>
        <v>0.83816763352665147</v>
      </c>
      <c r="J9199">
        <f>SMALL(SimData5000!$C$9:$C$5008,4191)</f>
        <v>0.84311455673548608</v>
      </c>
      <c r="K9199">
        <f>1/(COUNT(SimData5000!$C$9:$C$5008)-1)+$K$9198</f>
        <v>0.83816763352665147</v>
      </c>
    </row>
    <row r="9200" spans="8:11">
      <c r="H9200">
        <f>SMALL(SimData5000!$B$9:$B$5008,4192)</f>
        <v>0.83823398322738563</v>
      </c>
      <c r="I9200">
        <f>1/(COUNT(SimData5000!$B$9:$B$5008)-1)+$I$9199</f>
        <v>0.83836767353465302</v>
      </c>
      <c r="J9200">
        <f>SMALL(SimData5000!$C$9:$C$5008,4192)</f>
        <v>0.84326874787348061</v>
      </c>
      <c r="K9200">
        <f>1/(COUNT(SimData5000!$C$9:$C$5008)-1)+$K$9199</f>
        <v>0.83836767353465302</v>
      </c>
    </row>
    <row r="9201" spans="8:11">
      <c r="H9201">
        <f>SMALL(SimData5000!$B$9:$B$5008,4193)</f>
        <v>0.83849274869302592</v>
      </c>
      <c r="I9201">
        <f>1/(COUNT(SimData5000!$B$9:$B$5008)-1)+$I$9200</f>
        <v>0.83856771354265458</v>
      </c>
      <c r="J9201">
        <f>SMALL(SimData5000!$C$9:$C$5008,4193)</f>
        <v>0.84335459873727814</v>
      </c>
      <c r="K9201">
        <f>1/(COUNT(SimData5000!$C$9:$C$5008)-1)+$K$9200</f>
        <v>0.83856771354265458</v>
      </c>
    </row>
    <row r="9202" spans="8:11">
      <c r="H9202">
        <f>SMALL(SimData5000!$B$9:$B$5008,4194)</f>
        <v>0.83860074353376424</v>
      </c>
      <c r="I9202">
        <f>1/(COUNT(SimData5000!$B$9:$B$5008)-1)+$I$9201</f>
        <v>0.83876775355065614</v>
      </c>
      <c r="J9202">
        <f>SMALL(SimData5000!$C$9:$C$5008,4194)</f>
        <v>0.84336984366746037</v>
      </c>
      <c r="K9202">
        <f>1/(COUNT(SimData5000!$C$9:$C$5008)-1)+$K$9201</f>
        <v>0.83876775355065614</v>
      </c>
    </row>
    <row r="9203" spans="8:11">
      <c r="H9203">
        <f>SMALL(SimData5000!$B$9:$B$5008,4195)</f>
        <v>0.83893864793384876</v>
      </c>
      <c r="I9203">
        <f>1/(COUNT(SimData5000!$B$9:$B$5008)-1)+$I$9202</f>
        <v>0.83896779355865769</v>
      </c>
      <c r="J9203">
        <f>SMALL(SimData5000!$C$9:$C$5008,4195)</f>
        <v>0.84360240882233484</v>
      </c>
      <c r="K9203">
        <f>1/(COUNT(SimData5000!$C$9:$C$5008)-1)+$K$9202</f>
        <v>0.83896779355865769</v>
      </c>
    </row>
    <row r="9204" spans="8:11">
      <c r="H9204">
        <f>SMALL(SimData5000!$B$9:$B$5008,4196)</f>
        <v>0.83917278323061129</v>
      </c>
      <c r="I9204">
        <f>1/(COUNT(SimData5000!$B$9:$B$5008)-1)+$I$9203</f>
        <v>0.83916783356665925</v>
      </c>
      <c r="J9204">
        <f>SMALL(SimData5000!$C$9:$C$5008,4196)</f>
        <v>0.84361721246932575</v>
      </c>
      <c r="K9204">
        <f>1/(COUNT(SimData5000!$C$9:$C$5008)-1)+$K$9203</f>
        <v>0.83916783356665925</v>
      </c>
    </row>
    <row r="9205" spans="8:11">
      <c r="H9205">
        <f>SMALL(SimData5000!$B$9:$B$5008,4197)</f>
        <v>0.83930912406647329</v>
      </c>
      <c r="I9205">
        <f>1/(COUNT(SimData5000!$B$9:$B$5008)-1)+$I$9204</f>
        <v>0.83936787357466081</v>
      </c>
      <c r="J9205">
        <f>SMALL(SimData5000!$C$9:$C$5008,4197)</f>
        <v>0.84444886689107079</v>
      </c>
      <c r="K9205">
        <f>1/(COUNT(SimData5000!$C$9:$C$5008)-1)+$K$9204</f>
        <v>0.83936787357466081</v>
      </c>
    </row>
    <row r="9206" spans="8:11">
      <c r="H9206">
        <f>SMALL(SimData5000!$B$9:$B$5008,4198)</f>
        <v>0.83956169524652924</v>
      </c>
      <c r="I9206">
        <f>1/(COUNT(SimData5000!$B$9:$B$5008)-1)+$I$9205</f>
        <v>0.83956791358266236</v>
      </c>
      <c r="J9206">
        <f>SMALL(SimData5000!$C$9:$C$5008,4198)</f>
        <v>0.84452623004381167</v>
      </c>
      <c r="K9206">
        <f>1/(COUNT(SimData5000!$C$9:$C$5008)-1)+$K$9205</f>
        <v>0.83956791358266236</v>
      </c>
    </row>
    <row r="9207" spans="8:11">
      <c r="H9207">
        <f>SMALL(SimData5000!$B$9:$B$5008,4199)</f>
        <v>0.83976844682697416</v>
      </c>
      <c r="I9207">
        <f>1/(COUNT(SimData5000!$B$9:$B$5008)-1)+$I$9206</f>
        <v>0.83976795359066392</v>
      </c>
      <c r="J9207">
        <f>SMALL(SimData5000!$C$9:$C$5008,4199)</f>
        <v>0.84454551428189006</v>
      </c>
      <c r="K9207">
        <f>1/(COUNT(SimData5000!$C$9:$C$5008)-1)+$K$9206</f>
        <v>0.83976795359066392</v>
      </c>
    </row>
    <row r="9208" spans="8:11">
      <c r="H9208">
        <f>SMALL(SimData5000!$B$9:$B$5008,4200)</f>
        <v>0.83991480273267138</v>
      </c>
      <c r="I9208">
        <f>1/(COUNT(SimData5000!$B$9:$B$5008)-1)+$I$9207</f>
        <v>0.83996799359866547</v>
      </c>
      <c r="J9208">
        <f>SMALL(SimData5000!$C$9:$C$5008,4200)</f>
        <v>0.84460684304485767</v>
      </c>
      <c r="K9208">
        <f>1/(COUNT(SimData5000!$C$9:$C$5008)-1)+$K$9207</f>
        <v>0.83996799359866547</v>
      </c>
    </row>
    <row r="9209" spans="8:11">
      <c r="H9209">
        <f>SMALL(SimData5000!$B$9:$B$5008,4201)</f>
        <v>0.84013243578293662</v>
      </c>
      <c r="I9209">
        <f>1/(COUNT(SimData5000!$B$9:$B$5008)-1)+$I$9208</f>
        <v>0.84016803360666703</v>
      </c>
      <c r="J9209">
        <f>SMALL(SimData5000!$C$9:$C$5008,4201)</f>
        <v>0.84494180622732529</v>
      </c>
      <c r="K9209">
        <f>1/(COUNT(SimData5000!$C$9:$C$5008)-1)+$K$9208</f>
        <v>0.84016803360666703</v>
      </c>
    </row>
    <row r="9210" spans="8:11">
      <c r="H9210">
        <f>SMALL(SimData5000!$B$9:$B$5008,4202)</f>
        <v>0.84023827920580241</v>
      </c>
      <c r="I9210">
        <f>1/(COUNT(SimData5000!$B$9:$B$5008)-1)+$I$9209</f>
        <v>0.84036807361466859</v>
      </c>
      <c r="J9210">
        <f>SMALL(SimData5000!$C$9:$C$5008,4202)</f>
        <v>0.84528051895722456</v>
      </c>
      <c r="K9210">
        <f>1/(COUNT(SimData5000!$C$9:$C$5008)-1)+$K$9209</f>
        <v>0.84036807361466859</v>
      </c>
    </row>
    <row r="9211" spans="8:11">
      <c r="H9211">
        <f>SMALL(SimData5000!$B$9:$B$5008,4203)</f>
        <v>0.84045138110622097</v>
      </c>
      <c r="I9211">
        <f>1/(COUNT(SimData5000!$B$9:$B$5008)-1)+$I$9210</f>
        <v>0.84056811362267014</v>
      </c>
      <c r="J9211">
        <f>SMALL(SimData5000!$C$9:$C$5008,4203)</f>
        <v>0.84556763327782392</v>
      </c>
      <c r="K9211">
        <f>1/(COUNT(SimData5000!$C$9:$C$5008)-1)+$K$9210</f>
        <v>0.84056811362267014</v>
      </c>
    </row>
    <row r="9212" spans="8:11">
      <c r="H9212">
        <f>SMALL(SimData5000!$B$9:$B$5008,4204)</f>
        <v>0.84074705033580466</v>
      </c>
      <c r="I9212">
        <f>1/(COUNT(SimData5000!$B$9:$B$5008)-1)+$I$9211</f>
        <v>0.8407681536306717</v>
      </c>
      <c r="J9212">
        <f>SMALL(SimData5000!$C$9:$C$5008,4204)</f>
        <v>0.84567074999722536</v>
      </c>
      <c r="K9212">
        <f>1/(COUNT(SimData5000!$C$9:$C$5008)-1)+$K$9211</f>
        <v>0.8407681536306717</v>
      </c>
    </row>
    <row r="9213" spans="8:11">
      <c r="H9213">
        <f>SMALL(SimData5000!$B$9:$B$5008,4205)</f>
        <v>0.84087204209223199</v>
      </c>
      <c r="I9213">
        <f>1/(COUNT(SimData5000!$B$9:$B$5008)-1)+$I$9212</f>
        <v>0.84096819363867326</v>
      </c>
      <c r="J9213">
        <f>SMALL(SimData5000!$C$9:$C$5008,4205)</f>
        <v>0.84598221747273783</v>
      </c>
      <c r="K9213">
        <f>1/(COUNT(SimData5000!$C$9:$C$5008)-1)+$K$9212</f>
        <v>0.84096819363867326</v>
      </c>
    </row>
    <row r="9214" spans="8:11">
      <c r="H9214">
        <f>SMALL(SimData5000!$B$9:$B$5008,4206)</f>
        <v>0.84109733191749492</v>
      </c>
      <c r="I9214">
        <f>1/(COUNT(SimData5000!$B$9:$B$5008)-1)+$I$9213</f>
        <v>0.84116823364667481</v>
      </c>
      <c r="J9214">
        <f>SMALL(SimData5000!$C$9:$C$5008,4206)</f>
        <v>0.84603790404344181</v>
      </c>
      <c r="K9214">
        <f>1/(COUNT(SimData5000!$C$9:$C$5008)-1)+$K$9213</f>
        <v>0.84116823364667481</v>
      </c>
    </row>
    <row r="9215" spans="8:11">
      <c r="H9215">
        <f>SMALL(SimData5000!$B$9:$B$5008,4207)</f>
        <v>0.841314405166524</v>
      </c>
      <c r="I9215">
        <f>1/(COUNT(SimData5000!$B$9:$B$5008)-1)+$I$9214</f>
        <v>0.84136827365467637</v>
      </c>
      <c r="J9215">
        <f>SMALL(SimData5000!$C$9:$C$5008,4207)</f>
        <v>0.84638732048642851</v>
      </c>
      <c r="K9215">
        <f>1/(COUNT(SimData5000!$C$9:$C$5008)-1)+$K$9214</f>
        <v>0.84136827365467637</v>
      </c>
    </row>
    <row r="9216" spans="8:11">
      <c r="H9216">
        <f>SMALL(SimData5000!$B$9:$B$5008,4208)</f>
        <v>0.84159106135633577</v>
      </c>
      <c r="I9216">
        <f>1/(COUNT(SimData5000!$B$9:$B$5008)-1)+$I$9215</f>
        <v>0.84156831366267792</v>
      </c>
      <c r="J9216">
        <f>SMALL(SimData5000!$C$9:$C$5008,4208)</f>
        <v>0.84724686191566434</v>
      </c>
      <c r="K9216">
        <f>1/(COUNT(SimData5000!$C$9:$C$5008)-1)+$K$9215</f>
        <v>0.84156831366267792</v>
      </c>
    </row>
    <row r="9217" spans="8:11">
      <c r="H9217">
        <f>SMALL(SimData5000!$B$9:$B$5008,4209)</f>
        <v>0.84176795443048891</v>
      </c>
      <c r="I9217">
        <f>1/(COUNT(SimData5000!$B$9:$B$5008)-1)+$I$9216</f>
        <v>0.84176835367067948</v>
      </c>
      <c r="J9217">
        <f>SMALL(SimData5000!$C$9:$C$5008,4209)</f>
        <v>0.84725507671555533</v>
      </c>
      <c r="K9217">
        <f>1/(COUNT(SimData5000!$C$9:$C$5008)-1)+$K$9216</f>
        <v>0.84176835367067948</v>
      </c>
    </row>
    <row r="9218" spans="8:11">
      <c r="H9218">
        <f>SMALL(SimData5000!$B$9:$B$5008,4210)</f>
        <v>0.84186663499033698</v>
      </c>
      <c r="I9218">
        <f>1/(COUNT(SimData5000!$B$9:$B$5008)-1)+$I$9217</f>
        <v>0.84196839367868104</v>
      </c>
      <c r="J9218">
        <f>SMALL(SimData5000!$C$9:$C$5008,4210)</f>
        <v>0.84737413446782739</v>
      </c>
      <c r="K9218">
        <f>1/(COUNT(SimData5000!$C$9:$C$5008)-1)+$K$9217</f>
        <v>0.84196839367868104</v>
      </c>
    </row>
    <row r="9219" spans="8:11">
      <c r="H9219">
        <f>SMALL(SimData5000!$B$9:$B$5008,4211)</f>
        <v>0.84210478063256122</v>
      </c>
      <c r="I9219">
        <f>1/(COUNT(SimData5000!$B$9:$B$5008)-1)+$I$9218</f>
        <v>0.84216843368668259</v>
      </c>
      <c r="J9219">
        <f>SMALL(SimData5000!$C$9:$C$5008,4211)</f>
        <v>0.84741490670785424</v>
      </c>
      <c r="K9219">
        <f>1/(COUNT(SimData5000!$C$9:$C$5008)-1)+$K$9218</f>
        <v>0.84216843368668259</v>
      </c>
    </row>
    <row r="9220" spans="8:11">
      <c r="H9220">
        <f>SMALL(SimData5000!$B$9:$B$5008,4212)</f>
        <v>0.84223578901897089</v>
      </c>
      <c r="I9220">
        <f>1/(COUNT(SimData5000!$B$9:$B$5008)-1)+$I$9219</f>
        <v>0.84236847369468415</v>
      </c>
      <c r="J9220">
        <f>SMALL(SimData5000!$C$9:$C$5008,4212)</f>
        <v>0.84744005429547542</v>
      </c>
      <c r="K9220">
        <f>1/(COUNT(SimData5000!$C$9:$C$5008)-1)+$K$9219</f>
        <v>0.84236847369468415</v>
      </c>
    </row>
    <row r="9221" spans="8:11">
      <c r="H9221">
        <f>SMALL(SimData5000!$B$9:$B$5008,4213)</f>
        <v>0.84240837270794633</v>
      </c>
      <c r="I9221">
        <f>1/(COUNT(SimData5000!$B$9:$B$5008)-1)+$I$9220</f>
        <v>0.84256851370268571</v>
      </c>
      <c r="J9221">
        <f>SMALL(SimData5000!$C$9:$C$5008,4213)</f>
        <v>0.84757053323937726</v>
      </c>
      <c r="K9221">
        <f>1/(COUNT(SimData5000!$C$9:$C$5008)-1)+$K$9220</f>
        <v>0.84256851370268571</v>
      </c>
    </row>
    <row r="9222" spans="8:11">
      <c r="H9222">
        <f>SMALL(SimData5000!$B$9:$B$5008,4214)</f>
        <v>0.84264006768028243</v>
      </c>
      <c r="I9222">
        <f>1/(COUNT(SimData5000!$B$9:$B$5008)-1)+$I$9221</f>
        <v>0.84276855371068726</v>
      </c>
      <c r="J9222">
        <f>SMALL(SimData5000!$C$9:$C$5008,4214)</f>
        <v>0.84768219169473014</v>
      </c>
      <c r="K9222">
        <f>1/(COUNT(SimData5000!$C$9:$C$5008)-1)+$K$9221</f>
        <v>0.84276855371068726</v>
      </c>
    </row>
    <row r="9223" spans="8:11">
      <c r="H9223">
        <f>SMALL(SimData5000!$B$9:$B$5008,4215)</f>
        <v>0.84282378164525684</v>
      </c>
      <c r="I9223">
        <f>1/(COUNT(SimData5000!$B$9:$B$5008)-1)+$I$9222</f>
        <v>0.84296859371868882</v>
      </c>
      <c r="J9223">
        <f>SMALL(SimData5000!$C$9:$C$5008,4215)</f>
        <v>0.84790611543394334</v>
      </c>
      <c r="K9223">
        <f>1/(COUNT(SimData5000!$C$9:$C$5008)-1)+$K$9222</f>
        <v>0.84296859371868882</v>
      </c>
    </row>
    <row r="9224" spans="8:11">
      <c r="H9224">
        <f>SMALL(SimData5000!$B$9:$B$5008,4216)</f>
        <v>0.84300671540321948</v>
      </c>
      <c r="I9224">
        <f>1/(COUNT(SimData5000!$B$9:$B$5008)-1)+$I$9223</f>
        <v>0.84316863372669038</v>
      </c>
      <c r="J9224">
        <f>SMALL(SimData5000!$C$9:$C$5008,4216)</f>
        <v>0.84817338058746827</v>
      </c>
      <c r="K9224">
        <f>1/(COUNT(SimData5000!$C$9:$C$5008)-1)+$K$9223</f>
        <v>0.84316863372669038</v>
      </c>
    </row>
    <row r="9225" spans="8:11">
      <c r="H9225">
        <f>SMALL(SimData5000!$B$9:$B$5008,4217)</f>
        <v>0.84335398683588814</v>
      </c>
      <c r="I9225">
        <f>1/(COUNT(SimData5000!$B$9:$B$5008)-1)+$I$9224</f>
        <v>0.84336867373469193</v>
      </c>
      <c r="J9225">
        <f>SMALL(SimData5000!$C$9:$C$5008,4217)</f>
        <v>0.84840595332389057</v>
      </c>
      <c r="K9225">
        <f>1/(COUNT(SimData5000!$C$9:$C$5008)-1)+$K$9224</f>
        <v>0.84336867373469193</v>
      </c>
    </row>
    <row r="9226" spans="8:11">
      <c r="H9226">
        <f>SMALL(SimData5000!$B$9:$B$5008,4218)</f>
        <v>0.84348115325814144</v>
      </c>
      <c r="I9226">
        <f>1/(COUNT(SimData5000!$B$9:$B$5008)-1)+$I$9225</f>
        <v>0.84356871374269349</v>
      </c>
      <c r="J9226">
        <f>SMALL(SimData5000!$C$9:$C$5008,4218)</f>
        <v>0.84855165228691476</v>
      </c>
      <c r="K9226">
        <f>1/(COUNT(SimData5000!$C$9:$C$5008)-1)+$K$9225</f>
        <v>0.84356871374269349</v>
      </c>
    </row>
    <row r="9227" spans="8:11">
      <c r="H9227">
        <f>SMALL(SimData5000!$B$9:$B$5008,4219)</f>
        <v>0.84372763770514336</v>
      </c>
      <c r="I9227">
        <f>1/(COUNT(SimData5000!$B$9:$B$5008)-1)+$I$9226</f>
        <v>0.84376875375069504</v>
      </c>
      <c r="J9227">
        <f>SMALL(SimData5000!$C$9:$C$5008,4219)</f>
        <v>0.84858263298974634</v>
      </c>
      <c r="K9227">
        <f>1/(COUNT(SimData5000!$C$9:$C$5008)-1)+$K$9226</f>
        <v>0.84376875375069504</v>
      </c>
    </row>
    <row r="9228" spans="8:11">
      <c r="H9228">
        <f>SMALL(SimData5000!$B$9:$B$5008,4220)</f>
        <v>0.84398346711173267</v>
      </c>
      <c r="I9228">
        <f>1/(COUNT(SimData5000!$B$9:$B$5008)-1)+$I$9227</f>
        <v>0.8439687937586966</v>
      </c>
      <c r="J9228">
        <f>SMALL(SimData5000!$C$9:$C$5008,4220)</f>
        <v>0.84861118892878551</v>
      </c>
      <c r="K9228">
        <f>1/(COUNT(SimData5000!$C$9:$C$5008)-1)+$K$9227</f>
        <v>0.8439687937586966</v>
      </c>
    </row>
    <row r="9229" spans="8:11">
      <c r="H9229">
        <f>SMALL(SimData5000!$B$9:$B$5008,4221)</f>
        <v>0.84419316025352875</v>
      </c>
      <c r="I9229">
        <f>1/(COUNT(SimData5000!$B$9:$B$5008)-1)+$I$9228</f>
        <v>0.84416883376669816</v>
      </c>
      <c r="J9229">
        <f>SMALL(SimData5000!$C$9:$C$5008,4221)</f>
        <v>0.8487309645042842</v>
      </c>
      <c r="K9229">
        <f>1/(COUNT(SimData5000!$C$9:$C$5008)-1)+$K$9228</f>
        <v>0.84416883376669816</v>
      </c>
    </row>
    <row r="9230" spans="8:11">
      <c r="H9230">
        <f>SMALL(SimData5000!$B$9:$B$5008,4222)</f>
        <v>0.84435404746307852</v>
      </c>
      <c r="I9230">
        <f>1/(COUNT(SimData5000!$B$9:$B$5008)-1)+$I$9229</f>
        <v>0.84436887377469971</v>
      </c>
      <c r="J9230">
        <f>SMALL(SimData5000!$C$9:$C$5008,4222)</f>
        <v>0.84884265935943404</v>
      </c>
      <c r="K9230">
        <f>1/(COUNT(SimData5000!$C$9:$C$5008)-1)+$K$9229</f>
        <v>0.84436887377469971</v>
      </c>
    </row>
    <row r="9231" spans="8:11">
      <c r="H9231">
        <f>SMALL(SimData5000!$B$9:$B$5008,4223)</f>
        <v>0.84444424954355801</v>
      </c>
      <c r="I9231">
        <f>1/(COUNT(SimData5000!$B$9:$B$5008)-1)+$I$9230</f>
        <v>0.84456891378270127</v>
      </c>
      <c r="J9231">
        <f>SMALL(SimData5000!$C$9:$C$5008,4223)</f>
        <v>0.84888281657731568</v>
      </c>
      <c r="K9231">
        <f>1/(COUNT(SimData5000!$C$9:$C$5008)-1)+$K$9230</f>
        <v>0.84456891378270127</v>
      </c>
    </row>
    <row r="9232" spans="8:11">
      <c r="H9232">
        <f>SMALL(SimData5000!$B$9:$B$5008,4224)</f>
        <v>0.84479023464726999</v>
      </c>
      <c r="I9232">
        <f>1/(COUNT(SimData5000!$B$9:$B$5008)-1)+$I$9231</f>
        <v>0.84476895379070283</v>
      </c>
      <c r="J9232">
        <f>SMALL(SimData5000!$C$9:$C$5008,4224)</f>
        <v>0.84892281750398979</v>
      </c>
      <c r="K9232">
        <f>1/(COUNT(SimData5000!$C$9:$C$5008)-1)+$K$9231</f>
        <v>0.84476895379070283</v>
      </c>
    </row>
    <row r="9233" spans="8:11">
      <c r="H9233">
        <f>SMALL(SimData5000!$B$9:$B$5008,4225)</f>
        <v>0.84491800566793374</v>
      </c>
      <c r="I9233">
        <f>1/(COUNT(SimData5000!$B$9:$B$5008)-1)+$I$9232</f>
        <v>0.84496899379870438</v>
      </c>
      <c r="J9233">
        <f>SMALL(SimData5000!$C$9:$C$5008,4225)</f>
        <v>0.84914489076879818</v>
      </c>
      <c r="K9233">
        <f>1/(COUNT(SimData5000!$C$9:$C$5008)-1)+$K$9232</f>
        <v>0.84496899379870438</v>
      </c>
    </row>
    <row r="9234" spans="8:11">
      <c r="H9234">
        <f>SMALL(SimData5000!$B$9:$B$5008,4226)</f>
        <v>0.84504780204092333</v>
      </c>
      <c r="I9234">
        <f>1/(COUNT(SimData5000!$B$9:$B$5008)-1)+$I$9233</f>
        <v>0.84516903380670594</v>
      </c>
      <c r="J9234">
        <f>SMALL(SimData5000!$C$9:$C$5008,4226)</f>
        <v>0.84963312773561483</v>
      </c>
      <c r="K9234">
        <f>1/(COUNT(SimData5000!$C$9:$C$5008)-1)+$K$9233</f>
        <v>0.84516903380670594</v>
      </c>
    </row>
    <row r="9235" spans="8:11">
      <c r="H9235">
        <f>SMALL(SimData5000!$B$9:$B$5008,4227)</f>
        <v>0.8452241497266163</v>
      </c>
      <c r="I9235">
        <f>1/(COUNT(SimData5000!$B$9:$B$5008)-1)+$I$9234</f>
        <v>0.84536907381470749</v>
      </c>
      <c r="J9235">
        <f>SMALL(SimData5000!$C$9:$C$5008,4227)</f>
        <v>0.8496778687740516</v>
      </c>
      <c r="K9235">
        <f>1/(COUNT(SimData5000!$C$9:$C$5008)-1)+$K$9234</f>
        <v>0.84536907381470749</v>
      </c>
    </row>
    <row r="9236" spans="8:11">
      <c r="H9236">
        <f>SMALL(SimData5000!$B$9:$B$5008,4228)</f>
        <v>0.84541083146087148</v>
      </c>
      <c r="I9236">
        <f>1/(COUNT(SimData5000!$B$9:$B$5008)-1)+$I$9235</f>
        <v>0.84556911382270905</v>
      </c>
      <c r="J9236">
        <f>SMALL(SimData5000!$C$9:$C$5008,4228)</f>
        <v>0.8498149866491076</v>
      </c>
      <c r="K9236">
        <f>1/(COUNT(SimData5000!$C$9:$C$5008)-1)+$K$9235</f>
        <v>0.84556911382270905</v>
      </c>
    </row>
    <row r="9237" spans="8:11">
      <c r="H9237">
        <f>SMALL(SimData5000!$B$9:$B$5008,4229)</f>
        <v>0.84561531704911397</v>
      </c>
      <c r="I9237">
        <f>1/(COUNT(SimData5000!$B$9:$B$5008)-1)+$I$9236</f>
        <v>0.84576915383071061</v>
      </c>
      <c r="J9237">
        <f>SMALL(SimData5000!$C$9:$C$5008,4229)</f>
        <v>0.8499433243259773</v>
      </c>
      <c r="K9237">
        <f>1/(COUNT(SimData5000!$C$9:$C$5008)-1)+$K$9236</f>
        <v>0.84576915383071061</v>
      </c>
    </row>
    <row r="9238" spans="8:11">
      <c r="H9238">
        <f>SMALL(SimData5000!$B$9:$B$5008,4230)</f>
        <v>0.8459192142924572</v>
      </c>
      <c r="I9238">
        <f>1/(COUNT(SimData5000!$B$9:$B$5008)-1)+$I$9237</f>
        <v>0.84596919383871216</v>
      </c>
      <c r="J9238">
        <f>SMALL(SimData5000!$C$9:$C$5008,4230)</f>
        <v>0.85035593413795141</v>
      </c>
      <c r="K9238">
        <f>1/(COUNT(SimData5000!$C$9:$C$5008)-1)+$K$9237</f>
        <v>0.84596919383871216</v>
      </c>
    </row>
    <row r="9239" spans="8:11">
      <c r="H9239">
        <f>SMALL(SimData5000!$B$9:$B$5008,4231)</f>
        <v>0.84612670326324335</v>
      </c>
      <c r="I9239">
        <f>1/(COUNT(SimData5000!$B$9:$B$5008)-1)+$I$9238</f>
        <v>0.84616923384671372</v>
      </c>
      <c r="J9239">
        <f>SMALL(SimData5000!$C$9:$C$5008,4231)</f>
        <v>0.8504324844070652</v>
      </c>
      <c r="K9239">
        <f>1/(COUNT(SimData5000!$C$9:$C$5008)-1)+$K$9238</f>
        <v>0.84616923384671372</v>
      </c>
    </row>
    <row r="9240" spans="8:11">
      <c r="H9240">
        <f>SMALL(SimData5000!$B$9:$B$5008,4232)</f>
        <v>0.84637227190392383</v>
      </c>
      <c r="I9240">
        <f>1/(COUNT(SimData5000!$B$9:$B$5008)-1)+$I$9239</f>
        <v>0.84636927385471528</v>
      </c>
      <c r="J9240">
        <f>SMALL(SimData5000!$C$9:$C$5008,4232)</f>
        <v>0.85044725059833581</v>
      </c>
      <c r="K9240">
        <f>1/(COUNT(SimData5000!$C$9:$C$5008)-1)+$K$9239</f>
        <v>0.84636927385471528</v>
      </c>
    </row>
    <row r="9241" spans="8:11">
      <c r="H9241">
        <f>SMALL(SimData5000!$B$9:$B$5008,4233)</f>
        <v>0.84642971143360013</v>
      </c>
      <c r="I9241">
        <f>1/(COUNT(SimData5000!$B$9:$B$5008)-1)+$I$9240</f>
        <v>0.84656931386271683</v>
      </c>
      <c r="J9241">
        <f>SMALL(SimData5000!$C$9:$C$5008,4233)</f>
        <v>0.85050188982677355</v>
      </c>
      <c r="K9241">
        <f>1/(COUNT(SimData5000!$C$9:$C$5008)-1)+$K$9240</f>
        <v>0.84656931386271683</v>
      </c>
    </row>
    <row r="9242" spans="8:11">
      <c r="H9242">
        <f>SMALL(SimData5000!$B$9:$B$5008,4234)</f>
        <v>0.84673275722361463</v>
      </c>
      <c r="I9242">
        <f>1/(COUNT(SimData5000!$B$9:$B$5008)-1)+$I$9241</f>
        <v>0.84676935387071839</v>
      </c>
      <c r="J9242">
        <f>SMALL(SimData5000!$C$9:$C$5008,4234)</f>
        <v>0.85076168462182977</v>
      </c>
      <c r="K9242">
        <f>1/(COUNT(SimData5000!$C$9:$C$5008)-1)+$K$9241</f>
        <v>0.84676935387071839</v>
      </c>
    </row>
    <row r="9243" spans="8:11">
      <c r="H9243">
        <f>SMALL(SimData5000!$B$9:$B$5008,4235)</f>
        <v>0.8468756216107578</v>
      </c>
      <c r="I9243">
        <f>1/(COUNT(SimData5000!$B$9:$B$5008)-1)+$I$9242</f>
        <v>0.84696939387871994</v>
      </c>
      <c r="J9243">
        <f>SMALL(SimData5000!$C$9:$C$5008,4235)</f>
        <v>0.85132288051136129</v>
      </c>
      <c r="K9243">
        <f>1/(COUNT(SimData5000!$C$9:$C$5008)-1)+$K$9242</f>
        <v>0.84696939387871994</v>
      </c>
    </row>
    <row r="9244" spans="8:11">
      <c r="H9244">
        <f>SMALL(SimData5000!$B$9:$B$5008,4236)</f>
        <v>0.84707522419324954</v>
      </c>
      <c r="I9244">
        <f>1/(COUNT(SimData5000!$B$9:$B$5008)-1)+$I$9243</f>
        <v>0.8471694338867215</v>
      </c>
      <c r="J9244">
        <f>SMALL(SimData5000!$C$9:$C$5008,4236)</f>
        <v>0.85137979396586161</v>
      </c>
      <c r="K9244">
        <f>1/(COUNT(SimData5000!$C$9:$C$5008)-1)+$K$9243</f>
        <v>0.8471694338867215</v>
      </c>
    </row>
    <row r="9245" spans="8:11">
      <c r="H9245">
        <f>SMALL(SimData5000!$B$9:$B$5008,4237)</f>
        <v>0.84735157770760161</v>
      </c>
      <c r="I9245">
        <f>1/(COUNT(SimData5000!$B$9:$B$5008)-1)+$I$9244</f>
        <v>0.84736947389472306</v>
      </c>
      <c r="J9245">
        <f>SMALL(SimData5000!$C$9:$C$5008,4237)</f>
        <v>0.85195026377914473</v>
      </c>
      <c r="K9245">
        <f>1/(COUNT(SimData5000!$C$9:$C$5008)-1)+$K$9244</f>
        <v>0.84736947389472306</v>
      </c>
    </row>
    <row r="9246" spans="8:11">
      <c r="H9246">
        <f>SMALL(SimData5000!$B$9:$B$5008,4238)</f>
        <v>0.84751275124468661</v>
      </c>
      <c r="I9246">
        <f>1/(COUNT(SimData5000!$B$9:$B$5008)-1)+$I$9245</f>
        <v>0.84756951390272461</v>
      </c>
      <c r="J9246">
        <f>SMALL(SimData5000!$C$9:$C$5008,4238)</f>
        <v>0.85198557835701649</v>
      </c>
      <c r="K9246">
        <f>1/(COUNT(SimData5000!$C$9:$C$5008)-1)+$K$9245</f>
        <v>0.84756951390272461</v>
      </c>
    </row>
    <row r="9247" spans="8:11">
      <c r="H9247">
        <f>SMALL(SimData5000!$B$9:$B$5008,4239)</f>
        <v>0.84777316321902285</v>
      </c>
      <c r="I9247">
        <f>1/(COUNT(SimData5000!$B$9:$B$5008)-1)+$I$9246</f>
        <v>0.84776955391072617</v>
      </c>
      <c r="J9247">
        <f>SMALL(SimData5000!$C$9:$C$5008,4239)</f>
        <v>0.85206450388795929</v>
      </c>
      <c r="K9247">
        <f>1/(COUNT(SimData5000!$C$9:$C$5008)-1)+$K$9246</f>
        <v>0.84776955391072617</v>
      </c>
    </row>
    <row r="9248" spans="8:11">
      <c r="H9248">
        <f>SMALL(SimData5000!$B$9:$B$5008,4240)</f>
        <v>0.84796234899683909</v>
      </c>
      <c r="I9248">
        <f>1/(COUNT(SimData5000!$B$9:$B$5008)-1)+$I$9247</f>
        <v>0.84796959391872773</v>
      </c>
      <c r="J9248">
        <f>SMALL(SimData5000!$C$9:$C$5008,4240)</f>
        <v>0.85244865417553228</v>
      </c>
      <c r="K9248">
        <f>1/(COUNT(SimData5000!$C$9:$C$5008)-1)+$K$9247</f>
        <v>0.84796959391872773</v>
      </c>
    </row>
    <row r="9249" spans="8:11">
      <c r="H9249">
        <f>SMALL(SimData5000!$B$9:$B$5008,4241)</f>
        <v>0.84807402186879755</v>
      </c>
      <c r="I9249">
        <f>1/(COUNT(SimData5000!$B$9:$B$5008)-1)+$I$9248</f>
        <v>0.84816963392672928</v>
      </c>
      <c r="J9249">
        <f>SMALL(SimData5000!$C$9:$C$5008,4241)</f>
        <v>0.85252638020756422</v>
      </c>
      <c r="K9249">
        <f>1/(COUNT(SimData5000!$C$9:$C$5008)-1)+$K$9248</f>
        <v>0.84816963392672928</v>
      </c>
    </row>
    <row r="9250" spans="8:11">
      <c r="H9250">
        <f>SMALL(SimData5000!$B$9:$B$5008,4242)</f>
        <v>0.84832084467185687</v>
      </c>
      <c r="I9250">
        <f>1/(COUNT(SimData5000!$B$9:$B$5008)-1)+$I$9249</f>
        <v>0.84836967393473084</v>
      </c>
      <c r="J9250">
        <f>SMALL(SimData5000!$C$9:$C$5008,4242)</f>
        <v>0.85268499981975765</v>
      </c>
      <c r="K9250">
        <f>1/(COUNT(SimData5000!$C$9:$C$5008)-1)+$K$9249</f>
        <v>0.84836967393473084</v>
      </c>
    </row>
    <row r="9251" spans="8:11">
      <c r="H9251">
        <f>SMALL(SimData5000!$B$9:$B$5008,4243)</f>
        <v>0.84851232036624857</v>
      </c>
      <c r="I9251">
        <f>1/(COUNT(SimData5000!$B$9:$B$5008)-1)+$I$9250</f>
        <v>0.8485697139427324</v>
      </c>
      <c r="J9251">
        <f>SMALL(SimData5000!$C$9:$C$5008,4243)</f>
        <v>0.85274194134763093</v>
      </c>
      <c r="K9251">
        <f>1/(COUNT(SimData5000!$C$9:$C$5008)-1)+$K$9250</f>
        <v>0.8485697139427324</v>
      </c>
    </row>
    <row r="9252" spans="8:11">
      <c r="H9252">
        <f>SMALL(SimData5000!$B$9:$B$5008,4244)</f>
        <v>0.84868953374272438</v>
      </c>
      <c r="I9252">
        <f>1/(COUNT(SimData5000!$B$9:$B$5008)-1)+$I$9251</f>
        <v>0.84876975395073395</v>
      </c>
      <c r="J9252">
        <f>SMALL(SimData5000!$C$9:$C$5008,4244)</f>
        <v>0.85293582927442912</v>
      </c>
      <c r="K9252">
        <f>1/(COUNT(SimData5000!$C$9:$C$5008)-1)+$K$9251</f>
        <v>0.84876975395073395</v>
      </c>
    </row>
    <row r="9253" spans="8:11">
      <c r="H9253">
        <f>SMALL(SimData5000!$B$9:$B$5008,4245)</f>
        <v>0.84882405591668197</v>
      </c>
      <c r="I9253">
        <f>1/(COUNT(SimData5000!$B$9:$B$5008)-1)+$I$9252</f>
        <v>0.84896979395873551</v>
      </c>
      <c r="J9253">
        <f>SMALL(SimData5000!$C$9:$C$5008,4245)</f>
        <v>0.85309091949056892</v>
      </c>
      <c r="K9253">
        <f>1/(COUNT(SimData5000!$C$9:$C$5008)-1)+$K$9252</f>
        <v>0.84896979395873551</v>
      </c>
    </row>
    <row r="9254" spans="8:11">
      <c r="H9254">
        <f>SMALL(SimData5000!$B$9:$B$5008,4246)</f>
        <v>0.84905901071574985</v>
      </c>
      <c r="I9254">
        <f>1/(COUNT(SimData5000!$B$9:$B$5008)-1)+$I$9253</f>
        <v>0.84916983396673706</v>
      </c>
      <c r="J9254">
        <f>SMALL(SimData5000!$C$9:$C$5008,4246)</f>
        <v>0.85393504105195461</v>
      </c>
      <c r="K9254">
        <f>1/(COUNT(SimData5000!$C$9:$C$5008)-1)+$K$9253</f>
        <v>0.84916983396673706</v>
      </c>
    </row>
    <row r="9255" spans="8:11">
      <c r="H9255">
        <f>SMALL(SimData5000!$B$9:$B$5008,4247)</f>
        <v>0.84929588947899082</v>
      </c>
      <c r="I9255">
        <f>1/(COUNT(SimData5000!$B$9:$B$5008)-1)+$I$9254</f>
        <v>0.84936987397473862</v>
      </c>
      <c r="J9255">
        <f>SMALL(SimData5000!$C$9:$C$5008,4247)</f>
        <v>0.85400712046975968</v>
      </c>
      <c r="K9255">
        <f>1/(COUNT(SimData5000!$C$9:$C$5008)-1)+$K$9254</f>
        <v>0.84936987397473862</v>
      </c>
    </row>
    <row r="9256" spans="8:11">
      <c r="H9256">
        <f>SMALL(SimData5000!$B$9:$B$5008,4248)</f>
        <v>0.8495449831536378</v>
      </c>
      <c r="I9256">
        <f>1/(COUNT(SimData5000!$B$9:$B$5008)-1)+$I$9255</f>
        <v>0.84956991398274018</v>
      </c>
      <c r="J9256">
        <f>SMALL(SimData5000!$C$9:$C$5008,4248)</f>
        <v>0.85402731882277294</v>
      </c>
      <c r="K9256">
        <f>1/(COUNT(SimData5000!$C$9:$C$5008)-1)+$K$9255</f>
        <v>0.84956991398274018</v>
      </c>
    </row>
    <row r="9257" spans="8:11">
      <c r="H9257">
        <f>SMALL(SimData5000!$B$9:$B$5008,4249)</f>
        <v>0.84975864186570016</v>
      </c>
      <c r="I9257">
        <f>1/(COUNT(SimData5000!$B$9:$B$5008)-1)+$I$9256</f>
        <v>0.84976995399074173</v>
      </c>
      <c r="J9257">
        <f>SMALL(SimData5000!$C$9:$C$5008,4249)</f>
        <v>0.85443551759635739</v>
      </c>
      <c r="K9257">
        <f>1/(COUNT(SimData5000!$C$9:$C$5008)-1)+$K$9256</f>
        <v>0.84976995399074173</v>
      </c>
    </row>
    <row r="9258" spans="8:11">
      <c r="H9258">
        <f>SMALL(SimData5000!$B$9:$B$5008,4250)</f>
        <v>0.84987783938075367</v>
      </c>
      <c r="I9258">
        <f>1/(COUNT(SimData5000!$B$9:$B$5008)-1)+$I$9257</f>
        <v>0.84996999399874329</v>
      </c>
      <c r="J9258">
        <f>SMALL(SimData5000!$C$9:$C$5008,4250)</f>
        <v>0.85452208716560563</v>
      </c>
      <c r="K9258">
        <f>1/(COUNT(SimData5000!$C$9:$C$5008)-1)+$K$9257</f>
        <v>0.84996999399874329</v>
      </c>
    </row>
    <row r="9259" spans="8:11">
      <c r="H9259">
        <f>SMALL(SimData5000!$B$9:$B$5008,4251)</f>
        <v>0.85008069213486293</v>
      </c>
      <c r="I9259">
        <f>1/(COUNT(SimData5000!$B$9:$B$5008)-1)+$I$9258</f>
        <v>0.85017003400674485</v>
      </c>
      <c r="J9259">
        <f>SMALL(SimData5000!$C$9:$C$5008,4251)</f>
        <v>0.85456878819240956</v>
      </c>
      <c r="K9259">
        <f>1/(COUNT(SimData5000!$C$9:$C$5008)-1)+$K$9258</f>
        <v>0.85017003400674485</v>
      </c>
    </row>
    <row r="9260" spans="8:11">
      <c r="H9260">
        <f>SMALL(SimData5000!$B$9:$B$5008,4252)</f>
        <v>0.85036864880071228</v>
      </c>
      <c r="I9260">
        <f>1/(COUNT(SimData5000!$B$9:$B$5008)-1)+$I$9259</f>
        <v>0.8503700740147464</v>
      </c>
      <c r="J9260">
        <f>SMALL(SimData5000!$C$9:$C$5008,4252)</f>
        <v>0.85478458176021377</v>
      </c>
      <c r="K9260">
        <f>1/(COUNT(SimData5000!$C$9:$C$5008)-1)+$K$9259</f>
        <v>0.8503700740147464</v>
      </c>
    </row>
    <row r="9261" spans="8:11">
      <c r="H9261">
        <f>SMALL(SimData5000!$B$9:$B$5008,4253)</f>
        <v>0.850583192570876</v>
      </c>
      <c r="I9261">
        <f>1/(COUNT(SimData5000!$B$9:$B$5008)-1)+$I$9260</f>
        <v>0.85057011402274796</v>
      </c>
      <c r="J9261">
        <f>SMALL(SimData5000!$C$9:$C$5008,4253)</f>
        <v>0.85509396687302797</v>
      </c>
      <c r="K9261">
        <f>1/(COUNT(SimData5000!$C$9:$C$5008)-1)+$K$9260</f>
        <v>0.85057011402274796</v>
      </c>
    </row>
    <row r="9262" spans="8:11">
      <c r="H9262">
        <f>SMALL(SimData5000!$B$9:$B$5008,4254)</f>
        <v>0.85077648126882888</v>
      </c>
      <c r="I9262">
        <f>1/(COUNT(SimData5000!$B$9:$B$5008)-1)+$I$9261</f>
        <v>0.85077015403074951</v>
      </c>
      <c r="J9262">
        <f>SMALL(SimData5000!$C$9:$C$5008,4254)</f>
        <v>0.8553457206389794</v>
      </c>
      <c r="K9262">
        <f>1/(COUNT(SimData5000!$C$9:$C$5008)-1)+$K$9261</f>
        <v>0.85077015403074951</v>
      </c>
    </row>
    <row r="9263" spans="8:11">
      <c r="H9263">
        <f>SMALL(SimData5000!$B$9:$B$5008,4255)</f>
        <v>0.85098535417662591</v>
      </c>
      <c r="I9263">
        <f>1/(COUNT(SimData5000!$B$9:$B$5008)-1)+$I$9262</f>
        <v>0.85097019403875107</v>
      </c>
      <c r="J9263">
        <f>SMALL(SimData5000!$C$9:$C$5008,4255)</f>
        <v>0.85549883446947206</v>
      </c>
      <c r="K9263">
        <f>1/(COUNT(SimData5000!$C$9:$C$5008)-1)+$K$9262</f>
        <v>0.85097019403875107</v>
      </c>
    </row>
    <row r="9264" spans="8:11">
      <c r="H9264">
        <f>SMALL(SimData5000!$B$9:$B$5008,4256)</f>
        <v>0.85100800720025038</v>
      </c>
      <c r="I9264">
        <f>1/(COUNT(SimData5000!$B$9:$B$5008)-1)+$I$9263</f>
        <v>0.85117023404675263</v>
      </c>
      <c r="J9264">
        <f>SMALL(SimData5000!$C$9:$C$5008,4256)</f>
        <v>0.85554646585023875</v>
      </c>
      <c r="K9264">
        <f>1/(COUNT(SimData5000!$C$9:$C$5008)-1)+$K$9263</f>
        <v>0.85117023404675263</v>
      </c>
    </row>
    <row r="9265" spans="8:11">
      <c r="H9265">
        <f>SMALL(SimData5000!$B$9:$B$5008,4257)</f>
        <v>0.8513140630155136</v>
      </c>
      <c r="I9265">
        <f>1/(COUNT(SimData5000!$B$9:$B$5008)-1)+$I$9264</f>
        <v>0.85137027405475418</v>
      </c>
      <c r="J9265">
        <f>SMALL(SimData5000!$C$9:$C$5008,4257)</f>
        <v>0.85569159127135208</v>
      </c>
      <c r="K9265">
        <f>1/(COUNT(SimData5000!$C$9:$C$5008)-1)+$K$9264</f>
        <v>0.85137027405475418</v>
      </c>
    </row>
    <row r="9266" spans="8:11">
      <c r="H9266">
        <f>SMALL(SimData5000!$B$9:$B$5008,4258)</f>
        <v>0.85148444218576991</v>
      </c>
      <c r="I9266">
        <f>1/(COUNT(SimData5000!$B$9:$B$5008)-1)+$I$9265</f>
        <v>0.85157031406275574</v>
      </c>
      <c r="J9266">
        <f>SMALL(SimData5000!$C$9:$C$5008,4258)</f>
        <v>0.85581957237718598</v>
      </c>
      <c r="K9266">
        <f>1/(COUNT(SimData5000!$C$9:$C$5008)-1)+$K$9265</f>
        <v>0.85157031406275574</v>
      </c>
    </row>
    <row r="9267" spans="8:11">
      <c r="H9267">
        <f>SMALL(SimData5000!$B$9:$B$5008,4259)</f>
        <v>0.85160279479478562</v>
      </c>
      <c r="I9267">
        <f>1/(COUNT(SimData5000!$B$9:$B$5008)-1)+$I$9266</f>
        <v>0.8517703540707573</v>
      </c>
      <c r="J9267">
        <f>SMALL(SimData5000!$C$9:$C$5008,4259)</f>
        <v>0.85609045155069907</v>
      </c>
      <c r="K9267">
        <f>1/(COUNT(SimData5000!$C$9:$C$5008)-1)+$K$9266</f>
        <v>0.8517703540707573</v>
      </c>
    </row>
    <row r="9268" spans="8:11">
      <c r="H9268">
        <f>SMALL(SimData5000!$B$9:$B$5008,4260)</f>
        <v>0.85180989805935192</v>
      </c>
      <c r="I9268">
        <f>1/(COUNT(SimData5000!$B$9:$B$5008)-1)+$I$9267</f>
        <v>0.85197039407875885</v>
      </c>
      <c r="J9268">
        <f>SMALL(SimData5000!$C$9:$C$5008,4260)</f>
        <v>0.8570766070188256</v>
      </c>
      <c r="K9268">
        <f>1/(COUNT(SimData5000!$C$9:$C$5008)-1)+$K$9267</f>
        <v>0.85197039407875885</v>
      </c>
    </row>
    <row r="9269" spans="8:11">
      <c r="H9269">
        <f>SMALL(SimData5000!$B$9:$B$5008,4261)</f>
        <v>0.85200783306807459</v>
      </c>
      <c r="I9269">
        <f>1/(COUNT(SimData5000!$B$9:$B$5008)-1)+$I$9268</f>
        <v>0.85217043408676041</v>
      </c>
      <c r="J9269">
        <f>SMALL(SimData5000!$C$9:$C$5008,4261)</f>
        <v>0.85747840415569954</v>
      </c>
      <c r="K9269">
        <f>1/(COUNT(SimData5000!$C$9:$C$5008)-1)+$K$9268</f>
        <v>0.85217043408676041</v>
      </c>
    </row>
    <row r="9270" spans="8:11">
      <c r="H9270">
        <f>SMALL(SimData5000!$B$9:$B$5008,4262)</f>
        <v>0.8522634549314303</v>
      </c>
      <c r="I9270">
        <f>1/(COUNT(SimData5000!$B$9:$B$5008)-1)+$I$9269</f>
        <v>0.85237047409476197</v>
      </c>
      <c r="J9270">
        <f>SMALL(SimData5000!$C$9:$C$5008,4262)</f>
        <v>0.85749856090114918</v>
      </c>
      <c r="K9270">
        <f>1/(COUNT(SimData5000!$C$9:$C$5008)-1)+$K$9269</f>
        <v>0.85237047409476197</v>
      </c>
    </row>
    <row r="9271" spans="8:11">
      <c r="H9271">
        <f>SMALL(SimData5000!$B$9:$B$5008,4263)</f>
        <v>0.85250256595013252</v>
      </c>
      <c r="I9271">
        <f>1/(COUNT(SimData5000!$B$9:$B$5008)-1)+$I$9270</f>
        <v>0.85257051410276352</v>
      </c>
      <c r="J9271">
        <f>SMALL(SimData5000!$C$9:$C$5008,4263)</f>
        <v>0.85759917017549014</v>
      </c>
      <c r="K9271">
        <f>1/(COUNT(SimData5000!$C$9:$C$5008)-1)+$K$9270</f>
        <v>0.85257051410276352</v>
      </c>
    </row>
    <row r="9272" spans="8:11">
      <c r="H9272">
        <f>SMALL(SimData5000!$B$9:$B$5008,4264)</f>
        <v>0.85269518997708693</v>
      </c>
      <c r="I9272">
        <f>1/(COUNT(SimData5000!$B$9:$B$5008)-1)+$I$9271</f>
        <v>0.85277055411076508</v>
      </c>
      <c r="J9272">
        <f>SMALL(SimData5000!$C$9:$C$5008,4264)</f>
        <v>0.85879028708586702</v>
      </c>
      <c r="K9272">
        <f>1/(COUNT(SimData5000!$C$9:$C$5008)-1)+$K$9271</f>
        <v>0.85277055411076508</v>
      </c>
    </row>
    <row r="9273" spans="8:11">
      <c r="H9273">
        <f>SMALL(SimData5000!$B$9:$B$5008,4265)</f>
        <v>0.85286541943742555</v>
      </c>
      <c r="I9273">
        <f>1/(COUNT(SimData5000!$B$9:$B$5008)-1)+$I$9272</f>
        <v>0.85297059411876663</v>
      </c>
      <c r="J9273">
        <f>SMALL(SimData5000!$C$9:$C$5008,4265)</f>
        <v>0.85896335194956919</v>
      </c>
      <c r="K9273">
        <f>1/(COUNT(SimData5000!$C$9:$C$5008)-1)+$K$9272</f>
        <v>0.85297059411876663</v>
      </c>
    </row>
    <row r="9274" spans="8:11">
      <c r="H9274">
        <f>SMALL(SimData5000!$B$9:$B$5008,4266)</f>
        <v>0.85319434836851304</v>
      </c>
      <c r="I9274">
        <f>1/(COUNT(SimData5000!$B$9:$B$5008)-1)+$I$9273</f>
        <v>0.85317063412676819</v>
      </c>
      <c r="J9274">
        <f>SMALL(SimData5000!$C$9:$C$5008,4266)</f>
        <v>0.85902761086890678</v>
      </c>
      <c r="K9274">
        <f>1/(COUNT(SimData5000!$C$9:$C$5008)-1)+$K$9273</f>
        <v>0.85317063412676819</v>
      </c>
    </row>
    <row r="9275" spans="8:11">
      <c r="H9275">
        <f>SMALL(SimData5000!$B$9:$B$5008,4267)</f>
        <v>0.8533645599920221</v>
      </c>
      <c r="I9275">
        <f>1/(COUNT(SimData5000!$B$9:$B$5008)-1)+$I$9274</f>
        <v>0.85337067413476975</v>
      </c>
      <c r="J9275">
        <f>SMALL(SimData5000!$C$9:$C$5008,4267)</f>
        <v>0.85948373909377551</v>
      </c>
      <c r="K9275">
        <f>1/(COUNT(SimData5000!$C$9:$C$5008)-1)+$K$9274</f>
        <v>0.85337067413476975</v>
      </c>
    </row>
    <row r="9276" spans="8:11">
      <c r="H9276">
        <f>SMALL(SimData5000!$B$9:$B$5008,4268)</f>
        <v>0.8534400094656367</v>
      </c>
      <c r="I9276">
        <f>1/(COUNT(SimData5000!$B$9:$B$5008)-1)+$I$9275</f>
        <v>0.8535707141427713</v>
      </c>
      <c r="J9276">
        <f>SMALL(SimData5000!$C$9:$C$5008,4268)</f>
        <v>0.85953886917923228</v>
      </c>
      <c r="K9276">
        <f>1/(COUNT(SimData5000!$C$9:$C$5008)-1)+$K$9275</f>
        <v>0.8535707141427713</v>
      </c>
    </row>
    <row r="9277" spans="8:11">
      <c r="H9277">
        <f>SMALL(SimData5000!$B$9:$B$5008,4269)</f>
        <v>0.85364277614388684</v>
      </c>
      <c r="I9277">
        <f>1/(COUNT(SimData5000!$B$9:$B$5008)-1)+$I$9276</f>
        <v>0.85377075415077286</v>
      </c>
      <c r="J9277">
        <f>SMALL(SimData5000!$C$9:$C$5008,4269)</f>
        <v>0.86001029524140904</v>
      </c>
      <c r="K9277">
        <f>1/(COUNT(SimData5000!$C$9:$C$5008)-1)+$K$9276</f>
        <v>0.85377075415077286</v>
      </c>
    </row>
    <row r="9278" spans="8:11">
      <c r="H9278">
        <f>SMALL(SimData5000!$B$9:$B$5008,4270)</f>
        <v>0.85392737449526956</v>
      </c>
      <c r="I9278">
        <f>1/(COUNT(SimData5000!$B$9:$B$5008)-1)+$I$9277</f>
        <v>0.85397079415877442</v>
      </c>
      <c r="J9278">
        <f>SMALL(SimData5000!$C$9:$C$5008,4270)</f>
        <v>0.86003869965134072</v>
      </c>
      <c r="K9278">
        <f>1/(COUNT(SimData5000!$C$9:$C$5008)-1)+$K$9277</f>
        <v>0.85397079415877442</v>
      </c>
    </row>
    <row r="9279" spans="8:11">
      <c r="H9279">
        <f>SMALL(SimData5000!$B$9:$B$5008,4271)</f>
        <v>0.85418546776012172</v>
      </c>
      <c r="I9279">
        <f>1/(COUNT(SimData5000!$B$9:$B$5008)-1)+$I$9278</f>
        <v>0.85417083416677597</v>
      </c>
      <c r="J9279">
        <f>SMALL(SimData5000!$C$9:$C$5008,4271)</f>
        <v>0.86103569592251006</v>
      </c>
      <c r="K9279">
        <f>1/(COUNT(SimData5000!$C$9:$C$5008)-1)+$K$9278</f>
        <v>0.85417083416677597</v>
      </c>
    </row>
    <row r="9280" spans="8:11">
      <c r="H9280">
        <f>SMALL(SimData5000!$B$9:$B$5008,4272)</f>
        <v>0.85430826195900067</v>
      </c>
      <c r="I9280">
        <f>1/(COUNT(SimData5000!$B$9:$B$5008)-1)+$I$9279</f>
        <v>0.85437087417477753</v>
      </c>
      <c r="J9280">
        <f>SMALL(SimData5000!$C$9:$C$5008,4272)</f>
        <v>0.86122927623182477</v>
      </c>
      <c r="K9280">
        <f>1/(COUNT(SimData5000!$C$9:$C$5008)-1)+$K$9279</f>
        <v>0.85437087417477753</v>
      </c>
    </row>
    <row r="9281" spans="8:11">
      <c r="H9281">
        <f>SMALL(SimData5000!$B$9:$B$5008,4273)</f>
        <v>0.85451895405149991</v>
      </c>
      <c r="I9281">
        <f>1/(COUNT(SimData5000!$B$9:$B$5008)-1)+$I$9280</f>
        <v>0.85457091418277908</v>
      </c>
      <c r="J9281">
        <f>SMALL(SimData5000!$C$9:$C$5008,4273)</f>
        <v>0.8613931194813631</v>
      </c>
      <c r="K9281">
        <f>1/(COUNT(SimData5000!$C$9:$C$5008)-1)+$K$9280</f>
        <v>0.85457091418277908</v>
      </c>
    </row>
    <row r="9282" spans="8:11">
      <c r="H9282">
        <f>SMALL(SimData5000!$B$9:$B$5008,4274)</f>
        <v>0.8547006268138766</v>
      </c>
      <c r="I9282">
        <f>1/(COUNT(SimData5000!$B$9:$B$5008)-1)+$I$9281</f>
        <v>0.85477095419078064</v>
      </c>
      <c r="J9282">
        <f>SMALL(SimData5000!$C$9:$C$5008,4274)</f>
        <v>0.86145440060863621</v>
      </c>
      <c r="K9282">
        <f>1/(COUNT(SimData5000!$C$9:$C$5008)-1)+$K$9281</f>
        <v>0.85477095419078064</v>
      </c>
    </row>
    <row r="9283" spans="8:11">
      <c r="H9283">
        <f>SMALL(SimData5000!$B$9:$B$5008,4275)</f>
        <v>0.85484591516560082</v>
      </c>
      <c r="I9283">
        <f>1/(COUNT(SimData5000!$B$9:$B$5008)-1)+$I$9282</f>
        <v>0.8549709941987822</v>
      </c>
      <c r="J9283">
        <f>SMALL(SimData5000!$C$9:$C$5008,4275)</f>
        <v>0.86147441789853474</v>
      </c>
      <c r="K9283">
        <f>1/(COUNT(SimData5000!$C$9:$C$5008)-1)+$K$9282</f>
        <v>0.8549709941987822</v>
      </c>
    </row>
    <row r="9284" spans="8:11">
      <c r="H9284">
        <f>SMALL(SimData5000!$B$9:$B$5008,4276)</f>
        <v>0.85501517615397804</v>
      </c>
      <c r="I9284">
        <f>1/(COUNT(SimData5000!$B$9:$B$5008)-1)+$I$9283</f>
        <v>0.85517103420678375</v>
      </c>
      <c r="J9284">
        <f>SMALL(SimData5000!$C$9:$C$5008,4276)</f>
        <v>0.861753444637543</v>
      </c>
      <c r="K9284">
        <f>1/(COUNT(SimData5000!$C$9:$C$5008)-1)+$K$9283</f>
        <v>0.85517103420678375</v>
      </c>
    </row>
    <row r="9285" spans="8:11">
      <c r="H9285">
        <f>SMALL(SimData5000!$B$9:$B$5008,4277)</f>
        <v>0.85534231901460844</v>
      </c>
      <c r="I9285">
        <f>1/(COUNT(SimData5000!$B$9:$B$5008)-1)+$I$9284</f>
        <v>0.85537107421478531</v>
      </c>
      <c r="J9285">
        <f>SMALL(SimData5000!$C$9:$C$5008,4277)</f>
        <v>0.86193694392295583</v>
      </c>
      <c r="K9285">
        <f>1/(COUNT(SimData5000!$C$9:$C$5008)-1)+$K$9284</f>
        <v>0.85537107421478531</v>
      </c>
    </row>
    <row r="9286" spans="8:11">
      <c r="H9286">
        <f>SMALL(SimData5000!$B$9:$B$5008,4278)</f>
        <v>0.85549056983224359</v>
      </c>
      <c r="I9286">
        <f>1/(COUNT(SimData5000!$B$9:$B$5008)-1)+$I$9285</f>
        <v>0.85557111422278687</v>
      </c>
      <c r="J9286">
        <f>SMALL(SimData5000!$C$9:$C$5008,4278)</f>
        <v>0.86215952218844905</v>
      </c>
      <c r="K9286">
        <f>1/(COUNT(SimData5000!$C$9:$C$5008)-1)+$K$9285</f>
        <v>0.85557111422278687</v>
      </c>
    </row>
    <row r="9287" spans="8:11">
      <c r="H9287">
        <f>SMALL(SimData5000!$B$9:$B$5008,4279)</f>
        <v>0.85578154362700443</v>
      </c>
      <c r="I9287">
        <f>1/(COUNT(SimData5000!$B$9:$B$5008)-1)+$I$9286</f>
        <v>0.85577115423078842</v>
      </c>
      <c r="J9287">
        <f>SMALL(SimData5000!$C$9:$C$5008,4279)</f>
        <v>0.86220312698151247</v>
      </c>
      <c r="K9287">
        <f>1/(COUNT(SimData5000!$C$9:$C$5008)-1)+$K$9286</f>
        <v>0.85577115423078842</v>
      </c>
    </row>
    <row r="9288" spans="8:11">
      <c r="H9288">
        <f>SMALL(SimData5000!$B$9:$B$5008,4280)</f>
        <v>0.85594549659042274</v>
      </c>
      <c r="I9288">
        <f>1/(COUNT(SimData5000!$B$9:$B$5008)-1)+$I$9287</f>
        <v>0.85597119423878998</v>
      </c>
      <c r="J9288">
        <f>SMALL(SimData5000!$C$9:$C$5008,4280)</f>
        <v>0.86221720853882289</v>
      </c>
      <c r="K9288">
        <f>1/(COUNT(SimData5000!$C$9:$C$5008)-1)+$K$9287</f>
        <v>0.85597119423878998</v>
      </c>
    </row>
    <row r="9289" spans="8:11">
      <c r="H9289">
        <f>SMALL(SimData5000!$B$9:$B$5008,4281)</f>
        <v>0.8560725200021343</v>
      </c>
      <c r="I9289">
        <f>1/(COUNT(SimData5000!$B$9:$B$5008)-1)+$I$9288</f>
        <v>0.85617123424679153</v>
      </c>
      <c r="J9289">
        <f>SMALL(SimData5000!$C$9:$C$5008,4281)</f>
        <v>0.86224541148658318</v>
      </c>
      <c r="K9289">
        <f>1/(COUNT(SimData5000!$C$9:$C$5008)-1)+$K$9288</f>
        <v>0.85617123424679153</v>
      </c>
    </row>
    <row r="9290" spans="8:11">
      <c r="H9290">
        <f>SMALL(SimData5000!$B$9:$B$5008,4282)</f>
        <v>0.85620873072459558</v>
      </c>
      <c r="I9290">
        <f>1/(COUNT(SimData5000!$B$9:$B$5008)-1)+$I$9289</f>
        <v>0.85637127425479309</v>
      </c>
      <c r="J9290">
        <f>SMALL(SimData5000!$C$9:$C$5008,4282)</f>
        <v>0.86242733249218873</v>
      </c>
      <c r="K9290">
        <f>1/(COUNT(SimData5000!$C$9:$C$5008)-1)+$K$9289</f>
        <v>0.85637127425479309</v>
      </c>
    </row>
    <row r="9291" spans="8:11">
      <c r="H9291">
        <f>SMALL(SimData5000!$B$9:$B$5008,4283)</f>
        <v>0.85657563759148492</v>
      </c>
      <c r="I9291">
        <f>1/(COUNT(SimData5000!$B$9:$B$5008)-1)+$I$9290</f>
        <v>0.85657131426279465</v>
      </c>
      <c r="J9291">
        <f>SMALL(SimData5000!$C$9:$C$5008,4283)</f>
        <v>0.86262609415098268</v>
      </c>
      <c r="K9291">
        <f>1/(COUNT(SimData5000!$C$9:$C$5008)-1)+$K$9290</f>
        <v>0.85657131426279465</v>
      </c>
    </row>
    <row r="9292" spans="8:11">
      <c r="H9292">
        <f>SMALL(SimData5000!$B$9:$B$5008,4284)</f>
        <v>0.85675745029350692</v>
      </c>
      <c r="I9292">
        <f>1/(COUNT(SimData5000!$B$9:$B$5008)-1)+$I$9291</f>
        <v>0.8567713542707962</v>
      </c>
      <c r="J9292">
        <f>SMALL(SimData5000!$C$9:$C$5008,4284)</f>
        <v>0.86264410988951568</v>
      </c>
      <c r="K9292">
        <f>1/(COUNT(SimData5000!$C$9:$C$5008)-1)+$K$9291</f>
        <v>0.8567713542707962</v>
      </c>
    </row>
    <row r="9293" spans="8:11">
      <c r="H9293">
        <f>SMALL(SimData5000!$B$9:$B$5008,4285)</f>
        <v>0.85680042942655288</v>
      </c>
      <c r="I9293">
        <f>1/(COUNT(SimData5000!$B$9:$B$5008)-1)+$I$9292</f>
        <v>0.85697139427879776</v>
      </c>
      <c r="J9293">
        <f>SMALL(SimData5000!$C$9:$C$5008,4285)</f>
        <v>0.8629828604262002</v>
      </c>
      <c r="K9293">
        <f>1/(COUNT(SimData5000!$C$9:$C$5008)-1)+$K$9292</f>
        <v>0.85697139427879776</v>
      </c>
    </row>
    <row r="9294" spans="8:11">
      <c r="H9294">
        <f>SMALL(SimData5000!$B$9:$B$5008,4286)</f>
        <v>0.85713871601832547</v>
      </c>
      <c r="I9294">
        <f>1/(COUNT(SimData5000!$B$9:$B$5008)-1)+$I$9293</f>
        <v>0.85717143428679932</v>
      </c>
      <c r="J9294">
        <f>SMALL(SimData5000!$C$9:$C$5008,4286)</f>
        <v>0.86299425645211159</v>
      </c>
      <c r="K9294">
        <f>1/(COUNT(SimData5000!$C$9:$C$5008)-1)+$K$9293</f>
        <v>0.85717143428679932</v>
      </c>
    </row>
    <row r="9295" spans="8:11">
      <c r="H9295">
        <f>SMALL(SimData5000!$B$9:$B$5008,4287)</f>
        <v>0.85720681728976944</v>
      </c>
      <c r="I9295">
        <f>1/(COUNT(SimData5000!$B$9:$B$5008)-1)+$I$9294</f>
        <v>0.85737147429480087</v>
      </c>
      <c r="J9295">
        <f>SMALL(SimData5000!$C$9:$C$5008,4287)</f>
        <v>0.86320505328740182</v>
      </c>
      <c r="K9295">
        <f>1/(COUNT(SimData5000!$C$9:$C$5008)-1)+$K$9294</f>
        <v>0.85737147429480087</v>
      </c>
    </row>
    <row r="9296" spans="8:11">
      <c r="H9296">
        <f>SMALL(SimData5000!$B$9:$B$5008,4288)</f>
        <v>0.85753779503976402</v>
      </c>
      <c r="I9296">
        <f>1/(COUNT(SimData5000!$B$9:$B$5008)-1)+$I$9295</f>
        <v>0.85757151430280243</v>
      </c>
      <c r="J9296">
        <f>SMALL(SimData5000!$C$9:$C$5008,4288)</f>
        <v>0.86383472956185869</v>
      </c>
      <c r="K9296">
        <f>1/(COUNT(SimData5000!$C$9:$C$5008)-1)+$K$9295</f>
        <v>0.85757151430280243</v>
      </c>
    </row>
    <row r="9297" spans="8:11">
      <c r="H9297">
        <f>SMALL(SimData5000!$B$9:$B$5008,4289)</f>
        <v>0.85769926261662022</v>
      </c>
      <c r="I9297">
        <f>1/(COUNT(SimData5000!$B$9:$B$5008)-1)+$I$9296</f>
        <v>0.85777155431080399</v>
      </c>
      <c r="J9297">
        <f>SMALL(SimData5000!$C$9:$C$5008,4289)</f>
        <v>0.86401565256437607</v>
      </c>
      <c r="K9297">
        <f>1/(COUNT(SimData5000!$C$9:$C$5008)-1)+$K$9296</f>
        <v>0.85777155431080399</v>
      </c>
    </row>
    <row r="9298" spans="8:11">
      <c r="H9298">
        <f>SMALL(SimData5000!$B$9:$B$5008,4290)</f>
        <v>0.85781782920016392</v>
      </c>
      <c r="I9298">
        <f>1/(COUNT(SimData5000!$B$9:$B$5008)-1)+$I$9297</f>
        <v>0.85797159431880554</v>
      </c>
      <c r="J9298">
        <f>SMALL(SimData5000!$C$9:$C$5008,4290)</f>
        <v>0.8644871020123901</v>
      </c>
      <c r="K9298">
        <f>1/(COUNT(SimData5000!$C$9:$C$5008)-1)+$K$9297</f>
        <v>0.85797159431880554</v>
      </c>
    </row>
    <row r="9299" spans="8:11">
      <c r="H9299">
        <f>SMALL(SimData5000!$B$9:$B$5008,4291)</f>
        <v>0.85801507344041361</v>
      </c>
      <c r="I9299">
        <f>1/(COUNT(SimData5000!$B$9:$B$5008)-1)+$I$9298</f>
        <v>0.8581716343268071</v>
      </c>
      <c r="J9299">
        <f>SMALL(SimData5000!$C$9:$C$5008,4291)</f>
        <v>0.86458899978970294</v>
      </c>
      <c r="K9299">
        <f>1/(COUNT(SimData5000!$C$9:$C$5008)-1)+$K$9298</f>
        <v>0.8581716343268071</v>
      </c>
    </row>
    <row r="9300" spans="8:11">
      <c r="H9300">
        <f>SMALL(SimData5000!$B$9:$B$5008,4292)</f>
        <v>0.85839890795201046</v>
      </c>
      <c r="I9300">
        <f>1/(COUNT(SimData5000!$B$9:$B$5008)-1)+$I$9299</f>
        <v>0.85837167433480865</v>
      </c>
      <c r="J9300">
        <f>SMALL(SimData5000!$C$9:$C$5008,4292)</f>
        <v>0.86510385905421572</v>
      </c>
      <c r="K9300">
        <f>1/(COUNT(SimData5000!$C$9:$C$5008)-1)+$K$9299</f>
        <v>0.85837167433480865</v>
      </c>
    </row>
    <row r="9301" spans="8:11">
      <c r="H9301">
        <f>SMALL(SimData5000!$B$9:$B$5008,4293)</f>
        <v>0.85841995917275093</v>
      </c>
      <c r="I9301">
        <f>1/(COUNT(SimData5000!$B$9:$B$5008)-1)+$I$9300</f>
        <v>0.85857171434281021</v>
      </c>
      <c r="J9301">
        <f>SMALL(SimData5000!$C$9:$C$5008,4293)</f>
        <v>0.86527969473718258</v>
      </c>
      <c r="K9301">
        <f>1/(COUNT(SimData5000!$C$9:$C$5008)-1)+$K$9300</f>
        <v>0.85857171434281021</v>
      </c>
    </row>
    <row r="9302" spans="8:11">
      <c r="H9302">
        <f>SMALL(SimData5000!$B$9:$B$5008,4294)</f>
        <v>0.85878680732892521</v>
      </c>
      <c r="I9302">
        <f>1/(COUNT(SimData5000!$B$9:$B$5008)-1)+$I$9301</f>
        <v>0.85877175435081177</v>
      </c>
      <c r="J9302">
        <f>SMALL(SimData5000!$C$9:$C$5008,4294)</f>
        <v>0.8655370158057849</v>
      </c>
      <c r="K9302">
        <f>1/(COUNT(SimData5000!$C$9:$C$5008)-1)+$K$9301</f>
        <v>0.85877175435081177</v>
      </c>
    </row>
    <row r="9303" spans="8:11">
      <c r="H9303">
        <f>SMALL(SimData5000!$B$9:$B$5008,4295)</f>
        <v>0.8589167004958066</v>
      </c>
      <c r="I9303">
        <f>1/(COUNT(SimData5000!$B$9:$B$5008)-1)+$I$9302</f>
        <v>0.85897179435881332</v>
      </c>
      <c r="J9303">
        <f>SMALL(SimData5000!$C$9:$C$5008,4295)</f>
        <v>0.86557971220099716</v>
      </c>
      <c r="K9303">
        <f>1/(COUNT(SimData5000!$C$9:$C$5008)-1)+$K$9302</f>
        <v>0.85897179435881332</v>
      </c>
    </row>
    <row r="9304" spans="8:11">
      <c r="H9304">
        <f>SMALL(SimData5000!$B$9:$B$5008,4296)</f>
        <v>0.85919624161184671</v>
      </c>
      <c r="I9304">
        <f>1/(COUNT(SimData5000!$B$9:$B$5008)-1)+$I$9303</f>
        <v>0.85917183436681488</v>
      </c>
      <c r="J9304">
        <f>SMALL(SimData5000!$C$9:$C$5008,4296)</f>
        <v>0.86560720384386514</v>
      </c>
      <c r="K9304">
        <f>1/(COUNT(SimData5000!$C$9:$C$5008)-1)+$K$9303</f>
        <v>0.85917183436681488</v>
      </c>
    </row>
    <row r="9305" spans="8:11">
      <c r="H9305">
        <f>SMALL(SimData5000!$B$9:$B$5008,4297)</f>
        <v>0.85927684256487447</v>
      </c>
      <c r="I9305">
        <f>1/(COUNT(SimData5000!$B$9:$B$5008)-1)+$I$9304</f>
        <v>0.85937187437481644</v>
      </c>
      <c r="J9305">
        <f>SMALL(SimData5000!$C$9:$C$5008,4297)</f>
        <v>0.86562714551655517</v>
      </c>
      <c r="K9305">
        <f>1/(COUNT(SimData5000!$C$9:$C$5008)-1)+$K$9304</f>
        <v>0.85937187437481644</v>
      </c>
    </row>
    <row r="9306" spans="8:11">
      <c r="H9306">
        <f>SMALL(SimData5000!$B$9:$B$5008,4298)</f>
        <v>0.85959192115440786</v>
      </c>
      <c r="I9306">
        <f>1/(COUNT(SimData5000!$B$9:$B$5008)-1)+$I$9305</f>
        <v>0.85957191438281799</v>
      </c>
      <c r="J9306">
        <f>SMALL(SimData5000!$C$9:$C$5008,4298)</f>
        <v>0.86616684888213058</v>
      </c>
      <c r="K9306">
        <f>1/(COUNT(SimData5000!$C$9:$C$5008)-1)+$K$9305</f>
        <v>0.85957191438281799</v>
      </c>
    </row>
    <row r="9307" spans="8:11">
      <c r="H9307">
        <f>SMALL(SimData5000!$B$9:$B$5008,4299)</f>
        <v>0.85963432830647435</v>
      </c>
      <c r="I9307">
        <f>1/(COUNT(SimData5000!$B$9:$B$5008)-1)+$I$9306</f>
        <v>0.85977195439081955</v>
      </c>
      <c r="J9307">
        <f>SMALL(SimData5000!$C$9:$C$5008,4299)</f>
        <v>0.86628320075396914</v>
      </c>
      <c r="K9307">
        <f>1/(COUNT(SimData5000!$C$9:$C$5008)-1)+$K$9306</f>
        <v>0.85977195439081955</v>
      </c>
    </row>
    <row r="9308" spans="8:11">
      <c r="H9308">
        <f>SMALL(SimData5000!$B$9:$B$5008,4300)</f>
        <v>0.85989829755432401</v>
      </c>
      <c r="I9308">
        <f>1/(COUNT(SimData5000!$B$9:$B$5008)-1)+$I$9307</f>
        <v>0.8599719943988211</v>
      </c>
      <c r="J9308">
        <f>SMALL(SimData5000!$C$9:$C$5008,4300)</f>
        <v>0.8663645479527986</v>
      </c>
      <c r="K9308">
        <f>1/(COUNT(SimData5000!$C$9:$C$5008)-1)+$K$9307</f>
        <v>0.8599719943988211</v>
      </c>
    </row>
    <row r="9309" spans="8:11">
      <c r="H9309">
        <f>SMALL(SimData5000!$B$9:$B$5008,4301)</f>
        <v>0.86015267057836808</v>
      </c>
      <c r="I9309">
        <f>1/(COUNT(SimData5000!$B$9:$B$5008)-1)+$I$9308</f>
        <v>0.86017203440682266</v>
      </c>
      <c r="J9309">
        <f>SMALL(SimData5000!$C$9:$C$5008,4301)</f>
        <v>0.86684181806958804</v>
      </c>
      <c r="K9309">
        <f>1/(COUNT(SimData5000!$C$9:$C$5008)-1)+$K$9308</f>
        <v>0.86017203440682266</v>
      </c>
    </row>
    <row r="9310" spans="8:11">
      <c r="H9310">
        <f>SMALL(SimData5000!$B$9:$B$5008,4302)</f>
        <v>0.8603505451311243</v>
      </c>
      <c r="I9310">
        <f>1/(COUNT(SimData5000!$B$9:$B$5008)-1)+$I$9309</f>
        <v>0.86037207441482422</v>
      </c>
      <c r="J9310">
        <f>SMALL(SimData5000!$C$9:$C$5008,4302)</f>
        <v>0.86705140806225245</v>
      </c>
      <c r="K9310">
        <f>1/(COUNT(SimData5000!$C$9:$C$5008)-1)+$K$9309</f>
        <v>0.86037207441482422</v>
      </c>
    </row>
    <row r="9311" spans="8:11">
      <c r="H9311">
        <f>SMALL(SimData5000!$B$9:$B$5008,4303)</f>
        <v>0.86054963082385949</v>
      </c>
      <c r="I9311">
        <f>1/(COUNT(SimData5000!$B$9:$B$5008)-1)+$I$9310</f>
        <v>0.86057211442282577</v>
      </c>
      <c r="J9311">
        <f>SMALL(SimData5000!$C$9:$C$5008,4303)</f>
        <v>0.86736198534345021</v>
      </c>
      <c r="K9311">
        <f>1/(COUNT(SimData5000!$C$9:$C$5008)-1)+$K$9310</f>
        <v>0.86057211442282577</v>
      </c>
    </row>
    <row r="9312" spans="8:11">
      <c r="H9312">
        <f>SMALL(SimData5000!$B$9:$B$5008,4304)</f>
        <v>0.86069696749525537</v>
      </c>
      <c r="I9312">
        <f>1/(COUNT(SimData5000!$B$9:$B$5008)-1)+$I$9311</f>
        <v>0.86077215443082733</v>
      </c>
      <c r="J9312">
        <f>SMALL(SimData5000!$C$9:$C$5008,4304)</f>
        <v>0.86771087394848223</v>
      </c>
      <c r="K9312">
        <f>1/(COUNT(SimData5000!$C$9:$C$5008)-1)+$K$9311</f>
        <v>0.86077215443082733</v>
      </c>
    </row>
    <row r="9313" spans="8:11">
      <c r="H9313">
        <f>SMALL(SimData5000!$B$9:$B$5008,4305)</f>
        <v>0.86090094461070854</v>
      </c>
      <c r="I9313">
        <f>1/(COUNT(SimData5000!$B$9:$B$5008)-1)+$I$9312</f>
        <v>0.86097219443882889</v>
      </c>
      <c r="J9313">
        <f>SMALL(SimData5000!$C$9:$C$5008,4305)</f>
        <v>0.86774857134514605</v>
      </c>
      <c r="K9313">
        <f>1/(COUNT(SimData5000!$C$9:$C$5008)-1)+$K$9312</f>
        <v>0.86097219443882889</v>
      </c>
    </row>
    <row r="9314" spans="8:11">
      <c r="H9314">
        <f>SMALL(SimData5000!$B$9:$B$5008,4306)</f>
        <v>0.86112687725818871</v>
      </c>
      <c r="I9314">
        <f>1/(COUNT(SimData5000!$B$9:$B$5008)-1)+$I$9313</f>
        <v>0.86117223444683044</v>
      </c>
      <c r="J9314">
        <f>SMALL(SimData5000!$C$9:$C$5008,4306)</f>
        <v>0.86787947403990984</v>
      </c>
      <c r="K9314">
        <f>1/(COUNT(SimData5000!$C$9:$C$5008)-1)+$K$9313</f>
        <v>0.86117223444683044</v>
      </c>
    </row>
    <row r="9315" spans="8:11">
      <c r="H9315">
        <f>SMALL(SimData5000!$B$9:$B$5008,4307)</f>
        <v>0.86132669866469846</v>
      </c>
      <c r="I9315">
        <f>1/(COUNT(SimData5000!$B$9:$B$5008)-1)+$I$9314</f>
        <v>0.861372274454832</v>
      </c>
      <c r="J9315">
        <f>SMALL(SimData5000!$C$9:$C$5008,4307)</f>
        <v>0.86799909339879378</v>
      </c>
      <c r="K9315">
        <f>1/(COUNT(SimData5000!$C$9:$C$5008)-1)+$K$9314</f>
        <v>0.861372274454832</v>
      </c>
    </row>
    <row r="9316" spans="8:11">
      <c r="H9316">
        <f>SMALL(SimData5000!$B$9:$B$5008,4308)</f>
        <v>0.86154213732926688</v>
      </c>
      <c r="I9316">
        <f>1/(COUNT(SimData5000!$B$9:$B$5008)-1)+$I$9315</f>
        <v>0.86157231446283356</v>
      </c>
      <c r="J9316">
        <f>SMALL(SimData5000!$C$9:$C$5008,4308)</f>
        <v>0.86828706720552873</v>
      </c>
      <c r="K9316">
        <f>1/(COUNT(SimData5000!$C$9:$C$5008)-1)+$K$9315</f>
        <v>0.86157231446283356</v>
      </c>
    </row>
    <row r="9317" spans="8:11">
      <c r="H9317">
        <f>SMALL(SimData5000!$B$9:$B$5008,4309)</f>
        <v>0.86174219490353532</v>
      </c>
      <c r="I9317">
        <f>1/(COUNT(SimData5000!$B$9:$B$5008)-1)+$I$9316</f>
        <v>0.86177235447083511</v>
      </c>
      <c r="J9317">
        <f>SMALL(SimData5000!$C$9:$C$5008,4309)</f>
        <v>0.86841054544765939</v>
      </c>
      <c r="K9317">
        <f>1/(COUNT(SimData5000!$C$9:$C$5008)-1)+$K$9316</f>
        <v>0.86177235447083511</v>
      </c>
    </row>
    <row r="9318" spans="8:11">
      <c r="H9318">
        <f>SMALL(SimData5000!$B$9:$B$5008,4310)</f>
        <v>0.86197412121681827</v>
      </c>
      <c r="I9318">
        <f>1/(COUNT(SimData5000!$B$9:$B$5008)-1)+$I$9317</f>
        <v>0.86197239447883667</v>
      </c>
      <c r="J9318">
        <f>SMALL(SimData5000!$C$9:$C$5008,4310)</f>
        <v>0.86862309180014563</v>
      </c>
      <c r="K9318">
        <f>1/(COUNT(SimData5000!$C$9:$C$5008)-1)+$K$9317</f>
        <v>0.86197239447883667</v>
      </c>
    </row>
    <row r="9319" spans="8:11">
      <c r="H9319">
        <f>SMALL(SimData5000!$B$9:$B$5008,4311)</f>
        <v>0.86209072335783643</v>
      </c>
      <c r="I9319">
        <f>1/(COUNT(SimData5000!$B$9:$B$5008)-1)+$I$9318</f>
        <v>0.86217243448683822</v>
      </c>
      <c r="J9319">
        <f>SMALL(SimData5000!$C$9:$C$5008,4311)</f>
        <v>0.86871542877815955</v>
      </c>
      <c r="K9319">
        <f>1/(COUNT(SimData5000!$C$9:$C$5008)-1)+$K$9318</f>
        <v>0.86217243448683822</v>
      </c>
    </row>
    <row r="9320" spans="8:11">
      <c r="H9320">
        <f>SMALL(SimData5000!$B$9:$B$5008,4312)</f>
        <v>0.8623795126278837</v>
      </c>
      <c r="I9320">
        <f>1/(COUNT(SimData5000!$B$9:$B$5008)-1)+$I$9319</f>
        <v>0.86237247449483978</v>
      </c>
      <c r="J9320">
        <f>SMALL(SimData5000!$C$9:$C$5008,4312)</f>
        <v>0.86882871661873651</v>
      </c>
      <c r="K9320">
        <f>1/(COUNT(SimData5000!$C$9:$C$5008)-1)+$K$9319</f>
        <v>0.86237247449483978</v>
      </c>
    </row>
    <row r="9321" spans="8:11">
      <c r="H9321">
        <f>SMALL(SimData5000!$B$9:$B$5008,4313)</f>
        <v>0.86246194903810081</v>
      </c>
      <c r="I9321">
        <f>1/(COUNT(SimData5000!$B$9:$B$5008)-1)+$I$9320</f>
        <v>0.86257251450284134</v>
      </c>
      <c r="J9321">
        <f>SMALL(SimData5000!$C$9:$C$5008,4313)</f>
        <v>0.86899982940758491</v>
      </c>
      <c r="K9321">
        <f>1/(COUNT(SimData5000!$C$9:$C$5008)-1)+$K$9320</f>
        <v>0.86257251450284134</v>
      </c>
    </row>
    <row r="9322" spans="8:11">
      <c r="H9322">
        <f>SMALL(SimData5000!$B$9:$B$5008,4314)</f>
        <v>0.8626100407645596</v>
      </c>
      <c r="I9322">
        <f>1/(COUNT(SimData5000!$B$9:$B$5008)-1)+$I$9321</f>
        <v>0.86277255451084289</v>
      </c>
      <c r="J9322">
        <f>SMALL(SimData5000!$C$9:$C$5008,4314)</f>
        <v>0.86914842999613029</v>
      </c>
      <c r="K9322">
        <f>1/(COUNT(SimData5000!$C$9:$C$5008)-1)+$K$9321</f>
        <v>0.86277255451084289</v>
      </c>
    </row>
    <row r="9323" spans="8:11">
      <c r="H9323">
        <f>SMALL(SimData5000!$B$9:$B$5008,4315)</f>
        <v>0.86288680212807067</v>
      </c>
      <c r="I9323">
        <f>1/(COUNT(SimData5000!$B$9:$B$5008)-1)+$I$9322</f>
        <v>0.86297259451884445</v>
      </c>
      <c r="J9323">
        <f>SMALL(SimData5000!$C$9:$C$5008,4315)</f>
        <v>0.86918222085478192</v>
      </c>
      <c r="K9323">
        <f>1/(COUNT(SimData5000!$C$9:$C$5008)-1)+$K$9322</f>
        <v>0.86297259451884445</v>
      </c>
    </row>
    <row r="9324" spans="8:11">
      <c r="H9324">
        <f>SMALL(SimData5000!$B$9:$B$5008,4316)</f>
        <v>0.86315395786570248</v>
      </c>
      <c r="I9324">
        <f>1/(COUNT(SimData5000!$B$9:$B$5008)-1)+$I$9323</f>
        <v>0.86317263452684601</v>
      </c>
      <c r="J9324">
        <f>SMALL(SimData5000!$C$9:$C$5008,4316)</f>
        <v>0.86920238369839353</v>
      </c>
      <c r="K9324">
        <f>1/(COUNT(SimData5000!$C$9:$C$5008)-1)+$K$9323</f>
        <v>0.86317263452684601</v>
      </c>
    </row>
    <row r="9325" spans="8:11">
      <c r="H9325">
        <f>SMALL(SimData5000!$B$9:$B$5008,4317)</f>
        <v>0.86327330160892413</v>
      </c>
      <c r="I9325">
        <f>1/(COUNT(SimData5000!$B$9:$B$5008)-1)+$I$9324</f>
        <v>0.86337267453484756</v>
      </c>
      <c r="J9325">
        <f>SMALL(SimData5000!$C$9:$C$5008,4317)</f>
        <v>0.86949912086765835</v>
      </c>
      <c r="K9325">
        <f>1/(COUNT(SimData5000!$C$9:$C$5008)-1)+$K$9324</f>
        <v>0.86337267453484756</v>
      </c>
    </row>
    <row r="9326" spans="8:11">
      <c r="H9326">
        <f>SMALL(SimData5000!$B$9:$B$5008,4318)</f>
        <v>0.86347920103182063</v>
      </c>
      <c r="I9326">
        <f>1/(COUNT(SimData5000!$B$9:$B$5008)-1)+$I$9325</f>
        <v>0.86357271454284912</v>
      </c>
      <c r="J9326">
        <f>SMALL(SimData5000!$C$9:$C$5008,4318)</f>
        <v>0.86968823224833613</v>
      </c>
      <c r="K9326">
        <f>1/(COUNT(SimData5000!$C$9:$C$5008)-1)+$K$9325</f>
        <v>0.86357271454284912</v>
      </c>
    </row>
    <row r="9327" spans="8:11">
      <c r="H9327">
        <f>SMALL(SimData5000!$B$9:$B$5008,4319)</f>
        <v>0.86378442779504327</v>
      </c>
      <c r="I9327">
        <f>1/(COUNT(SimData5000!$B$9:$B$5008)-1)+$I$9326</f>
        <v>0.86377275455085067</v>
      </c>
      <c r="J9327">
        <f>SMALL(SimData5000!$C$9:$C$5008,4319)</f>
        <v>0.86968829922443547</v>
      </c>
      <c r="K9327">
        <f>1/(COUNT(SimData5000!$C$9:$C$5008)-1)+$K$9326</f>
        <v>0.86377275455085067</v>
      </c>
    </row>
    <row r="9328" spans="8:11">
      <c r="H9328">
        <f>SMALL(SimData5000!$B$9:$B$5008,4320)</f>
        <v>0.86380159312575155</v>
      </c>
      <c r="I9328">
        <f>1/(COUNT(SimData5000!$B$9:$B$5008)-1)+$I$9327</f>
        <v>0.86397279455885223</v>
      </c>
      <c r="J9328">
        <f>SMALL(SimData5000!$C$9:$C$5008,4320)</f>
        <v>0.86975681450621778</v>
      </c>
      <c r="K9328">
        <f>1/(COUNT(SimData5000!$C$9:$C$5008)-1)+$K$9327</f>
        <v>0.86397279455885223</v>
      </c>
    </row>
    <row r="9329" spans="8:11">
      <c r="H9329">
        <f>SMALL(SimData5000!$B$9:$B$5008,4321)</f>
        <v>0.86405492731315425</v>
      </c>
      <c r="I9329">
        <f>1/(COUNT(SimData5000!$B$9:$B$5008)-1)+$I$9328</f>
        <v>0.86417283456685379</v>
      </c>
      <c r="J9329">
        <f>SMALL(SimData5000!$C$9:$C$5008,4321)</f>
        <v>0.86988997424850822</v>
      </c>
      <c r="K9329">
        <f>1/(COUNT(SimData5000!$C$9:$C$5008)-1)+$K$9328</f>
        <v>0.86417283456685379</v>
      </c>
    </row>
    <row r="9330" spans="8:11">
      <c r="H9330">
        <f>SMALL(SimData5000!$B$9:$B$5008,4322)</f>
        <v>0.86437887372392674</v>
      </c>
      <c r="I9330">
        <f>1/(COUNT(SimData5000!$B$9:$B$5008)-1)+$I$9329</f>
        <v>0.86437287457485534</v>
      </c>
      <c r="J9330">
        <f>SMALL(SimData5000!$C$9:$C$5008,4322)</f>
        <v>0.86993141138100327</v>
      </c>
      <c r="K9330">
        <f>1/(COUNT(SimData5000!$C$9:$C$5008)-1)+$K$9329</f>
        <v>0.86437287457485534</v>
      </c>
    </row>
    <row r="9331" spans="8:11">
      <c r="H9331">
        <f>SMALL(SimData5000!$B$9:$B$5008,4323)</f>
        <v>0.86452444829268482</v>
      </c>
      <c r="I9331">
        <f>1/(COUNT(SimData5000!$B$9:$B$5008)-1)+$I$9330</f>
        <v>0.8645729145828569</v>
      </c>
      <c r="J9331">
        <f>SMALL(SimData5000!$C$9:$C$5008,4323)</f>
        <v>0.87014776348132727</v>
      </c>
      <c r="K9331">
        <f>1/(COUNT(SimData5000!$C$9:$C$5008)-1)+$K$9330</f>
        <v>0.8645729145828569</v>
      </c>
    </row>
    <row r="9332" spans="8:11">
      <c r="H9332">
        <f>SMALL(SimData5000!$B$9:$B$5008,4324)</f>
        <v>0.86477448028413906</v>
      </c>
      <c r="I9332">
        <f>1/(COUNT(SimData5000!$B$9:$B$5008)-1)+$I$9331</f>
        <v>0.86477295459085846</v>
      </c>
      <c r="J9332">
        <f>SMALL(SimData5000!$C$9:$C$5008,4324)</f>
        <v>0.8702953527936188</v>
      </c>
      <c r="K9332">
        <f>1/(COUNT(SimData5000!$C$9:$C$5008)-1)+$K$9331</f>
        <v>0.86477295459085846</v>
      </c>
    </row>
    <row r="9333" spans="8:11">
      <c r="H9333">
        <f>SMALL(SimData5000!$B$9:$B$5008,4325)</f>
        <v>0.86484866713584596</v>
      </c>
      <c r="I9333">
        <f>1/(COUNT(SimData5000!$B$9:$B$5008)-1)+$I$9332</f>
        <v>0.86497299459886001</v>
      </c>
      <c r="J9333">
        <f>SMALL(SimData5000!$C$9:$C$5008,4325)</f>
        <v>0.87068603773515818</v>
      </c>
      <c r="K9333">
        <f>1/(COUNT(SimData5000!$C$9:$C$5008)-1)+$K$9332</f>
        <v>0.86497299459886001</v>
      </c>
    </row>
    <row r="9334" spans="8:11">
      <c r="H9334">
        <f>SMALL(SimData5000!$B$9:$B$5008,4326)</f>
        <v>0.86506049850211952</v>
      </c>
      <c r="I9334">
        <f>1/(COUNT(SimData5000!$B$9:$B$5008)-1)+$I$9333</f>
        <v>0.86517303460686157</v>
      </c>
      <c r="J9334">
        <f>SMALL(SimData5000!$C$9:$C$5008,4326)</f>
        <v>0.8708158922227085</v>
      </c>
      <c r="K9334">
        <f>1/(COUNT(SimData5000!$C$9:$C$5008)-1)+$K$9333</f>
        <v>0.86517303460686157</v>
      </c>
    </row>
    <row r="9335" spans="8:11">
      <c r="H9335">
        <f>SMALL(SimData5000!$B$9:$B$5008,4327)</f>
        <v>0.86539645164622836</v>
      </c>
      <c r="I9335">
        <f>1/(COUNT(SimData5000!$B$9:$B$5008)-1)+$I$9334</f>
        <v>0.86537307461486312</v>
      </c>
      <c r="J9335">
        <f>SMALL(SimData5000!$C$9:$C$5008,4327)</f>
        <v>0.87084538604540285</v>
      </c>
      <c r="K9335">
        <f>1/(COUNT(SimData5000!$C$9:$C$5008)-1)+$K$9334</f>
        <v>0.86537307461486312</v>
      </c>
    </row>
    <row r="9336" spans="8:11">
      <c r="H9336">
        <f>SMALL(SimData5000!$B$9:$B$5008,4328)</f>
        <v>0.86553019494575689</v>
      </c>
      <c r="I9336">
        <f>1/(COUNT(SimData5000!$B$9:$B$5008)-1)+$I$9335</f>
        <v>0.86557311462286468</v>
      </c>
      <c r="J9336">
        <f>SMALL(SimData5000!$C$9:$C$5008,4328)</f>
        <v>0.87133102028747089</v>
      </c>
      <c r="K9336">
        <f>1/(COUNT(SimData5000!$C$9:$C$5008)-1)+$K$9335</f>
        <v>0.86557311462286468</v>
      </c>
    </row>
    <row r="9337" spans="8:11">
      <c r="H9337">
        <f>SMALL(SimData5000!$B$9:$B$5008,4329)</f>
        <v>0.86578936635618775</v>
      </c>
      <c r="I9337">
        <f>1/(COUNT(SimData5000!$B$9:$B$5008)-1)+$I$9336</f>
        <v>0.86577315463086624</v>
      </c>
      <c r="J9337">
        <f>SMALL(SimData5000!$C$9:$C$5008,4329)</f>
        <v>0.87138368754222029</v>
      </c>
      <c r="K9337">
        <f>1/(COUNT(SimData5000!$C$9:$C$5008)-1)+$K$9336</f>
        <v>0.86577315463086624</v>
      </c>
    </row>
    <row r="9338" spans="8:11">
      <c r="H9338">
        <f>SMALL(SimData5000!$B$9:$B$5008,4330)</f>
        <v>0.86591677936611611</v>
      </c>
      <c r="I9338">
        <f>1/(COUNT(SimData5000!$B$9:$B$5008)-1)+$I$9337</f>
        <v>0.86597319463886779</v>
      </c>
      <c r="J9338">
        <f>SMALL(SimData5000!$C$9:$C$5008,4330)</f>
        <v>0.8713963923864867</v>
      </c>
      <c r="K9338">
        <f>1/(COUNT(SimData5000!$C$9:$C$5008)-1)+$K$9337</f>
        <v>0.86597319463886779</v>
      </c>
    </row>
    <row r="9339" spans="8:11">
      <c r="H9339">
        <f>SMALL(SimData5000!$B$9:$B$5008,4331)</f>
        <v>0.86611179570092622</v>
      </c>
      <c r="I9339">
        <f>1/(COUNT(SimData5000!$B$9:$B$5008)-1)+$I$9338</f>
        <v>0.86617323464686935</v>
      </c>
      <c r="J9339">
        <f>SMALL(SimData5000!$C$9:$C$5008,4331)</f>
        <v>0.87185787916314439</v>
      </c>
      <c r="K9339">
        <f>1/(COUNT(SimData5000!$C$9:$C$5008)-1)+$K$9338</f>
        <v>0.86617323464686935</v>
      </c>
    </row>
    <row r="9340" spans="8:11">
      <c r="H9340">
        <f>SMALL(SimData5000!$B$9:$B$5008,4332)</f>
        <v>0.86637381004611347</v>
      </c>
      <c r="I9340">
        <f>1/(COUNT(SimData5000!$B$9:$B$5008)-1)+$I$9339</f>
        <v>0.86637327465487091</v>
      </c>
      <c r="J9340">
        <f>SMALL(SimData5000!$C$9:$C$5008,4332)</f>
        <v>0.87212294550408842</v>
      </c>
      <c r="K9340">
        <f>1/(COUNT(SimData5000!$C$9:$C$5008)-1)+$K$9339</f>
        <v>0.86637327465487091</v>
      </c>
    </row>
    <row r="9341" spans="8:11">
      <c r="H9341">
        <f>SMALL(SimData5000!$B$9:$B$5008,4333)</f>
        <v>0.8665029967685004</v>
      </c>
      <c r="I9341">
        <f>1/(COUNT(SimData5000!$B$9:$B$5008)-1)+$I$9340</f>
        <v>0.86657331466287246</v>
      </c>
      <c r="J9341">
        <f>SMALL(SimData5000!$C$9:$C$5008,4333)</f>
        <v>0.8722478171766852</v>
      </c>
      <c r="K9341">
        <f>1/(COUNT(SimData5000!$C$9:$C$5008)-1)+$K$9340</f>
        <v>0.86657331466287246</v>
      </c>
    </row>
    <row r="9342" spans="8:11">
      <c r="H9342">
        <f>SMALL(SimData5000!$B$9:$B$5008,4334)</f>
        <v>0.86678854513647696</v>
      </c>
      <c r="I9342">
        <f>1/(COUNT(SimData5000!$B$9:$B$5008)-1)+$I$9341</f>
        <v>0.86677335467087402</v>
      </c>
      <c r="J9342">
        <f>SMALL(SimData5000!$C$9:$C$5008,4334)</f>
        <v>0.87254415628285642</v>
      </c>
      <c r="K9342">
        <f>1/(COUNT(SimData5000!$C$9:$C$5008)-1)+$K$9341</f>
        <v>0.86677335467087402</v>
      </c>
    </row>
    <row r="9343" spans="8:11">
      <c r="H9343">
        <f>SMALL(SimData5000!$B$9:$B$5008,4335)</f>
        <v>0.86688275725969177</v>
      </c>
      <c r="I9343">
        <f>1/(COUNT(SimData5000!$B$9:$B$5008)-1)+$I$9342</f>
        <v>0.86697339467887558</v>
      </c>
      <c r="J9343">
        <f>SMALL(SimData5000!$C$9:$C$5008,4335)</f>
        <v>0.87273588804782776</v>
      </c>
      <c r="K9343">
        <f>1/(COUNT(SimData5000!$C$9:$C$5008)-1)+$K$9342</f>
        <v>0.86697339467887558</v>
      </c>
    </row>
    <row r="9344" spans="8:11">
      <c r="H9344">
        <f>SMALL(SimData5000!$B$9:$B$5008,4336)</f>
        <v>0.86714505610231896</v>
      </c>
      <c r="I9344">
        <f>1/(COUNT(SimData5000!$B$9:$B$5008)-1)+$I$9343</f>
        <v>0.86717343468687713</v>
      </c>
      <c r="J9344">
        <f>SMALL(SimData5000!$C$9:$C$5008,4336)</f>
        <v>0.87359847386505862</v>
      </c>
      <c r="K9344">
        <f>1/(COUNT(SimData5000!$C$9:$C$5008)-1)+$K$9343</f>
        <v>0.86717343468687713</v>
      </c>
    </row>
    <row r="9345" spans="8:11">
      <c r="H9345">
        <f>SMALL(SimData5000!$B$9:$B$5008,4337)</f>
        <v>0.86729693636821981</v>
      </c>
      <c r="I9345">
        <f>1/(COUNT(SimData5000!$B$9:$B$5008)-1)+$I$9344</f>
        <v>0.86737347469487869</v>
      </c>
      <c r="J9345">
        <f>SMALL(SimData5000!$C$9:$C$5008,4337)</f>
        <v>0.87365313163445535</v>
      </c>
      <c r="K9345">
        <f>1/(COUNT(SimData5000!$C$9:$C$5008)-1)+$K$9344</f>
        <v>0.86737347469487869</v>
      </c>
    </row>
    <row r="9346" spans="8:11">
      <c r="H9346">
        <f>SMALL(SimData5000!$B$9:$B$5008,4338)</f>
        <v>0.8674835142462709</v>
      </c>
      <c r="I9346">
        <f>1/(COUNT(SimData5000!$B$9:$B$5008)-1)+$I$9345</f>
        <v>0.86757351470288024</v>
      </c>
      <c r="J9346">
        <f>SMALL(SimData5000!$C$9:$C$5008,4338)</f>
        <v>0.87379490865441767</v>
      </c>
      <c r="K9346">
        <f>1/(COUNT(SimData5000!$C$9:$C$5008)-1)+$K$9345</f>
        <v>0.86757351470288024</v>
      </c>
    </row>
    <row r="9347" spans="8:11">
      <c r="H9347">
        <f>SMALL(SimData5000!$B$9:$B$5008,4339)</f>
        <v>0.86774085252348809</v>
      </c>
      <c r="I9347">
        <f>1/(COUNT(SimData5000!$B$9:$B$5008)-1)+$I$9346</f>
        <v>0.8677735547108818</v>
      </c>
      <c r="J9347">
        <f>SMALL(SimData5000!$C$9:$C$5008,4339)</f>
        <v>0.87383759485328483</v>
      </c>
      <c r="K9347">
        <f>1/(COUNT(SimData5000!$C$9:$C$5008)-1)+$K$9346</f>
        <v>0.8677735547108818</v>
      </c>
    </row>
    <row r="9348" spans="8:11">
      <c r="H9348">
        <f>SMALL(SimData5000!$B$9:$B$5008,4340)</f>
        <v>0.8679821059935684</v>
      </c>
      <c r="I9348">
        <f>1/(COUNT(SimData5000!$B$9:$B$5008)-1)+$I$9347</f>
        <v>0.86797359471888336</v>
      </c>
      <c r="J9348">
        <f>SMALL(SimData5000!$C$9:$C$5008,4340)</f>
        <v>0.87391334866879333</v>
      </c>
      <c r="K9348">
        <f>1/(COUNT(SimData5000!$C$9:$C$5008)-1)+$K$9347</f>
        <v>0.86797359471888336</v>
      </c>
    </row>
    <row r="9349" spans="8:11">
      <c r="H9349">
        <f>SMALL(SimData5000!$B$9:$B$5008,4341)</f>
        <v>0.86808009986972445</v>
      </c>
      <c r="I9349">
        <f>1/(COUNT(SimData5000!$B$9:$B$5008)-1)+$I$9348</f>
        <v>0.86817363472688491</v>
      </c>
      <c r="J9349">
        <f>SMALL(SimData5000!$C$9:$C$5008,4341)</f>
        <v>0.87403875541531306</v>
      </c>
      <c r="K9349">
        <f>1/(COUNT(SimData5000!$C$9:$C$5008)-1)+$K$9348</f>
        <v>0.86817363472688491</v>
      </c>
    </row>
    <row r="9350" spans="8:11">
      <c r="H9350">
        <f>SMALL(SimData5000!$B$9:$B$5008,4342)</f>
        <v>0.8682103893362475</v>
      </c>
      <c r="I9350">
        <f>1/(COUNT(SimData5000!$B$9:$B$5008)-1)+$I$9349</f>
        <v>0.86837367473488647</v>
      </c>
      <c r="J9350">
        <f>SMALL(SimData5000!$C$9:$C$5008,4342)</f>
        <v>0.87404078336658131</v>
      </c>
      <c r="K9350">
        <f>1/(COUNT(SimData5000!$C$9:$C$5008)-1)+$K$9349</f>
        <v>0.86837367473488647</v>
      </c>
    </row>
    <row r="9351" spans="8:11">
      <c r="H9351">
        <f>SMALL(SimData5000!$B$9:$B$5008,4343)</f>
        <v>0.86857695970730331</v>
      </c>
      <c r="I9351">
        <f>1/(COUNT(SimData5000!$B$9:$B$5008)-1)+$I$9350</f>
        <v>0.86857371474288803</v>
      </c>
      <c r="J9351">
        <f>SMALL(SimData5000!$C$9:$C$5008,4343)</f>
        <v>0.87426945920924481</v>
      </c>
      <c r="K9351">
        <f>1/(COUNT(SimData5000!$C$9:$C$5008)-1)+$K$9350</f>
        <v>0.86857371474288803</v>
      </c>
    </row>
    <row r="9352" spans="8:11">
      <c r="H9352">
        <f>SMALL(SimData5000!$B$9:$B$5008,4344)</f>
        <v>0.86879699796647691</v>
      </c>
      <c r="I9352">
        <f>1/(COUNT(SimData5000!$B$9:$B$5008)-1)+$I$9351</f>
        <v>0.86877375475088958</v>
      </c>
      <c r="J9352">
        <f>SMALL(SimData5000!$C$9:$C$5008,4344)</f>
        <v>0.87429195680125815</v>
      </c>
      <c r="K9352">
        <f>1/(COUNT(SimData5000!$C$9:$C$5008)-1)+$K$9351</f>
        <v>0.86877375475088958</v>
      </c>
    </row>
    <row r="9353" spans="8:11">
      <c r="H9353">
        <f>SMALL(SimData5000!$B$9:$B$5008,4345)</f>
        <v>0.86887127025906719</v>
      </c>
      <c r="I9353">
        <f>1/(COUNT(SimData5000!$B$9:$B$5008)-1)+$I$9352</f>
        <v>0.86897379475889114</v>
      </c>
      <c r="J9353">
        <f>SMALL(SimData5000!$C$9:$C$5008,4345)</f>
        <v>0.87430885555113491</v>
      </c>
      <c r="K9353">
        <f>1/(COUNT(SimData5000!$C$9:$C$5008)-1)+$K$9352</f>
        <v>0.86897379475889114</v>
      </c>
    </row>
    <row r="9354" spans="8:11">
      <c r="H9354">
        <f>SMALL(SimData5000!$B$9:$B$5008,4346)</f>
        <v>0.86906090431210137</v>
      </c>
      <c r="I9354">
        <f>1/(COUNT(SimData5000!$B$9:$B$5008)-1)+$I$9353</f>
        <v>0.86917383476689269</v>
      </c>
      <c r="J9354">
        <f>SMALL(SimData5000!$C$9:$C$5008,4346)</f>
        <v>0.87439433099552843</v>
      </c>
      <c r="K9354">
        <f>1/(COUNT(SimData5000!$C$9:$C$5008)-1)+$K$9353</f>
        <v>0.86917383476689269</v>
      </c>
    </row>
    <row r="9355" spans="8:11">
      <c r="H9355">
        <f>SMALL(SimData5000!$B$9:$B$5008,4347)</f>
        <v>0.8692786249578649</v>
      </c>
      <c r="I9355">
        <f>1/(COUNT(SimData5000!$B$9:$B$5008)-1)+$I$9354</f>
        <v>0.86937387477489425</v>
      </c>
      <c r="J9355">
        <f>SMALL(SimData5000!$C$9:$C$5008,4347)</f>
        <v>0.87449391948211996</v>
      </c>
      <c r="K9355">
        <f>1/(COUNT(SimData5000!$C$9:$C$5008)-1)+$K$9354</f>
        <v>0.86937387477489425</v>
      </c>
    </row>
    <row r="9356" spans="8:11">
      <c r="H9356">
        <f>SMALL(SimData5000!$B$9:$B$5008,4348)</f>
        <v>0.86950086123577808</v>
      </c>
      <c r="I9356">
        <f>1/(COUNT(SimData5000!$B$9:$B$5008)-1)+$I$9355</f>
        <v>0.86957391478289581</v>
      </c>
      <c r="J9356">
        <f>SMALL(SimData5000!$C$9:$C$5008,4348)</f>
        <v>0.87464849376010534</v>
      </c>
      <c r="K9356">
        <f>1/(COUNT(SimData5000!$C$9:$C$5008)-1)+$K$9355</f>
        <v>0.86957391478289581</v>
      </c>
    </row>
    <row r="9357" spans="8:11">
      <c r="H9357">
        <f>SMALL(SimData5000!$B$9:$B$5008,4349)</f>
        <v>0.86976532822646335</v>
      </c>
      <c r="I9357">
        <f>1/(COUNT(SimData5000!$B$9:$B$5008)-1)+$I$9356</f>
        <v>0.86977395479089736</v>
      </c>
      <c r="J9357">
        <f>SMALL(SimData5000!$C$9:$C$5008,4349)</f>
        <v>0.87491900848181103</v>
      </c>
      <c r="K9357">
        <f>1/(COUNT(SimData5000!$C$9:$C$5008)-1)+$K$9356</f>
        <v>0.86977395479089736</v>
      </c>
    </row>
    <row r="9358" spans="8:11">
      <c r="H9358">
        <f>SMALL(SimData5000!$B$9:$B$5008,4350)</f>
        <v>0.86984584784201491</v>
      </c>
      <c r="I9358">
        <f>1/(COUNT(SimData5000!$B$9:$B$5008)-1)+$I$9357</f>
        <v>0.86997399479889892</v>
      </c>
      <c r="J9358">
        <f>SMALL(SimData5000!$C$9:$C$5008,4350)</f>
        <v>0.87493035538500408</v>
      </c>
      <c r="K9358">
        <f>1/(COUNT(SimData5000!$C$9:$C$5008)-1)+$K$9357</f>
        <v>0.86997399479889892</v>
      </c>
    </row>
    <row r="9359" spans="8:11">
      <c r="H9359">
        <f>SMALL(SimData5000!$B$9:$B$5008,4351)</f>
        <v>0.87017343529308533</v>
      </c>
      <c r="I9359">
        <f>1/(COUNT(SimData5000!$B$9:$B$5008)-1)+$I$9358</f>
        <v>0.87017403480690048</v>
      </c>
      <c r="J9359">
        <f>SMALL(SimData5000!$C$9:$C$5008,4351)</f>
        <v>0.87507194846784842</v>
      </c>
      <c r="K9359">
        <f>1/(COUNT(SimData5000!$C$9:$C$5008)-1)+$K$9358</f>
        <v>0.87017403480690048</v>
      </c>
    </row>
    <row r="9360" spans="8:11">
      <c r="H9360">
        <f>SMALL(SimData5000!$B$9:$B$5008,4352)</f>
        <v>0.87022479358106497</v>
      </c>
      <c r="I9360">
        <f>1/(COUNT(SimData5000!$B$9:$B$5008)-1)+$I$9359</f>
        <v>0.87037407481490203</v>
      </c>
      <c r="J9360">
        <f>SMALL(SimData5000!$C$9:$C$5008,4352)</f>
        <v>0.87511495032231323</v>
      </c>
      <c r="K9360">
        <f>1/(COUNT(SimData5000!$C$9:$C$5008)-1)+$K$9359</f>
        <v>0.87037407481490203</v>
      </c>
    </row>
    <row r="9361" spans="8:11">
      <c r="H9361">
        <f>SMALL(SimData5000!$B$9:$B$5008,4353)</f>
        <v>0.87057567170750716</v>
      </c>
      <c r="I9361">
        <f>1/(COUNT(SimData5000!$B$9:$B$5008)-1)+$I$9360</f>
        <v>0.87057411482290359</v>
      </c>
      <c r="J9361">
        <f>SMALL(SimData5000!$C$9:$C$5008,4353)</f>
        <v>0.87514225598079065</v>
      </c>
      <c r="K9361">
        <f>1/(COUNT(SimData5000!$C$9:$C$5008)-1)+$K$9360</f>
        <v>0.87057411482290359</v>
      </c>
    </row>
    <row r="9362" spans="8:11">
      <c r="H9362">
        <f>SMALL(SimData5000!$B$9:$B$5008,4354)</f>
        <v>0.87073834103595893</v>
      </c>
      <c r="I9362">
        <f>1/(COUNT(SimData5000!$B$9:$B$5008)-1)+$I$9361</f>
        <v>0.87077415483090514</v>
      </c>
      <c r="J9362">
        <f>SMALL(SimData5000!$C$9:$C$5008,4354)</f>
        <v>0.87532405450838269</v>
      </c>
      <c r="K9362">
        <f>1/(COUNT(SimData5000!$C$9:$C$5008)-1)+$K$9361</f>
        <v>0.87077415483090514</v>
      </c>
    </row>
    <row r="9363" spans="8:11">
      <c r="H9363">
        <f>SMALL(SimData5000!$B$9:$B$5008,4355)</f>
        <v>0.8708447029741585</v>
      </c>
      <c r="I9363">
        <f>1/(COUNT(SimData5000!$B$9:$B$5008)-1)+$I$9362</f>
        <v>0.8709741948389067</v>
      </c>
      <c r="J9363">
        <f>SMALL(SimData5000!$C$9:$C$5008,4355)</f>
        <v>0.87534602321193233</v>
      </c>
      <c r="K9363">
        <f>1/(COUNT(SimData5000!$C$9:$C$5008)-1)+$K$9362</f>
        <v>0.8709741948389067</v>
      </c>
    </row>
    <row r="9364" spans="8:11">
      <c r="H9364">
        <f>SMALL(SimData5000!$B$9:$B$5008,4356)</f>
        <v>0.87100953055685604</v>
      </c>
      <c r="I9364">
        <f>1/(COUNT(SimData5000!$B$9:$B$5008)-1)+$I$9363</f>
        <v>0.87117423484690826</v>
      </c>
      <c r="J9364">
        <f>SMALL(SimData5000!$C$9:$C$5008,4356)</f>
        <v>0.87559943060114165</v>
      </c>
      <c r="K9364">
        <f>1/(COUNT(SimData5000!$C$9:$C$5008)-1)+$K$9363</f>
        <v>0.87117423484690826</v>
      </c>
    </row>
    <row r="9365" spans="8:11">
      <c r="H9365">
        <f>SMALL(SimData5000!$B$9:$B$5008,4357)</f>
        <v>0.87128601638974756</v>
      </c>
      <c r="I9365">
        <f>1/(COUNT(SimData5000!$B$9:$B$5008)-1)+$I$9364</f>
        <v>0.87137427485490981</v>
      </c>
      <c r="J9365">
        <f>SMALL(SimData5000!$C$9:$C$5008,4357)</f>
        <v>0.87603242392833636</v>
      </c>
      <c r="K9365">
        <f>1/(COUNT(SimData5000!$C$9:$C$5008)-1)+$K$9364</f>
        <v>0.87137427485490981</v>
      </c>
    </row>
    <row r="9366" spans="8:11">
      <c r="H9366">
        <f>SMALL(SimData5000!$B$9:$B$5008,4358)</f>
        <v>0.87142938101129364</v>
      </c>
      <c r="I9366">
        <f>1/(COUNT(SimData5000!$B$9:$B$5008)-1)+$I$9365</f>
        <v>0.87157431486291137</v>
      </c>
      <c r="J9366">
        <f>SMALL(SimData5000!$C$9:$C$5008,4358)</f>
        <v>0.8761694536815412</v>
      </c>
      <c r="K9366">
        <f>1/(COUNT(SimData5000!$C$9:$C$5008)-1)+$K$9365</f>
        <v>0.87157431486291137</v>
      </c>
    </row>
    <row r="9367" spans="8:11">
      <c r="H9367">
        <f>SMALL(SimData5000!$B$9:$B$5008,4359)</f>
        <v>0.87166826041035073</v>
      </c>
      <c r="I9367">
        <f>1/(COUNT(SimData5000!$B$9:$B$5008)-1)+$I$9366</f>
        <v>0.87177435487091293</v>
      </c>
      <c r="J9367">
        <f>SMALL(SimData5000!$C$9:$C$5008,4359)</f>
        <v>0.87635192671768891</v>
      </c>
      <c r="K9367">
        <f>1/(COUNT(SimData5000!$C$9:$C$5008)-1)+$K$9366</f>
        <v>0.87177435487091293</v>
      </c>
    </row>
    <row r="9368" spans="8:11">
      <c r="H9368">
        <f>SMALL(SimData5000!$B$9:$B$5008,4360)</f>
        <v>0.87185608528369485</v>
      </c>
      <c r="I9368">
        <f>1/(COUNT(SimData5000!$B$9:$B$5008)-1)+$I$9367</f>
        <v>0.87197439487891448</v>
      </c>
      <c r="J9368">
        <f>SMALL(SimData5000!$C$9:$C$5008,4360)</f>
        <v>0.87655045862811676</v>
      </c>
      <c r="K9368">
        <f>1/(COUNT(SimData5000!$C$9:$C$5008)-1)+$K$9367</f>
        <v>0.87197439487891448</v>
      </c>
    </row>
    <row r="9369" spans="8:11">
      <c r="H9369">
        <f>SMALL(SimData5000!$B$9:$B$5008,4361)</f>
        <v>0.87218195911389362</v>
      </c>
      <c r="I9369">
        <f>1/(COUNT(SimData5000!$B$9:$B$5008)-1)+$I$9368</f>
        <v>0.87217443488691604</v>
      </c>
      <c r="J9369">
        <f>SMALL(SimData5000!$C$9:$C$5008,4361)</f>
        <v>0.87669249033299934</v>
      </c>
      <c r="K9369">
        <f>1/(COUNT(SimData5000!$C$9:$C$5008)-1)+$K$9368</f>
        <v>0.87217443488691604</v>
      </c>
    </row>
    <row r="9370" spans="8:11">
      <c r="H9370">
        <f>SMALL(SimData5000!$B$9:$B$5008,4362)</f>
        <v>0.87227256155486044</v>
      </c>
      <c r="I9370">
        <f>1/(COUNT(SimData5000!$B$9:$B$5008)-1)+$I$9369</f>
        <v>0.8723744748949176</v>
      </c>
      <c r="J9370">
        <f>SMALL(SimData5000!$C$9:$C$5008,4362)</f>
        <v>0.87686941753599967</v>
      </c>
      <c r="K9370">
        <f>1/(COUNT(SimData5000!$C$9:$C$5008)-1)+$K$9369</f>
        <v>0.8723744748949176</v>
      </c>
    </row>
    <row r="9371" spans="8:11">
      <c r="H9371">
        <f>SMALL(SimData5000!$B$9:$B$5008,4363)</f>
        <v>0.87255388599921813</v>
      </c>
      <c r="I9371">
        <f>1/(COUNT(SimData5000!$B$9:$B$5008)-1)+$I$9370</f>
        <v>0.87257451490291915</v>
      </c>
      <c r="J9371">
        <f>SMALL(SimData5000!$C$9:$C$5008,4363)</f>
        <v>0.87696711635726388</v>
      </c>
      <c r="K9371">
        <f>1/(COUNT(SimData5000!$C$9:$C$5008)-1)+$K$9370</f>
        <v>0.87257451490291915</v>
      </c>
    </row>
    <row r="9372" spans="8:11">
      <c r="H9372">
        <f>SMALL(SimData5000!$B$9:$B$5008,4364)</f>
        <v>0.87272367965707631</v>
      </c>
      <c r="I9372">
        <f>1/(COUNT(SimData5000!$B$9:$B$5008)-1)+$I$9371</f>
        <v>0.87277455491092071</v>
      </c>
      <c r="J9372">
        <f>SMALL(SimData5000!$C$9:$C$5008,4364)</f>
        <v>0.87711426589521579</v>
      </c>
      <c r="K9372">
        <f>1/(COUNT(SimData5000!$C$9:$C$5008)-1)+$K$9371</f>
        <v>0.87277455491092071</v>
      </c>
    </row>
    <row r="9373" spans="8:11">
      <c r="H9373">
        <f>SMALL(SimData5000!$B$9:$B$5008,4365)</f>
        <v>0.87291690587632298</v>
      </c>
      <c r="I9373">
        <f>1/(COUNT(SimData5000!$B$9:$B$5008)-1)+$I$9372</f>
        <v>0.87297459491892226</v>
      </c>
      <c r="J9373">
        <f>SMALL(SimData5000!$C$9:$C$5008,4365)</f>
        <v>0.87728133534164954</v>
      </c>
      <c r="K9373">
        <f>1/(COUNT(SimData5000!$C$9:$C$5008)-1)+$K$9372</f>
        <v>0.87297459491892226</v>
      </c>
    </row>
    <row r="9374" spans="8:11">
      <c r="H9374">
        <f>SMALL(SimData5000!$B$9:$B$5008,4366)</f>
        <v>0.87317846701242452</v>
      </c>
      <c r="I9374">
        <f>1/(COUNT(SimData5000!$B$9:$B$5008)-1)+$I$9373</f>
        <v>0.87317463492692382</v>
      </c>
      <c r="J9374">
        <f>SMALL(SimData5000!$C$9:$C$5008,4366)</f>
        <v>0.87737179597934301</v>
      </c>
      <c r="K9374">
        <f>1/(COUNT(SimData5000!$C$9:$C$5008)-1)+$K$9373</f>
        <v>0.87317463492692382</v>
      </c>
    </row>
    <row r="9375" spans="8:11">
      <c r="H9375">
        <f>SMALL(SimData5000!$B$9:$B$5008,4367)</f>
        <v>0.87337870125020367</v>
      </c>
      <c r="I9375">
        <f>1/(COUNT(SimData5000!$B$9:$B$5008)-1)+$I$9374</f>
        <v>0.87337467493492538</v>
      </c>
      <c r="J9375">
        <f>SMALL(SimData5000!$C$9:$C$5008,4367)</f>
        <v>0.87766503774400917</v>
      </c>
      <c r="K9375">
        <f>1/(COUNT(SimData5000!$C$9:$C$5008)-1)+$K$9374</f>
        <v>0.87337467493492538</v>
      </c>
    </row>
    <row r="9376" spans="8:11">
      <c r="H9376">
        <f>SMALL(SimData5000!$B$9:$B$5008,4368)</f>
        <v>0.87347118130672519</v>
      </c>
      <c r="I9376">
        <f>1/(COUNT(SimData5000!$B$9:$B$5008)-1)+$I$9375</f>
        <v>0.87357471494292693</v>
      </c>
      <c r="J9376">
        <f>SMALL(SimData5000!$C$9:$C$5008,4368)</f>
        <v>0.87777357307186321</v>
      </c>
      <c r="K9376">
        <f>1/(COUNT(SimData5000!$C$9:$C$5008)-1)+$K$9375</f>
        <v>0.87357471494292693</v>
      </c>
    </row>
    <row r="9377" spans="8:11">
      <c r="H9377">
        <f>SMALL(SimData5000!$B$9:$B$5008,4369)</f>
        <v>0.87371963535782871</v>
      </c>
      <c r="I9377">
        <f>1/(COUNT(SimData5000!$B$9:$B$5008)-1)+$I$9376</f>
        <v>0.87377475495092849</v>
      </c>
      <c r="J9377">
        <f>SMALL(SimData5000!$C$9:$C$5008,4369)</f>
        <v>0.87799117030954221</v>
      </c>
      <c r="K9377">
        <f>1/(COUNT(SimData5000!$C$9:$C$5008)-1)+$K$9376</f>
        <v>0.87377475495092849</v>
      </c>
    </row>
    <row r="9378" spans="8:11">
      <c r="H9378">
        <f>SMALL(SimData5000!$B$9:$B$5008,4370)</f>
        <v>0.87393364717753919</v>
      </c>
      <c r="I9378">
        <f>1/(COUNT(SimData5000!$B$9:$B$5008)-1)+$I$9377</f>
        <v>0.87397479495893005</v>
      </c>
      <c r="J9378">
        <f>SMALL(SimData5000!$C$9:$C$5008,4370)</f>
        <v>0.87801225899966084</v>
      </c>
      <c r="K9378">
        <f>1/(COUNT(SimData5000!$C$9:$C$5008)-1)+$K$9377</f>
        <v>0.87397479495893005</v>
      </c>
    </row>
    <row r="9379" spans="8:11">
      <c r="H9379">
        <f>SMALL(SimData5000!$B$9:$B$5008,4371)</f>
        <v>0.87403387855809034</v>
      </c>
      <c r="I9379">
        <f>1/(COUNT(SimData5000!$B$9:$B$5008)-1)+$I$9378</f>
        <v>0.8741748349669316</v>
      </c>
      <c r="J9379">
        <f>SMALL(SimData5000!$C$9:$C$5008,4371)</f>
        <v>0.87810881798395712</v>
      </c>
      <c r="K9379">
        <f>1/(COUNT(SimData5000!$C$9:$C$5008)-1)+$K$9378</f>
        <v>0.8741748349669316</v>
      </c>
    </row>
    <row r="9380" spans="8:11">
      <c r="H9380">
        <f>SMALL(SimData5000!$B$9:$B$5008,4372)</f>
        <v>0.87426956483243723</v>
      </c>
      <c r="I9380">
        <f>1/(COUNT(SimData5000!$B$9:$B$5008)-1)+$I$9379</f>
        <v>0.87437487497493316</v>
      </c>
      <c r="J9380">
        <f>SMALL(SimData5000!$C$9:$C$5008,4372)</f>
        <v>0.87823534312155971</v>
      </c>
      <c r="K9380">
        <f>1/(COUNT(SimData5000!$C$9:$C$5008)-1)+$K$9379</f>
        <v>0.87437487497493316</v>
      </c>
    </row>
    <row r="9381" spans="8:11">
      <c r="H9381">
        <f>SMALL(SimData5000!$B$9:$B$5008,4373)</f>
        <v>0.87443036134825802</v>
      </c>
      <c r="I9381">
        <f>1/(COUNT(SimData5000!$B$9:$B$5008)-1)+$I$9380</f>
        <v>0.87457491498293471</v>
      </c>
      <c r="J9381">
        <f>SMALL(SimData5000!$C$9:$C$5008,4373)</f>
        <v>0.87862489192684734</v>
      </c>
      <c r="K9381">
        <f>1/(COUNT(SimData5000!$C$9:$C$5008)-1)+$K$9380</f>
        <v>0.87457491498293471</v>
      </c>
    </row>
    <row r="9382" spans="8:11">
      <c r="H9382">
        <f>SMALL(SimData5000!$B$9:$B$5008,4374)</f>
        <v>0.87470997794720118</v>
      </c>
      <c r="I9382">
        <f>1/(COUNT(SimData5000!$B$9:$B$5008)-1)+$I$9381</f>
        <v>0.87477495499093627</v>
      </c>
      <c r="J9382">
        <f>SMALL(SimData5000!$C$9:$C$5008,4374)</f>
        <v>0.87862586419214495</v>
      </c>
      <c r="K9382">
        <f>1/(COUNT(SimData5000!$C$9:$C$5008)-1)+$K$9381</f>
        <v>0.87477495499093627</v>
      </c>
    </row>
    <row r="9383" spans="8:11">
      <c r="H9383">
        <f>SMALL(SimData5000!$B$9:$B$5008,4375)</f>
        <v>0.87481178134433268</v>
      </c>
      <c r="I9383">
        <f>1/(COUNT(SimData5000!$B$9:$B$5008)-1)+$I$9382</f>
        <v>0.87497499499893783</v>
      </c>
      <c r="J9383">
        <f>SMALL(SimData5000!$C$9:$C$5008,4375)</f>
        <v>0.87882370456009085</v>
      </c>
      <c r="K9383">
        <f>1/(COUNT(SimData5000!$C$9:$C$5008)-1)+$K$9382</f>
        <v>0.87497499499893783</v>
      </c>
    </row>
    <row r="9384" spans="8:11">
      <c r="H9384">
        <f>SMALL(SimData5000!$B$9:$B$5008,4376)</f>
        <v>0.87500851394264223</v>
      </c>
      <c r="I9384">
        <f>1/(COUNT(SimData5000!$B$9:$B$5008)-1)+$I$9383</f>
        <v>0.87517503500693938</v>
      </c>
      <c r="J9384">
        <f>SMALL(SimData5000!$C$9:$C$5008,4376)</f>
        <v>0.87887052533551469</v>
      </c>
      <c r="K9384">
        <f>1/(COUNT(SimData5000!$C$9:$C$5008)-1)+$K$9383</f>
        <v>0.87517503500693938</v>
      </c>
    </row>
    <row r="9385" spans="8:11">
      <c r="H9385">
        <f>SMALL(SimData5000!$B$9:$B$5008,4377)</f>
        <v>0.87536783867561441</v>
      </c>
      <c r="I9385">
        <f>1/(COUNT(SimData5000!$B$9:$B$5008)-1)+$I$9384</f>
        <v>0.87537507501494094</v>
      </c>
      <c r="J9385">
        <f>SMALL(SimData5000!$C$9:$C$5008,4377)</f>
        <v>0.87894699589287484</v>
      </c>
      <c r="K9385">
        <f>1/(COUNT(SimData5000!$C$9:$C$5008)-1)+$K$9384</f>
        <v>0.87537507501494094</v>
      </c>
    </row>
    <row r="9386" spans="8:11">
      <c r="H9386">
        <f>SMALL(SimData5000!$B$9:$B$5008,4378)</f>
        <v>0.8755927182216181</v>
      </c>
      <c r="I9386">
        <f>1/(COUNT(SimData5000!$B$9:$B$5008)-1)+$I$9385</f>
        <v>0.8755751150229425</v>
      </c>
      <c r="J9386">
        <f>SMALL(SimData5000!$C$9:$C$5008,4378)</f>
        <v>0.87903867415661807</v>
      </c>
      <c r="K9386">
        <f>1/(COUNT(SimData5000!$C$9:$C$5008)-1)+$K$9385</f>
        <v>0.8755751150229425</v>
      </c>
    </row>
    <row r="9387" spans="8:11">
      <c r="H9387">
        <f>SMALL(SimData5000!$B$9:$B$5008,4379)</f>
        <v>0.87568355892195449</v>
      </c>
      <c r="I9387">
        <f>1/(COUNT(SimData5000!$B$9:$B$5008)-1)+$I$9386</f>
        <v>0.87577515503094405</v>
      </c>
      <c r="J9387">
        <f>SMALL(SimData5000!$C$9:$C$5008,4379)</f>
        <v>0.87911056136817933</v>
      </c>
      <c r="K9387">
        <f>1/(COUNT(SimData5000!$C$9:$C$5008)-1)+$K$9386</f>
        <v>0.87577515503094405</v>
      </c>
    </row>
    <row r="9388" spans="8:11">
      <c r="H9388">
        <f>SMALL(SimData5000!$B$9:$B$5008,4380)</f>
        <v>0.87591588582971958</v>
      </c>
      <c r="I9388">
        <f>1/(COUNT(SimData5000!$B$9:$B$5008)-1)+$I$9387</f>
        <v>0.87597519503894561</v>
      </c>
      <c r="J9388">
        <f>SMALL(SimData5000!$C$9:$C$5008,4380)</f>
        <v>0.87941500116994575</v>
      </c>
      <c r="K9388">
        <f>1/(COUNT(SimData5000!$C$9:$C$5008)-1)+$K$9387</f>
        <v>0.87597519503894561</v>
      </c>
    </row>
    <row r="9389" spans="8:11">
      <c r="H9389">
        <f>SMALL(SimData5000!$B$9:$B$5008,4381)</f>
        <v>0.87614130886442532</v>
      </c>
      <c r="I9389">
        <f>1/(COUNT(SimData5000!$B$9:$B$5008)-1)+$I$9388</f>
        <v>0.87617523504694717</v>
      </c>
      <c r="J9389">
        <f>SMALL(SimData5000!$C$9:$C$5008,4381)</f>
        <v>0.87943421051932091</v>
      </c>
      <c r="K9389">
        <f>1/(COUNT(SimData5000!$C$9:$C$5008)-1)+$K$9388</f>
        <v>0.87617523504694717</v>
      </c>
    </row>
    <row r="9390" spans="8:11">
      <c r="H9390">
        <f>SMALL(SimData5000!$B$9:$B$5008,4382)</f>
        <v>0.87635746187380459</v>
      </c>
      <c r="I9390">
        <f>1/(COUNT(SimData5000!$B$9:$B$5008)-1)+$I$9389</f>
        <v>0.87637527505494872</v>
      </c>
      <c r="J9390">
        <f>SMALL(SimData5000!$C$9:$C$5008,4382)</f>
        <v>0.87952776423207979</v>
      </c>
      <c r="K9390">
        <f>1/(COUNT(SimData5000!$C$9:$C$5008)-1)+$K$9389</f>
        <v>0.87637527505494872</v>
      </c>
    </row>
    <row r="9391" spans="8:11">
      <c r="H9391">
        <f>SMALL(SimData5000!$B$9:$B$5008,4383)</f>
        <v>0.87655987363112164</v>
      </c>
      <c r="I9391">
        <f>1/(COUNT(SimData5000!$B$9:$B$5008)-1)+$I$9390</f>
        <v>0.87657531506295028</v>
      </c>
      <c r="J9391">
        <f>SMALL(SimData5000!$C$9:$C$5008,4383)</f>
        <v>0.87958819477717043</v>
      </c>
      <c r="K9391">
        <f>1/(COUNT(SimData5000!$C$9:$C$5008)-1)+$K$9390</f>
        <v>0.87657531506295028</v>
      </c>
    </row>
    <row r="9392" spans="8:11">
      <c r="H9392">
        <f>SMALL(SimData5000!$B$9:$B$5008,4384)</f>
        <v>0.87674213385403676</v>
      </c>
      <c r="I9392">
        <f>1/(COUNT(SimData5000!$B$9:$B$5008)-1)+$I$9391</f>
        <v>0.87677535507095183</v>
      </c>
      <c r="J9392">
        <f>SMALL(SimData5000!$C$9:$C$5008,4384)</f>
        <v>0.87996374977412017</v>
      </c>
      <c r="K9392">
        <f>1/(COUNT(SimData5000!$C$9:$C$5008)-1)+$K$9391</f>
        <v>0.87677535507095183</v>
      </c>
    </row>
    <row r="9393" spans="8:11">
      <c r="H9393">
        <f>SMALL(SimData5000!$B$9:$B$5008,4385)</f>
        <v>0.87685925629699124</v>
      </c>
      <c r="I9393">
        <f>1/(COUNT(SimData5000!$B$9:$B$5008)-1)+$I$9392</f>
        <v>0.87697539507895339</v>
      </c>
      <c r="J9393">
        <f>SMALL(SimData5000!$C$9:$C$5008,4385)</f>
        <v>0.88009709044217743</v>
      </c>
      <c r="K9393">
        <f>1/(COUNT(SimData5000!$C$9:$C$5008)-1)+$K$9392</f>
        <v>0.87697539507895339</v>
      </c>
    </row>
    <row r="9394" spans="8:11">
      <c r="H9394">
        <f>SMALL(SimData5000!$B$9:$B$5008,4386)</f>
        <v>0.87702412911160477</v>
      </c>
      <c r="I9394">
        <f>1/(COUNT(SimData5000!$B$9:$B$5008)-1)+$I$9393</f>
        <v>0.87717543508695495</v>
      </c>
      <c r="J9394">
        <f>SMALL(SimData5000!$C$9:$C$5008,4386)</f>
        <v>0.88014546328759025</v>
      </c>
      <c r="K9394">
        <f>1/(COUNT(SimData5000!$C$9:$C$5008)-1)+$K$9393</f>
        <v>0.87717543508695495</v>
      </c>
    </row>
    <row r="9395" spans="8:11">
      <c r="H9395">
        <f>SMALL(SimData5000!$B$9:$B$5008,4387)</f>
        <v>0.87721747124763605</v>
      </c>
      <c r="I9395">
        <f>1/(COUNT(SimData5000!$B$9:$B$5008)-1)+$I$9394</f>
        <v>0.8773754750949565</v>
      </c>
      <c r="J9395">
        <f>SMALL(SimData5000!$C$9:$C$5008,4387)</f>
        <v>0.88027724803305318</v>
      </c>
      <c r="K9395">
        <f>1/(COUNT(SimData5000!$C$9:$C$5008)-1)+$K$9394</f>
        <v>0.8773754750949565</v>
      </c>
    </row>
    <row r="9396" spans="8:11">
      <c r="H9396">
        <f>SMALL(SimData5000!$B$9:$B$5008,4388)</f>
        <v>0.87747981988165524</v>
      </c>
      <c r="I9396">
        <f>1/(COUNT(SimData5000!$B$9:$B$5008)-1)+$I$9395</f>
        <v>0.87757551510295806</v>
      </c>
      <c r="J9396">
        <f>SMALL(SimData5000!$C$9:$C$5008,4388)</f>
        <v>0.88044974226068007</v>
      </c>
      <c r="K9396">
        <f>1/(COUNT(SimData5000!$C$9:$C$5008)-1)+$K$9395</f>
        <v>0.87757551510295806</v>
      </c>
    </row>
    <row r="9397" spans="8:11">
      <c r="H9397">
        <f>SMALL(SimData5000!$B$9:$B$5008,4389)</f>
        <v>0.87772654823156226</v>
      </c>
      <c r="I9397">
        <f>1/(COUNT(SimData5000!$B$9:$B$5008)-1)+$I$9396</f>
        <v>0.87777555511095962</v>
      </c>
      <c r="J9397">
        <f>SMALL(SimData5000!$C$9:$C$5008,4389)</f>
        <v>0.8804983512727631</v>
      </c>
      <c r="K9397">
        <f>1/(COUNT(SimData5000!$C$9:$C$5008)-1)+$K$9396</f>
        <v>0.87777555511095962</v>
      </c>
    </row>
    <row r="9398" spans="8:11">
      <c r="H9398">
        <f>SMALL(SimData5000!$B$9:$B$5008,4390)</f>
        <v>0.8778340812037313</v>
      </c>
      <c r="I9398">
        <f>1/(COUNT(SimData5000!$B$9:$B$5008)-1)+$I$9397</f>
        <v>0.87797559511896117</v>
      </c>
      <c r="J9398">
        <f>SMALL(SimData5000!$C$9:$C$5008,4390)</f>
        <v>0.88057409927661823</v>
      </c>
      <c r="K9398">
        <f>1/(COUNT(SimData5000!$C$9:$C$5008)-1)+$K$9397</f>
        <v>0.87797559511896117</v>
      </c>
    </row>
    <row r="9399" spans="8:11">
      <c r="H9399">
        <f>SMALL(SimData5000!$B$9:$B$5008,4391)</f>
        <v>0.87800071429372784</v>
      </c>
      <c r="I9399">
        <f>1/(COUNT(SimData5000!$B$9:$B$5008)-1)+$I$9398</f>
        <v>0.87817563512696273</v>
      </c>
      <c r="J9399">
        <f>SMALL(SimData5000!$C$9:$C$5008,4391)</f>
        <v>0.88109696552055539</v>
      </c>
      <c r="K9399">
        <f>1/(COUNT(SimData5000!$C$9:$C$5008)-1)+$K$9398</f>
        <v>0.87817563512696273</v>
      </c>
    </row>
    <row r="9400" spans="8:11">
      <c r="H9400">
        <f>SMALL(SimData5000!$B$9:$B$5008,4392)</f>
        <v>0.87837775207301094</v>
      </c>
      <c r="I9400">
        <f>1/(COUNT(SimData5000!$B$9:$B$5008)-1)+$I$9399</f>
        <v>0.87837567513496428</v>
      </c>
      <c r="J9400">
        <f>SMALL(SimData5000!$C$9:$C$5008,4392)</f>
        <v>0.88125344020136254</v>
      </c>
      <c r="K9400">
        <f>1/(COUNT(SimData5000!$C$9:$C$5008)-1)+$K$9399</f>
        <v>0.87837567513496428</v>
      </c>
    </row>
    <row r="9401" spans="8:11">
      <c r="H9401">
        <f>SMALL(SimData5000!$B$9:$B$5008,4393)</f>
        <v>0.87858013051640715</v>
      </c>
      <c r="I9401">
        <f>1/(COUNT(SimData5000!$B$9:$B$5008)-1)+$I$9400</f>
        <v>0.87857571514296584</v>
      </c>
      <c r="J9401">
        <f>SMALL(SimData5000!$C$9:$C$5008,4393)</f>
        <v>0.88131562584658241</v>
      </c>
      <c r="K9401">
        <f>1/(COUNT(SimData5000!$C$9:$C$5008)-1)+$K$9400</f>
        <v>0.87857571514296584</v>
      </c>
    </row>
    <row r="9402" spans="8:11">
      <c r="H9402">
        <f>SMALL(SimData5000!$B$9:$B$5008,4394)</f>
        <v>0.87871168169325953</v>
      </c>
      <c r="I9402">
        <f>1/(COUNT(SimData5000!$B$9:$B$5008)-1)+$I$9401</f>
        <v>0.8787757551509674</v>
      </c>
      <c r="J9402">
        <f>SMALL(SimData5000!$C$9:$C$5008,4394)</f>
        <v>0.88155597137574659</v>
      </c>
      <c r="K9402">
        <f>1/(COUNT(SimData5000!$C$9:$C$5008)-1)+$K$9401</f>
        <v>0.8787757551509674</v>
      </c>
    </row>
    <row r="9403" spans="8:11">
      <c r="H9403">
        <f>SMALL(SimData5000!$B$9:$B$5008,4395)</f>
        <v>0.87888544771943367</v>
      </c>
      <c r="I9403">
        <f>1/(COUNT(SimData5000!$B$9:$B$5008)-1)+$I$9402</f>
        <v>0.87897579515896895</v>
      </c>
      <c r="J9403">
        <f>SMALL(SimData5000!$C$9:$C$5008,4395)</f>
        <v>0.88166614804595156</v>
      </c>
      <c r="K9403">
        <f>1/(COUNT(SimData5000!$C$9:$C$5008)-1)+$K$9402</f>
        <v>0.87897579515896895</v>
      </c>
    </row>
    <row r="9404" spans="8:11">
      <c r="H9404">
        <f>SMALL(SimData5000!$B$9:$B$5008,4396)</f>
        <v>0.87903943732023215</v>
      </c>
      <c r="I9404">
        <f>1/(COUNT(SimData5000!$B$9:$B$5008)-1)+$I$9403</f>
        <v>0.87917583516697051</v>
      </c>
      <c r="J9404">
        <f>SMALL(SimData5000!$C$9:$C$5008,4396)</f>
        <v>0.88171887682619854</v>
      </c>
      <c r="K9404">
        <f>1/(COUNT(SimData5000!$C$9:$C$5008)-1)+$K$9403</f>
        <v>0.87917583516697051</v>
      </c>
    </row>
    <row r="9405" spans="8:11">
      <c r="H9405">
        <f>SMALL(SimData5000!$B$9:$B$5008,4397)</f>
        <v>0.87933328946804012</v>
      </c>
      <c r="I9405">
        <f>1/(COUNT(SimData5000!$B$9:$B$5008)-1)+$I$9404</f>
        <v>0.87937587517497207</v>
      </c>
      <c r="J9405">
        <f>SMALL(SimData5000!$C$9:$C$5008,4397)</f>
        <v>0.88196793553015596</v>
      </c>
      <c r="K9405">
        <f>1/(COUNT(SimData5000!$C$9:$C$5008)-1)+$K$9404</f>
        <v>0.87937587517497207</v>
      </c>
    </row>
    <row r="9406" spans="8:11">
      <c r="H9406">
        <f>SMALL(SimData5000!$B$9:$B$5008,4398)</f>
        <v>0.8794118931563133</v>
      </c>
      <c r="I9406">
        <f>1/(COUNT(SimData5000!$B$9:$B$5008)-1)+$I$9405</f>
        <v>0.87957591518297362</v>
      </c>
      <c r="J9406">
        <f>SMALL(SimData5000!$C$9:$C$5008,4398)</f>
        <v>0.88214262267774757</v>
      </c>
      <c r="K9406">
        <f>1/(COUNT(SimData5000!$C$9:$C$5008)-1)+$K$9405</f>
        <v>0.87957591518297362</v>
      </c>
    </row>
    <row r="9407" spans="8:11">
      <c r="H9407">
        <f>SMALL(SimData5000!$B$9:$B$5008,4399)</f>
        <v>0.87967432591209049</v>
      </c>
      <c r="I9407">
        <f>1/(COUNT(SimData5000!$B$9:$B$5008)-1)+$I$9406</f>
        <v>0.87977595519097518</v>
      </c>
      <c r="J9407">
        <f>SMALL(SimData5000!$C$9:$C$5008,4399)</f>
        <v>0.88230368455606367</v>
      </c>
      <c r="K9407">
        <f>1/(COUNT(SimData5000!$C$9:$C$5008)-1)+$K$9406</f>
        <v>0.87977595519097518</v>
      </c>
    </row>
    <row r="9408" spans="8:11">
      <c r="H9408">
        <f>SMALL(SimData5000!$B$9:$B$5008,4400)</f>
        <v>0.87997707840203709</v>
      </c>
      <c r="I9408">
        <f>1/(COUNT(SimData5000!$B$9:$B$5008)-1)+$I$9407</f>
        <v>0.87997599519897673</v>
      </c>
      <c r="J9408">
        <f>SMALL(SimData5000!$C$9:$C$5008,4400)</f>
        <v>0.88241133758856449</v>
      </c>
      <c r="K9408">
        <f>1/(COUNT(SimData5000!$C$9:$C$5008)-1)+$K$9407</f>
        <v>0.87997599519897673</v>
      </c>
    </row>
    <row r="9409" spans="8:11">
      <c r="H9409">
        <f>SMALL(SimData5000!$B$9:$B$5008,4401)</f>
        <v>0.88009762304129491</v>
      </c>
      <c r="I9409">
        <f>1/(COUNT(SimData5000!$B$9:$B$5008)-1)+$I$9408</f>
        <v>0.88017603520697829</v>
      </c>
      <c r="J9409">
        <f>SMALL(SimData5000!$C$9:$C$5008,4401)</f>
        <v>0.8824230090567653</v>
      </c>
      <c r="K9409">
        <f>1/(COUNT(SimData5000!$C$9:$C$5008)-1)+$K$9408</f>
        <v>0.88017603520697829</v>
      </c>
    </row>
    <row r="9410" spans="8:11">
      <c r="H9410">
        <f>SMALL(SimData5000!$B$9:$B$5008,4402)</f>
        <v>0.88026265878329579</v>
      </c>
      <c r="I9410">
        <f>1/(COUNT(SimData5000!$B$9:$B$5008)-1)+$I$9409</f>
        <v>0.88037607521497985</v>
      </c>
      <c r="J9410">
        <f>SMALL(SimData5000!$C$9:$C$5008,4402)</f>
        <v>0.88243257525209629</v>
      </c>
      <c r="K9410">
        <f>1/(COUNT(SimData5000!$C$9:$C$5008)-1)+$K$9409</f>
        <v>0.88037607521497985</v>
      </c>
    </row>
    <row r="9411" spans="8:11">
      <c r="H9411">
        <f>SMALL(SimData5000!$B$9:$B$5008,4403)</f>
        <v>0.88057379148043069</v>
      </c>
      <c r="I9411">
        <f>1/(COUNT(SimData5000!$B$9:$B$5008)-1)+$I$9410</f>
        <v>0.8805761152229814</v>
      </c>
      <c r="J9411">
        <f>SMALL(SimData5000!$C$9:$C$5008,4403)</f>
        <v>0.88253755091318453</v>
      </c>
      <c r="K9411">
        <f>1/(COUNT(SimData5000!$C$9:$C$5008)-1)+$K$9410</f>
        <v>0.8805761152229814</v>
      </c>
    </row>
    <row r="9412" spans="8:11">
      <c r="H9412">
        <f>SMALL(SimData5000!$B$9:$B$5008,4404)</f>
        <v>0.88067563792003223</v>
      </c>
      <c r="I9412">
        <f>1/(COUNT(SimData5000!$B$9:$B$5008)-1)+$I$9411</f>
        <v>0.88077615523098296</v>
      </c>
      <c r="J9412">
        <f>SMALL(SimData5000!$C$9:$C$5008,4404)</f>
        <v>0.88254751217664307</v>
      </c>
      <c r="K9412">
        <f>1/(COUNT(SimData5000!$C$9:$C$5008)-1)+$K$9411</f>
        <v>0.88077615523098296</v>
      </c>
    </row>
    <row r="9413" spans="8:11">
      <c r="H9413">
        <f>SMALL(SimData5000!$B$9:$B$5008,4405)</f>
        <v>0.88082999837795029</v>
      </c>
      <c r="I9413">
        <f>1/(COUNT(SimData5000!$B$9:$B$5008)-1)+$I$9412</f>
        <v>0.88097619523898452</v>
      </c>
      <c r="J9413">
        <f>SMALL(SimData5000!$C$9:$C$5008,4405)</f>
        <v>0.8825883981617153</v>
      </c>
      <c r="K9413">
        <f>1/(COUNT(SimData5000!$C$9:$C$5008)-1)+$K$9412</f>
        <v>0.88097619523898452</v>
      </c>
    </row>
    <row r="9414" spans="8:11">
      <c r="H9414">
        <f>SMALL(SimData5000!$B$9:$B$5008,4406)</f>
        <v>0.88107195735389177</v>
      </c>
      <c r="I9414">
        <f>1/(COUNT(SimData5000!$B$9:$B$5008)-1)+$I$9413</f>
        <v>0.88117623524698607</v>
      </c>
      <c r="J9414">
        <f>SMALL(SimData5000!$C$9:$C$5008,4406)</f>
        <v>0.88284592062245792</v>
      </c>
      <c r="K9414">
        <f>1/(COUNT(SimData5000!$C$9:$C$5008)-1)+$K$9413</f>
        <v>0.88117623524698607</v>
      </c>
    </row>
    <row r="9415" spans="8:11">
      <c r="H9415">
        <f>SMALL(SimData5000!$B$9:$B$5008,4407)</f>
        <v>0.88135918303433791</v>
      </c>
      <c r="I9415">
        <f>1/(COUNT(SimData5000!$B$9:$B$5008)-1)+$I$9414</f>
        <v>0.88137627525498763</v>
      </c>
      <c r="J9415">
        <f>SMALL(SimData5000!$C$9:$C$5008,4407)</f>
        <v>0.88309237330759061</v>
      </c>
      <c r="K9415">
        <f>1/(COUNT(SimData5000!$C$9:$C$5008)-1)+$K$9414</f>
        <v>0.88137627525498763</v>
      </c>
    </row>
    <row r="9416" spans="8:11">
      <c r="H9416">
        <f>SMALL(SimData5000!$B$9:$B$5008,4408)</f>
        <v>0.88151423300842613</v>
      </c>
      <c r="I9416">
        <f>1/(COUNT(SimData5000!$B$9:$B$5008)-1)+$I$9415</f>
        <v>0.88157631526298919</v>
      </c>
      <c r="J9416">
        <f>SMALL(SimData5000!$C$9:$C$5008,4408)</f>
        <v>0.8831391515705036</v>
      </c>
      <c r="K9416">
        <f>1/(COUNT(SimData5000!$C$9:$C$5008)-1)+$K$9415</f>
        <v>0.88157631526298919</v>
      </c>
    </row>
    <row r="9417" spans="8:11">
      <c r="H9417">
        <f>SMALL(SimData5000!$B$9:$B$5008,4409)</f>
        <v>0.88163566172202956</v>
      </c>
      <c r="I9417">
        <f>1/(COUNT(SimData5000!$B$9:$B$5008)-1)+$I$9416</f>
        <v>0.88177635527099074</v>
      </c>
      <c r="J9417">
        <f>SMALL(SimData5000!$C$9:$C$5008,4409)</f>
        <v>0.88336330071342672</v>
      </c>
      <c r="K9417">
        <f>1/(COUNT(SimData5000!$C$9:$C$5008)-1)+$K$9416</f>
        <v>0.88177635527099074</v>
      </c>
    </row>
    <row r="9418" spans="8:11">
      <c r="H9418">
        <f>SMALL(SimData5000!$B$9:$B$5008,4410)</f>
        <v>0.88196534248380121</v>
      </c>
      <c r="I9418">
        <f>1/(COUNT(SimData5000!$B$9:$B$5008)-1)+$I$9417</f>
        <v>0.8819763952789923</v>
      </c>
      <c r="J9418">
        <f>SMALL(SimData5000!$C$9:$C$5008,4410)</f>
        <v>0.88385713863317505</v>
      </c>
      <c r="K9418">
        <f>1/(COUNT(SimData5000!$C$9:$C$5008)-1)+$K$9417</f>
        <v>0.8819763952789923</v>
      </c>
    </row>
    <row r="9419" spans="8:11">
      <c r="H9419">
        <f>SMALL(SimData5000!$B$9:$B$5008,4411)</f>
        <v>0.88201105812043201</v>
      </c>
      <c r="I9419">
        <f>1/(COUNT(SimData5000!$B$9:$B$5008)-1)+$I$9418</f>
        <v>0.88217643528699385</v>
      </c>
      <c r="J9419">
        <f>SMALL(SimData5000!$C$9:$C$5008,4411)</f>
        <v>0.88411102935242525</v>
      </c>
      <c r="K9419">
        <f>1/(COUNT(SimData5000!$C$9:$C$5008)-1)+$K$9418</f>
        <v>0.88217643528699385</v>
      </c>
    </row>
    <row r="9420" spans="8:11">
      <c r="H9420">
        <f>SMALL(SimData5000!$B$9:$B$5008,4412)</f>
        <v>0.88227359926688331</v>
      </c>
      <c r="I9420">
        <f>1/(COUNT(SimData5000!$B$9:$B$5008)-1)+$I$9419</f>
        <v>0.88237647529499541</v>
      </c>
      <c r="J9420">
        <f>SMALL(SimData5000!$C$9:$C$5008,4412)</f>
        <v>0.88443287709287688</v>
      </c>
      <c r="K9420">
        <f>1/(COUNT(SimData5000!$C$9:$C$5008)-1)+$K$9419</f>
        <v>0.88237647529499541</v>
      </c>
    </row>
    <row r="9421" spans="8:11">
      <c r="H9421">
        <f>SMALL(SimData5000!$B$9:$B$5008,4413)</f>
        <v>0.88259854719312825</v>
      </c>
      <c r="I9421">
        <f>1/(COUNT(SimData5000!$B$9:$B$5008)-1)+$I$9420</f>
        <v>0.88257651530299697</v>
      </c>
      <c r="J9421">
        <f>SMALL(SimData5000!$C$9:$C$5008,4413)</f>
        <v>0.88447707369959971</v>
      </c>
      <c r="K9421">
        <f>1/(COUNT(SimData5000!$C$9:$C$5008)-1)+$K$9420</f>
        <v>0.88257651530299697</v>
      </c>
    </row>
    <row r="9422" spans="8:11">
      <c r="H9422">
        <f>SMALL(SimData5000!$B$9:$B$5008,4414)</f>
        <v>0.88260983078894439</v>
      </c>
      <c r="I9422">
        <f>1/(COUNT(SimData5000!$B$9:$B$5008)-1)+$I$9421</f>
        <v>0.88277655531099852</v>
      </c>
      <c r="J9422">
        <f>SMALL(SimData5000!$C$9:$C$5008,4414)</f>
        <v>0.8852059903447298</v>
      </c>
      <c r="K9422">
        <f>1/(COUNT(SimData5000!$C$9:$C$5008)-1)+$K$9421</f>
        <v>0.88277655531099852</v>
      </c>
    </row>
    <row r="9423" spans="8:11">
      <c r="H9423">
        <f>SMALL(SimData5000!$B$9:$B$5008,4415)</f>
        <v>0.88293322944737351</v>
      </c>
      <c r="I9423">
        <f>1/(COUNT(SimData5000!$B$9:$B$5008)-1)+$I$9422</f>
        <v>0.88297659531900008</v>
      </c>
      <c r="J9423">
        <f>SMALL(SimData5000!$C$9:$C$5008,4415)</f>
        <v>0.88532511119592527</v>
      </c>
      <c r="K9423">
        <f>1/(COUNT(SimData5000!$C$9:$C$5008)-1)+$K$9422</f>
        <v>0.88297659531900008</v>
      </c>
    </row>
    <row r="9424" spans="8:11">
      <c r="H9424">
        <f>SMALL(SimData5000!$B$9:$B$5008,4416)</f>
        <v>0.88311981980822041</v>
      </c>
      <c r="I9424">
        <f>1/(COUNT(SimData5000!$B$9:$B$5008)-1)+$I$9423</f>
        <v>0.88317663532700164</v>
      </c>
      <c r="J9424">
        <f>SMALL(SimData5000!$C$9:$C$5008,4416)</f>
        <v>0.88539267489159101</v>
      </c>
      <c r="K9424">
        <f>1/(COUNT(SimData5000!$C$9:$C$5008)-1)+$K$9423</f>
        <v>0.88317663532700164</v>
      </c>
    </row>
    <row r="9425" spans="8:11">
      <c r="H9425">
        <f>SMALL(SimData5000!$B$9:$B$5008,4417)</f>
        <v>0.88326407430853326</v>
      </c>
      <c r="I9425">
        <f>1/(COUNT(SimData5000!$B$9:$B$5008)-1)+$I$9424</f>
        <v>0.88337667533500319</v>
      </c>
      <c r="J9425">
        <f>SMALL(SimData5000!$C$9:$C$5008,4417)</f>
        <v>0.88573015594192839</v>
      </c>
      <c r="K9425">
        <f>1/(COUNT(SimData5000!$C$9:$C$5008)-1)+$K$9424</f>
        <v>0.88337667533500319</v>
      </c>
    </row>
    <row r="9426" spans="8:11">
      <c r="H9426">
        <f>SMALL(SimData5000!$B$9:$B$5008,4418)</f>
        <v>0.88351902980378805</v>
      </c>
      <c r="I9426">
        <f>1/(COUNT(SimData5000!$B$9:$B$5008)-1)+$I$9425</f>
        <v>0.88357671534300475</v>
      </c>
      <c r="J9426">
        <f>SMALL(SimData5000!$C$9:$C$5008,4418)</f>
        <v>0.88573566571176343</v>
      </c>
      <c r="K9426">
        <f>1/(COUNT(SimData5000!$C$9:$C$5008)-1)+$K$9425</f>
        <v>0.88357671534300475</v>
      </c>
    </row>
    <row r="9427" spans="8:11">
      <c r="H9427">
        <f>SMALL(SimData5000!$B$9:$B$5008,4419)</f>
        <v>0.88374992079375081</v>
      </c>
      <c r="I9427">
        <f>1/(COUNT(SimData5000!$B$9:$B$5008)-1)+$I$9426</f>
        <v>0.8837767553510063</v>
      </c>
      <c r="J9427">
        <f>SMALL(SimData5000!$C$9:$C$5008,4419)</f>
        <v>0.88596301084089646</v>
      </c>
      <c r="K9427">
        <f>1/(COUNT(SimData5000!$C$9:$C$5008)-1)+$K$9426</f>
        <v>0.8837767553510063</v>
      </c>
    </row>
    <row r="9428" spans="8:11">
      <c r="H9428">
        <f>SMALL(SimData5000!$B$9:$B$5008,4420)</f>
        <v>0.88399719220395123</v>
      </c>
      <c r="I9428">
        <f>1/(COUNT(SimData5000!$B$9:$B$5008)-1)+$I$9427</f>
        <v>0.88397679535900786</v>
      </c>
      <c r="J9428">
        <f>SMALL(SimData5000!$C$9:$C$5008,4420)</f>
        <v>0.88648018846379273</v>
      </c>
      <c r="K9428">
        <f>1/(COUNT(SimData5000!$C$9:$C$5008)-1)+$K$9427</f>
        <v>0.88397679535900786</v>
      </c>
    </row>
    <row r="9429" spans="8:11">
      <c r="H9429">
        <f>SMALL(SimData5000!$B$9:$B$5008,4421)</f>
        <v>0.88414612058981934</v>
      </c>
      <c r="I9429">
        <f>1/(COUNT(SimData5000!$B$9:$B$5008)-1)+$I$9428</f>
        <v>0.88417683536700942</v>
      </c>
      <c r="J9429">
        <f>SMALL(SimData5000!$C$9:$C$5008,4421)</f>
        <v>0.88682155201513524</v>
      </c>
      <c r="K9429">
        <f>1/(COUNT(SimData5000!$C$9:$C$5008)-1)+$K$9428</f>
        <v>0.88417683536700942</v>
      </c>
    </row>
    <row r="9430" spans="8:11">
      <c r="H9430">
        <f>SMALL(SimData5000!$B$9:$B$5008,4422)</f>
        <v>0.88428183392679371</v>
      </c>
      <c r="I9430">
        <f>1/(COUNT(SimData5000!$B$9:$B$5008)-1)+$I$9429</f>
        <v>0.88437687537501097</v>
      </c>
      <c r="J9430">
        <f>SMALL(SimData5000!$C$9:$C$5008,4422)</f>
        <v>0.88694602301802661</v>
      </c>
      <c r="K9430">
        <f>1/(COUNT(SimData5000!$C$9:$C$5008)-1)+$K$9429</f>
        <v>0.88437687537501097</v>
      </c>
    </row>
    <row r="9431" spans="8:11">
      <c r="H9431">
        <f>SMALL(SimData5000!$B$9:$B$5008,4423)</f>
        <v>0.88449441997145639</v>
      </c>
      <c r="I9431">
        <f>1/(COUNT(SimData5000!$B$9:$B$5008)-1)+$I$9430</f>
        <v>0.88457691538301253</v>
      </c>
      <c r="J9431">
        <f>SMALL(SimData5000!$C$9:$C$5008,4423)</f>
        <v>0.88729813725694839</v>
      </c>
      <c r="K9431">
        <f>1/(COUNT(SimData5000!$C$9:$C$5008)-1)+$K$9430</f>
        <v>0.88457691538301253</v>
      </c>
    </row>
    <row r="9432" spans="8:11">
      <c r="H9432">
        <f>SMALL(SimData5000!$B$9:$B$5008,4424)</f>
        <v>0.88469775612319301</v>
      </c>
      <c r="I9432">
        <f>1/(COUNT(SimData5000!$B$9:$B$5008)-1)+$I$9431</f>
        <v>0.88477695539101409</v>
      </c>
      <c r="J9432">
        <f>SMALL(SimData5000!$C$9:$C$5008,4424)</f>
        <v>0.88754481588875933</v>
      </c>
      <c r="K9432">
        <f>1/(COUNT(SimData5000!$C$9:$C$5008)-1)+$K$9431</f>
        <v>0.88477695539101409</v>
      </c>
    </row>
    <row r="9433" spans="8:11">
      <c r="H9433">
        <f>SMALL(SimData5000!$B$9:$B$5008,4425)</f>
        <v>0.88486739062598607</v>
      </c>
      <c r="I9433">
        <f>1/(COUNT(SimData5000!$B$9:$B$5008)-1)+$I$9432</f>
        <v>0.88497699539901564</v>
      </c>
      <c r="J9433">
        <f>SMALL(SimData5000!$C$9:$C$5008,4425)</f>
        <v>0.88787909850816504</v>
      </c>
      <c r="K9433">
        <f>1/(COUNT(SimData5000!$C$9:$C$5008)-1)+$K$9432</f>
        <v>0.88497699539901564</v>
      </c>
    </row>
    <row r="9434" spans="8:11">
      <c r="H9434">
        <f>SMALL(SimData5000!$B$9:$B$5008,4426)</f>
        <v>0.88512896341451652</v>
      </c>
      <c r="I9434">
        <f>1/(COUNT(SimData5000!$B$9:$B$5008)-1)+$I$9433</f>
        <v>0.8851770354070172</v>
      </c>
      <c r="J9434">
        <f>SMALL(SimData5000!$C$9:$C$5008,4426)</f>
        <v>0.88794280374895607</v>
      </c>
      <c r="K9434">
        <f>1/(COUNT(SimData5000!$C$9:$C$5008)-1)+$K$9433</f>
        <v>0.8851770354070172</v>
      </c>
    </row>
    <row r="9435" spans="8:11">
      <c r="H9435">
        <f>SMALL(SimData5000!$B$9:$B$5008,4427)</f>
        <v>0.88527344184803625</v>
      </c>
      <c r="I9435">
        <f>1/(COUNT(SimData5000!$B$9:$B$5008)-1)+$I$9434</f>
        <v>0.88537707541501875</v>
      </c>
      <c r="J9435">
        <f>SMALL(SimData5000!$C$9:$C$5008,4427)</f>
        <v>0.88820308006961568</v>
      </c>
      <c r="K9435">
        <f>1/(COUNT(SimData5000!$C$9:$C$5008)-1)+$K$9434</f>
        <v>0.88537707541501875</v>
      </c>
    </row>
    <row r="9436" spans="8:11">
      <c r="H9436">
        <f>SMALL(SimData5000!$B$9:$B$5008,4428)</f>
        <v>0.88559722397206275</v>
      </c>
      <c r="I9436">
        <f>1/(COUNT(SimData5000!$B$9:$B$5008)-1)+$I$9435</f>
        <v>0.88557711542302031</v>
      </c>
      <c r="J9436">
        <f>SMALL(SimData5000!$C$9:$C$5008,4428)</f>
        <v>0.88820720060175518</v>
      </c>
      <c r="K9436">
        <f>1/(COUNT(SimData5000!$C$9:$C$5008)-1)+$K$9435</f>
        <v>0.88557711542302031</v>
      </c>
    </row>
    <row r="9437" spans="8:11">
      <c r="H9437">
        <f>SMALL(SimData5000!$B$9:$B$5008,4429)</f>
        <v>0.88572223991898869</v>
      </c>
      <c r="I9437">
        <f>1/(COUNT(SimData5000!$B$9:$B$5008)-1)+$I$9436</f>
        <v>0.88577715543102187</v>
      </c>
      <c r="J9437">
        <f>SMALL(SimData5000!$C$9:$C$5008,4429)</f>
        <v>0.88886395700137655</v>
      </c>
      <c r="K9437">
        <f>1/(COUNT(SimData5000!$C$9:$C$5008)-1)+$K$9436</f>
        <v>0.88577715543102187</v>
      </c>
    </row>
    <row r="9438" spans="8:11">
      <c r="H9438">
        <f>SMALL(SimData5000!$B$9:$B$5008,4430)</f>
        <v>0.885808362334503</v>
      </c>
      <c r="I9438">
        <f>1/(COUNT(SimData5000!$B$9:$B$5008)-1)+$I$9437</f>
        <v>0.88597719543902342</v>
      </c>
      <c r="J9438">
        <f>SMALL(SimData5000!$C$9:$C$5008,4430)</f>
        <v>0.88918621494485706</v>
      </c>
      <c r="K9438">
        <f>1/(COUNT(SimData5000!$C$9:$C$5008)-1)+$K$9437</f>
        <v>0.88597719543902342</v>
      </c>
    </row>
    <row r="9439" spans="8:11">
      <c r="H9439">
        <f>SMALL(SimData5000!$B$9:$B$5008,4431)</f>
        <v>0.88609726931501587</v>
      </c>
      <c r="I9439">
        <f>1/(COUNT(SimData5000!$B$9:$B$5008)-1)+$I$9438</f>
        <v>0.88617723544702498</v>
      </c>
      <c r="J9439">
        <f>SMALL(SimData5000!$C$9:$C$5008,4431)</f>
        <v>0.88918799490238598</v>
      </c>
      <c r="K9439">
        <f>1/(COUNT(SimData5000!$C$9:$C$5008)-1)+$K$9438</f>
        <v>0.88617723544702498</v>
      </c>
    </row>
    <row r="9440" spans="8:11">
      <c r="H9440">
        <f>SMALL(SimData5000!$B$9:$B$5008,4432)</f>
        <v>0.8863680739206653</v>
      </c>
      <c r="I9440">
        <f>1/(COUNT(SimData5000!$B$9:$B$5008)-1)+$I$9439</f>
        <v>0.88637727545502654</v>
      </c>
      <c r="J9440">
        <f>SMALL(SimData5000!$C$9:$C$5008,4432)</f>
        <v>0.88941571914710948</v>
      </c>
      <c r="K9440">
        <f>1/(COUNT(SimData5000!$C$9:$C$5008)-1)+$K$9439</f>
        <v>0.88637727545502654</v>
      </c>
    </row>
    <row r="9441" spans="8:11">
      <c r="H9441">
        <f>SMALL(SimData5000!$B$9:$B$5008,4433)</f>
        <v>0.88658507103626272</v>
      </c>
      <c r="I9441">
        <f>1/(COUNT(SimData5000!$B$9:$B$5008)-1)+$I$9440</f>
        <v>0.88657731546302809</v>
      </c>
      <c r="J9441">
        <f>SMALL(SimData5000!$C$9:$C$5008,4433)</f>
        <v>0.88942594365926197</v>
      </c>
      <c r="K9441">
        <f>1/(COUNT(SimData5000!$C$9:$C$5008)-1)+$K$9440</f>
        <v>0.88657731546302809</v>
      </c>
    </row>
    <row r="9442" spans="8:11">
      <c r="H9442">
        <f>SMALL(SimData5000!$B$9:$B$5008,4434)</f>
        <v>0.88677325658127049</v>
      </c>
      <c r="I9442">
        <f>1/(COUNT(SimData5000!$B$9:$B$5008)-1)+$I$9441</f>
        <v>0.88677735547102965</v>
      </c>
      <c r="J9442">
        <f>SMALL(SimData5000!$C$9:$C$5008,4434)</f>
        <v>0.88949224094903911</v>
      </c>
      <c r="K9442">
        <f>1/(COUNT(SimData5000!$C$9:$C$5008)-1)+$K$9441</f>
        <v>0.88677735547102965</v>
      </c>
    </row>
    <row r="9443" spans="8:11">
      <c r="H9443">
        <f>SMALL(SimData5000!$B$9:$B$5008,4435)</f>
        <v>0.8868373146362224</v>
      </c>
      <c r="I9443">
        <f>1/(COUNT(SimData5000!$B$9:$B$5008)-1)+$I$9442</f>
        <v>0.88697739547903121</v>
      </c>
      <c r="J9443">
        <f>SMALL(SimData5000!$C$9:$C$5008,4435)</f>
        <v>0.88990395755536156</v>
      </c>
      <c r="K9443">
        <f>1/(COUNT(SimData5000!$C$9:$C$5008)-1)+$K$9442</f>
        <v>0.88697739547903121</v>
      </c>
    </row>
    <row r="9444" spans="8:11">
      <c r="H9444">
        <f>SMALL(SimData5000!$B$9:$B$5008,4436)</f>
        <v>0.88708454414263471</v>
      </c>
      <c r="I9444">
        <f>1/(COUNT(SimData5000!$B$9:$B$5008)-1)+$I$9443</f>
        <v>0.88717743548703276</v>
      </c>
      <c r="J9444">
        <f>SMALL(SimData5000!$C$9:$C$5008,4436)</f>
        <v>0.88996240128471982</v>
      </c>
      <c r="K9444">
        <f>1/(COUNT(SimData5000!$C$9:$C$5008)-1)+$K$9443</f>
        <v>0.88717743548703276</v>
      </c>
    </row>
    <row r="9445" spans="8:11">
      <c r="H9445">
        <f>SMALL(SimData5000!$B$9:$B$5008,4437)</f>
        <v>0.88734857036116266</v>
      </c>
      <c r="I9445">
        <f>1/(COUNT(SimData5000!$B$9:$B$5008)-1)+$I$9444</f>
        <v>0.88737747549503432</v>
      </c>
      <c r="J9445">
        <f>SMALL(SimData5000!$C$9:$C$5008,4437)</f>
        <v>0.89040519050558942</v>
      </c>
      <c r="K9445">
        <f>1/(COUNT(SimData5000!$C$9:$C$5008)-1)+$K$9444</f>
        <v>0.88737747549503432</v>
      </c>
    </row>
    <row r="9446" spans="8:11">
      <c r="H9446">
        <f>SMALL(SimData5000!$B$9:$B$5008,4438)</f>
        <v>0.88759758832841129</v>
      </c>
      <c r="I9446">
        <f>1/(COUNT(SimData5000!$B$9:$B$5008)-1)+$I$9445</f>
        <v>0.88757751550303587</v>
      </c>
      <c r="J9446">
        <f>SMALL(SimData5000!$C$9:$C$5008,4438)</f>
        <v>0.89065895716066734</v>
      </c>
      <c r="K9446">
        <f>1/(COUNT(SimData5000!$C$9:$C$5008)-1)+$K$9445</f>
        <v>0.88757751550303587</v>
      </c>
    </row>
    <row r="9447" spans="8:11">
      <c r="H9447">
        <f>SMALL(SimData5000!$B$9:$B$5008,4439)</f>
        <v>0.88760449617202508</v>
      </c>
      <c r="I9447">
        <f>1/(COUNT(SimData5000!$B$9:$B$5008)-1)+$I$9446</f>
        <v>0.88777755551103743</v>
      </c>
      <c r="J9447">
        <f>SMALL(SimData5000!$C$9:$C$5008,4439)</f>
        <v>0.89068511336245137</v>
      </c>
      <c r="K9447">
        <f>1/(COUNT(SimData5000!$C$9:$C$5008)-1)+$K$9446</f>
        <v>0.88777755551103743</v>
      </c>
    </row>
    <row r="9448" spans="8:11">
      <c r="H9448">
        <f>SMALL(SimData5000!$B$9:$B$5008,4440)</f>
        <v>0.887942722699126</v>
      </c>
      <c r="I9448">
        <f>1/(COUNT(SimData5000!$B$9:$B$5008)-1)+$I$9447</f>
        <v>0.88797759551903899</v>
      </c>
      <c r="J9448">
        <f>SMALL(SimData5000!$C$9:$C$5008,4440)</f>
        <v>0.89104124779714766</v>
      </c>
      <c r="K9448">
        <f>1/(COUNT(SimData5000!$C$9:$C$5008)-1)+$K$9447</f>
        <v>0.88797759551903899</v>
      </c>
    </row>
    <row r="9449" spans="8:11">
      <c r="H9449">
        <f>SMALL(SimData5000!$B$9:$B$5008,4441)</f>
        <v>0.88802474756953886</v>
      </c>
      <c r="I9449">
        <f>1/(COUNT(SimData5000!$B$9:$B$5008)-1)+$I$9448</f>
        <v>0.88817763552704054</v>
      </c>
      <c r="J9449">
        <f>SMALL(SimData5000!$C$9:$C$5008,4441)</f>
        <v>0.89141240303797531</v>
      </c>
      <c r="K9449">
        <f>1/(COUNT(SimData5000!$C$9:$C$5008)-1)+$K$9448</f>
        <v>0.88817763552704054</v>
      </c>
    </row>
    <row r="9450" spans="8:11">
      <c r="H9450">
        <f>SMALL(SimData5000!$B$9:$B$5008,4442)</f>
        <v>0.88834451228346312</v>
      </c>
      <c r="I9450">
        <f>1/(COUNT(SimData5000!$B$9:$B$5008)-1)+$I$9449</f>
        <v>0.8883776755350421</v>
      </c>
      <c r="J9450">
        <f>SMALL(SimData5000!$C$9:$C$5008,4442)</f>
        <v>0.89148737980940496</v>
      </c>
      <c r="K9450">
        <f>1/(COUNT(SimData5000!$C$9:$C$5008)-1)+$K$9449</f>
        <v>0.8883776755350421</v>
      </c>
    </row>
    <row r="9451" spans="8:11">
      <c r="H9451">
        <f>SMALL(SimData5000!$B$9:$B$5008,4443)</f>
        <v>0.88843663577172827</v>
      </c>
      <c r="I9451">
        <f>1/(COUNT(SimData5000!$B$9:$B$5008)-1)+$I$9450</f>
        <v>0.88857771554304366</v>
      </c>
      <c r="J9451">
        <f>SMALL(SimData5000!$C$9:$C$5008,4443)</f>
        <v>0.89150352003525768</v>
      </c>
      <c r="K9451">
        <f>1/(COUNT(SimData5000!$C$9:$C$5008)-1)+$K$9450</f>
        <v>0.88857771554304366</v>
      </c>
    </row>
    <row r="9452" spans="8:11">
      <c r="H9452">
        <f>SMALL(SimData5000!$B$9:$B$5008,4444)</f>
        <v>0.88874667730977452</v>
      </c>
      <c r="I9452">
        <f>1/(COUNT(SimData5000!$B$9:$B$5008)-1)+$I$9451</f>
        <v>0.88877775555104521</v>
      </c>
      <c r="J9452">
        <f>SMALL(SimData5000!$C$9:$C$5008,4444)</f>
        <v>0.89183070067429071</v>
      </c>
      <c r="K9452">
        <f>1/(COUNT(SimData5000!$C$9:$C$5008)-1)+$K$9451</f>
        <v>0.88877775555104521</v>
      </c>
    </row>
    <row r="9453" spans="8:11">
      <c r="H9453">
        <f>SMALL(SimData5000!$B$9:$B$5008,4445)</f>
        <v>0.88898986517349021</v>
      </c>
      <c r="I9453">
        <f>1/(COUNT(SimData5000!$B$9:$B$5008)-1)+$I$9452</f>
        <v>0.88897779555904677</v>
      </c>
      <c r="J9453">
        <f>SMALL(SimData5000!$C$9:$C$5008,4445)</f>
        <v>0.89235364818159724</v>
      </c>
      <c r="K9453">
        <f>1/(COUNT(SimData5000!$C$9:$C$5008)-1)+$K$9452</f>
        <v>0.88897779555904677</v>
      </c>
    </row>
    <row r="9454" spans="8:11">
      <c r="H9454">
        <f>SMALL(SimData5000!$B$9:$B$5008,4446)</f>
        <v>0.8890529133903452</v>
      </c>
      <c r="I9454">
        <f>1/(COUNT(SimData5000!$B$9:$B$5008)-1)+$I$9453</f>
        <v>0.88917783556704832</v>
      </c>
      <c r="J9454">
        <f>SMALL(SimData5000!$C$9:$C$5008,4446)</f>
        <v>0.89245551956082636</v>
      </c>
      <c r="K9454">
        <f>1/(COUNT(SimData5000!$C$9:$C$5008)-1)+$K$9453</f>
        <v>0.88917783556704832</v>
      </c>
    </row>
    <row r="9455" spans="8:11">
      <c r="H9455">
        <f>SMALL(SimData5000!$B$9:$B$5008,4447)</f>
        <v>0.88939517354699671</v>
      </c>
      <c r="I9455">
        <f>1/(COUNT(SimData5000!$B$9:$B$5008)-1)+$I$9454</f>
        <v>0.88937787557504988</v>
      </c>
      <c r="J9455">
        <f>SMALL(SimData5000!$C$9:$C$5008,4447)</f>
        <v>0.89283235246875847</v>
      </c>
      <c r="K9455">
        <f>1/(COUNT(SimData5000!$C$9:$C$5008)-1)+$K$9454</f>
        <v>0.88937787557504988</v>
      </c>
    </row>
    <row r="9456" spans="8:11">
      <c r="H9456">
        <f>SMALL(SimData5000!$B$9:$B$5008,4448)</f>
        <v>0.88944731881335559</v>
      </c>
      <c r="I9456">
        <f>1/(COUNT(SimData5000!$B$9:$B$5008)-1)+$I$9455</f>
        <v>0.88957791558305144</v>
      </c>
      <c r="J9456">
        <f>SMALL(SimData5000!$C$9:$C$5008,4448)</f>
        <v>0.89284096605751984</v>
      </c>
      <c r="K9456">
        <f>1/(COUNT(SimData5000!$C$9:$C$5008)-1)+$K$9455</f>
        <v>0.88957791558305144</v>
      </c>
    </row>
    <row r="9457" spans="8:11">
      <c r="H9457">
        <f>SMALL(SimData5000!$B$9:$B$5008,4449)</f>
        <v>0.88979835839997945</v>
      </c>
      <c r="I9457">
        <f>1/(COUNT(SimData5000!$B$9:$B$5008)-1)+$I$9456</f>
        <v>0.88977795559105299</v>
      </c>
      <c r="J9457">
        <f>SMALL(SimData5000!$C$9:$C$5008,4449)</f>
        <v>0.89351808265928412</v>
      </c>
      <c r="K9457">
        <f>1/(COUNT(SimData5000!$C$9:$C$5008)-1)+$K$9456</f>
        <v>0.88977795559105299</v>
      </c>
    </row>
    <row r="9458" spans="8:11">
      <c r="H9458">
        <f>SMALL(SimData5000!$B$9:$B$5008,4450)</f>
        <v>0.88982686936930444</v>
      </c>
      <c r="I9458">
        <f>1/(COUNT(SimData5000!$B$9:$B$5008)-1)+$I$9457</f>
        <v>0.88997799559905455</v>
      </c>
      <c r="J9458">
        <f>SMALL(SimData5000!$C$9:$C$5008,4450)</f>
        <v>0.89399940164366853</v>
      </c>
      <c r="K9458">
        <f>1/(COUNT(SimData5000!$C$9:$C$5008)-1)+$K$9457</f>
        <v>0.88997799559905455</v>
      </c>
    </row>
    <row r="9459" spans="8:11">
      <c r="H9459">
        <f>SMALL(SimData5000!$B$9:$B$5008,4451)</f>
        <v>0.89001868328946143</v>
      </c>
      <c r="I9459">
        <f>1/(COUNT(SimData5000!$B$9:$B$5008)-1)+$I$9458</f>
        <v>0.89017803560705611</v>
      </c>
      <c r="J9459">
        <f>SMALL(SimData5000!$C$9:$C$5008,4451)</f>
        <v>0.89401351004198659</v>
      </c>
      <c r="K9459">
        <f>1/(COUNT(SimData5000!$C$9:$C$5008)-1)+$K$9458</f>
        <v>0.89017803560705611</v>
      </c>
    </row>
    <row r="9460" spans="8:11">
      <c r="H9460">
        <f>SMALL(SimData5000!$B$9:$B$5008,4452)</f>
        <v>0.8902627222502284</v>
      </c>
      <c r="I9460">
        <f>1/(COUNT(SimData5000!$B$9:$B$5008)-1)+$I$9459</f>
        <v>0.89037807561505766</v>
      </c>
      <c r="J9460">
        <f>SMALL(SimData5000!$C$9:$C$5008,4452)</f>
        <v>0.89402226487345615</v>
      </c>
      <c r="K9460">
        <f>1/(COUNT(SimData5000!$C$9:$C$5008)-1)+$K$9459</f>
        <v>0.89037807561505766</v>
      </c>
    </row>
    <row r="9461" spans="8:11">
      <c r="H9461">
        <f>SMALL(SimData5000!$B$9:$B$5008,4453)</f>
        <v>0.89055539731563893</v>
      </c>
      <c r="I9461">
        <f>1/(COUNT(SimData5000!$B$9:$B$5008)-1)+$I$9460</f>
        <v>0.89057811562305922</v>
      </c>
      <c r="J9461">
        <f>SMALL(SimData5000!$C$9:$C$5008,4453)</f>
        <v>0.89434696651642298</v>
      </c>
      <c r="K9461">
        <f>1/(COUNT(SimData5000!$C$9:$C$5008)-1)+$K$9460</f>
        <v>0.89057811562305922</v>
      </c>
    </row>
    <row r="9462" spans="8:11">
      <c r="H9462">
        <f>SMALL(SimData5000!$B$9:$B$5008,4454)</f>
        <v>0.89066739256229888</v>
      </c>
      <c r="I9462">
        <f>1/(COUNT(SimData5000!$B$9:$B$5008)-1)+$I$9461</f>
        <v>0.89077815563106078</v>
      </c>
      <c r="J9462">
        <f>SMALL(SimData5000!$C$9:$C$5008,4454)</f>
        <v>0.89450792104616994</v>
      </c>
      <c r="K9462">
        <f>1/(COUNT(SimData5000!$C$9:$C$5008)-1)+$K$9461</f>
        <v>0.89077815563106078</v>
      </c>
    </row>
    <row r="9463" spans="8:11">
      <c r="H9463">
        <f>SMALL(SimData5000!$B$9:$B$5008,4455)</f>
        <v>0.89090672596993559</v>
      </c>
      <c r="I9463">
        <f>1/(COUNT(SimData5000!$B$9:$B$5008)-1)+$I$9462</f>
        <v>0.89097819563906233</v>
      </c>
      <c r="J9463">
        <f>SMALL(SimData5000!$C$9:$C$5008,4455)</f>
        <v>0.89454849371486489</v>
      </c>
      <c r="K9463">
        <f>1/(COUNT(SimData5000!$C$9:$C$5008)-1)+$K$9462</f>
        <v>0.89097819563906233</v>
      </c>
    </row>
    <row r="9464" spans="8:11">
      <c r="H9464">
        <f>SMALL(SimData5000!$B$9:$B$5008,4456)</f>
        <v>0.89111478930784271</v>
      </c>
      <c r="I9464">
        <f>1/(COUNT(SimData5000!$B$9:$B$5008)-1)+$I$9463</f>
        <v>0.89117823564706389</v>
      </c>
      <c r="J9464">
        <f>SMALL(SimData5000!$C$9:$C$5008,4456)</f>
        <v>0.89462512229783897</v>
      </c>
      <c r="K9464">
        <f>1/(COUNT(SimData5000!$C$9:$C$5008)-1)+$K$9463</f>
        <v>0.89117823564706389</v>
      </c>
    </row>
    <row r="9465" spans="8:11">
      <c r="H9465">
        <f>SMALL(SimData5000!$B$9:$B$5008,4457)</f>
        <v>0.89124428386838284</v>
      </c>
      <c r="I9465">
        <f>1/(COUNT(SimData5000!$B$9:$B$5008)-1)+$I$9464</f>
        <v>0.89137827565506544</v>
      </c>
      <c r="J9465">
        <f>SMALL(SimData5000!$C$9:$C$5008,4457)</f>
        <v>0.89489103333198727</v>
      </c>
      <c r="K9465">
        <f>1/(COUNT(SimData5000!$C$9:$C$5008)-1)+$K$9464</f>
        <v>0.89137827565506544</v>
      </c>
    </row>
    <row r="9466" spans="8:11">
      <c r="H9466">
        <f>SMALL(SimData5000!$B$9:$B$5008,4458)</f>
        <v>0.89157026816033069</v>
      </c>
      <c r="I9466">
        <f>1/(COUNT(SimData5000!$B$9:$B$5008)-1)+$I$9465</f>
        <v>0.891578315663067</v>
      </c>
      <c r="J9466">
        <f>SMALL(SimData5000!$C$9:$C$5008,4458)</f>
        <v>0.89503217031051463</v>
      </c>
      <c r="K9466">
        <f>1/(COUNT(SimData5000!$C$9:$C$5008)-1)+$K$9465</f>
        <v>0.891578315663067</v>
      </c>
    </row>
    <row r="9467" spans="8:11">
      <c r="H9467">
        <f>SMALL(SimData5000!$B$9:$B$5008,4459)</f>
        <v>0.8916241097069868</v>
      </c>
      <c r="I9467">
        <f>1/(COUNT(SimData5000!$B$9:$B$5008)-1)+$I$9466</f>
        <v>0.89177835567106856</v>
      </c>
      <c r="J9467">
        <f>SMALL(SimData5000!$C$9:$C$5008,4459)</f>
        <v>0.89510013133440225</v>
      </c>
      <c r="K9467">
        <f>1/(COUNT(SimData5000!$C$9:$C$5008)-1)+$K$9466</f>
        <v>0.89177835567106856</v>
      </c>
    </row>
    <row r="9468" spans="8:11">
      <c r="H9468">
        <f>SMALL(SimData5000!$B$9:$B$5008,4460)</f>
        <v>0.891948426277551</v>
      </c>
      <c r="I9468">
        <f>1/(COUNT(SimData5000!$B$9:$B$5008)-1)+$I$9467</f>
        <v>0.89197839567907011</v>
      </c>
      <c r="J9468">
        <f>SMALL(SimData5000!$C$9:$C$5008,4460)</f>
        <v>0.89519227816617786</v>
      </c>
      <c r="K9468">
        <f>1/(COUNT(SimData5000!$C$9:$C$5008)-1)+$K$9467</f>
        <v>0.89197839567907011</v>
      </c>
    </row>
    <row r="9469" spans="8:11">
      <c r="H9469">
        <f>SMALL(SimData5000!$B$9:$B$5008,4461)</f>
        <v>0.89211354772684004</v>
      </c>
      <c r="I9469">
        <f>1/(COUNT(SimData5000!$B$9:$B$5008)-1)+$I$9468</f>
        <v>0.89217843568707167</v>
      </c>
      <c r="J9469">
        <f>SMALL(SimData5000!$C$9:$C$5008,4461)</f>
        <v>0.89520689581149782</v>
      </c>
      <c r="K9469">
        <f>1/(COUNT(SimData5000!$C$9:$C$5008)-1)+$K$9468</f>
        <v>0.89217843568707167</v>
      </c>
    </row>
    <row r="9470" spans="8:11">
      <c r="H9470">
        <f>SMALL(SimData5000!$B$9:$B$5008,4462)</f>
        <v>0.89239336053351725</v>
      </c>
      <c r="I9470">
        <f>1/(COUNT(SimData5000!$B$9:$B$5008)-1)+$I$9469</f>
        <v>0.89237847569507323</v>
      </c>
      <c r="J9470">
        <f>SMALL(SimData5000!$C$9:$C$5008,4462)</f>
        <v>0.89523873741836724</v>
      </c>
      <c r="K9470">
        <f>1/(COUNT(SimData5000!$C$9:$C$5008)-1)+$K$9469</f>
        <v>0.89237847569507323</v>
      </c>
    </row>
    <row r="9471" spans="8:11">
      <c r="H9471">
        <f>SMALL(SimData5000!$B$9:$B$5008,4463)</f>
        <v>0.89243503718567896</v>
      </c>
      <c r="I9471">
        <f>1/(COUNT(SimData5000!$B$9:$B$5008)-1)+$I$9470</f>
        <v>0.89257851570307478</v>
      </c>
      <c r="J9471">
        <f>SMALL(SimData5000!$C$9:$C$5008,4463)</f>
        <v>0.8954940043431634</v>
      </c>
      <c r="K9471">
        <f>1/(COUNT(SimData5000!$C$9:$C$5008)-1)+$K$9470</f>
        <v>0.89257851570307478</v>
      </c>
    </row>
    <row r="9472" spans="8:11">
      <c r="H9472">
        <f>SMALL(SimData5000!$B$9:$B$5008,4464)</f>
        <v>0.89265075120512649</v>
      </c>
      <c r="I9472">
        <f>1/(COUNT(SimData5000!$B$9:$B$5008)-1)+$I$9471</f>
        <v>0.89277855571107634</v>
      </c>
      <c r="J9472">
        <f>SMALL(SimData5000!$C$9:$C$5008,4464)</f>
        <v>0.89566556731369928</v>
      </c>
      <c r="K9472">
        <f>1/(COUNT(SimData5000!$C$9:$C$5008)-1)+$K$9471</f>
        <v>0.89277855571107634</v>
      </c>
    </row>
    <row r="9473" spans="8:11">
      <c r="H9473">
        <f>SMALL(SimData5000!$B$9:$B$5008,4465)</f>
        <v>0.89285870278427815</v>
      </c>
      <c r="I9473">
        <f>1/(COUNT(SimData5000!$B$9:$B$5008)-1)+$I$9472</f>
        <v>0.89297859571907789</v>
      </c>
      <c r="J9473">
        <f>SMALL(SimData5000!$C$9:$C$5008,4465)</f>
        <v>0.89572848163879826</v>
      </c>
      <c r="K9473">
        <f>1/(COUNT(SimData5000!$C$9:$C$5008)-1)+$K$9472</f>
        <v>0.89297859571907789</v>
      </c>
    </row>
    <row r="9474" spans="8:11">
      <c r="H9474">
        <f>SMALL(SimData5000!$B$9:$B$5008,4466)</f>
        <v>0.89317381018315756</v>
      </c>
      <c r="I9474">
        <f>1/(COUNT(SimData5000!$B$9:$B$5008)-1)+$I$9473</f>
        <v>0.89317863572707945</v>
      </c>
      <c r="J9474">
        <f>SMALL(SimData5000!$C$9:$C$5008,4466)</f>
        <v>0.89573596521222498</v>
      </c>
      <c r="K9474">
        <f>1/(COUNT(SimData5000!$C$9:$C$5008)-1)+$K$9473</f>
        <v>0.89317863572707945</v>
      </c>
    </row>
    <row r="9475" spans="8:11">
      <c r="H9475">
        <f>SMALL(SimData5000!$B$9:$B$5008,4467)</f>
        <v>0.89324669897436326</v>
      </c>
      <c r="I9475">
        <f>1/(COUNT(SimData5000!$B$9:$B$5008)-1)+$I$9474</f>
        <v>0.89337867573508101</v>
      </c>
      <c r="J9475">
        <f>SMALL(SimData5000!$C$9:$C$5008,4467)</f>
        <v>0.89583188251799584</v>
      </c>
      <c r="K9475">
        <f>1/(COUNT(SimData5000!$C$9:$C$5008)-1)+$K$9474</f>
        <v>0.89337867573508101</v>
      </c>
    </row>
    <row r="9476" spans="8:11">
      <c r="H9476">
        <f>SMALL(SimData5000!$B$9:$B$5008,4468)</f>
        <v>0.89359152089669169</v>
      </c>
      <c r="I9476">
        <f>1/(COUNT(SimData5000!$B$9:$B$5008)-1)+$I$9475</f>
        <v>0.89357871574308256</v>
      </c>
      <c r="J9476">
        <f>SMALL(SimData5000!$C$9:$C$5008,4468)</f>
        <v>0.89596737214742461</v>
      </c>
      <c r="K9476">
        <f>1/(COUNT(SimData5000!$C$9:$C$5008)-1)+$K$9475</f>
        <v>0.89357871574308256</v>
      </c>
    </row>
    <row r="9477" spans="8:11">
      <c r="H9477">
        <f>SMALL(SimData5000!$B$9:$B$5008,4469)</f>
        <v>0.89365430384377365</v>
      </c>
      <c r="I9477">
        <f>1/(COUNT(SimData5000!$B$9:$B$5008)-1)+$I$9476</f>
        <v>0.89377875575108412</v>
      </c>
      <c r="J9477">
        <f>SMALL(SimData5000!$C$9:$C$5008,4469)</f>
        <v>0.89625157878435857</v>
      </c>
      <c r="K9477">
        <f>1/(COUNT(SimData5000!$C$9:$C$5008)-1)+$K$9476</f>
        <v>0.89377875575108412</v>
      </c>
    </row>
    <row r="9478" spans="8:11">
      <c r="H9478">
        <f>SMALL(SimData5000!$B$9:$B$5008,4470)</f>
        <v>0.89398034304142471</v>
      </c>
      <c r="I9478">
        <f>1/(COUNT(SimData5000!$B$9:$B$5008)-1)+$I$9477</f>
        <v>0.89397879575908568</v>
      </c>
      <c r="J9478">
        <f>SMALL(SimData5000!$C$9:$C$5008,4470)</f>
        <v>0.89676590662838862</v>
      </c>
      <c r="K9478">
        <f>1/(COUNT(SimData5000!$C$9:$C$5008)-1)+$K$9477</f>
        <v>0.89397879575908568</v>
      </c>
    </row>
    <row r="9479" spans="8:11">
      <c r="H9479">
        <f>SMALL(SimData5000!$B$9:$B$5008,4471)</f>
        <v>0.89412084501835543</v>
      </c>
      <c r="I9479">
        <f>1/(COUNT(SimData5000!$B$9:$B$5008)-1)+$I$9478</f>
        <v>0.89417883576708723</v>
      </c>
      <c r="J9479">
        <f>SMALL(SimData5000!$C$9:$C$5008,4471)</f>
        <v>0.89708048848842736</v>
      </c>
      <c r="K9479">
        <f>1/(COUNT(SimData5000!$C$9:$C$5008)-1)+$K$9478</f>
        <v>0.89417883576708723</v>
      </c>
    </row>
    <row r="9480" spans="8:11">
      <c r="H9480">
        <f>SMALL(SimData5000!$B$9:$B$5008,4472)</f>
        <v>0.8943246641265985</v>
      </c>
      <c r="I9480">
        <f>1/(COUNT(SimData5000!$B$9:$B$5008)-1)+$I$9479</f>
        <v>0.89437887577508879</v>
      </c>
      <c r="J9480">
        <f>SMALL(SimData5000!$C$9:$C$5008,4472)</f>
        <v>0.89742325021870784</v>
      </c>
      <c r="K9480">
        <f>1/(COUNT(SimData5000!$C$9:$C$5008)-1)+$K$9479</f>
        <v>0.89437887577508879</v>
      </c>
    </row>
    <row r="9481" spans="8:11">
      <c r="H9481">
        <f>SMALL(SimData5000!$B$9:$B$5008,4473)</f>
        <v>0.89459468778879259</v>
      </c>
      <c r="I9481">
        <f>1/(COUNT(SimData5000!$B$9:$B$5008)-1)+$I$9480</f>
        <v>0.89457891578309034</v>
      </c>
      <c r="J9481">
        <f>SMALL(SimData5000!$C$9:$C$5008,4473)</f>
        <v>0.89763141387538781</v>
      </c>
      <c r="K9481">
        <f>1/(COUNT(SimData5000!$C$9:$C$5008)-1)+$K$9480</f>
        <v>0.89457891578309034</v>
      </c>
    </row>
    <row r="9482" spans="8:11">
      <c r="H9482">
        <f>SMALL(SimData5000!$B$9:$B$5008,4474)</f>
        <v>0.89476198354190251</v>
      </c>
      <c r="I9482">
        <f>1/(COUNT(SimData5000!$B$9:$B$5008)-1)+$I$9481</f>
        <v>0.8947789557910919</v>
      </c>
      <c r="J9482">
        <f>SMALL(SimData5000!$C$9:$C$5008,4474)</f>
        <v>0.89764756470958673</v>
      </c>
      <c r="K9482">
        <f>1/(COUNT(SimData5000!$C$9:$C$5008)-1)+$K$9481</f>
        <v>0.8947789557910919</v>
      </c>
    </row>
    <row r="9483" spans="8:11">
      <c r="H9483">
        <f>SMALL(SimData5000!$B$9:$B$5008,4475)</f>
        <v>0.89494086614436019</v>
      </c>
      <c r="I9483">
        <f>1/(COUNT(SimData5000!$B$9:$B$5008)-1)+$I$9482</f>
        <v>0.89497899579909346</v>
      </c>
      <c r="J9483">
        <f>SMALL(SimData5000!$C$9:$C$5008,4475)</f>
        <v>0.89818450207803835</v>
      </c>
      <c r="K9483">
        <f>1/(COUNT(SimData5000!$C$9:$C$5008)-1)+$K$9482</f>
        <v>0.89497899579909346</v>
      </c>
    </row>
    <row r="9484" spans="8:11">
      <c r="H9484">
        <f>SMALL(SimData5000!$B$9:$B$5008,4476)</f>
        <v>0.89516726100052879</v>
      </c>
      <c r="I9484">
        <f>1/(COUNT(SimData5000!$B$9:$B$5008)-1)+$I$9483</f>
        <v>0.89517903580709501</v>
      </c>
      <c r="J9484">
        <f>SMALL(SimData5000!$C$9:$C$5008,4476)</f>
        <v>0.89833207355877676</v>
      </c>
      <c r="K9484">
        <f>1/(COUNT(SimData5000!$C$9:$C$5008)-1)+$K$9483</f>
        <v>0.89517903580709501</v>
      </c>
    </row>
    <row r="9485" spans="8:11">
      <c r="H9485">
        <f>SMALL(SimData5000!$B$9:$B$5008,4477)</f>
        <v>0.89527926940812708</v>
      </c>
      <c r="I9485">
        <f>1/(COUNT(SimData5000!$B$9:$B$5008)-1)+$I$9484</f>
        <v>0.89537907581509657</v>
      </c>
      <c r="J9485">
        <f>SMALL(SimData5000!$C$9:$C$5008,4477)</f>
        <v>0.89855893223921157</v>
      </c>
      <c r="K9485">
        <f>1/(COUNT(SimData5000!$C$9:$C$5008)-1)+$K$9484</f>
        <v>0.89537907581509657</v>
      </c>
    </row>
    <row r="9486" spans="8:11">
      <c r="H9486">
        <f>SMALL(SimData5000!$B$9:$B$5008,4478)</f>
        <v>0.89553434664079323</v>
      </c>
      <c r="I9486">
        <f>1/(COUNT(SimData5000!$B$9:$B$5008)-1)+$I$9485</f>
        <v>0.89557911582309813</v>
      </c>
      <c r="J9486">
        <f>SMALL(SimData5000!$C$9:$C$5008,4478)</f>
        <v>0.89862592983081413</v>
      </c>
      <c r="K9486">
        <f>1/(COUNT(SimData5000!$C$9:$C$5008)-1)+$K$9485</f>
        <v>0.89557911582309813</v>
      </c>
    </row>
    <row r="9487" spans="8:11">
      <c r="H9487">
        <f>SMALL(SimData5000!$B$9:$B$5008,4479)</f>
        <v>0.89569247626673709</v>
      </c>
      <c r="I9487">
        <f>1/(COUNT(SimData5000!$B$9:$B$5008)-1)+$I$9486</f>
        <v>0.89577915583109968</v>
      </c>
      <c r="J9487">
        <f>SMALL(SimData5000!$C$9:$C$5008,4479)</f>
        <v>0.89933193462820782</v>
      </c>
      <c r="K9487">
        <f>1/(COUNT(SimData5000!$C$9:$C$5008)-1)+$K$9486</f>
        <v>0.89577915583109968</v>
      </c>
    </row>
    <row r="9488" spans="8:11">
      <c r="H9488">
        <f>SMALL(SimData5000!$B$9:$B$5008,4480)</f>
        <v>0.8959351052434964</v>
      </c>
      <c r="I9488">
        <f>1/(COUNT(SimData5000!$B$9:$B$5008)-1)+$I$9487</f>
        <v>0.89597919583910124</v>
      </c>
      <c r="J9488">
        <f>SMALL(SimData5000!$C$9:$C$5008,4480)</f>
        <v>0.89935192620851012</v>
      </c>
      <c r="K9488">
        <f>1/(COUNT(SimData5000!$C$9:$C$5008)-1)+$K$9487</f>
        <v>0.89597919583910124</v>
      </c>
    </row>
    <row r="9489" spans="8:11">
      <c r="H9489">
        <f>SMALL(SimData5000!$B$9:$B$5008,4481)</f>
        <v>0.89616532850143626</v>
      </c>
      <c r="I9489">
        <f>1/(COUNT(SimData5000!$B$9:$B$5008)-1)+$I$9488</f>
        <v>0.8961792358471028</v>
      </c>
      <c r="J9489">
        <f>SMALL(SimData5000!$C$9:$C$5008,4481)</f>
        <v>0.89967735917161917</v>
      </c>
      <c r="K9489">
        <f>1/(COUNT(SimData5000!$C$9:$C$5008)-1)+$K$9488</f>
        <v>0.8961792358471028</v>
      </c>
    </row>
    <row r="9490" spans="8:11">
      <c r="H9490">
        <f>SMALL(SimData5000!$B$9:$B$5008,4482)</f>
        <v>0.89628055827703335</v>
      </c>
      <c r="I9490">
        <f>1/(COUNT(SimData5000!$B$9:$B$5008)-1)+$I$9489</f>
        <v>0.89637927585510435</v>
      </c>
      <c r="J9490">
        <f>SMALL(SimData5000!$C$9:$C$5008,4482)</f>
        <v>0.89999997260474629</v>
      </c>
      <c r="K9490">
        <f>1/(COUNT(SimData5000!$C$9:$C$5008)-1)+$K$9489</f>
        <v>0.89637927585510435</v>
      </c>
    </row>
    <row r="9491" spans="8:11">
      <c r="H9491">
        <f>SMALL(SimData5000!$B$9:$B$5008,4483)</f>
        <v>0.8965372675485298</v>
      </c>
      <c r="I9491">
        <f>1/(COUNT(SimData5000!$B$9:$B$5008)-1)+$I$9490</f>
        <v>0.89657931586310591</v>
      </c>
      <c r="J9491">
        <f>SMALL(SimData5000!$C$9:$C$5008,4483)</f>
        <v>0.90016893449683266</v>
      </c>
      <c r="K9491">
        <f>1/(COUNT(SimData5000!$C$9:$C$5008)-1)+$K$9490</f>
        <v>0.89657931586310591</v>
      </c>
    </row>
    <row r="9492" spans="8:11">
      <c r="H9492">
        <f>SMALL(SimData5000!$B$9:$B$5008,4484)</f>
        <v>0.89667340077675728</v>
      </c>
      <c r="I9492">
        <f>1/(COUNT(SimData5000!$B$9:$B$5008)-1)+$I$9491</f>
        <v>0.89677935587110746</v>
      </c>
      <c r="J9492">
        <f>SMALL(SimData5000!$C$9:$C$5008,4484)</f>
        <v>0.90021996874656907</v>
      </c>
      <c r="K9492">
        <f>1/(COUNT(SimData5000!$C$9:$C$5008)-1)+$K$9491</f>
        <v>0.89677935587110746</v>
      </c>
    </row>
    <row r="9493" spans="8:11">
      <c r="H9493">
        <f>SMALL(SimData5000!$B$9:$B$5008,4485)</f>
        <v>0.89686870979482047</v>
      </c>
      <c r="I9493">
        <f>1/(COUNT(SimData5000!$B$9:$B$5008)-1)+$I$9492</f>
        <v>0.89697939587910902</v>
      </c>
      <c r="J9493">
        <f>SMALL(SimData5000!$C$9:$C$5008,4485)</f>
        <v>0.90027509831998032</v>
      </c>
      <c r="K9493">
        <f>1/(COUNT(SimData5000!$C$9:$C$5008)-1)+$K$9492</f>
        <v>0.89697939587910902</v>
      </c>
    </row>
    <row r="9494" spans="8:11">
      <c r="H9494">
        <f>SMALL(SimData5000!$B$9:$B$5008,4486)</f>
        <v>0.89715757705414612</v>
      </c>
      <c r="I9494">
        <f>1/(COUNT(SimData5000!$B$9:$B$5008)-1)+$I$9493</f>
        <v>0.89717943588711058</v>
      </c>
      <c r="J9494">
        <f>SMALL(SimData5000!$C$9:$C$5008,4486)</f>
        <v>0.90105540602507972</v>
      </c>
      <c r="K9494">
        <f>1/(COUNT(SimData5000!$C$9:$C$5008)-1)+$K$9493</f>
        <v>0.89717943588711058</v>
      </c>
    </row>
    <row r="9495" spans="8:11">
      <c r="H9495">
        <f>SMALL(SimData5000!$B$9:$B$5008,4487)</f>
        <v>0.89720748162400155</v>
      </c>
      <c r="I9495">
        <f>1/(COUNT(SimData5000!$B$9:$B$5008)-1)+$I$9494</f>
        <v>0.89737947589511213</v>
      </c>
      <c r="J9495">
        <f>SMALL(SimData5000!$C$9:$C$5008,4487)</f>
        <v>0.90113592947727739</v>
      </c>
      <c r="K9495">
        <f>1/(COUNT(SimData5000!$C$9:$C$5008)-1)+$K$9494</f>
        <v>0.89737947589511213</v>
      </c>
    </row>
    <row r="9496" spans="8:11">
      <c r="H9496">
        <f>SMALL(SimData5000!$B$9:$B$5008,4488)</f>
        <v>0.89751118690686094</v>
      </c>
      <c r="I9496">
        <f>1/(COUNT(SimData5000!$B$9:$B$5008)-1)+$I$9495</f>
        <v>0.89757951590311369</v>
      </c>
      <c r="J9496">
        <f>SMALL(SimData5000!$C$9:$C$5008,4488)</f>
        <v>0.90130951777337032</v>
      </c>
      <c r="K9496">
        <f>1/(COUNT(SimData5000!$C$9:$C$5008)-1)+$K$9495</f>
        <v>0.89757951590311369</v>
      </c>
    </row>
    <row r="9497" spans="8:11">
      <c r="H9497">
        <f>SMALL(SimData5000!$B$9:$B$5008,4489)</f>
        <v>0.8976015095324259</v>
      </c>
      <c r="I9497">
        <f>1/(COUNT(SimData5000!$B$9:$B$5008)-1)+$I$9496</f>
        <v>0.89777955591111525</v>
      </c>
      <c r="J9497">
        <f>SMALL(SimData5000!$C$9:$C$5008,4489)</f>
        <v>0.90150177351824823</v>
      </c>
      <c r="K9497">
        <f>1/(COUNT(SimData5000!$C$9:$C$5008)-1)+$K$9496</f>
        <v>0.89777955591111525</v>
      </c>
    </row>
    <row r="9498" spans="8:11">
      <c r="H9498">
        <f>SMALL(SimData5000!$B$9:$B$5008,4490)</f>
        <v>0.89799316585273314</v>
      </c>
      <c r="I9498">
        <f>1/(COUNT(SimData5000!$B$9:$B$5008)-1)+$I$9497</f>
        <v>0.8979795959191168</v>
      </c>
      <c r="J9498">
        <f>SMALL(SimData5000!$C$9:$C$5008,4490)</f>
        <v>0.90155395252622839</v>
      </c>
      <c r="K9498">
        <f>1/(COUNT(SimData5000!$C$9:$C$5008)-1)+$K$9497</f>
        <v>0.8979795959191168</v>
      </c>
    </row>
    <row r="9499" spans="8:11">
      <c r="H9499">
        <f>SMALL(SimData5000!$B$9:$B$5008,4491)</f>
        <v>0.89817875537531888</v>
      </c>
      <c r="I9499">
        <f>1/(COUNT(SimData5000!$B$9:$B$5008)-1)+$I$9498</f>
        <v>0.89817963592711836</v>
      </c>
      <c r="J9499">
        <f>SMALL(SimData5000!$C$9:$C$5008,4491)</f>
        <v>0.90224984613632842</v>
      </c>
      <c r="K9499">
        <f>1/(COUNT(SimData5000!$C$9:$C$5008)-1)+$K$9498</f>
        <v>0.89817963592711836</v>
      </c>
    </row>
    <row r="9500" spans="8:11">
      <c r="H9500">
        <f>SMALL(SimData5000!$B$9:$B$5008,4492)</f>
        <v>0.89824172405042724</v>
      </c>
      <c r="I9500">
        <f>1/(COUNT(SimData5000!$B$9:$B$5008)-1)+$I$9499</f>
        <v>0.89837967593511991</v>
      </c>
      <c r="J9500">
        <f>SMALL(SimData5000!$C$9:$C$5008,4492)</f>
        <v>0.90238740103359305</v>
      </c>
      <c r="K9500">
        <f>1/(COUNT(SimData5000!$C$9:$C$5008)-1)+$K$9499</f>
        <v>0.89837967593511991</v>
      </c>
    </row>
    <row r="9501" spans="8:11">
      <c r="H9501">
        <f>SMALL(SimData5000!$B$9:$B$5008,4493)</f>
        <v>0.89853625383529256</v>
      </c>
      <c r="I9501">
        <f>1/(COUNT(SimData5000!$B$9:$B$5008)-1)+$I$9500</f>
        <v>0.89857971594312147</v>
      </c>
      <c r="J9501">
        <f>SMALL(SimData5000!$C$9:$C$5008,4493)</f>
        <v>0.90248945749681297</v>
      </c>
      <c r="K9501">
        <f>1/(COUNT(SimData5000!$C$9:$C$5008)-1)+$K$9500</f>
        <v>0.89857971594312147</v>
      </c>
    </row>
    <row r="9502" spans="8:11">
      <c r="H9502">
        <f>SMALL(SimData5000!$B$9:$B$5008,4494)</f>
        <v>0.89879343150467461</v>
      </c>
      <c r="I9502">
        <f>1/(COUNT(SimData5000!$B$9:$B$5008)-1)+$I$9501</f>
        <v>0.89877975595112303</v>
      </c>
      <c r="J9502">
        <f>SMALL(SimData5000!$C$9:$C$5008,4494)</f>
        <v>0.90252239667825052</v>
      </c>
      <c r="K9502">
        <f>1/(COUNT(SimData5000!$C$9:$C$5008)-1)+$K$9501</f>
        <v>0.89877975595112303</v>
      </c>
    </row>
    <row r="9503" spans="8:11">
      <c r="H9503">
        <f>SMALL(SimData5000!$B$9:$B$5008,4495)</f>
        <v>0.89880946379997984</v>
      </c>
      <c r="I9503">
        <f>1/(COUNT(SimData5000!$B$9:$B$5008)-1)+$I$9502</f>
        <v>0.89897979595912458</v>
      </c>
      <c r="J9503">
        <f>SMALL(SimData5000!$C$9:$C$5008,4495)</f>
        <v>0.90292142655653151</v>
      </c>
      <c r="K9503">
        <f>1/(COUNT(SimData5000!$C$9:$C$5008)-1)+$K$9502</f>
        <v>0.89897979595912458</v>
      </c>
    </row>
    <row r="9504" spans="8:11">
      <c r="H9504">
        <f>SMALL(SimData5000!$B$9:$B$5008,4496)</f>
        <v>0.89904496720634519</v>
      </c>
      <c r="I9504">
        <f>1/(COUNT(SimData5000!$B$9:$B$5008)-1)+$I$9503</f>
        <v>0.89917983596712614</v>
      </c>
      <c r="J9504">
        <f>SMALL(SimData5000!$C$9:$C$5008,4496)</f>
        <v>0.90318218780703319</v>
      </c>
      <c r="K9504">
        <f>1/(COUNT(SimData5000!$C$9:$C$5008)-1)+$K$9503</f>
        <v>0.89917983596712614</v>
      </c>
    </row>
    <row r="9505" spans="8:11">
      <c r="H9505">
        <f>SMALL(SimData5000!$B$9:$B$5008,4497)</f>
        <v>0.89923921319046962</v>
      </c>
      <c r="I9505">
        <f>1/(COUNT(SimData5000!$B$9:$B$5008)-1)+$I$9504</f>
        <v>0.8993798759751277</v>
      </c>
      <c r="J9505">
        <f>SMALL(SimData5000!$C$9:$C$5008,4497)</f>
        <v>0.90353725151453546</v>
      </c>
      <c r="K9505">
        <f>1/(COUNT(SimData5000!$C$9:$C$5008)-1)+$K$9504</f>
        <v>0.8993798759751277</v>
      </c>
    </row>
    <row r="9506" spans="8:11">
      <c r="H9506">
        <f>SMALL(SimData5000!$B$9:$B$5008,4498)</f>
        <v>0.89941800374291325</v>
      </c>
      <c r="I9506">
        <f>1/(COUNT(SimData5000!$B$9:$B$5008)-1)+$I$9505</f>
        <v>0.89957991598312925</v>
      </c>
      <c r="J9506">
        <f>SMALL(SimData5000!$C$9:$C$5008,4498)</f>
        <v>0.90360405226238072</v>
      </c>
      <c r="K9506">
        <f>1/(COUNT(SimData5000!$C$9:$C$5008)-1)+$K$9505</f>
        <v>0.89957991598312925</v>
      </c>
    </row>
    <row r="9507" spans="8:11">
      <c r="H9507">
        <f>SMALL(SimData5000!$B$9:$B$5008,4499)</f>
        <v>0.89978503151526334</v>
      </c>
      <c r="I9507">
        <f>1/(COUNT(SimData5000!$B$9:$B$5008)-1)+$I$9506</f>
        <v>0.89977995599113081</v>
      </c>
      <c r="J9507">
        <f>SMALL(SimData5000!$C$9:$C$5008,4499)</f>
        <v>0.90363537016128248</v>
      </c>
      <c r="K9507">
        <f>1/(COUNT(SimData5000!$C$9:$C$5008)-1)+$K$9506</f>
        <v>0.89977995599113081</v>
      </c>
    </row>
    <row r="9508" spans="8:11">
      <c r="H9508">
        <f>SMALL(SimData5000!$B$9:$B$5008,4500)</f>
        <v>0.89998741616522604</v>
      </c>
      <c r="I9508">
        <f>1/(COUNT(SimData5000!$B$9:$B$5008)-1)+$I$9507</f>
        <v>0.89997999599913237</v>
      </c>
      <c r="J9508">
        <f>SMALL(SimData5000!$C$9:$C$5008,4500)</f>
        <v>0.90374200857331743</v>
      </c>
      <c r="K9508">
        <f>1/(COUNT(SimData5000!$C$9:$C$5008)-1)+$K$9507</f>
        <v>0.89997999599913237</v>
      </c>
    </row>
    <row r="9509" spans="8:11">
      <c r="H9509">
        <f>SMALL(SimData5000!$B$9:$B$5008,4501)</f>
        <v>0.90002878964185451</v>
      </c>
      <c r="I9509">
        <f>1/(COUNT(SimData5000!$B$9:$B$5008)-1)+$I$9508</f>
        <v>0.90018003600713392</v>
      </c>
      <c r="J9509">
        <f>SMALL(SimData5000!$C$9:$C$5008,4501)</f>
        <v>0.90414205515298818</v>
      </c>
      <c r="K9509">
        <f>1/(COUNT(SimData5000!$C$9:$C$5008)-1)+$K$9508</f>
        <v>0.90018003600713392</v>
      </c>
    </row>
    <row r="9510" spans="8:11">
      <c r="H9510">
        <f>SMALL(SimData5000!$B$9:$B$5008,4502)</f>
        <v>0.9003858358164285</v>
      </c>
      <c r="I9510">
        <f>1/(COUNT(SimData5000!$B$9:$B$5008)-1)+$I$9509</f>
        <v>0.90038007601513548</v>
      </c>
      <c r="J9510">
        <f>SMALL(SimData5000!$C$9:$C$5008,4502)</f>
        <v>0.90443681092801853</v>
      </c>
      <c r="K9510">
        <f>1/(COUNT(SimData5000!$C$9:$C$5008)-1)+$K$9509</f>
        <v>0.90038007601513548</v>
      </c>
    </row>
    <row r="9511" spans="8:11">
      <c r="H9511">
        <f>SMALL(SimData5000!$B$9:$B$5008,4503)</f>
        <v>0.90047012298569784</v>
      </c>
      <c r="I9511">
        <f>1/(COUNT(SimData5000!$B$9:$B$5008)-1)+$I$9510</f>
        <v>0.90058011602313703</v>
      </c>
      <c r="J9511">
        <f>SMALL(SimData5000!$C$9:$C$5008,4503)</f>
        <v>0.90479186506763654</v>
      </c>
      <c r="K9511">
        <f>1/(COUNT(SimData5000!$C$9:$C$5008)-1)+$K$9510</f>
        <v>0.90058011602313703</v>
      </c>
    </row>
    <row r="9512" spans="8:11">
      <c r="H9512">
        <f>SMALL(SimData5000!$B$9:$B$5008,4504)</f>
        <v>0.90077624389598532</v>
      </c>
      <c r="I9512">
        <f>1/(COUNT(SimData5000!$B$9:$B$5008)-1)+$I$9511</f>
        <v>0.90078015603113859</v>
      </c>
      <c r="J9512">
        <f>SMALL(SimData5000!$C$9:$C$5008,4504)</f>
        <v>0.90479597934972844</v>
      </c>
      <c r="K9512">
        <f>1/(COUNT(SimData5000!$C$9:$C$5008)-1)+$K$9511</f>
        <v>0.90078015603113859</v>
      </c>
    </row>
    <row r="9513" spans="8:11">
      <c r="H9513">
        <f>SMALL(SimData5000!$B$9:$B$5008,4505)</f>
        <v>0.90098242378769977</v>
      </c>
      <c r="I9513">
        <f>1/(COUNT(SimData5000!$B$9:$B$5008)-1)+$I$9512</f>
        <v>0.90098019603914015</v>
      </c>
      <c r="J9513">
        <f>SMALL(SimData5000!$C$9:$C$5008,4505)</f>
        <v>0.90482524215349258</v>
      </c>
      <c r="K9513">
        <f>1/(COUNT(SimData5000!$C$9:$C$5008)-1)+$K$9512</f>
        <v>0.90098019603914015</v>
      </c>
    </row>
    <row r="9514" spans="8:11">
      <c r="H9514">
        <f>SMALL(SimData5000!$B$9:$B$5008,4506)</f>
        <v>0.90107180522551567</v>
      </c>
      <c r="I9514">
        <f>1/(COUNT(SimData5000!$B$9:$B$5008)-1)+$I$9513</f>
        <v>0.9011802360471417</v>
      </c>
      <c r="J9514">
        <f>SMALL(SimData5000!$C$9:$C$5008,4506)</f>
        <v>0.90486519771820895</v>
      </c>
      <c r="K9514">
        <f>1/(COUNT(SimData5000!$C$9:$C$5008)-1)+$K$9513</f>
        <v>0.9011802360471417</v>
      </c>
    </row>
    <row r="9515" spans="8:11">
      <c r="H9515">
        <f>SMALL(SimData5000!$B$9:$B$5008,4507)</f>
        <v>0.90136147052467841</v>
      </c>
      <c r="I9515">
        <f>1/(COUNT(SimData5000!$B$9:$B$5008)-1)+$I$9514</f>
        <v>0.90138027605514326</v>
      </c>
      <c r="J9515">
        <f>SMALL(SimData5000!$C$9:$C$5008,4507)</f>
        <v>0.904865826070818</v>
      </c>
      <c r="K9515">
        <f>1/(COUNT(SimData5000!$C$9:$C$5008)-1)+$K$9514</f>
        <v>0.90138027605514326</v>
      </c>
    </row>
    <row r="9516" spans="8:11">
      <c r="H9516">
        <f>SMALL(SimData5000!$B$9:$B$5008,4508)</f>
        <v>0.90156118446778533</v>
      </c>
      <c r="I9516">
        <f>1/(COUNT(SimData5000!$B$9:$B$5008)-1)+$I$9515</f>
        <v>0.90158031606314482</v>
      </c>
      <c r="J9516">
        <f>SMALL(SimData5000!$C$9:$C$5008,4508)</f>
        <v>0.90521601640557492</v>
      </c>
      <c r="K9516">
        <f>1/(COUNT(SimData5000!$C$9:$C$5008)-1)+$K$9515</f>
        <v>0.90158031606314482</v>
      </c>
    </row>
    <row r="9517" spans="8:11">
      <c r="H9517">
        <f>SMALL(SimData5000!$B$9:$B$5008,4509)</f>
        <v>0.90178065316271516</v>
      </c>
      <c r="I9517">
        <f>1/(COUNT(SimData5000!$B$9:$B$5008)-1)+$I$9516</f>
        <v>0.90178035607114637</v>
      </c>
      <c r="J9517">
        <f>SMALL(SimData5000!$C$9:$C$5008,4509)</f>
        <v>0.90546598338096373</v>
      </c>
      <c r="K9517">
        <f>1/(COUNT(SimData5000!$C$9:$C$5008)-1)+$K$9516</f>
        <v>0.90178035607114637</v>
      </c>
    </row>
    <row r="9518" spans="8:11">
      <c r="H9518">
        <f>SMALL(SimData5000!$B$9:$B$5008,4510)</f>
        <v>0.90199305040542799</v>
      </c>
      <c r="I9518">
        <f>1/(COUNT(SimData5000!$B$9:$B$5008)-1)+$I$9517</f>
        <v>0.90198039607914793</v>
      </c>
      <c r="J9518">
        <f>SMALL(SimData5000!$C$9:$C$5008,4510)</f>
        <v>0.90585237600862456</v>
      </c>
      <c r="K9518">
        <f>1/(COUNT(SimData5000!$C$9:$C$5008)-1)+$K$9517</f>
        <v>0.90198039607914793</v>
      </c>
    </row>
    <row r="9519" spans="8:11">
      <c r="H9519">
        <f>SMALL(SimData5000!$B$9:$B$5008,4511)</f>
        <v>0.90208840383069777</v>
      </c>
      <c r="I9519">
        <f>1/(COUNT(SimData5000!$B$9:$B$5008)-1)+$I$9518</f>
        <v>0.90218043608714948</v>
      </c>
      <c r="J9519">
        <f>SMALL(SimData5000!$C$9:$C$5008,4511)</f>
        <v>0.90613333286000852</v>
      </c>
      <c r="K9519">
        <f>1/(COUNT(SimData5000!$C$9:$C$5008)-1)+$K$9518</f>
        <v>0.90218043608714948</v>
      </c>
    </row>
    <row r="9520" spans="8:11">
      <c r="H9520">
        <f>SMALL(SimData5000!$B$9:$B$5008,4512)</f>
        <v>0.90232192107581577</v>
      </c>
      <c r="I9520">
        <f>1/(COUNT(SimData5000!$B$9:$B$5008)-1)+$I$9519</f>
        <v>0.90238047609515104</v>
      </c>
      <c r="J9520">
        <f>SMALL(SimData5000!$C$9:$C$5008,4512)</f>
        <v>0.9061474699728933</v>
      </c>
      <c r="K9520">
        <f>1/(COUNT(SimData5000!$C$9:$C$5008)-1)+$K$9519</f>
        <v>0.90238047609515104</v>
      </c>
    </row>
    <row r="9521" spans="8:11">
      <c r="H9521">
        <f>SMALL(SimData5000!$B$9:$B$5008,4513)</f>
        <v>0.90244652786172153</v>
      </c>
      <c r="I9521">
        <f>1/(COUNT(SimData5000!$B$9:$B$5008)-1)+$I$9520</f>
        <v>0.9025805161031526</v>
      </c>
      <c r="J9521">
        <f>SMALL(SimData5000!$C$9:$C$5008,4513)</f>
        <v>0.90622363075999601</v>
      </c>
      <c r="K9521">
        <f>1/(COUNT(SimData5000!$C$9:$C$5008)-1)+$K$9520</f>
        <v>0.9025805161031526</v>
      </c>
    </row>
    <row r="9522" spans="8:11">
      <c r="H9522">
        <f>SMALL(SimData5000!$B$9:$B$5008,4514)</f>
        <v>0.9027476790923038</v>
      </c>
      <c r="I9522">
        <f>1/(COUNT(SimData5000!$B$9:$B$5008)-1)+$I$9521</f>
        <v>0.90278055611115415</v>
      </c>
      <c r="J9522">
        <f>SMALL(SimData5000!$C$9:$C$5008,4514)</f>
        <v>0.9062540479017116</v>
      </c>
      <c r="K9522">
        <f>1/(COUNT(SimData5000!$C$9:$C$5008)-1)+$K$9521</f>
        <v>0.90278055611115415</v>
      </c>
    </row>
    <row r="9523" spans="8:11">
      <c r="H9523">
        <f>SMALL(SimData5000!$B$9:$B$5008,4515)</f>
        <v>0.90297111388537354</v>
      </c>
      <c r="I9523">
        <f>1/(COUNT(SimData5000!$B$9:$B$5008)-1)+$I$9522</f>
        <v>0.90298059611915571</v>
      </c>
      <c r="J9523">
        <f>SMALL(SimData5000!$C$9:$C$5008,4515)</f>
        <v>0.90626606890236872</v>
      </c>
      <c r="K9523">
        <f>1/(COUNT(SimData5000!$C$9:$C$5008)-1)+$K$9522</f>
        <v>0.90298059611915571</v>
      </c>
    </row>
    <row r="9524" spans="8:11">
      <c r="H9524">
        <f>SMALL(SimData5000!$B$9:$B$5008,4516)</f>
        <v>0.90302174599520435</v>
      </c>
      <c r="I9524">
        <f>1/(COUNT(SimData5000!$B$9:$B$5008)-1)+$I$9523</f>
        <v>0.90318063612715727</v>
      </c>
      <c r="J9524">
        <f>SMALL(SimData5000!$C$9:$C$5008,4516)</f>
        <v>0.90641666150440869</v>
      </c>
      <c r="K9524">
        <f>1/(COUNT(SimData5000!$C$9:$C$5008)-1)+$K$9523</f>
        <v>0.90318063612715727</v>
      </c>
    </row>
    <row r="9525" spans="8:11">
      <c r="H9525">
        <f>SMALL(SimData5000!$B$9:$B$5008,4517)</f>
        <v>0.90322597243828373</v>
      </c>
      <c r="I9525">
        <f>1/(COUNT(SimData5000!$B$9:$B$5008)-1)+$I$9524</f>
        <v>0.90338067613515882</v>
      </c>
      <c r="J9525">
        <f>SMALL(SimData5000!$C$9:$C$5008,4517)</f>
        <v>0.90658020792034222</v>
      </c>
      <c r="K9525">
        <f>1/(COUNT(SimData5000!$C$9:$C$5008)-1)+$K$9524</f>
        <v>0.90338067613515882</v>
      </c>
    </row>
    <row r="9526" spans="8:11">
      <c r="H9526">
        <f>SMALL(SimData5000!$B$9:$B$5008,4518)</f>
        <v>0.90352145902172687</v>
      </c>
      <c r="I9526">
        <f>1/(COUNT(SimData5000!$B$9:$B$5008)-1)+$I$9525</f>
        <v>0.90358071614316038</v>
      </c>
      <c r="J9526">
        <f>SMALL(SimData5000!$C$9:$C$5008,4518)</f>
        <v>0.9068860897596096</v>
      </c>
      <c r="K9526">
        <f>1/(COUNT(SimData5000!$C$9:$C$5008)-1)+$K$9525</f>
        <v>0.90358071614316038</v>
      </c>
    </row>
    <row r="9527" spans="8:11">
      <c r="H9527">
        <f>SMALL(SimData5000!$B$9:$B$5008,4519)</f>
        <v>0.90377527351169262</v>
      </c>
      <c r="I9527">
        <f>1/(COUNT(SimData5000!$B$9:$B$5008)-1)+$I$9526</f>
        <v>0.90378075615116193</v>
      </c>
      <c r="J9527">
        <f>SMALL(SimData5000!$C$9:$C$5008,4519)</f>
        <v>0.90747985808775411</v>
      </c>
      <c r="K9527">
        <f>1/(COUNT(SimData5000!$C$9:$C$5008)-1)+$K$9526</f>
        <v>0.90378075615116193</v>
      </c>
    </row>
    <row r="9528" spans="8:11">
      <c r="H9528">
        <f>SMALL(SimData5000!$B$9:$B$5008,4520)</f>
        <v>0.90392798064405289</v>
      </c>
      <c r="I9528">
        <f>1/(COUNT(SimData5000!$B$9:$B$5008)-1)+$I$9527</f>
        <v>0.90398079615916349</v>
      </c>
      <c r="J9528">
        <f>SMALL(SimData5000!$C$9:$C$5008,4520)</f>
        <v>0.90762163469207735</v>
      </c>
      <c r="K9528">
        <f>1/(COUNT(SimData5000!$C$9:$C$5008)-1)+$K$9527</f>
        <v>0.90398079615916349</v>
      </c>
    </row>
    <row r="9529" spans="8:11">
      <c r="H9529">
        <f>SMALL(SimData5000!$B$9:$B$5008,4521)</f>
        <v>0.90408840710229432</v>
      </c>
      <c r="I9529">
        <f>1/(COUNT(SimData5000!$B$9:$B$5008)-1)+$I$9528</f>
        <v>0.90418083616716505</v>
      </c>
      <c r="J9529">
        <f>SMALL(SimData5000!$C$9:$C$5008,4521)</f>
        <v>0.90767952686746867</v>
      </c>
      <c r="K9529">
        <f>1/(COUNT(SimData5000!$C$9:$C$5008)-1)+$K$9528</f>
        <v>0.90418083616716505</v>
      </c>
    </row>
    <row r="9530" spans="8:11">
      <c r="H9530">
        <f>SMALL(SimData5000!$B$9:$B$5008,4522)</f>
        <v>0.90436414767004647</v>
      </c>
      <c r="I9530">
        <f>1/(COUNT(SimData5000!$B$9:$B$5008)-1)+$I$9529</f>
        <v>0.9043808761751666</v>
      </c>
      <c r="J9530">
        <f>SMALL(SimData5000!$C$9:$C$5008,4522)</f>
        <v>0.90786609158476494</v>
      </c>
      <c r="K9530">
        <f>1/(COUNT(SimData5000!$C$9:$C$5008)-1)+$K$9529</f>
        <v>0.9043808761751666</v>
      </c>
    </row>
    <row r="9531" spans="8:11">
      <c r="H9531">
        <f>SMALL(SimData5000!$B$9:$B$5008,4523)</f>
        <v>0.90447940888117995</v>
      </c>
      <c r="I9531">
        <f>1/(COUNT(SimData5000!$B$9:$B$5008)-1)+$I$9530</f>
        <v>0.90458091618316816</v>
      </c>
      <c r="J9531">
        <f>SMALL(SimData5000!$C$9:$C$5008,4523)</f>
        <v>0.90848906923838513</v>
      </c>
      <c r="K9531">
        <f>1/(COUNT(SimData5000!$C$9:$C$5008)-1)+$K$9530</f>
        <v>0.90458091618316816</v>
      </c>
    </row>
    <row r="9532" spans="8:11">
      <c r="H9532">
        <f>SMALL(SimData5000!$B$9:$B$5008,4524)</f>
        <v>0.90460068606152222</v>
      </c>
      <c r="I9532">
        <f>1/(COUNT(SimData5000!$B$9:$B$5008)-1)+$I$9531</f>
        <v>0.90478095619116972</v>
      </c>
      <c r="J9532">
        <f>SMALL(SimData5000!$C$9:$C$5008,4524)</f>
        <v>0.90863461580920557</v>
      </c>
      <c r="K9532">
        <f>1/(COUNT(SimData5000!$C$9:$C$5008)-1)+$K$9531</f>
        <v>0.90478095619116972</v>
      </c>
    </row>
    <row r="9533" spans="8:11">
      <c r="H9533">
        <f>SMALL(SimData5000!$B$9:$B$5008,4525)</f>
        <v>0.90489561506241911</v>
      </c>
      <c r="I9533">
        <f>1/(COUNT(SimData5000!$B$9:$B$5008)-1)+$I$9532</f>
        <v>0.90498099619917127</v>
      </c>
      <c r="J9533">
        <f>SMALL(SimData5000!$C$9:$C$5008,4525)</f>
        <v>0.90891859238581674</v>
      </c>
      <c r="K9533">
        <f>1/(COUNT(SimData5000!$C$9:$C$5008)-1)+$K$9532</f>
        <v>0.90498099619917127</v>
      </c>
    </row>
    <row r="9534" spans="8:11">
      <c r="H9534">
        <f>SMALL(SimData5000!$B$9:$B$5008,4526)</f>
        <v>0.90516521243843362</v>
      </c>
      <c r="I9534">
        <f>1/(COUNT(SimData5000!$B$9:$B$5008)-1)+$I$9533</f>
        <v>0.90518103620717283</v>
      </c>
      <c r="J9534">
        <f>SMALL(SimData5000!$C$9:$C$5008,4526)</f>
        <v>0.9090011881544342</v>
      </c>
      <c r="K9534">
        <f>1/(COUNT(SimData5000!$C$9:$C$5008)-1)+$K$9533</f>
        <v>0.90518103620717283</v>
      </c>
    </row>
    <row r="9535" spans="8:11">
      <c r="H9535">
        <f>SMALL(SimData5000!$B$9:$B$5008,4527)</f>
        <v>0.90523907904174161</v>
      </c>
      <c r="I9535">
        <f>1/(COUNT(SimData5000!$B$9:$B$5008)-1)+$I$9534</f>
        <v>0.90538107621517439</v>
      </c>
      <c r="J9535">
        <f>SMALL(SimData5000!$C$9:$C$5008,4527)</f>
        <v>0.90912773731179186</v>
      </c>
      <c r="K9535">
        <f>1/(COUNT(SimData5000!$C$9:$C$5008)-1)+$K$9534</f>
        <v>0.90538107621517439</v>
      </c>
    </row>
    <row r="9536" spans="8:11">
      <c r="H9536">
        <f>SMALL(SimData5000!$B$9:$B$5008,4528)</f>
        <v>0.90542848320138369</v>
      </c>
      <c r="I9536">
        <f>1/(COUNT(SimData5000!$B$9:$B$5008)-1)+$I$9535</f>
        <v>0.90558111622317594</v>
      </c>
      <c r="J9536">
        <f>SMALL(SimData5000!$C$9:$C$5008,4528)</f>
        <v>0.90921413874275459</v>
      </c>
      <c r="K9536">
        <f>1/(COUNT(SimData5000!$C$9:$C$5008)-1)+$K$9535</f>
        <v>0.90558111622317594</v>
      </c>
    </row>
    <row r="9537" spans="8:11">
      <c r="H9537">
        <f>SMALL(SimData5000!$B$9:$B$5008,4529)</f>
        <v>0.90566782262755274</v>
      </c>
      <c r="I9537">
        <f>1/(COUNT(SimData5000!$B$9:$B$5008)-1)+$I$9536</f>
        <v>0.9057811562311775</v>
      </c>
      <c r="J9537">
        <f>SMALL(SimData5000!$C$9:$C$5008,4529)</f>
        <v>0.90924961699874984</v>
      </c>
      <c r="K9537">
        <f>1/(COUNT(SimData5000!$C$9:$C$5008)-1)+$K$9536</f>
        <v>0.9057811562311775</v>
      </c>
    </row>
    <row r="9538" spans="8:11">
      <c r="H9538">
        <f>SMALL(SimData5000!$B$9:$B$5008,4530)</f>
        <v>0.90599122776570529</v>
      </c>
      <c r="I9538">
        <f>1/(COUNT(SimData5000!$B$9:$B$5008)-1)+$I$9537</f>
        <v>0.90598119623917905</v>
      </c>
      <c r="J9538">
        <f>SMALL(SimData5000!$C$9:$C$5008,4530)</f>
        <v>0.90944080290773854</v>
      </c>
      <c r="K9538">
        <f>1/(COUNT(SimData5000!$C$9:$C$5008)-1)+$K$9537</f>
        <v>0.90598119623917905</v>
      </c>
    </row>
    <row r="9539" spans="8:11">
      <c r="H9539">
        <f>SMALL(SimData5000!$B$9:$B$5008,4531)</f>
        <v>0.90601629110146698</v>
      </c>
      <c r="I9539">
        <f>1/(COUNT(SimData5000!$B$9:$B$5008)-1)+$I$9538</f>
        <v>0.90618123624718061</v>
      </c>
      <c r="J9539">
        <f>SMALL(SimData5000!$C$9:$C$5008,4531)</f>
        <v>0.90946217581767996</v>
      </c>
      <c r="K9539">
        <f>1/(COUNT(SimData5000!$C$9:$C$5008)-1)+$K$9538</f>
        <v>0.90618123624718061</v>
      </c>
    </row>
    <row r="9540" spans="8:11">
      <c r="H9540">
        <f>SMALL(SimData5000!$B$9:$B$5008,4532)</f>
        <v>0.90639892093385555</v>
      </c>
      <c r="I9540">
        <f>1/(COUNT(SimData5000!$B$9:$B$5008)-1)+$I$9539</f>
        <v>0.90638127625518217</v>
      </c>
      <c r="J9540">
        <f>SMALL(SimData5000!$C$9:$C$5008,4532)</f>
        <v>0.90953220799929113</v>
      </c>
      <c r="K9540">
        <f>1/(COUNT(SimData5000!$C$9:$C$5008)-1)+$K$9539</f>
        <v>0.90638127625518217</v>
      </c>
    </row>
    <row r="9541" spans="8:11">
      <c r="H9541">
        <f>SMALL(SimData5000!$B$9:$B$5008,4533)</f>
        <v>0.90648681709796342</v>
      </c>
      <c r="I9541">
        <f>1/(COUNT(SimData5000!$B$9:$B$5008)-1)+$I$9540</f>
        <v>0.90658131626318372</v>
      </c>
      <c r="J9541">
        <f>SMALL(SimData5000!$C$9:$C$5008,4533)</f>
        <v>0.9098326800221912</v>
      </c>
      <c r="K9541">
        <f>1/(COUNT(SimData5000!$C$9:$C$5008)-1)+$K$9540</f>
        <v>0.90658131626318372</v>
      </c>
    </row>
    <row r="9542" spans="8:11">
      <c r="H9542">
        <f>SMALL(SimData5000!$B$9:$B$5008,4534)</f>
        <v>0.90675461237839294</v>
      </c>
      <c r="I9542">
        <f>1/(COUNT(SimData5000!$B$9:$B$5008)-1)+$I$9541</f>
        <v>0.90678135627118528</v>
      </c>
      <c r="J9542">
        <f>SMALL(SimData5000!$C$9:$C$5008,4534)</f>
        <v>0.91034748071342619</v>
      </c>
      <c r="K9542">
        <f>1/(COUNT(SimData5000!$C$9:$C$5008)-1)+$K$9541</f>
        <v>0.90678135627118528</v>
      </c>
    </row>
    <row r="9543" spans="8:11">
      <c r="H9543">
        <f>SMALL(SimData5000!$B$9:$B$5008,4535)</f>
        <v>0.90688703306333318</v>
      </c>
      <c r="I9543">
        <f>1/(COUNT(SimData5000!$B$9:$B$5008)-1)+$I$9542</f>
        <v>0.90698139627918684</v>
      </c>
      <c r="J9543">
        <f>SMALL(SimData5000!$C$9:$C$5008,4535)</f>
        <v>0.91047988374248234</v>
      </c>
      <c r="K9543">
        <f>1/(COUNT(SimData5000!$C$9:$C$5008)-1)+$K$9542</f>
        <v>0.90698139627918684</v>
      </c>
    </row>
    <row r="9544" spans="8:11">
      <c r="H9544">
        <f>SMALL(SimData5000!$B$9:$B$5008,4536)</f>
        <v>0.9071453922298609</v>
      </c>
      <c r="I9544">
        <f>1/(COUNT(SimData5000!$B$9:$B$5008)-1)+$I$9543</f>
        <v>0.90718143628718839</v>
      </c>
      <c r="J9544">
        <f>SMALL(SimData5000!$C$9:$C$5008,4536)</f>
        <v>0.91055817392316385</v>
      </c>
      <c r="K9544">
        <f>1/(COUNT(SimData5000!$C$9:$C$5008)-1)+$K$9543</f>
        <v>0.90718143628718839</v>
      </c>
    </row>
    <row r="9545" spans="8:11">
      <c r="H9545">
        <f>SMALL(SimData5000!$B$9:$B$5008,4537)</f>
        <v>0.90730955447957606</v>
      </c>
      <c r="I9545">
        <f>1/(COUNT(SimData5000!$B$9:$B$5008)-1)+$I$9544</f>
        <v>0.90738147629518995</v>
      </c>
      <c r="J9545">
        <f>SMALL(SimData5000!$C$9:$C$5008,4537)</f>
        <v>0.91088191115977679</v>
      </c>
      <c r="K9545">
        <f>1/(COUNT(SimData5000!$C$9:$C$5008)-1)+$K$9544</f>
        <v>0.90738147629518995</v>
      </c>
    </row>
    <row r="9546" spans="8:11">
      <c r="H9546">
        <f>SMALL(SimData5000!$B$9:$B$5008,4538)</f>
        <v>0.90751183084876086</v>
      </c>
      <c r="I9546">
        <f>1/(COUNT(SimData5000!$B$9:$B$5008)-1)+$I$9545</f>
        <v>0.9075815163031915</v>
      </c>
      <c r="J9546">
        <f>SMALL(SimData5000!$C$9:$C$5008,4538)</f>
        <v>0.91098921374577913</v>
      </c>
      <c r="K9546">
        <f>1/(COUNT(SimData5000!$C$9:$C$5008)-1)+$K$9545</f>
        <v>0.9075815163031915</v>
      </c>
    </row>
    <row r="9547" spans="8:11">
      <c r="H9547">
        <f>SMALL(SimData5000!$B$9:$B$5008,4539)</f>
        <v>0.90761347039626294</v>
      </c>
      <c r="I9547">
        <f>1/(COUNT(SimData5000!$B$9:$B$5008)-1)+$I$9546</f>
        <v>0.90778155631119306</v>
      </c>
      <c r="J9547">
        <f>SMALL(SimData5000!$C$9:$C$5008,4539)</f>
        <v>0.91118276783527108</v>
      </c>
      <c r="K9547">
        <f>1/(COUNT(SimData5000!$C$9:$C$5008)-1)+$K$9546</f>
        <v>0.90778155631119306</v>
      </c>
    </row>
    <row r="9548" spans="8:11">
      <c r="H9548">
        <f>SMALL(SimData5000!$B$9:$B$5008,4540)</f>
        <v>0.907867626476909</v>
      </c>
      <c r="I9548">
        <f>1/(COUNT(SimData5000!$B$9:$B$5008)-1)+$I$9547</f>
        <v>0.90798159631919462</v>
      </c>
      <c r="J9548">
        <f>SMALL(SimData5000!$C$9:$C$5008,4540)</f>
        <v>0.91124609436155879</v>
      </c>
      <c r="K9548">
        <f>1/(COUNT(SimData5000!$C$9:$C$5008)-1)+$K$9547</f>
        <v>0.90798159631919462</v>
      </c>
    </row>
    <row r="9549" spans="8:11">
      <c r="H9549">
        <f>SMALL(SimData5000!$B$9:$B$5008,4541)</f>
        <v>0.90819209614242247</v>
      </c>
      <c r="I9549">
        <f>1/(COUNT(SimData5000!$B$9:$B$5008)-1)+$I$9548</f>
        <v>0.90818163632719617</v>
      </c>
      <c r="J9549">
        <f>SMALL(SimData5000!$C$9:$C$5008,4541)</f>
        <v>0.91137371008517221</v>
      </c>
      <c r="K9549">
        <f>1/(COUNT(SimData5000!$C$9:$C$5008)-1)+$K$9548</f>
        <v>0.90818163632719617</v>
      </c>
    </row>
    <row r="9550" spans="8:11">
      <c r="H9550">
        <f>SMALL(SimData5000!$B$9:$B$5008,4542)</f>
        <v>0.90821235485622021</v>
      </c>
      <c r="I9550">
        <f>1/(COUNT(SimData5000!$B$9:$B$5008)-1)+$I$9549</f>
        <v>0.90838167633519773</v>
      </c>
      <c r="J9550">
        <f>SMALL(SimData5000!$C$9:$C$5008,4542)</f>
        <v>0.91145514694198937</v>
      </c>
      <c r="K9550">
        <f>1/(COUNT(SimData5000!$C$9:$C$5008)-1)+$K$9549</f>
        <v>0.90838167633519773</v>
      </c>
    </row>
    <row r="9551" spans="8:11">
      <c r="H9551">
        <f>SMALL(SimData5000!$B$9:$B$5008,4543)</f>
        <v>0.90855813669873353</v>
      </c>
      <c r="I9551">
        <f>1/(COUNT(SimData5000!$B$9:$B$5008)-1)+$I$9550</f>
        <v>0.90858171634319929</v>
      </c>
      <c r="J9551">
        <f>SMALL(SimData5000!$C$9:$C$5008,4543)</f>
        <v>0.91146562686299148</v>
      </c>
      <c r="K9551">
        <f>1/(COUNT(SimData5000!$C$9:$C$5008)-1)+$K$9550</f>
        <v>0.90858171634319929</v>
      </c>
    </row>
    <row r="9552" spans="8:11">
      <c r="H9552">
        <f>SMALL(SimData5000!$B$9:$B$5008,4544)</f>
        <v>0.90870062127995788</v>
      </c>
      <c r="I9552">
        <f>1/(COUNT(SimData5000!$B$9:$B$5008)-1)+$I$9551</f>
        <v>0.90878175635120084</v>
      </c>
      <c r="J9552">
        <f>SMALL(SimData5000!$C$9:$C$5008,4544)</f>
        <v>0.91150198863579135</v>
      </c>
      <c r="K9552">
        <f>1/(COUNT(SimData5000!$C$9:$C$5008)-1)+$K$9551</f>
        <v>0.90878175635120084</v>
      </c>
    </row>
    <row r="9553" spans="8:11">
      <c r="H9553">
        <f>SMALL(SimData5000!$B$9:$B$5008,4545)</f>
        <v>0.90891816014454652</v>
      </c>
      <c r="I9553">
        <f>1/(COUNT(SimData5000!$B$9:$B$5008)-1)+$I$9552</f>
        <v>0.9089817963592024</v>
      </c>
      <c r="J9553">
        <f>SMALL(SimData5000!$C$9:$C$5008,4545)</f>
        <v>0.91164632181971683</v>
      </c>
      <c r="K9553">
        <f>1/(COUNT(SimData5000!$C$9:$C$5008)-1)+$K$9552</f>
        <v>0.9089817963592024</v>
      </c>
    </row>
    <row r="9554" spans="8:11">
      <c r="H9554">
        <f>SMALL(SimData5000!$B$9:$B$5008,4546)</f>
        <v>0.90915547994746726</v>
      </c>
      <c r="I9554">
        <f>1/(COUNT(SimData5000!$B$9:$B$5008)-1)+$I$9553</f>
        <v>0.90918183636720395</v>
      </c>
      <c r="J9554">
        <f>SMALL(SimData5000!$C$9:$C$5008,4546)</f>
        <v>0.91169574584910151</v>
      </c>
      <c r="K9554">
        <f>1/(COUNT(SimData5000!$C$9:$C$5008)-1)+$K$9553</f>
        <v>0.90918183636720395</v>
      </c>
    </row>
    <row r="9555" spans="8:11">
      <c r="H9555">
        <f>SMALL(SimData5000!$B$9:$B$5008,4547)</f>
        <v>0.90936253362814023</v>
      </c>
      <c r="I9555">
        <f>1/(COUNT(SimData5000!$B$9:$B$5008)-1)+$I$9554</f>
        <v>0.90938187637520551</v>
      </c>
      <c r="J9555">
        <f>SMALL(SimData5000!$C$9:$C$5008,4547)</f>
        <v>0.91235208742000395</v>
      </c>
      <c r="K9555">
        <f>1/(COUNT(SimData5000!$C$9:$C$5008)-1)+$K$9554</f>
        <v>0.90938187637520551</v>
      </c>
    </row>
    <row r="9556" spans="8:11">
      <c r="H9556">
        <f>SMALL(SimData5000!$B$9:$B$5008,4548)</f>
        <v>0.90950422218584082</v>
      </c>
      <c r="I9556">
        <f>1/(COUNT(SimData5000!$B$9:$B$5008)-1)+$I$9555</f>
        <v>0.90958191638320707</v>
      </c>
      <c r="J9556">
        <f>SMALL(SimData5000!$C$9:$C$5008,4548)</f>
        <v>0.91242268682981376</v>
      </c>
      <c r="K9556">
        <f>1/(COUNT(SimData5000!$C$9:$C$5008)-1)+$K$9555</f>
        <v>0.90958191638320707</v>
      </c>
    </row>
    <row r="9557" spans="8:11">
      <c r="H9557">
        <f>SMALL(SimData5000!$B$9:$B$5008,4549)</f>
        <v>0.9097774580628093</v>
      </c>
      <c r="I9557">
        <f>1/(COUNT(SimData5000!$B$9:$B$5008)-1)+$I$9556</f>
        <v>0.90978195639120862</v>
      </c>
      <c r="J9557">
        <f>SMALL(SimData5000!$C$9:$C$5008,4549)</f>
        <v>0.91287334338812798</v>
      </c>
      <c r="K9557">
        <f>1/(COUNT(SimData5000!$C$9:$C$5008)-1)+$K$9556</f>
        <v>0.90978195639120862</v>
      </c>
    </row>
    <row r="9558" spans="8:11">
      <c r="H9558">
        <f>SMALL(SimData5000!$B$9:$B$5008,4550)</f>
        <v>0.90981603816906376</v>
      </c>
      <c r="I9558">
        <f>1/(COUNT(SimData5000!$B$9:$B$5008)-1)+$I$9557</f>
        <v>0.90998199639921018</v>
      </c>
      <c r="J9558">
        <f>SMALL(SimData5000!$C$9:$C$5008,4550)</f>
        <v>0.91294890455992572</v>
      </c>
      <c r="K9558">
        <f>1/(COUNT(SimData5000!$C$9:$C$5008)-1)+$K$9557</f>
        <v>0.90998199639921018</v>
      </c>
    </row>
    <row r="9559" spans="8:11">
      <c r="H9559">
        <f>SMALL(SimData5000!$B$9:$B$5008,4551)</f>
        <v>0.91006987370053993</v>
      </c>
      <c r="I9559">
        <f>1/(COUNT(SimData5000!$B$9:$B$5008)-1)+$I$9558</f>
        <v>0.91018203640721174</v>
      </c>
      <c r="J9559">
        <f>SMALL(SimData5000!$C$9:$C$5008,4551)</f>
        <v>0.9129741733068073</v>
      </c>
      <c r="K9559">
        <f>1/(COUNT(SimData5000!$C$9:$C$5008)-1)+$K$9558</f>
        <v>0.91018203640721174</v>
      </c>
    </row>
    <row r="9560" spans="8:11">
      <c r="H9560">
        <f>SMALL(SimData5000!$B$9:$B$5008,4552)</f>
        <v>0.91031061545100789</v>
      </c>
      <c r="I9560">
        <f>1/(COUNT(SimData5000!$B$9:$B$5008)-1)+$I$9559</f>
        <v>0.91038207641521329</v>
      </c>
      <c r="J9560">
        <f>SMALL(SimData5000!$C$9:$C$5008,4552)</f>
        <v>0.91304027003116062</v>
      </c>
      <c r="K9560">
        <f>1/(COUNT(SimData5000!$C$9:$C$5008)-1)+$K$9559</f>
        <v>0.91038207641521329</v>
      </c>
    </row>
    <row r="9561" spans="8:11">
      <c r="H9561">
        <f>SMALL(SimData5000!$B$9:$B$5008,4553)</f>
        <v>0.91055754151040635</v>
      </c>
      <c r="I9561">
        <f>1/(COUNT(SimData5000!$B$9:$B$5008)-1)+$I$9560</f>
        <v>0.91058211642321485</v>
      </c>
      <c r="J9561">
        <f>SMALL(SimData5000!$C$9:$C$5008,4553)</f>
        <v>0.91314125393728318</v>
      </c>
      <c r="K9561">
        <f>1/(COUNT(SimData5000!$C$9:$C$5008)-1)+$K$9560</f>
        <v>0.91058211642321485</v>
      </c>
    </row>
    <row r="9562" spans="8:11">
      <c r="H9562">
        <f>SMALL(SimData5000!$B$9:$B$5008,4554)</f>
        <v>0.91075838340971582</v>
      </c>
      <c r="I9562">
        <f>1/(COUNT(SimData5000!$B$9:$B$5008)-1)+$I$9561</f>
        <v>0.91078215643121641</v>
      </c>
      <c r="J9562">
        <f>SMALL(SimData5000!$C$9:$C$5008,4554)</f>
        <v>0.91315528263749002</v>
      </c>
      <c r="K9562">
        <f>1/(COUNT(SimData5000!$C$9:$C$5008)-1)+$K$9561</f>
        <v>0.91078215643121641</v>
      </c>
    </row>
    <row r="9563" spans="8:11">
      <c r="H9563">
        <f>SMALL(SimData5000!$B$9:$B$5008,4555)</f>
        <v>0.9108842385446384</v>
      </c>
      <c r="I9563">
        <f>1/(COUNT(SimData5000!$B$9:$B$5008)-1)+$I$9562</f>
        <v>0.91098219643921796</v>
      </c>
      <c r="J9563">
        <f>SMALL(SimData5000!$C$9:$C$5008,4555)</f>
        <v>0.91319929381461407</v>
      </c>
      <c r="K9563">
        <f>1/(COUNT(SimData5000!$C$9:$C$5008)-1)+$K$9562</f>
        <v>0.91098219643921796</v>
      </c>
    </row>
    <row r="9564" spans="8:11">
      <c r="H9564">
        <f>SMALL(SimData5000!$B$9:$B$5008,4556)</f>
        <v>0.9110621249241434</v>
      </c>
      <c r="I9564">
        <f>1/(COUNT(SimData5000!$B$9:$B$5008)-1)+$I$9563</f>
        <v>0.91118223644721952</v>
      </c>
      <c r="J9564">
        <f>SMALL(SimData5000!$C$9:$C$5008,4556)</f>
        <v>0.9134083706921956</v>
      </c>
      <c r="K9564">
        <f>1/(COUNT(SimData5000!$C$9:$C$5008)-1)+$K$9563</f>
        <v>0.91118223644721952</v>
      </c>
    </row>
    <row r="9565" spans="8:11">
      <c r="H9565">
        <f>SMALL(SimData5000!$B$9:$B$5008,4557)</f>
        <v>0.91139760411246629</v>
      </c>
      <c r="I9565">
        <f>1/(COUNT(SimData5000!$B$9:$B$5008)-1)+$I$9564</f>
        <v>0.91138227645522107</v>
      </c>
      <c r="J9565">
        <f>SMALL(SimData5000!$C$9:$C$5008,4557)</f>
        <v>0.9134604909859263</v>
      </c>
      <c r="K9565">
        <f>1/(COUNT(SimData5000!$C$9:$C$5008)-1)+$K$9564</f>
        <v>0.91138227645522107</v>
      </c>
    </row>
    <row r="9566" spans="8:11">
      <c r="H9566">
        <f>SMALL(SimData5000!$B$9:$B$5008,4558)</f>
        <v>0.9114496122080018</v>
      </c>
      <c r="I9566">
        <f>1/(COUNT(SimData5000!$B$9:$B$5008)-1)+$I$9565</f>
        <v>0.91158231646322263</v>
      </c>
      <c r="J9566">
        <f>SMALL(SimData5000!$C$9:$C$5008,4558)</f>
        <v>0.91348769820797315</v>
      </c>
      <c r="K9566">
        <f>1/(COUNT(SimData5000!$C$9:$C$5008)-1)+$K$9565</f>
        <v>0.91158231646322263</v>
      </c>
    </row>
    <row r="9567" spans="8:11">
      <c r="H9567">
        <f>SMALL(SimData5000!$B$9:$B$5008,4559)</f>
        <v>0.9117465972008526</v>
      </c>
      <c r="I9567">
        <f>1/(COUNT(SimData5000!$B$9:$B$5008)-1)+$I$9566</f>
        <v>0.91178235647122419</v>
      </c>
      <c r="J9567">
        <f>SMALL(SimData5000!$C$9:$C$5008,4559)</f>
        <v>0.91393451532803738</v>
      </c>
      <c r="K9567">
        <f>1/(COUNT(SimData5000!$C$9:$C$5008)-1)+$K$9566</f>
        <v>0.91178235647122419</v>
      </c>
    </row>
    <row r="9568" spans="8:11">
      <c r="H9568">
        <f>SMALL(SimData5000!$B$9:$B$5008,4560)</f>
        <v>0.91190029738422018</v>
      </c>
      <c r="I9568">
        <f>1/(COUNT(SimData5000!$B$9:$B$5008)-1)+$I$9567</f>
        <v>0.91198239647922574</v>
      </c>
      <c r="J9568">
        <f>SMALL(SimData5000!$C$9:$C$5008,4560)</f>
        <v>0.91422184523071337</v>
      </c>
      <c r="K9568">
        <f>1/(COUNT(SimData5000!$C$9:$C$5008)-1)+$K$9567</f>
        <v>0.91198239647922574</v>
      </c>
    </row>
    <row r="9569" spans="8:11">
      <c r="H9569">
        <f>SMALL(SimData5000!$B$9:$B$5008,4561)</f>
        <v>0.91200499943574065</v>
      </c>
      <c r="I9569">
        <f>1/(COUNT(SimData5000!$B$9:$B$5008)-1)+$I$9568</f>
        <v>0.9121824364872273</v>
      </c>
      <c r="J9569">
        <f>SMALL(SimData5000!$C$9:$C$5008,4561)</f>
        <v>0.91428970989818481</v>
      </c>
      <c r="K9569">
        <f>1/(COUNT(SimData5000!$C$9:$C$5008)-1)+$K$9568</f>
        <v>0.9121824364872273</v>
      </c>
    </row>
    <row r="9570" spans="8:11">
      <c r="H9570">
        <f>SMALL(SimData5000!$B$9:$B$5008,4562)</f>
        <v>0.91224508672623084</v>
      </c>
      <c r="I9570">
        <f>1/(COUNT(SimData5000!$B$9:$B$5008)-1)+$I$9569</f>
        <v>0.91238247649522886</v>
      </c>
      <c r="J9570">
        <f>SMALL(SimData5000!$C$9:$C$5008,4562)</f>
        <v>0.91477725568165624</v>
      </c>
      <c r="K9570">
        <f>1/(COUNT(SimData5000!$C$9:$C$5008)-1)+$K$9569</f>
        <v>0.91238247649522886</v>
      </c>
    </row>
    <row r="9571" spans="8:11">
      <c r="H9571">
        <f>SMALL(SimData5000!$B$9:$B$5008,4563)</f>
        <v>0.91247950500512487</v>
      </c>
      <c r="I9571">
        <f>1/(COUNT(SimData5000!$B$9:$B$5008)-1)+$I$9570</f>
        <v>0.91258251650323041</v>
      </c>
      <c r="J9571">
        <f>SMALL(SimData5000!$C$9:$C$5008,4563)</f>
        <v>0.91478275971076073</v>
      </c>
      <c r="K9571">
        <f>1/(COUNT(SimData5000!$C$9:$C$5008)-1)+$K$9570</f>
        <v>0.91258251650323041</v>
      </c>
    </row>
    <row r="9572" spans="8:11">
      <c r="H9572">
        <f>SMALL(SimData5000!$B$9:$B$5008,4564)</f>
        <v>0.91273773219649157</v>
      </c>
      <c r="I9572">
        <f>1/(COUNT(SimData5000!$B$9:$B$5008)-1)+$I$9571</f>
        <v>0.91278255651123197</v>
      </c>
      <c r="J9572">
        <f>SMALL(SimData5000!$C$9:$C$5008,4564)</f>
        <v>0.91485166265647422</v>
      </c>
      <c r="K9572">
        <f>1/(COUNT(SimData5000!$C$9:$C$5008)-1)+$K$9571</f>
        <v>0.91278255651123197</v>
      </c>
    </row>
    <row r="9573" spans="8:11">
      <c r="H9573">
        <f>SMALL(SimData5000!$B$9:$B$5008,4565)</f>
        <v>0.91294189919315794</v>
      </c>
      <c r="I9573">
        <f>1/(COUNT(SimData5000!$B$9:$B$5008)-1)+$I$9572</f>
        <v>0.91298259651923352</v>
      </c>
      <c r="J9573">
        <f>SMALL(SimData5000!$C$9:$C$5008,4565)</f>
        <v>0.91517486963766714</v>
      </c>
      <c r="K9573">
        <f>1/(COUNT(SimData5000!$C$9:$C$5008)-1)+$K$9572</f>
        <v>0.91298259651923352</v>
      </c>
    </row>
    <row r="9574" spans="8:11">
      <c r="H9574">
        <f>SMALL(SimData5000!$B$9:$B$5008,4566)</f>
        <v>0.91303300898806961</v>
      </c>
      <c r="I9574">
        <f>1/(COUNT(SimData5000!$B$9:$B$5008)-1)+$I$9573</f>
        <v>0.91318263652723508</v>
      </c>
      <c r="J9574">
        <f>SMALL(SimData5000!$C$9:$C$5008,4566)</f>
        <v>0.91549046968339098</v>
      </c>
      <c r="K9574">
        <f>1/(COUNT(SimData5000!$C$9:$C$5008)-1)+$K$9573</f>
        <v>0.91318263652723508</v>
      </c>
    </row>
    <row r="9575" spans="8:11">
      <c r="H9575">
        <f>SMALL(SimData5000!$B$9:$B$5008,4567)</f>
        <v>0.91329866777129898</v>
      </c>
      <c r="I9575">
        <f>1/(COUNT(SimData5000!$B$9:$B$5008)-1)+$I$9574</f>
        <v>0.91338267653523664</v>
      </c>
      <c r="J9575">
        <f>SMALL(SimData5000!$C$9:$C$5008,4567)</f>
        <v>0.91566038140354067</v>
      </c>
      <c r="K9575">
        <f>1/(COUNT(SimData5000!$C$9:$C$5008)-1)+$K$9574</f>
        <v>0.91338267653523664</v>
      </c>
    </row>
    <row r="9576" spans="8:11">
      <c r="H9576">
        <f>SMALL(SimData5000!$B$9:$B$5008,4568)</f>
        <v>0.91359795033871138</v>
      </c>
      <c r="I9576">
        <f>1/(COUNT(SimData5000!$B$9:$B$5008)-1)+$I$9575</f>
        <v>0.91358271654323819</v>
      </c>
      <c r="J9576">
        <f>SMALL(SimData5000!$C$9:$C$5008,4568)</f>
        <v>0.91577884069010906</v>
      </c>
      <c r="K9576">
        <f>1/(COUNT(SimData5000!$C$9:$C$5008)-1)+$K$9575</f>
        <v>0.91358271654323819</v>
      </c>
    </row>
    <row r="9577" spans="8:11">
      <c r="H9577">
        <f>SMALL(SimData5000!$B$9:$B$5008,4569)</f>
        <v>0.91367142258832956</v>
      </c>
      <c r="I9577">
        <f>1/(COUNT(SimData5000!$B$9:$B$5008)-1)+$I$9576</f>
        <v>0.91378275655123975</v>
      </c>
      <c r="J9577">
        <f>SMALL(SimData5000!$C$9:$C$5008,4569)</f>
        <v>0.91587587168123719</v>
      </c>
      <c r="K9577">
        <f>1/(COUNT(SimData5000!$C$9:$C$5008)-1)+$K$9576</f>
        <v>0.91378275655123975</v>
      </c>
    </row>
    <row r="9578" spans="8:11">
      <c r="H9578">
        <f>SMALL(SimData5000!$B$9:$B$5008,4570)</f>
        <v>0.91391854796263361</v>
      </c>
      <c r="I9578">
        <f>1/(COUNT(SimData5000!$B$9:$B$5008)-1)+$I$9577</f>
        <v>0.91398279655924131</v>
      </c>
      <c r="J9578">
        <f>SMALL(SimData5000!$C$9:$C$5008,4570)</f>
        <v>0.91607516271778877</v>
      </c>
      <c r="K9578">
        <f>1/(COUNT(SimData5000!$C$9:$C$5008)-1)+$K$9577</f>
        <v>0.91398279655924131</v>
      </c>
    </row>
    <row r="9579" spans="8:11">
      <c r="H9579">
        <f>SMALL(SimData5000!$B$9:$B$5008,4571)</f>
        <v>0.91401083076047029</v>
      </c>
      <c r="I9579">
        <f>1/(COUNT(SimData5000!$B$9:$B$5008)-1)+$I$9578</f>
        <v>0.91418283656724286</v>
      </c>
      <c r="J9579">
        <f>SMALL(SimData5000!$C$9:$C$5008,4571)</f>
        <v>0.91617319623128424</v>
      </c>
      <c r="K9579">
        <f>1/(COUNT(SimData5000!$C$9:$C$5008)-1)+$K$9578</f>
        <v>0.91418283656724286</v>
      </c>
    </row>
    <row r="9580" spans="8:11">
      <c r="H9580">
        <f>SMALL(SimData5000!$B$9:$B$5008,4572)</f>
        <v>0.91426771217181069</v>
      </c>
      <c r="I9580">
        <f>1/(COUNT(SimData5000!$B$9:$B$5008)-1)+$I$9579</f>
        <v>0.91438287657524442</v>
      </c>
      <c r="J9580">
        <f>SMALL(SimData5000!$C$9:$C$5008,4572)</f>
        <v>0.91620726324163115</v>
      </c>
      <c r="K9580">
        <f>1/(COUNT(SimData5000!$C$9:$C$5008)-1)+$K$9579</f>
        <v>0.91438287657524442</v>
      </c>
    </row>
    <row r="9581" spans="8:11">
      <c r="H9581">
        <f>SMALL(SimData5000!$B$9:$B$5008,4573)</f>
        <v>0.91443635120551026</v>
      </c>
      <c r="I9581">
        <f>1/(COUNT(SimData5000!$B$9:$B$5008)-1)+$I$9580</f>
        <v>0.91458291658324598</v>
      </c>
      <c r="J9581">
        <f>SMALL(SimData5000!$C$9:$C$5008,4573)</f>
        <v>0.91636371971617336</v>
      </c>
      <c r="K9581">
        <f>1/(COUNT(SimData5000!$C$9:$C$5008)-1)+$K$9580</f>
        <v>0.91458291658324598</v>
      </c>
    </row>
    <row r="9582" spans="8:11">
      <c r="H9582">
        <f>SMALL(SimData5000!$B$9:$B$5008,4574)</f>
        <v>0.91469018112302058</v>
      </c>
      <c r="I9582">
        <f>1/(COUNT(SimData5000!$B$9:$B$5008)-1)+$I$9581</f>
        <v>0.91478295659124753</v>
      </c>
      <c r="J9582">
        <f>SMALL(SimData5000!$C$9:$C$5008,4574)</f>
        <v>0.91650596089039027</v>
      </c>
      <c r="K9582">
        <f>1/(COUNT(SimData5000!$C$9:$C$5008)-1)+$K$9581</f>
        <v>0.91478295659124753</v>
      </c>
    </row>
    <row r="9583" spans="8:11">
      <c r="H9583">
        <f>SMALL(SimData5000!$B$9:$B$5008,4575)</f>
        <v>0.91492105845923566</v>
      </c>
      <c r="I9583">
        <f>1/(COUNT(SimData5000!$B$9:$B$5008)-1)+$I$9582</f>
        <v>0.91498299659924909</v>
      </c>
      <c r="J9583">
        <f>SMALL(SimData5000!$C$9:$C$5008,4575)</f>
        <v>0.91663805972075352</v>
      </c>
      <c r="K9583">
        <f>1/(COUNT(SimData5000!$C$9:$C$5008)-1)+$K$9582</f>
        <v>0.91498299659924909</v>
      </c>
    </row>
    <row r="9584" spans="8:11">
      <c r="H9584">
        <f>SMALL(SimData5000!$B$9:$B$5008,4576)</f>
        <v>0.91501313426816211</v>
      </c>
      <c r="I9584">
        <f>1/(COUNT(SimData5000!$B$9:$B$5008)-1)+$I$9583</f>
        <v>0.91518303660725064</v>
      </c>
      <c r="J9584">
        <f>SMALL(SimData5000!$C$9:$C$5008,4576)</f>
        <v>0.9167138068451095</v>
      </c>
      <c r="K9584">
        <f>1/(COUNT(SimData5000!$C$9:$C$5008)-1)+$K$9583</f>
        <v>0.91518303660725064</v>
      </c>
    </row>
    <row r="9585" spans="8:11">
      <c r="H9585">
        <f>SMALL(SimData5000!$B$9:$B$5008,4577)</f>
        <v>0.91524417323745888</v>
      </c>
      <c r="I9585">
        <f>1/(COUNT(SimData5000!$B$9:$B$5008)-1)+$I$9584</f>
        <v>0.9153830766152522</v>
      </c>
      <c r="J9585">
        <f>SMALL(SimData5000!$C$9:$C$5008,4577)</f>
        <v>0.91689152754224779</v>
      </c>
      <c r="K9585">
        <f>1/(COUNT(SimData5000!$C$9:$C$5008)-1)+$K$9584</f>
        <v>0.9153830766152522</v>
      </c>
    </row>
    <row r="9586" spans="8:11">
      <c r="H9586">
        <f>SMALL(SimData5000!$B$9:$B$5008,4578)</f>
        <v>0.91558148574493392</v>
      </c>
      <c r="I9586">
        <f>1/(COUNT(SimData5000!$B$9:$B$5008)-1)+$I$9585</f>
        <v>0.91558311662325376</v>
      </c>
      <c r="J9586">
        <f>SMALL(SimData5000!$C$9:$C$5008,4578)</f>
        <v>0.91694710704450699</v>
      </c>
      <c r="K9586">
        <f>1/(COUNT(SimData5000!$C$9:$C$5008)-1)+$K$9585</f>
        <v>0.91558311662325376</v>
      </c>
    </row>
    <row r="9587" spans="8:11">
      <c r="H9587">
        <f>SMALL(SimData5000!$B$9:$B$5008,4579)</f>
        <v>0.91570129245927123</v>
      </c>
      <c r="I9587">
        <f>1/(COUNT(SimData5000!$B$9:$B$5008)-1)+$I$9586</f>
        <v>0.91578315663125531</v>
      </c>
      <c r="J9587">
        <f>SMALL(SimData5000!$C$9:$C$5008,4579)</f>
        <v>0.91739043374491303</v>
      </c>
      <c r="K9587">
        <f>1/(COUNT(SimData5000!$C$9:$C$5008)-1)+$K$9586</f>
        <v>0.91578315663125531</v>
      </c>
    </row>
    <row r="9588" spans="8:11">
      <c r="H9588">
        <f>SMALL(SimData5000!$B$9:$B$5008,4580)</f>
        <v>0.91587869487113294</v>
      </c>
      <c r="I9588">
        <f>1/(COUNT(SimData5000!$B$9:$B$5008)-1)+$I$9587</f>
        <v>0.91598319663925687</v>
      </c>
      <c r="J9588">
        <f>SMALL(SimData5000!$C$9:$C$5008,4580)</f>
        <v>0.91750920568756555</v>
      </c>
      <c r="K9588">
        <f>1/(COUNT(SimData5000!$C$9:$C$5008)-1)+$K$9587</f>
        <v>0.91598319663925687</v>
      </c>
    </row>
    <row r="9589" spans="8:11">
      <c r="H9589">
        <f>SMALL(SimData5000!$B$9:$B$5008,4581)</f>
        <v>0.91611569443897245</v>
      </c>
      <c r="I9589">
        <f>1/(COUNT(SimData5000!$B$9:$B$5008)-1)+$I$9588</f>
        <v>0.91618323664725843</v>
      </c>
      <c r="J9589">
        <f>SMALL(SimData5000!$C$9:$C$5008,4581)</f>
        <v>0.91755487223326782</v>
      </c>
      <c r="K9589">
        <f>1/(COUNT(SimData5000!$C$9:$C$5008)-1)+$K$9588</f>
        <v>0.91618323664725843</v>
      </c>
    </row>
    <row r="9590" spans="8:11">
      <c r="H9590">
        <f>SMALL(SimData5000!$B$9:$B$5008,4582)</f>
        <v>0.9163196568183879</v>
      </c>
      <c r="I9590">
        <f>1/(COUNT(SimData5000!$B$9:$B$5008)-1)+$I$9589</f>
        <v>0.91638327665525998</v>
      </c>
      <c r="J9590">
        <f>SMALL(SimData5000!$C$9:$C$5008,4582)</f>
        <v>0.91791208279028069</v>
      </c>
      <c r="K9590">
        <f>1/(COUNT(SimData5000!$C$9:$C$5008)-1)+$K$9589</f>
        <v>0.91638327665525998</v>
      </c>
    </row>
    <row r="9591" spans="8:11">
      <c r="H9591">
        <f>SMALL(SimData5000!$B$9:$B$5008,4583)</f>
        <v>0.91651457627283284</v>
      </c>
      <c r="I9591">
        <f>1/(COUNT(SimData5000!$B$9:$B$5008)-1)+$I$9590</f>
        <v>0.91658331666326154</v>
      </c>
      <c r="J9591">
        <f>SMALL(SimData5000!$C$9:$C$5008,4583)</f>
        <v>0.91793824853539263</v>
      </c>
      <c r="K9591">
        <f>1/(COUNT(SimData5000!$C$9:$C$5008)-1)+$K$9590</f>
        <v>0.91658331666326154</v>
      </c>
    </row>
    <row r="9592" spans="8:11">
      <c r="H9592">
        <f>SMALL(SimData5000!$B$9:$B$5008,4584)</f>
        <v>0.91675394264868315</v>
      </c>
      <c r="I9592">
        <f>1/(COUNT(SimData5000!$B$9:$B$5008)-1)+$I$9591</f>
        <v>0.91678335667126309</v>
      </c>
      <c r="J9592">
        <f>SMALL(SimData5000!$C$9:$C$5008,4584)</f>
        <v>0.91811398433037539</v>
      </c>
      <c r="K9592">
        <f>1/(COUNT(SimData5000!$C$9:$C$5008)-1)+$K$9591</f>
        <v>0.91678335667126309</v>
      </c>
    </row>
    <row r="9593" spans="8:11">
      <c r="H9593">
        <f>SMALL(SimData5000!$B$9:$B$5008,4585)</f>
        <v>0.91695553494732718</v>
      </c>
      <c r="I9593">
        <f>1/(COUNT(SimData5000!$B$9:$B$5008)-1)+$I$9592</f>
        <v>0.91698339667926465</v>
      </c>
      <c r="J9593">
        <f>SMALL(SimData5000!$C$9:$C$5008,4585)</f>
        <v>0.91818803977730568</v>
      </c>
      <c r="K9593">
        <f>1/(COUNT(SimData5000!$C$9:$C$5008)-1)+$K$9592</f>
        <v>0.91698339667926465</v>
      </c>
    </row>
    <row r="9594" spans="8:11">
      <c r="H9594">
        <f>SMALL(SimData5000!$B$9:$B$5008,4586)</f>
        <v>0.91717896123206688</v>
      </c>
      <c r="I9594">
        <f>1/(COUNT(SimData5000!$B$9:$B$5008)-1)+$I$9593</f>
        <v>0.91718343668726621</v>
      </c>
      <c r="J9594">
        <f>SMALL(SimData5000!$C$9:$C$5008,4586)</f>
        <v>0.91831666541202139</v>
      </c>
      <c r="K9594">
        <f>1/(COUNT(SimData5000!$C$9:$C$5008)-1)+$K$9593</f>
        <v>0.91718343668726621</v>
      </c>
    </row>
    <row r="9595" spans="8:11">
      <c r="H9595">
        <f>SMALL(SimData5000!$B$9:$B$5008,4587)</f>
        <v>0.91723105467479471</v>
      </c>
      <c r="I9595">
        <f>1/(COUNT(SimData5000!$B$9:$B$5008)-1)+$I$9594</f>
        <v>0.91738347669526776</v>
      </c>
      <c r="J9595">
        <f>SMALL(SimData5000!$C$9:$C$5008,4587)</f>
        <v>0.91838518189433671</v>
      </c>
      <c r="K9595">
        <f>1/(COUNT(SimData5000!$C$9:$C$5008)-1)+$K$9594</f>
        <v>0.91738347669526776</v>
      </c>
    </row>
    <row r="9596" spans="8:11">
      <c r="H9596">
        <f>SMALL(SimData5000!$B$9:$B$5008,4588)</f>
        <v>0.91748033475868418</v>
      </c>
      <c r="I9596">
        <f>1/(COUNT(SimData5000!$B$9:$B$5008)-1)+$I$9595</f>
        <v>0.91758351670326932</v>
      </c>
      <c r="J9596">
        <f>SMALL(SimData5000!$C$9:$C$5008,4588)</f>
        <v>0.91850926233382779</v>
      </c>
      <c r="K9596">
        <f>1/(COUNT(SimData5000!$C$9:$C$5008)-1)+$K$9595</f>
        <v>0.91758351670326932</v>
      </c>
    </row>
    <row r="9597" spans="8:11">
      <c r="H9597">
        <f>SMALL(SimData5000!$B$9:$B$5008,4589)</f>
        <v>0.91771214223497377</v>
      </c>
      <c r="I9597">
        <f>1/(COUNT(SimData5000!$B$9:$B$5008)-1)+$I$9596</f>
        <v>0.91778355671127088</v>
      </c>
      <c r="J9597">
        <f>SMALL(SimData5000!$C$9:$C$5008,4589)</f>
        <v>0.91872037366738368</v>
      </c>
      <c r="K9597">
        <f>1/(COUNT(SimData5000!$C$9:$C$5008)-1)+$K$9596</f>
        <v>0.91778355671127088</v>
      </c>
    </row>
    <row r="9598" spans="8:11">
      <c r="H9598">
        <f>SMALL(SimData5000!$B$9:$B$5008,4590)</f>
        <v>0.9178815803193211</v>
      </c>
      <c r="I9598">
        <f>1/(COUNT(SimData5000!$B$9:$B$5008)-1)+$I$9597</f>
        <v>0.91798359671927243</v>
      </c>
      <c r="J9598">
        <f>SMALL(SimData5000!$C$9:$C$5008,4590)</f>
        <v>0.91893678131694401</v>
      </c>
      <c r="K9598">
        <f>1/(COUNT(SimData5000!$C$9:$C$5008)-1)+$K$9597</f>
        <v>0.91798359671927243</v>
      </c>
    </row>
    <row r="9599" spans="8:11">
      <c r="H9599">
        <f>SMALL(SimData5000!$B$9:$B$5008,4591)</f>
        <v>0.91814237175209967</v>
      </c>
      <c r="I9599">
        <f>1/(COUNT(SimData5000!$B$9:$B$5008)-1)+$I$9598</f>
        <v>0.91818363672727399</v>
      </c>
      <c r="J9599">
        <f>SMALL(SimData5000!$C$9:$C$5008,4591)</f>
        <v>0.91911262935809646</v>
      </c>
      <c r="K9599">
        <f>1/(COUNT(SimData5000!$C$9:$C$5008)-1)+$K$9598</f>
        <v>0.91818363672727399</v>
      </c>
    </row>
    <row r="9600" spans="8:11">
      <c r="H9600">
        <f>SMALL(SimData5000!$B$9:$B$5008,4592)</f>
        <v>0.9183387303485393</v>
      </c>
      <c r="I9600">
        <f>1/(COUNT(SimData5000!$B$9:$B$5008)-1)+$I$9599</f>
        <v>0.91838367673527554</v>
      </c>
      <c r="J9600">
        <f>SMALL(SimData5000!$C$9:$C$5008,4592)</f>
        <v>0.91940570100089758</v>
      </c>
      <c r="K9600">
        <f>1/(COUNT(SimData5000!$C$9:$C$5008)-1)+$K$9599</f>
        <v>0.91838367673527554</v>
      </c>
    </row>
    <row r="9601" spans="8:11">
      <c r="H9601">
        <f>SMALL(SimData5000!$B$9:$B$5008,4593)</f>
        <v>0.91856210539726579</v>
      </c>
      <c r="I9601">
        <f>1/(COUNT(SimData5000!$B$9:$B$5008)-1)+$I$9600</f>
        <v>0.9185837167432771</v>
      </c>
      <c r="J9601">
        <f>SMALL(SimData5000!$C$9:$C$5008,4593)</f>
        <v>0.9195796652129502</v>
      </c>
      <c r="K9601">
        <f>1/(COUNT(SimData5000!$C$9:$C$5008)-1)+$K$9600</f>
        <v>0.9185837167432771</v>
      </c>
    </row>
    <row r="9602" spans="8:11">
      <c r="H9602">
        <f>SMALL(SimData5000!$B$9:$B$5008,4594)</f>
        <v>0.9186448020649246</v>
      </c>
      <c r="I9602">
        <f>1/(COUNT(SimData5000!$B$9:$B$5008)-1)+$I$9601</f>
        <v>0.91878375675127866</v>
      </c>
      <c r="J9602">
        <f>SMALL(SimData5000!$C$9:$C$5008,4594)</f>
        <v>0.92006910989312019</v>
      </c>
      <c r="K9602">
        <f>1/(COUNT(SimData5000!$C$9:$C$5008)-1)+$K$9601</f>
        <v>0.91878375675127866</v>
      </c>
    </row>
    <row r="9603" spans="8:11">
      <c r="H9603">
        <f>SMALL(SimData5000!$B$9:$B$5008,4595)</f>
        <v>0.91880968442321975</v>
      </c>
      <c r="I9603">
        <f>1/(COUNT(SimData5000!$B$9:$B$5008)-1)+$I$9602</f>
        <v>0.91898379675928021</v>
      </c>
      <c r="J9603">
        <f>SMALL(SimData5000!$C$9:$C$5008,4595)</f>
        <v>0.92021526086136873</v>
      </c>
      <c r="K9603">
        <f>1/(COUNT(SimData5000!$C$9:$C$5008)-1)+$K$9602</f>
        <v>0.91898379675928021</v>
      </c>
    </row>
    <row r="9604" spans="8:11">
      <c r="H9604">
        <f>SMALL(SimData5000!$B$9:$B$5008,4596)</f>
        <v>0.91912700894091448</v>
      </c>
      <c r="I9604">
        <f>1/(COUNT(SimData5000!$B$9:$B$5008)-1)+$I$9603</f>
        <v>0.91918383676728177</v>
      </c>
      <c r="J9604">
        <f>SMALL(SimData5000!$C$9:$C$5008,4596)</f>
        <v>0.92032179305078898</v>
      </c>
      <c r="K9604">
        <f>1/(COUNT(SimData5000!$C$9:$C$5008)-1)+$K$9603</f>
        <v>0.91918383676728177</v>
      </c>
    </row>
    <row r="9605" spans="8:11">
      <c r="H9605">
        <f>SMALL(SimData5000!$B$9:$B$5008,4597)</f>
        <v>0.91933319343699438</v>
      </c>
      <c r="I9605">
        <f>1/(COUNT(SimData5000!$B$9:$B$5008)-1)+$I$9604</f>
        <v>0.91938387677528333</v>
      </c>
      <c r="J9605">
        <f>SMALL(SimData5000!$C$9:$C$5008,4597)</f>
        <v>0.92062994522621011</v>
      </c>
      <c r="K9605">
        <f>1/(COUNT(SimData5000!$C$9:$C$5008)-1)+$K$9604</f>
        <v>0.91938387677528333</v>
      </c>
    </row>
    <row r="9606" spans="8:11">
      <c r="H9606">
        <f>SMALL(SimData5000!$B$9:$B$5008,4598)</f>
        <v>0.91945654618597039</v>
      </c>
      <c r="I9606">
        <f>1/(COUNT(SimData5000!$B$9:$B$5008)-1)+$I$9605</f>
        <v>0.91958391678328488</v>
      </c>
      <c r="J9606">
        <f>SMALL(SimData5000!$C$9:$C$5008,4598)</f>
        <v>0.92090573222321837</v>
      </c>
      <c r="K9606">
        <f>1/(COUNT(SimData5000!$C$9:$C$5008)-1)+$K$9605</f>
        <v>0.91958391678328488</v>
      </c>
    </row>
    <row r="9607" spans="8:11">
      <c r="H9607">
        <f>SMALL(SimData5000!$B$9:$B$5008,4599)</f>
        <v>0.91960931750876118</v>
      </c>
      <c r="I9607">
        <f>1/(COUNT(SimData5000!$B$9:$B$5008)-1)+$I$9606</f>
        <v>0.91978395679128644</v>
      </c>
      <c r="J9607">
        <f>SMALL(SimData5000!$C$9:$C$5008,4599)</f>
        <v>0.92124886433521169</v>
      </c>
      <c r="K9607">
        <f>1/(COUNT(SimData5000!$C$9:$C$5008)-1)+$K$9606</f>
        <v>0.91978395679128644</v>
      </c>
    </row>
    <row r="9608" spans="8:11">
      <c r="H9608">
        <f>SMALL(SimData5000!$B$9:$B$5008,4600)</f>
        <v>0.91996300289820954</v>
      </c>
      <c r="I9608">
        <f>1/(COUNT(SimData5000!$B$9:$B$5008)-1)+$I$9607</f>
        <v>0.919983996799288</v>
      </c>
      <c r="J9608">
        <f>SMALL(SimData5000!$C$9:$C$5008,4600)</f>
        <v>0.92132885458431701</v>
      </c>
      <c r="K9608">
        <f>1/(COUNT(SimData5000!$C$9:$C$5008)-1)+$K$9607</f>
        <v>0.919983996799288</v>
      </c>
    </row>
    <row r="9609" spans="8:11">
      <c r="H9609">
        <f>SMALL(SimData5000!$B$9:$B$5008,4601)</f>
        <v>0.920020090876571</v>
      </c>
      <c r="I9609">
        <f>1/(COUNT(SimData5000!$B$9:$B$5008)-1)+$I$9608</f>
        <v>0.92018403680728955</v>
      </c>
      <c r="J9609">
        <f>SMALL(SimData5000!$C$9:$C$5008,4601)</f>
        <v>0.92140371560890344</v>
      </c>
      <c r="K9609">
        <f>1/(COUNT(SimData5000!$C$9:$C$5008)-1)+$K$9608</f>
        <v>0.92018403680728955</v>
      </c>
    </row>
    <row r="9610" spans="8:11">
      <c r="H9610">
        <f>SMALL(SimData5000!$B$9:$B$5008,4602)</f>
        <v>0.92030366360934079</v>
      </c>
      <c r="I9610">
        <f>1/(COUNT(SimData5000!$B$9:$B$5008)-1)+$I$9609</f>
        <v>0.92038407681529111</v>
      </c>
      <c r="J9610">
        <f>SMALL(SimData5000!$C$9:$C$5008,4602)</f>
        <v>0.9215244987854021</v>
      </c>
      <c r="K9610">
        <f>1/(COUNT(SimData5000!$C$9:$C$5008)-1)+$K$9609</f>
        <v>0.92038407681529111</v>
      </c>
    </row>
    <row r="9611" spans="8:11">
      <c r="H9611">
        <f>SMALL(SimData5000!$B$9:$B$5008,4603)</f>
        <v>0.92049566593950038</v>
      </c>
      <c r="I9611">
        <f>1/(COUNT(SimData5000!$B$9:$B$5008)-1)+$I$9610</f>
        <v>0.92058411682329266</v>
      </c>
      <c r="J9611">
        <f>SMALL(SimData5000!$C$9:$C$5008,4603)</f>
        <v>0.92153950737611012</v>
      </c>
      <c r="K9611">
        <f>1/(COUNT(SimData5000!$C$9:$C$5008)-1)+$K$9610</f>
        <v>0.92058411682329266</v>
      </c>
    </row>
    <row r="9612" spans="8:11">
      <c r="H9612">
        <f>SMALL(SimData5000!$B$9:$B$5008,4604)</f>
        <v>0.92063285143338913</v>
      </c>
      <c r="I9612">
        <f>1/(COUNT(SimData5000!$B$9:$B$5008)-1)+$I$9611</f>
        <v>0.92078415683129422</v>
      </c>
      <c r="J9612">
        <f>SMALL(SimData5000!$C$9:$C$5008,4604)</f>
        <v>0.92165896471942688</v>
      </c>
      <c r="K9612">
        <f>1/(COUNT(SimData5000!$C$9:$C$5008)-1)+$K$9611</f>
        <v>0.92078415683129422</v>
      </c>
    </row>
    <row r="9613" spans="8:11">
      <c r="H9613">
        <f>SMALL(SimData5000!$B$9:$B$5008,4605)</f>
        <v>0.92080042286873809</v>
      </c>
      <c r="I9613">
        <f>1/(COUNT(SimData5000!$B$9:$B$5008)-1)+$I$9612</f>
        <v>0.92098419683929578</v>
      </c>
      <c r="J9613">
        <f>SMALL(SimData5000!$C$9:$C$5008,4605)</f>
        <v>0.92168031459368649</v>
      </c>
      <c r="K9613">
        <f>1/(COUNT(SimData5000!$C$9:$C$5008)-1)+$K$9612</f>
        <v>0.92098419683929578</v>
      </c>
    </row>
    <row r="9614" spans="8:11">
      <c r="H9614">
        <f>SMALL(SimData5000!$B$9:$B$5008,4606)</f>
        <v>0.92107227067893205</v>
      </c>
      <c r="I9614">
        <f>1/(COUNT(SimData5000!$B$9:$B$5008)-1)+$I$9613</f>
        <v>0.92118423684729733</v>
      </c>
      <c r="J9614">
        <f>SMALL(SimData5000!$C$9:$C$5008,4606)</f>
        <v>0.92169742793157639</v>
      </c>
      <c r="K9614">
        <f>1/(COUNT(SimData5000!$C$9:$C$5008)-1)+$K$9613</f>
        <v>0.92118423684729733</v>
      </c>
    </row>
    <row r="9615" spans="8:11">
      <c r="H9615">
        <f>SMALL(SimData5000!$B$9:$B$5008,4607)</f>
        <v>0.92129592720351561</v>
      </c>
      <c r="I9615">
        <f>1/(COUNT(SimData5000!$B$9:$B$5008)-1)+$I$9614</f>
        <v>0.92138427685529889</v>
      </c>
      <c r="J9615">
        <f>SMALL(SimData5000!$C$9:$C$5008,4607)</f>
        <v>0.92174221939785639</v>
      </c>
      <c r="K9615">
        <f>1/(COUNT(SimData5000!$C$9:$C$5008)-1)+$K$9614</f>
        <v>0.92138427685529889</v>
      </c>
    </row>
    <row r="9616" spans="8:11">
      <c r="H9616">
        <f>SMALL(SimData5000!$B$9:$B$5008,4608)</f>
        <v>0.92146228462198343</v>
      </c>
      <c r="I9616">
        <f>1/(COUNT(SimData5000!$B$9:$B$5008)-1)+$I$9615</f>
        <v>0.92158431686330045</v>
      </c>
      <c r="J9616">
        <f>SMALL(SimData5000!$C$9:$C$5008,4608)</f>
        <v>0.92180288451254455</v>
      </c>
      <c r="K9616">
        <f>1/(COUNT(SimData5000!$C$9:$C$5008)-1)+$K$9615</f>
        <v>0.92158431686330045</v>
      </c>
    </row>
    <row r="9617" spans="8:11">
      <c r="H9617">
        <f>SMALL(SimData5000!$B$9:$B$5008,4609)</f>
        <v>0.92170251581736429</v>
      </c>
      <c r="I9617">
        <f>1/(COUNT(SimData5000!$B$9:$B$5008)-1)+$I$9616</f>
        <v>0.921784356871302</v>
      </c>
      <c r="J9617">
        <f>SMALL(SimData5000!$C$9:$C$5008,4609)</f>
        <v>0.92191735792860641</v>
      </c>
      <c r="K9617">
        <f>1/(COUNT(SimData5000!$C$9:$C$5008)-1)+$K$9616</f>
        <v>0.921784356871302</v>
      </c>
    </row>
    <row r="9618" spans="8:11">
      <c r="H9618">
        <f>SMALL(SimData5000!$B$9:$B$5008,4610)</f>
        <v>0.92192122815682576</v>
      </c>
      <c r="I9618">
        <f>1/(COUNT(SimData5000!$B$9:$B$5008)-1)+$I$9617</f>
        <v>0.92198439687930356</v>
      </c>
      <c r="J9618">
        <f>SMALL(SimData5000!$C$9:$C$5008,4610)</f>
        <v>0.92229978020895942</v>
      </c>
      <c r="K9618">
        <f>1/(COUNT(SimData5000!$C$9:$C$5008)-1)+$K$9617</f>
        <v>0.92198439687930356</v>
      </c>
    </row>
    <row r="9619" spans="8:11">
      <c r="H9619">
        <f>SMALL(SimData5000!$B$9:$B$5008,4611)</f>
        <v>0.92211143413519292</v>
      </c>
      <c r="I9619">
        <f>1/(COUNT(SimData5000!$B$9:$B$5008)-1)+$I$9618</f>
        <v>0.92218443688730511</v>
      </c>
      <c r="J9619">
        <f>SMALL(SimData5000!$C$9:$C$5008,4611)</f>
        <v>0.92234016838028765</v>
      </c>
      <c r="K9619">
        <f>1/(COUNT(SimData5000!$C$9:$C$5008)-1)+$K$9618</f>
        <v>0.92218443688730511</v>
      </c>
    </row>
    <row r="9620" spans="8:11">
      <c r="H9620">
        <f>SMALL(SimData5000!$B$9:$B$5008,4612)</f>
        <v>0.92229863513137644</v>
      </c>
      <c r="I9620">
        <f>1/(COUNT(SimData5000!$B$9:$B$5008)-1)+$I$9619</f>
        <v>0.92238447689530667</v>
      </c>
      <c r="J9620">
        <f>SMALL(SimData5000!$C$9:$C$5008,4612)</f>
        <v>0.92244090142958157</v>
      </c>
      <c r="K9620">
        <f>1/(COUNT(SimData5000!$C$9:$C$5008)-1)+$K$9619</f>
        <v>0.92238447689530667</v>
      </c>
    </row>
    <row r="9621" spans="8:11">
      <c r="H9621">
        <f>SMALL(SimData5000!$B$9:$B$5008,4613)</f>
        <v>0.92250615642958</v>
      </c>
      <c r="I9621">
        <f>1/(COUNT(SimData5000!$B$9:$B$5008)-1)+$I$9620</f>
        <v>0.92258451690330823</v>
      </c>
      <c r="J9621">
        <f>SMALL(SimData5000!$C$9:$C$5008,4613)</f>
        <v>0.92245341369198286</v>
      </c>
      <c r="K9621">
        <f>1/(COUNT(SimData5000!$C$9:$C$5008)-1)+$K$9620</f>
        <v>0.92258451690330823</v>
      </c>
    </row>
    <row r="9622" spans="8:11">
      <c r="H9622">
        <f>SMALL(SimData5000!$B$9:$B$5008,4614)</f>
        <v>0.92263088392653303</v>
      </c>
      <c r="I9622">
        <f>1/(COUNT(SimData5000!$B$9:$B$5008)-1)+$I$9621</f>
        <v>0.92278455691130978</v>
      </c>
      <c r="J9622">
        <f>SMALL(SimData5000!$C$9:$C$5008,4614)</f>
        <v>0.92264048491779249</v>
      </c>
      <c r="K9622">
        <f>1/(COUNT(SimData5000!$C$9:$C$5008)-1)+$K$9621</f>
        <v>0.92278455691130978</v>
      </c>
    </row>
    <row r="9623" spans="8:11">
      <c r="H9623">
        <f>SMALL(SimData5000!$B$9:$B$5008,4615)</f>
        <v>0.92286554545291366</v>
      </c>
      <c r="I9623">
        <f>1/(COUNT(SimData5000!$B$9:$B$5008)-1)+$I$9622</f>
        <v>0.92298459691931134</v>
      </c>
      <c r="J9623">
        <f>SMALL(SimData5000!$C$9:$C$5008,4615)</f>
        <v>0.92270697905678389</v>
      </c>
      <c r="K9623">
        <f>1/(COUNT(SimData5000!$C$9:$C$5008)-1)+$K$9622</f>
        <v>0.92298459691931134</v>
      </c>
    </row>
    <row r="9624" spans="8:11">
      <c r="H9624">
        <f>SMALL(SimData5000!$B$9:$B$5008,4616)</f>
        <v>0.92302687284714224</v>
      </c>
      <c r="I9624">
        <f>1/(COUNT(SimData5000!$B$9:$B$5008)-1)+$I$9623</f>
        <v>0.9231846369273129</v>
      </c>
      <c r="J9624">
        <f>SMALL(SimData5000!$C$9:$C$5008,4616)</f>
        <v>0.92276118970858079</v>
      </c>
      <c r="K9624">
        <f>1/(COUNT(SimData5000!$C$9:$C$5008)-1)+$K$9623</f>
        <v>0.9231846369273129</v>
      </c>
    </row>
    <row r="9625" spans="8:11">
      <c r="H9625">
        <f>SMALL(SimData5000!$B$9:$B$5008,4617)</f>
        <v>0.92327420420355033</v>
      </c>
      <c r="I9625">
        <f>1/(COUNT(SimData5000!$B$9:$B$5008)-1)+$I$9624</f>
        <v>0.92338467693531445</v>
      </c>
      <c r="J9625">
        <f>SMALL(SimData5000!$C$9:$C$5008,4617)</f>
        <v>0.92289148110285169</v>
      </c>
      <c r="K9625">
        <f>1/(COUNT(SimData5000!$C$9:$C$5008)-1)+$K$9624</f>
        <v>0.92338467693531445</v>
      </c>
    </row>
    <row r="9626" spans="8:11">
      <c r="H9626">
        <f>SMALL(SimData5000!$B$9:$B$5008,4618)</f>
        <v>0.92346642313899152</v>
      </c>
      <c r="I9626">
        <f>1/(COUNT(SimData5000!$B$9:$B$5008)-1)+$I$9625</f>
        <v>0.92358471694331601</v>
      </c>
      <c r="J9626">
        <f>SMALL(SimData5000!$C$9:$C$5008,4618)</f>
        <v>0.92345080437098659</v>
      </c>
      <c r="K9626">
        <f>1/(COUNT(SimData5000!$C$9:$C$5008)-1)+$K$9625</f>
        <v>0.92358471694331601</v>
      </c>
    </row>
    <row r="9627" spans="8:11">
      <c r="H9627">
        <f>SMALL(SimData5000!$B$9:$B$5008,4619)</f>
        <v>0.92376492678955313</v>
      </c>
      <c r="I9627">
        <f>1/(COUNT(SimData5000!$B$9:$B$5008)-1)+$I$9626</f>
        <v>0.92378475695131756</v>
      </c>
      <c r="J9627">
        <f>SMALL(SimData5000!$C$9:$C$5008,4619)</f>
        <v>0.92346504686884145</v>
      </c>
      <c r="K9627">
        <f>1/(COUNT(SimData5000!$C$9:$C$5008)-1)+$K$9626</f>
        <v>0.92378475695131756</v>
      </c>
    </row>
    <row r="9628" spans="8:11">
      <c r="H9628">
        <f>SMALL(SimData5000!$B$9:$B$5008,4620)</f>
        <v>0.92382244036864081</v>
      </c>
      <c r="I9628">
        <f>1/(COUNT(SimData5000!$B$9:$B$5008)-1)+$I$9627</f>
        <v>0.92398479695931912</v>
      </c>
      <c r="J9628">
        <f>SMALL(SimData5000!$C$9:$C$5008,4620)</f>
        <v>0.92355583858989121</v>
      </c>
      <c r="K9628">
        <f>1/(COUNT(SimData5000!$C$9:$C$5008)-1)+$K$9627</f>
        <v>0.92398479695931912</v>
      </c>
    </row>
    <row r="9629" spans="8:11">
      <c r="H9629">
        <f>SMALL(SimData5000!$B$9:$B$5008,4621)</f>
        <v>0.92405128366003086</v>
      </c>
      <c r="I9629">
        <f>1/(COUNT(SimData5000!$B$9:$B$5008)-1)+$I$9628</f>
        <v>0.92418483696732068</v>
      </c>
      <c r="J9629">
        <f>SMALL(SimData5000!$C$9:$C$5008,4621)</f>
        <v>0.92367581411235733</v>
      </c>
      <c r="K9629">
        <f>1/(COUNT(SimData5000!$C$9:$C$5008)-1)+$K$9628</f>
        <v>0.92418483696732068</v>
      </c>
    </row>
    <row r="9630" spans="8:11">
      <c r="H9630">
        <f>SMALL(SimData5000!$B$9:$B$5008,4622)</f>
        <v>0.92422864800184712</v>
      </c>
      <c r="I9630">
        <f>1/(COUNT(SimData5000!$B$9:$B$5008)-1)+$I$9629</f>
        <v>0.92438487697532223</v>
      </c>
      <c r="J9630">
        <f>SMALL(SimData5000!$C$9:$C$5008,4622)</f>
        <v>0.92379457761398953</v>
      </c>
      <c r="K9630">
        <f>1/(COUNT(SimData5000!$C$9:$C$5008)-1)+$K$9629</f>
        <v>0.92438487697532223</v>
      </c>
    </row>
    <row r="9631" spans="8:11">
      <c r="H9631">
        <f>SMALL(SimData5000!$B$9:$B$5008,4623)</f>
        <v>0.92459723384780734</v>
      </c>
      <c r="I9631">
        <f>1/(COUNT(SimData5000!$B$9:$B$5008)-1)+$I$9630</f>
        <v>0.92458491698332379</v>
      </c>
      <c r="J9631">
        <f>SMALL(SimData5000!$C$9:$C$5008,4623)</f>
        <v>0.92390188462559308</v>
      </c>
      <c r="K9631">
        <f>1/(COUNT(SimData5000!$C$9:$C$5008)-1)+$K$9630</f>
        <v>0.92458491698332379</v>
      </c>
    </row>
    <row r="9632" spans="8:11">
      <c r="H9632">
        <f>SMALL(SimData5000!$B$9:$B$5008,4624)</f>
        <v>0.92474575465306319</v>
      </c>
      <c r="I9632">
        <f>1/(COUNT(SimData5000!$B$9:$B$5008)-1)+$I$9631</f>
        <v>0.92478495699132535</v>
      </c>
      <c r="J9632">
        <f>SMALL(SimData5000!$C$9:$C$5008,4624)</f>
        <v>0.92391204473460675</v>
      </c>
      <c r="K9632">
        <f>1/(COUNT(SimData5000!$C$9:$C$5008)-1)+$K$9631</f>
        <v>0.92478495699132535</v>
      </c>
    </row>
    <row r="9633" spans="8:11">
      <c r="H9633">
        <f>SMALL(SimData5000!$B$9:$B$5008,4625)</f>
        <v>0.92489247112867701</v>
      </c>
      <c r="I9633">
        <f>1/(COUNT(SimData5000!$B$9:$B$5008)-1)+$I$9632</f>
        <v>0.9249849969993269</v>
      </c>
      <c r="J9633">
        <f>SMALL(SimData5000!$C$9:$C$5008,4625)</f>
        <v>0.92399954913616966</v>
      </c>
      <c r="K9633">
        <f>1/(COUNT(SimData5000!$C$9:$C$5008)-1)+$K$9632</f>
        <v>0.9249849969993269</v>
      </c>
    </row>
    <row r="9634" spans="8:11">
      <c r="H9634">
        <f>SMALL(SimData5000!$B$9:$B$5008,4626)</f>
        <v>0.92511442631816354</v>
      </c>
      <c r="I9634">
        <f>1/(COUNT(SimData5000!$B$9:$B$5008)-1)+$I$9633</f>
        <v>0.92518503700732846</v>
      </c>
      <c r="J9634">
        <f>SMALL(SimData5000!$C$9:$C$5008,4626)</f>
        <v>0.92445271593260259</v>
      </c>
      <c r="K9634">
        <f>1/(COUNT(SimData5000!$C$9:$C$5008)-1)+$K$9633</f>
        <v>0.92518503700732846</v>
      </c>
    </row>
    <row r="9635" spans="8:11">
      <c r="H9635">
        <f>SMALL(SimData5000!$B$9:$B$5008,4627)</f>
        <v>0.92531517826591503</v>
      </c>
      <c r="I9635">
        <f>1/(COUNT(SimData5000!$B$9:$B$5008)-1)+$I$9634</f>
        <v>0.92538507701533002</v>
      </c>
      <c r="J9635">
        <f>SMALL(SimData5000!$C$9:$C$5008,4627)</f>
        <v>0.92448104871709802</v>
      </c>
      <c r="K9635">
        <f>1/(COUNT(SimData5000!$C$9:$C$5008)-1)+$K$9634</f>
        <v>0.92538507701533002</v>
      </c>
    </row>
    <row r="9636" spans="8:11">
      <c r="H9636">
        <f>SMALL(SimData5000!$B$9:$B$5008,4628)</f>
        <v>0.92554568105934776</v>
      </c>
      <c r="I9636">
        <f>1/(COUNT(SimData5000!$B$9:$B$5008)-1)+$I$9635</f>
        <v>0.92558511702333157</v>
      </c>
      <c r="J9636">
        <f>SMALL(SimData5000!$C$9:$C$5008,4628)</f>
        <v>0.92448649331163324</v>
      </c>
      <c r="K9636">
        <f>1/(COUNT(SimData5000!$C$9:$C$5008)-1)+$K$9635</f>
        <v>0.92558511702333157</v>
      </c>
    </row>
    <row r="9637" spans="8:11">
      <c r="H9637">
        <f>SMALL(SimData5000!$B$9:$B$5008,4629)</f>
        <v>0.9257392952876955</v>
      </c>
      <c r="I9637">
        <f>1/(COUNT(SimData5000!$B$9:$B$5008)-1)+$I$9636</f>
        <v>0.92578515703133313</v>
      </c>
      <c r="J9637">
        <f>SMALL(SimData5000!$C$9:$C$5008,4629)</f>
        <v>0.92474623436464753</v>
      </c>
      <c r="K9637">
        <f>1/(COUNT(SimData5000!$C$9:$C$5008)-1)+$K$9636</f>
        <v>0.92578515703133313</v>
      </c>
    </row>
    <row r="9638" spans="8:11">
      <c r="H9638">
        <f>SMALL(SimData5000!$B$9:$B$5008,4630)</f>
        <v>0.92598963586850791</v>
      </c>
      <c r="I9638">
        <f>1/(COUNT(SimData5000!$B$9:$B$5008)-1)+$I$9637</f>
        <v>0.92598519703933468</v>
      </c>
      <c r="J9638">
        <f>SMALL(SimData5000!$C$9:$C$5008,4630)</f>
        <v>0.92486207955516875</v>
      </c>
      <c r="K9638">
        <f>1/(COUNT(SimData5000!$C$9:$C$5008)-1)+$K$9637</f>
        <v>0.92598519703933468</v>
      </c>
    </row>
    <row r="9639" spans="8:11">
      <c r="H9639">
        <f>SMALL(SimData5000!$B$9:$B$5008,4631)</f>
        <v>0.92619413312719989</v>
      </c>
      <c r="I9639">
        <f>1/(COUNT(SimData5000!$B$9:$B$5008)-1)+$I$9638</f>
        <v>0.92618523704733624</v>
      </c>
      <c r="J9639">
        <f>SMALL(SimData5000!$C$9:$C$5008,4631)</f>
        <v>0.92498997027632868</v>
      </c>
      <c r="K9639">
        <f>1/(COUNT(SimData5000!$C$9:$C$5008)-1)+$K$9638</f>
        <v>0.92618523704733624</v>
      </c>
    </row>
    <row r="9640" spans="8:11">
      <c r="H9640">
        <f>SMALL(SimData5000!$B$9:$B$5008,4632)</f>
        <v>0.92631415363832237</v>
      </c>
      <c r="I9640">
        <f>1/(COUNT(SimData5000!$B$9:$B$5008)-1)+$I$9639</f>
        <v>0.9263852770553378</v>
      </c>
      <c r="J9640">
        <f>SMALL(SimData5000!$C$9:$C$5008,4632)</f>
        <v>0.92521699122335122</v>
      </c>
      <c r="K9640">
        <f>1/(COUNT(SimData5000!$C$9:$C$5008)-1)+$K$9639</f>
        <v>0.9263852770553378</v>
      </c>
    </row>
    <row r="9641" spans="8:11">
      <c r="H9641">
        <f>SMALL(SimData5000!$B$9:$B$5008,4633)</f>
        <v>0.92642126586912688</v>
      </c>
      <c r="I9641">
        <f>1/(COUNT(SimData5000!$B$9:$B$5008)-1)+$I$9640</f>
        <v>0.92658531706333935</v>
      </c>
      <c r="J9641">
        <f>SMALL(SimData5000!$C$9:$C$5008,4633)</f>
        <v>0.92541010190416273</v>
      </c>
      <c r="K9641">
        <f>1/(COUNT(SimData5000!$C$9:$C$5008)-1)+$K$9640</f>
        <v>0.92658531706333935</v>
      </c>
    </row>
    <row r="9642" spans="8:11">
      <c r="H9642">
        <f>SMALL(SimData5000!$B$9:$B$5008,4634)</f>
        <v>0.92667423741213839</v>
      </c>
      <c r="I9642">
        <f>1/(COUNT(SimData5000!$B$9:$B$5008)-1)+$I$9641</f>
        <v>0.92678535707134091</v>
      </c>
      <c r="J9642">
        <f>SMALL(SimData5000!$C$9:$C$5008,4634)</f>
        <v>0.92546130040227581</v>
      </c>
      <c r="K9642">
        <f>1/(COUNT(SimData5000!$C$9:$C$5008)-1)+$K$9641</f>
        <v>0.92678535707134091</v>
      </c>
    </row>
    <row r="9643" spans="8:11">
      <c r="H9643">
        <f>SMALL(SimData5000!$B$9:$B$5008,4635)</f>
        <v>0.92685756130806585</v>
      </c>
      <c r="I9643">
        <f>1/(COUNT(SimData5000!$B$9:$B$5008)-1)+$I$9642</f>
        <v>0.92698539707934247</v>
      </c>
      <c r="J9643">
        <f>SMALL(SimData5000!$C$9:$C$5008,4635)</f>
        <v>0.92650761520053493</v>
      </c>
      <c r="K9643">
        <f>1/(COUNT(SimData5000!$C$9:$C$5008)-1)+$K$9642</f>
        <v>0.92698539707934247</v>
      </c>
    </row>
    <row r="9644" spans="8:11">
      <c r="H9644">
        <f>SMALL(SimData5000!$B$9:$B$5008,4636)</f>
        <v>0.92700152919967693</v>
      </c>
      <c r="I9644">
        <f>1/(COUNT(SimData5000!$B$9:$B$5008)-1)+$I$9643</f>
        <v>0.92718543708734402</v>
      </c>
      <c r="J9644">
        <f>SMALL(SimData5000!$C$9:$C$5008,4636)</f>
        <v>0.92679467334983201</v>
      </c>
      <c r="K9644">
        <f>1/(COUNT(SimData5000!$C$9:$C$5008)-1)+$K$9643</f>
        <v>0.92718543708734402</v>
      </c>
    </row>
    <row r="9645" spans="8:11">
      <c r="H9645">
        <f>SMALL(SimData5000!$B$9:$B$5008,4637)</f>
        <v>0.92732973145421815</v>
      </c>
      <c r="I9645">
        <f>1/(COUNT(SimData5000!$B$9:$B$5008)-1)+$I$9644</f>
        <v>0.92738547709534558</v>
      </c>
      <c r="J9645">
        <f>SMALL(SimData5000!$C$9:$C$5008,4637)</f>
        <v>0.92778578919478605</v>
      </c>
      <c r="K9645">
        <f>1/(COUNT(SimData5000!$C$9:$C$5008)-1)+$K$9644</f>
        <v>0.92738547709534558</v>
      </c>
    </row>
    <row r="9646" spans="8:11">
      <c r="H9646">
        <f>SMALL(SimData5000!$B$9:$B$5008,4638)</f>
        <v>0.9275652379150422</v>
      </c>
      <c r="I9646">
        <f>1/(COUNT(SimData5000!$B$9:$B$5008)-1)+$I$9645</f>
        <v>0.92758551710334713</v>
      </c>
      <c r="J9646">
        <f>SMALL(SimData5000!$C$9:$C$5008,4638)</f>
        <v>0.92785463285690639</v>
      </c>
      <c r="K9646">
        <f>1/(COUNT(SimData5000!$C$9:$C$5008)-1)+$K$9645</f>
        <v>0.92758551710334713</v>
      </c>
    </row>
    <row r="9647" spans="8:11">
      <c r="H9647">
        <f>SMALL(SimData5000!$B$9:$B$5008,4639)</f>
        <v>0.927638680960573</v>
      </c>
      <c r="I9647">
        <f>1/(COUNT(SimData5000!$B$9:$B$5008)-1)+$I$9646</f>
        <v>0.92778555711134869</v>
      </c>
      <c r="J9647">
        <f>SMALL(SimData5000!$C$9:$C$5008,4639)</f>
        <v>0.92785915334388847</v>
      </c>
      <c r="K9647">
        <f>1/(COUNT(SimData5000!$C$9:$C$5008)-1)+$K$9646</f>
        <v>0.92778555711134869</v>
      </c>
    </row>
    <row r="9648" spans="8:11">
      <c r="H9648">
        <f>SMALL(SimData5000!$B$9:$B$5008,4640)</f>
        <v>0.92780416366155349</v>
      </c>
      <c r="I9648">
        <f>1/(COUNT(SimData5000!$B$9:$B$5008)-1)+$I$9647</f>
        <v>0.92798559711935025</v>
      </c>
      <c r="J9648">
        <f>SMALL(SimData5000!$C$9:$C$5008,4640)</f>
        <v>0.92793725433057261</v>
      </c>
      <c r="K9648">
        <f>1/(COUNT(SimData5000!$C$9:$C$5008)-1)+$K$9647</f>
        <v>0.92798559711935025</v>
      </c>
    </row>
    <row r="9649" spans="8:11">
      <c r="H9649">
        <f>SMALL(SimData5000!$B$9:$B$5008,4641)</f>
        <v>0.92813827281895522</v>
      </c>
      <c r="I9649">
        <f>1/(COUNT(SimData5000!$B$9:$B$5008)-1)+$I$9648</f>
        <v>0.9281856371273518</v>
      </c>
      <c r="J9649">
        <f>SMALL(SimData5000!$C$9:$C$5008,4641)</f>
        <v>0.92813822283551417</v>
      </c>
      <c r="K9649">
        <f>1/(COUNT(SimData5000!$C$9:$C$5008)-1)+$K$9648</f>
        <v>0.9281856371273518</v>
      </c>
    </row>
    <row r="9650" spans="8:11">
      <c r="H9650">
        <f>SMALL(SimData5000!$B$9:$B$5008,4642)</f>
        <v>0.92833829328006556</v>
      </c>
      <c r="I9650">
        <f>1/(COUNT(SimData5000!$B$9:$B$5008)-1)+$I$9649</f>
        <v>0.92838567713535336</v>
      </c>
      <c r="J9650">
        <f>SMALL(SimData5000!$C$9:$C$5008,4642)</f>
        <v>0.92843104106577812</v>
      </c>
      <c r="K9650">
        <f>1/(COUNT(SimData5000!$C$9:$C$5008)-1)+$K$9649</f>
        <v>0.92838567713535336</v>
      </c>
    </row>
    <row r="9651" spans="8:11">
      <c r="H9651">
        <f>SMALL(SimData5000!$B$9:$B$5008,4643)</f>
        <v>0.92845023627002954</v>
      </c>
      <c r="I9651">
        <f>1/(COUNT(SimData5000!$B$9:$B$5008)-1)+$I$9650</f>
        <v>0.92858571714335492</v>
      </c>
      <c r="J9651">
        <f>SMALL(SimData5000!$C$9:$C$5008,4643)</f>
        <v>0.92849317932495978</v>
      </c>
      <c r="K9651">
        <f>1/(COUNT(SimData5000!$C$9:$C$5008)-1)+$K$9650</f>
        <v>0.92858571714335492</v>
      </c>
    </row>
    <row r="9652" spans="8:11">
      <c r="H9652">
        <f>SMALL(SimData5000!$B$9:$B$5008,4644)</f>
        <v>0.92870179276617748</v>
      </c>
      <c r="I9652">
        <f>1/(COUNT(SimData5000!$B$9:$B$5008)-1)+$I$9651</f>
        <v>0.92878575715135647</v>
      </c>
      <c r="J9652">
        <f>SMALL(SimData5000!$C$9:$C$5008,4644)</f>
        <v>0.9285573299139287</v>
      </c>
      <c r="K9652">
        <f>1/(COUNT(SimData5000!$C$9:$C$5008)-1)+$K$9651</f>
        <v>0.92878575715135647</v>
      </c>
    </row>
    <row r="9653" spans="8:11">
      <c r="H9653">
        <f>SMALL(SimData5000!$B$9:$B$5008,4645)</f>
        <v>0.92899138531884906</v>
      </c>
      <c r="I9653">
        <f>1/(COUNT(SimData5000!$B$9:$B$5008)-1)+$I$9652</f>
        <v>0.92898579715935803</v>
      </c>
      <c r="J9653">
        <f>SMALL(SimData5000!$C$9:$C$5008,4645)</f>
        <v>0.92871554877547169</v>
      </c>
      <c r="K9653">
        <f>1/(COUNT(SimData5000!$C$9:$C$5008)-1)+$K$9652</f>
        <v>0.92898579715935803</v>
      </c>
    </row>
    <row r="9654" spans="8:11">
      <c r="H9654">
        <f>SMALL(SimData5000!$B$9:$B$5008,4646)</f>
        <v>0.92919586904616935</v>
      </c>
      <c r="I9654">
        <f>1/(COUNT(SimData5000!$B$9:$B$5008)-1)+$I$9653</f>
        <v>0.92918583716735959</v>
      </c>
      <c r="J9654">
        <f>SMALL(SimData5000!$C$9:$C$5008,4646)</f>
        <v>0.9289162056047644</v>
      </c>
      <c r="K9654">
        <f>1/(COUNT(SimData5000!$C$9:$C$5008)-1)+$K$9653</f>
        <v>0.92918583716735959</v>
      </c>
    </row>
    <row r="9655" spans="8:11">
      <c r="H9655">
        <f>SMALL(SimData5000!$B$9:$B$5008,4647)</f>
        <v>0.92924515371672933</v>
      </c>
      <c r="I9655">
        <f>1/(COUNT(SimData5000!$B$9:$B$5008)-1)+$I$9654</f>
        <v>0.92938587717536114</v>
      </c>
      <c r="J9655">
        <f>SMALL(SimData5000!$C$9:$C$5008,4647)</f>
        <v>0.9296635381933811</v>
      </c>
      <c r="K9655">
        <f>1/(COUNT(SimData5000!$C$9:$C$5008)-1)+$K$9654</f>
        <v>0.92938587717536114</v>
      </c>
    </row>
    <row r="9656" spans="8:11">
      <c r="H9656">
        <f>SMALL(SimData5000!$B$9:$B$5008,4648)</f>
        <v>0.92943324914151648</v>
      </c>
      <c r="I9656">
        <f>1/(COUNT(SimData5000!$B$9:$B$5008)-1)+$I$9655</f>
        <v>0.9295859171833627</v>
      </c>
      <c r="J9656">
        <f>SMALL(SimData5000!$C$9:$C$5008,4648)</f>
        <v>0.9296821285288388</v>
      </c>
      <c r="K9656">
        <f>1/(COUNT(SimData5000!$C$9:$C$5008)-1)+$K$9655</f>
        <v>0.9295859171833627</v>
      </c>
    </row>
    <row r="9657" spans="8:11">
      <c r="H9657">
        <f>SMALL(SimData5000!$B$9:$B$5008,4649)</f>
        <v>0.92963909687563751</v>
      </c>
      <c r="I9657">
        <f>1/(COUNT(SimData5000!$B$9:$B$5008)-1)+$I$9656</f>
        <v>0.92978595719136425</v>
      </c>
      <c r="J9657">
        <f>SMALL(SimData5000!$C$9:$C$5008,4649)</f>
        <v>0.9298975316232827</v>
      </c>
      <c r="K9657">
        <f>1/(COUNT(SimData5000!$C$9:$C$5008)-1)+$K$9656</f>
        <v>0.92978595719136425</v>
      </c>
    </row>
    <row r="9658" spans="8:11">
      <c r="H9658">
        <f>SMALL(SimData5000!$B$9:$B$5008,4650)</f>
        <v>0.92992133495889628</v>
      </c>
      <c r="I9658">
        <f>1/(COUNT(SimData5000!$B$9:$B$5008)-1)+$I$9657</f>
        <v>0.92998599719936581</v>
      </c>
      <c r="J9658">
        <f>SMALL(SimData5000!$C$9:$C$5008,4650)</f>
        <v>0.93008448274940747</v>
      </c>
      <c r="K9658">
        <f>1/(COUNT(SimData5000!$C$9:$C$5008)-1)+$K$9657</f>
        <v>0.92998599719936581</v>
      </c>
    </row>
    <row r="9659" spans="8:11">
      <c r="H9659">
        <f>SMALL(SimData5000!$B$9:$B$5008,4651)</f>
        <v>0.93003147230344618</v>
      </c>
      <c r="I9659">
        <f>1/(COUNT(SimData5000!$B$9:$B$5008)-1)+$I$9658</f>
        <v>0.93018603720736737</v>
      </c>
      <c r="J9659">
        <f>SMALL(SimData5000!$C$9:$C$5008,4651)</f>
        <v>0.93010849019812558</v>
      </c>
      <c r="K9659">
        <f>1/(COUNT(SimData5000!$C$9:$C$5008)-1)+$K$9658</f>
        <v>0.93018603720736737</v>
      </c>
    </row>
    <row r="9660" spans="8:11">
      <c r="H9660">
        <f>SMALL(SimData5000!$B$9:$B$5008,4652)</f>
        <v>0.9303914337214062</v>
      </c>
      <c r="I9660">
        <f>1/(COUNT(SimData5000!$B$9:$B$5008)-1)+$I$9659</f>
        <v>0.93038607721536892</v>
      </c>
      <c r="J9660">
        <f>SMALL(SimData5000!$C$9:$C$5008,4652)</f>
        <v>0.93012893600825919</v>
      </c>
      <c r="K9660">
        <f>1/(COUNT(SimData5000!$C$9:$C$5008)-1)+$K$9659</f>
        <v>0.93038607721536892</v>
      </c>
    </row>
    <row r="9661" spans="8:11">
      <c r="H9661">
        <f>SMALL(SimData5000!$B$9:$B$5008,4653)</f>
        <v>0.93056256213918387</v>
      </c>
      <c r="I9661">
        <f>1/(COUNT(SimData5000!$B$9:$B$5008)-1)+$I$9660</f>
        <v>0.93058611722337048</v>
      </c>
      <c r="J9661">
        <f>SMALL(SimData5000!$C$9:$C$5008,4653)</f>
        <v>0.93025321847835585</v>
      </c>
      <c r="K9661">
        <f>1/(COUNT(SimData5000!$C$9:$C$5008)-1)+$K$9660</f>
        <v>0.93058611722337048</v>
      </c>
    </row>
    <row r="9662" spans="8:11">
      <c r="H9662">
        <f>SMALL(SimData5000!$B$9:$B$5008,4654)</f>
        <v>0.93078566842558463</v>
      </c>
      <c r="I9662">
        <f>1/(COUNT(SimData5000!$B$9:$B$5008)-1)+$I$9661</f>
        <v>0.93078615723137204</v>
      </c>
      <c r="J9662">
        <f>SMALL(SimData5000!$C$9:$C$5008,4654)</f>
        <v>0.93048064575577882</v>
      </c>
      <c r="K9662">
        <f>1/(COUNT(SimData5000!$C$9:$C$5008)-1)+$K$9661</f>
        <v>0.93078615723137204</v>
      </c>
    </row>
    <row r="9663" spans="8:11">
      <c r="H9663">
        <f>SMALL(SimData5000!$B$9:$B$5008,4655)</f>
        <v>0.93083196077780617</v>
      </c>
      <c r="I9663">
        <f>1/(COUNT(SimData5000!$B$9:$B$5008)-1)+$I$9662</f>
        <v>0.93098619723937359</v>
      </c>
      <c r="J9663">
        <f>SMALL(SimData5000!$C$9:$C$5008,4655)</f>
        <v>0.93054824751015985</v>
      </c>
      <c r="K9663">
        <f>1/(COUNT(SimData5000!$C$9:$C$5008)-1)+$K$9662</f>
        <v>0.93098619723937359</v>
      </c>
    </row>
    <row r="9664" spans="8:11">
      <c r="H9664">
        <f>SMALL(SimData5000!$B$9:$B$5008,4656)</f>
        <v>0.931039275951972</v>
      </c>
      <c r="I9664">
        <f>1/(COUNT(SimData5000!$B$9:$B$5008)-1)+$I$9663</f>
        <v>0.93118623724737515</v>
      </c>
      <c r="J9664">
        <f>SMALL(SimData5000!$C$9:$C$5008,4656)</f>
        <v>0.93059701688889618</v>
      </c>
      <c r="K9664">
        <f>1/(COUNT(SimData5000!$C$9:$C$5008)-1)+$K$9663</f>
        <v>0.93118623724737515</v>
      </c>
    </row>
    <row r="9665" spans="8:11">
      <c r="H9665">
        <f>SMALL(SimData5000!$B$9:$B$5008,4657)</f>
        <v>0.931351665276138</v>
      </c>
      <c r="I9665">
        <f>1/(COUNT(SimData5000!$B$9:$B$5008)-1)+$I$9664</f>
        <v>0.9313862772553767</v>
      </c>
      <c r="J9665">
        <f>SMALL(SimData5000!$C$9:$C$5008,4657)</f>
        <v>0.93109565152462892</v>
      </c>
      <c r="K9665">
        <f>1/(COUNT(SimData5000!$C$9:$C$5008)-1)+$K$9664</f>
        <v>0.9313862772553767</v>
      </c>
    </row>
    <row r="9666" spans="8:11">
      <c r="H9666">
        <f>SMALL(SimData5000!$B$9:$B$5008,4658)</f>
        <v>0.93151662957340398</v>
      </c>
      <c r="I9666">
        <f>1/(COUNT(SimData5000!$B$9:$B$5008)-1)+$I$9665</f>
        <v>0.93158631726337826</v>
      </c>
      <c r="J9666">
        <f>SMALL(SimData5000!$C$9:$C$5008,4658)</f>
        <v>0.93128904724017048</v>
      </c>
      <c r="K9666">
        <f>1/(COUNT(SimData5000!$C$9:$C$5008)-1)+$K$9665</f>
        <v>0.93158631726337826</v>
      </c>
    </row>
    <row r="9667" spans="8:11">
      <c r="H9667">
        <f>SMALL(SimData5000!$B$9:$B$5008,4659)</f>
        <v>0.93168737466495655</v>
      </c>
      <c r="I9667">
        <f>1/(COUNT(SimData5000!$B$9:$B$5008)-1)+$I$9666</f>
        <v>0.93178635727137982</v>
      </c>
      <c r="J9667">
        <f>SMALL(SimData5000!$C$9:$C$5008,4659)</f>
        <v>0.9313499391764708</v>
      </c>
      <c r="K9667">
        <f>1/(COUNT(SimData5000!$C$9:$C$5008)-1)+$K$9666</f>
        <v>0.93178635727137982</v>
      </c>
    </row>
    <row r="9668" spans="8:11">
      <c r="H9668">
        <f>SMALL(SimData5000!$B$9:$B$5008,4660)</f>
        <v>0.9319701575509669</v>
      </c>
      <c r="I9668">
        <f>1/(COUNT(SimData5000!$B$9:$B$5008)-1)+$I$9667</f>
        <v>0.93198639727938137</v>
      </c>
      <c r="J9668">
        <f>SMALL(SimData5000!$C$9:$C$5008,4660)</f>
        <v>0.93145537773943943</v>
      </c>
      <c r="K9668">
        <f>1/(COUNT(SimData5000!$C$9:$C$5008)-1)+$K$9667</f>
        <v>0.93198639727938137</v>
      </c>
    </row>
    <row r="9669" spans="8:11">
      <c r="H9669">
        <f>SMALL(SimData5000!$B$9:$B$5008,4661)</f>
        <v>0.93212225480464328</v>
      </c>
      <c r="I9669">
        <f>1/(COUNT(SimData5000!$B$9:$B$5008)-1)+$I$9668</f>
        <v>0.93218643728738293</v>
      </c>
      <c r="J9669">
        <f>SMALL(SimData5000!$C$9:$C$5008,4661)</f>
        <v>0.93156448078025278</v>
      </c>
      <c r="K9669">
        <f>1/(COUNT(SimData5000!$C$9:$C$5008)-1)+$K$9668</f>
        <v>0.93218643728738293</v>
      </c>
    </row>
    <row r="9670" spans="8:11">
      <c r="H9670">
        <f>SMALL(SimData5000!$B$9:$B$5008,4662)</f>
        <v>0.93227827096564653</v>
      </c>
      <c r="I9670">
        <f>1/(COUNT(SimData5000!$B$9:$B$5008)-1)+$I$9669</f>
        <v>0.93238647729538449</v>
      </c>
      <c r="J9670">
        <f>SMALL(SimData5000!$C$9:$C$5008,4662)</f>
        <v>0.93167931154584949</v>
      </c>
      <c r="K9670">
        <f>1/(COUNT(SimData5000!$C$9:$C$5008)-1)+$K$9669</f>
        <v>0.93238647729538449</v>
      </c>
    </row>
    <row r="9671" spans="8:11">
      <c r="H9671">
        <f>SMALL(SimData5000!$B$9:$B$5008,4663)</f>
        <v>0.93243336346220074</v>
      </c>
      <c r="I9671">
        <f>1/(COUNT(SimData5000!$B$9:$B$5008)-1)+$I$9670</f>
        <v>0.93258651730338604</v>
      </c>
      <c r="J9671">
        <f>SMALL(SimData5000!$C$9:$C$5008,4663)</f>
        <v>0.93183663769741543</v>
      </c>
      <c r="K9671">
        <f>1/(COUNT(SimData5000!$C$9:$C$5008)-1)+$K$9670</f>
        <v>0.93258651730338604</v>
      </c>
    </row>
    <row r="9672" spans="8:11">
      <c r="H9672">
        <f>SMALL(SimData5000!$B$9:$B$5008,4664)</f>
        <v>0.93265141413259589</v>
      </c>
      <c r="I9672">
        <f>1/(COUNT(SimData5000!$B$9:$B$5008)-1)+$I$9671</f>
        <v>0.9327865573113876</v>
      </c>
      <c r="J9672">
        <f>SMALL(SimData5000!$C$9:$C$5008,4664)</f>
        <v>0.93196484011969005</v>
      </c>
      <c r="K9672">
        <f>1/(COUNT(SimData5000!$C$9:$C$5008)-1)+$K$9671</f>
        <v>0.9327865573113876</v>
      </c>
    </row>
    <row r="9673" spans="8:11">
      <c r="H9673">
        <f>SMALL(SimData5000!$B$9:$B$5008,4665)</f>
        <v>0.93294897410239774</v>
      </c>
      <c r="I9673">
        <f>1/(COUNT(SimData5000!$B$9:$B$5008)-1)+$I$9672</f>
        <v>0.93298659731938915</v>
      </c>
      <c r="J9673">
        <f>SMALL(SimData5000!$C$9:$C$5008,4665)</f>
        <v>0.93213885479417513</v>
      </c>
      <c r="K9673">
        <f>1/(COUNT(SimData5000!$C$9:$C$5008)-1)+$K$9672</f>
        <v>0.93298659731938915</v>
      </c>
    </row>
    <row r="9674" spans="8:11">
      <c r="H9674">
        <f>SMALL(SimData5000!$B$9:$B$5008,4666)</f>
        <v>0.93301100718146446</v>
      </c>
      <c r="I9674">
        <f>1/(COUNT(SimData5000!$B$9:$B$5008)-1)+$I$9673</f>
        <v>0.93318663732739071</v>
      </c>
      <c r="J9674">
        <f>SMALL(SimData5000!$C$9:$C$5008,4666)</f>
        <v>0.93262082486853615</v>
      </c>
      <c r="K9674">
        <f>1/(COUNT(SimData5000!$C$9:$C$5008)-1)+$K$9673</f>
        <v>0.93318663732739071</v>
      </c>
    </row>
    <row r="9675" spans="8:11">
      <c r="H9675">
        <f>SMALL(SimData5000!$B$9:$B$5008,4667)</f>
        <v>0.93328301728448892</v>
      </c>
      <c r="I9675">
        <f>1/(COUNT(SimData5000!$B$9:$B$5008)-1)+$I$9674</f>
        <v>0.93338667733539227</v>
      </c>
      <c r="J9675">
        <f>SMALL(SimData5000!$C$9:$C$5008,4667)</f>
        <v>0.93262770155251928</v>
      </c>
      <c r="K9675">
        <f>1/(COUNT(SimData5000!$C$9:$C$5008)-1)+$K$9674</f>
        <v>0.93338667733539227</v>
      </c>
    </row>
    <row r="9676" spans="8:11">
      <c r="H9676">
        <f>SMALL(SimData5000!$B$9:$B$5008,4668)</f>
        <v>0.93357970749726049</v>
      </c>
      <c r="I9676">
        <f>1/(COUNT(SimData5000!$B$9:$B$5008)-1)+$I$9675</f>
        <v>0.93358671734339382</v>
      </c>
      <c r="J9676">
        <f>SMALL(SimData5000!$C$9:$C$5008,4668)</f>
        <v>0.93277750892866607</v>
      </c>
      <c r="K9676">
        <f>1/(COUNT(SimData5000!$C$9:$C$5008)-1)+$K$9675</f>
        <v>0.93358671734339382</v>
      </c>
    </row>
    <row r="9677" spans="8:11">
      <c r="H9677">
        <f>SMALL(SimData5000!$B$9:$B$5008,4669)</f>
        <v>0.933798121580388</v>
      </c>
      <c r="I9677">
        <f>1/(COUNT(SimData5000!$B$9:$B$5008)-1)+$I$9676</f>
        <v>0.93378675735139538</v>
      </c>
      <c r="J9677">
        <f>SMALL(SimData5000!$C$9:$C$5008,4669)</f>
        <v>0.93287618266913341</v>
      </c>
      <c r="K9677">
        <f>1/(COUNT(SimData5000!$C$9:$C$5008)-1)+$K$9676</f>
        <v>0.93378675735139538</v>
      </c>
    </row>
    <row r="9678" spans="8:11">
      <c r="H9678">
        <f>SMALL(SimData5000!$B$9:$B$5008,4670)</f>
        <v>0.93398284645117424</v>
      </c>
      <c r="I9678">
        <f>1/(COUNT(SimData5000!$B$9:$B$5008)-1)+$I$9677</f>
        <v>0.93398679735939694</v>
      </c>
      <c r="J9678">
        <f>SMALL(SimData5000!$C$9:$C$5008,4670)</f>
        <v>0.93339185104377975</v>
      </c>
      <c r="K9678">
        <f>1/(COUNT(SimData5000!$C$9:$C$5008)-1)+$K$9677</f>
        <v>0.93398679735939694</v>
      </c>
    </row>
    <row r="9679" spans="8:11">
      <c r="H9679">
        <f>SMALL(SimData5000!$B$9:$B$5008,4671)</f>
        <v>0.93410310794708862</v>
      </c>
      <c r="I9679">
        <f>1/(COUNT(SimData5000!$B$9:$B$5008)-1)+$I$9678</f>
        <v>0.93418683736739849</v>
      </c>
      <c r="J9679">
        <f>SMALL(SimData5000!$C$9:$C$5008,4671)</f>
        <v>0.93340673877992231</v>
      </c>
      <c r="K9679">
        <f>1/(COUNT(SimData5000!$C$9:$C$5008)-1)+$K$9678</f>
        <v>0.93418683736739849</v>
      </c>
    </row>
    <row r="9680" spans="8:11">
      <c r="H9680">
        <f>SMALL(SimData5000!$B$9:$B$5008,4672)</f>
        <v>0.93429213578838211</v>
      </c>
      <c r="I9680">
        <f>1/(COUNT(SimData5000!$B$9:$B$5008)-1)+$I$9679</f>
        <v>0.93438687737540005</v>
      </c>
      <c r="J9680">
        <f>SMALL(SimData5000!$C$9:$C$5008,4672)</f>
        <v>0.93347210930551228</v>
      </c>
      <c r="K9680">
        <f>1/(COUNT(SimData5000!$C$9:$C$5008)-1)+$K$9679</f>
        <v>0.93438687737540005</v>
      </c>
    </row>
    <row r="9681" spans="8:11">
      <c r="H9681">
        <f>SMALL(SimData5000!$B$9:$B$5008,4673)</f>
        <v>0.93443027985734639</v>
      </c>
      <c r="I9681">
        <f>1/(COUNT(SimData5000!$B$9:$B$5008)-1)+$I$9680</f>
        <v>0.93458691738340161</v>
      </c>
      <c r="J9681">
        <f>SMALL(SimData5000!$C$9:$C$5008,4673)</f>
        <v>0.9336961004355544</v>
      </c>
      <c r="K9681">
        <f>1/(COUNT(SimData5000!$C$9:$C$5008)-1)+$K$9680</f>
        <v>0.93458691738340161</v>
      </c>
    </row>
    <row r="9682" spans="8:11">
      <c r="H9682">
        <f>SMALL(SimData5000!$B$9:$B$5008,4674)</f>
        <v>0.93478662463389028</v>
      </c>
      <c r="I9682">
        <f>1/(COUNT(SimData5000!$B$9:$B$5008)-1)+$I$9681</f>
        <v>0.93478695739140316</v>
      </c>
      <c r="J9682">
        <f>SMALL(SimData5000!$C$9:$C$5008,4674)</f>
        <v>0.93387955939488165</v>
      </c>
      <c r="K9682">
        <f>1/(COUNT(SimData5000!$C$9:$C$5008)-1)+$K$9681</f>
        <v>0.93478695739140316</v>
      </c>
    </row>
    <row r="9683" spans="8:11">
      <c r="H9683">
        <f>SMALL(SimData5000!$B$9:$B$5008,4675)</f>
        <v>0.93495683769326587</v>
      </c>
      <c r="I9683">
        <f>1/(COUNT(SimData5000!$B$9:$B$5008)-1)+$I$9682</f>
        <v>0.93498699739940472</v>
      </c>
      <c r="J9683">
        <f>SMALL(SimData5000!$C$9:$C$5008,4675)</f>
        <v>0.93398482874727051</v>
      </c>
      <c r="K9683">
        <f>1/(COUNT(SimData5000!$C$9:$C$5008)-1)+$K$9682</f>
        <v>0.93498699739940472</v>
      </c>
    </row>
    <row r="9684" spans="8:11">
      <c r="H9684">
        <f>SMALL(SimData5000!$B$9:$B$5008,4676)</f>
        <v>0.93517474083271224</v>
      </c>
      <c r="I9684">
        <f>1/(COUNT(SimData5000!$B$9:$B$5008)-1)+$I$9683</f>
        <v>0.93518703740740627</v>
      </c>
      <c r="J9684">
        <f>SMALL(SimData5000!$C$9:$C$5008,4676)</f>
        <v>0.93484028047168977</v>
      </c>
      <c r="K9684">
        <f>1/(COUNT(SimData5000!$C$9:$C$5008)-1)+$K$9683</f>
        <v>0.93518703740740627</v>
      </c>
    </row>
    <row r="9685" spans="8:11">
      <c r="H9685">
        <f>SMALL(SimData5000!$B$9:$B$5008,4677)</f>
        <v>0.93534834894988417</v>
      </c>
      <c r="I9685">
        <f>1/(COUNT(SimData5000!$B$9:$B$5008)-1)+$I$9684</f>
        <v>0.93538707741540783</v>
      </c>
      <c r="J9685">
        <f>SMALL(SimData5000!$C$9:$C$5008,4677)</f>
        <v>0.93563045114660781</v>
      </c>
      <c r="K9685">
        <f>1/(COUNT(SimData5000!$C$9:$C$5008)-1)+$K$9684</f>
        <v>0.93538707741540783</v>
      </c>
    </row>
    <row r="9686" spans="8:11">
      <c r="H9686">
        <f>SMALL(SimData5000!$B$9:$B$5008,4678)</f>
        <v>0.93550004959104116</v>
      </c>
      <c r="I9686">
        <f>1/(COUNT(SimData5000!$B$9:$B$5008)-1)+$I$9685</f>
        <v>0.93558711742340939</v>
      </c>
      <c r="J9686">
        <f>SMALL(SimData5000!$C$9:$C$5008,4678)</f>
        <v>0.93592703826197976</v>
      </c>
      <c r="K9686">
        <f>1/(COUNT(SimData5000!$C$9:$C$5008)-1)+$K$9685</f>
        <v>0.93558711742340939</v>
      </c>
    </row>
    <row r="9687" spans="8:11">
      <c r="H9687">
        <f>SMALL(SimData5000!$B$9:$B$5008,4679)</f>
        <v>0.9356068094467761</v>
      </c>
      <c r="I9687">
        <f>1/(COUNT(SimData5000!$B$9:$B$5008)-1)+$I$9686</f>
        <v>0.93578715743141094</v>
      </c>
      <c r="J9687">
        <f>SMALL(SimData5000!$C$9:$C$5008,4679)</f>
        <v>0.93604358689026412</v>
      </c>
      <c r="K9687">
        <f>1/(COUNT(SimData5000!$C$9:$C$5008)-1)+$K$9686</f>
        <v>0.93578715743141094</v>
      </c>
    </row>
    <row r="9688" spans="8:11">
      <c r="H9688">
        <f>SMALL(SimData5000!$B$9:$B$5008,4680)</f>
        <v>0.93589206887094589</v>
      </c>
      <c r="I9688">
        <f>1/(COUNT(SimData5000!$B$9:$B$5008)-1)+$I$9687</f>
        <v>0.9359871974394125</v>
      </c>
      <c r="J9688">
        <f>SMALL(SimData5000!$C$9:$C$5008,4680)</f>
        <v>0.93635227428148937</v>
      </c>
      <c r="K9688">
        <f>1/(COUNT(SimData5000!$C$9:$C$5008)-1)+$K$9687</f>
        <v>0.9359871974394125</v>
      </c>
    </row>
    <row r="9689" spans="8:11">
      <c r="H9689">
        <f>SMALL(SimData5000!$B$9:$B$5008,4681)</f>
        <v>0.93604118246199597</v>
      </c>
      <c r="I9689">
        <f>1/(COUNT(SimData5000!$B$9:$B$5008)-1)+$I$9688</f>
        <v>0.93618723744741406</v>
      </c>
      <c r="J9689">
        <f>SMALL(SimData5000!$C$9:$C$5008,4681)</f>
        <v>0.9364472221059259</v>
      </c>
      <c r="K9689">
        <f>1/(COUNT(SimData5000!$C$9:$C$5008)-1)+$K$9688</f>
        <v>0.93618723744741406</v>
      </c>
    </row>
    <row r="9690" spans="8:11">
      <c r="H9690">
        <f>SMALL(SimData5000!$B$9:$B$5008,4682)</f>
        <v>0.93627562065121617</v>
      </c>
      <c r="I9690">
        <f>1/(COUNT(SimData5000!$B$9:$B$5008)-1)+$I$9689</f>
        <v>0.93638727745541561</v>
      </c>
      <c r="J9690">
        <f>SMALL(SimData5000!$C$9:$C$5008,4682)</f>
        <v>0.93670118120553525</v>
      </c>
      <c r="K9690">
        <f>1/(COUNT(SimData5000!$C$9:$C$5008)-1)+$K$9689</f>
        <v>0.93638727745541561</v>
      </c>
    </row>
    <row r="9691" spans="8:11">
      <c r="H9691">
        <f>SMALL(SimData5000!$B$9:$B$5008,4683)</f>
        <v>0.93643510919144268</v>
      </c>
      <c r="I9691">
        <f>1/(COUNT(SimData5000!$B$9:$B$5008)-1)+$I$9690</f>
        <v>0.93658731746341717</v>
      </c>
      <c r="J9691">
        <f>SMALL(SimData5000!$C$9:$C$5008,4683)</f>
        <v>0.93712119015799544</v>
      </c>
      <c r="K9691">
        <f>1/(COUNT(SimData5000!$C$9:$C$5008)-1)+$K$9690</f>
        <v>0.93658731746341717</v>
      </c>
    </row>
    <row r="9692" spans="8:11">
      <c r="H9692">
        <f>SMALL(SimData5000!$B$9:$B$5008,4684)</f>
        <v>0.93675585021547869</v>
      </c>
      <c r="I9692">
        <f>1/(COUNT(SimData5000!$B$9:$B$5008)-1)+$I$9691</f>
        <v>0.93678735747141872</v>
      </c>
      <c r="J9692">
        <f>SMALL(SimData5000!$C$9:$C$5008,4684)</f>
        <v>0.93712527595835127</v>
      </c>
      <c r="K9692">
        <f>1/(COUNT(SimData5000!$C$9:$C$5008)-1)+$K$9691</f>
        <v>0.93678735747141872</v>
      </c>
    </row>
    <row r="9693" spans="8:11">
      <c r="H9693">
        <f>SMALL(SimData5000!$B$9:$B$5008,4685)</f>
        <v>0.93695116750573526</v>
      </c>
      <c r="I9693">
        <f>1/(COUNT(SimData5000!$B$9:$B$5008)-1)+$I$9692</f>
        <v>0.93698739747942028</v>
      </c>
      <c r="J9693">
        <f>SMALL(SimData5000!$C$9:$C$5008,4685)</f>
        <v>0.9372484711739304</v>
      </c>
      <c r="K9693">
        <f>1/(COUNT(SimData5000!$C$9:$C$5008)-1)+$K$9692</f>
        <v>0.93698739747942028</v>
      </c>
    </row>
    <row r="9694" spans="8:11">
      <c r="H9694">
        <f>SMALL(SimData5000!$B$9:$B$5008,4686)</f>
        <v>0.93711270038348449</v>
      </c>
      <c r="I9694">
        <f>1/(COUNT(SimData5000!$B$9:$B$5008)-1)+$I$9693</f>
        <v>0.93718743748742184</v>
      </c>
      <c r="J9694">
        <f>SMALL(SimData5000!$C$9:$C$5008,4686)</f>
        <v>0.93810119008503534</v>
      </c>
      <c r="K9694">
        <f>1/(COUNT(SimData5000!$C$9:$C$5008)-1)+$K$9693</f>
        <v>0.93718743748742184</v>
      </c>
    </row>
    <row r="9695" spans="8:11">
      <c r="H9695">
        <f>SMALL(SimData5000!$B$9:$B$5008,4687)</f>
        <v>0.93729056251847431</v>
      </c>
      <c r="I9695">
        <f>1/(COUNT(SimData5000!$B$9:$B$5008)-1)+$I$9694</f>
        <v>0.93738747749542339</v>
      </c>
      <c r="J9695">
        <f>SMALL(SimData5000!$C$9:$C$5008,4687)</f>
        <v>0.93822240861663886</v>
      </c>
      <c r="K9695">
        <f>1/(COUNT(SimData5000!$C$9:$C$5008)-1)+$K$9694</f>
        <v>0.93738747749542339</v>
      </c>
    </row>
    <row r="9696" spans="8:11">
      <c r="H9696">
        <f>SMALL(SimData5000!$B$9:$B$5008,4688)</f>
        <v>0.93741728296163895</v>
      </c>
      <c r="I9696">
        <f>1/(COUNT(SimData5000!$B$9:$B$5008)-1)+$I$9695</f>
        <v>0.93758751750342495</v>
      </c>
      <c r="J9696">
        <f>SMALL(SimData5000!$C$9:$C$5008,4688)</f>
        <v>0.93845931425039453</v>
      </c>
      <c r="K9696">
        <f>1/(COUNT(SimData5000!$C$9:$C$5008)-1)+$K$9695</f>
        <v>0.93758751750342495</v>
      </c>
    </row>
    <row r="9697" spans="8:11">
      <c r="H9697">
        <f>SMALL(SimData5000!$B$9:$B$5008,4689)</f>
        <v>0.93761265842654107</v>
      </c>
      <c r="I9697">
        <f>1/(COUNT(SimData5000!$B$9:$B$5008)-1)+$I$9696</f>
        <v>0.93778755751142651</v>
      </c>
      <c r="J9697">
        <f>SMALL(SimData5000!$C$9:$C$5008,4689)</f>
        <v>0.93857140293584962</v>
      </c>
      <c r="K9697">
        <f>1/(COUNT(SimData5000!$C$9:$C$5008)-1)+$K$9696</f>
        <v>0.93778755751142651</v>
      </c>
    </row>
    <row r="9698" spans="8:11">
      <c r="H9698">
        <f>SMALL(SimData5000!$B$9:$B$5008,4690)</f>
        <v>0.93793240656646248</v>
      </c>
      <c r="I9698">
        <f>1/(COUNT(SimData5000!$B$9:$B$5008)-1)+$I$9697</f>
        <v>0.93798759751942806</v>
      </c>
      <c r="J9698">
        <f>SMALL(SimData5000!$C$9:$C$5008,4690)</f>
        <v>0.93858909532718826</v>
      </c>
      <c r="K9698">
        <f>1/(COUNT(SimData5000!$C$9:$C$5008)-1)+$K$9697</f>
        <v>0.93798759751942806</v>
      </c>
    </row>
    <row r="9699" spans="8:11">
      <c r="H9699">
        <f>SMALL(SimData5000!$B$9:$B$5008,4691)</f>
        <v>0.93805613317127723</v>
      </c>
      <c r="I9699">
        <f>1/(COUNT(SimData5000!$B$9:$B$5008)-1)+$I$9698</f>
        <v>0.93818763752742962</v>
      </c>
      <c r="J9699">
        <f>SMALL(SimData5000!$C$9:$C$5008,4691)</f>
        <v>0.93869184208324441</v>
      </c>
      <c r="K9699">
        <f>1/(COUNT(SimData5000!$C$9:$C$5008)-1)+$K$9698</f>
        <v>0.93818763752742962</v>
      </c>
    </row>
    <row r="9700" spans="8:11">
      <c r="H9700">
        <f>SMALL(SimData5000!$B$9:$B$5008,4692)</f>
        <v>0.93830253718511725</v>
      </c>
      <c r="I9700">
        <f>1/(COUNT(SimData5000!$B$9:$B$5008)-1)+$I$9699</f>
        <v>0.93838767753543118</v>
      </c>
      <c r="J9700">
        <f>SMALL(SimData5000!$C$9:$C$5008,4692)</f>
        <v>0.9386971655421803</v>
      </c>
      <c r="K9700">
        <f>1/(COUNT(SimData5000!$C$9:$C$5008)-1)+$K$9699</f>
        <v>0.93838767753543118</v>
      </c>
    </row>
    <row r="9701" spans="8:11">
      <c r="H9701">
        <f>SMALL(SimData5000!$B$9:$B$5008,4693)</f>
        <v>0.93857765764835699</v>
      </c>
      <c r="I9701">
        <f>1/(COUNT(SimData5000!$B$9:$B$5008)-1)+$I$9700</f>
        <v>0.93858771754343273</v>
      </c>
      <c r="J9701">
        <f>SMALL(SimData5000!$C$9:$C$5008,4693)</f>
        <v>0.93902733343202271</v>
      </c>
      <c r="K9701">
        <f>1/(COUNT(SimData5000!$C$9:$C$5008)-1)+$K$9700</f>
        <v>0.93858771754343273</v>
      </c>
    </row>
    <row r="9702" spans="8:11">
      <c r="H9702">
        <f>SMALL(SimData5000!$B$9:$B$5008,4694)</f>
        <v>0.9386832439606273</v>
      </c>
      <c r="I9702">
        <f>1/(COUNT(SimData5000!$B$9:$B$5008)-1)+$I$9701</f>
        <v>0.93878775755143429</v>
      </c>
      <c r="J9702">
        <f>SMALL(SimData5000!$C$9:$C$5008,4694)</f>
        <v>0.93922080893753446</v>
      </c>
      <c r="K9702">
        <f>1/(COUNT(SimData5000!$C$9:$C$5008)-1)+$K$9701</f>
        <v>0.93878775755143429</v>
      </c>
    </row>
    <row r="9703" spans="8:11">
      <c r="H9703">
        <f>SMALL(SimData5000!$B$9:$B$5008,4695)</f>
        <v>0.93886821234311624</v>
      </c>
      <c r="I9703">
        <f>1/(COUNT(SimData5000!$B$9:$B$5008)-1)+$I$9702</f>
        <v>0.93898779755943584</v>
      </c>
      <c r="J9703">
        <f>SMALL(SimData5000!$C$9:$C$5008,4695)</f>
        <v>0.93928469957791094</v>
      </c>
      <c r="K9703">
        <f>1/(COUNT(SimData5000!$C$9:$C$5008)-1)+$K$9702</f>
        <v>0.93898779755943584</v>
      </c>
    </row>
    <row r="9704" spans="8:11">
      <c r="H9704">
        <f>SMALL(SimData5000!$B$9:$B$5008,4696)</f>
        <v>0.93909981416624511</v>
      </c>
      <c r="I9704">
        <f>1/(COUNT(SimData5000!$B$9:$B$5008)-1)+$I$9703</f>
        <v>0.9391878375674374</v>
      </c>
      <c r="J9704">
        <f>SMALL(SimData5000!$C$9:$C$5008,4696)</f>
        <v>0.93928907415283902</v>
      </c>
      <c r="K9704">
        <f>1/(COUNT(SimData5000!$C$9:$C$5008)-1)+$K$9703</f>
        <v>0.9391878375674374</v>
      </c>
    </row>
    <row r="9705" spans="8:11">
      <c r="H9705">
        <f>SMALL(SimData5000!$B$9:$B$5008,4697)</f>
        <v>0.93939966815998777</v>
      </c>
      <c r="I9705">
        <f>1/(COUNT(SimData5000!$B$9:$B$5008)-1)+$I$9704</f>
        <v>0.93938787757543896</v>
      </c>
      <c r="J9705">
        <f>SMALL(SimData5000!$C$9:$C$5008,4697)</f>
        <v>0.93934744933903858</v>
      </c>
      <c r="K9705">
        <f>1/(COUNT(SimData5000!$C$9:$C$5008)-1)+$K$9704</f>
        <v>0.93938787757543896</v>
      </c>
    </row>
    <row r="9706" spans="8:11">
      <c r="H9706">
        <f>SMALL(SimData5000!$B$9:$B$5008,4698)</f>
        <v>0.93958284878716403</v>
      </c>
      <c r="I9706">
        <f>1/(COUNT(SimData5000!$B$9:$B$5008)-1)+$I$9705</f>
        <v>0.93958791758344051</v>
      </c>
      <c r="J9706">
        <f>SMALL(SimData5000!$C$9:$C$5008,4698)</f>
        <v>0.94014367910494911</v>
      </c>
      <c r="K9706">
        <f>1/(COUNT(SimData5000!$C$9:$C$5008)-1)+$K$9705</f>
        <v>0.93958791758344051</v>
      </c>
    </row>
    <row r="9707" spans="8:11">
      <c r="H9707">
        <f>SMALL(SimData5000!$B$9:$B$5008,4699)</f>
        <v>0.93971219773816705</v>
      </c>
      <c r="I9707">
        <f>1/(COUNT(SimData5000!$B$9:$B$5008)-1)+$I$9706</f>
        <v>0.93978795759144207</v>
      </c>
      <c r="J9707">
        <f>SMALL(SimData5000!$C$9:$C$5008,4699)</f>
        <v>0.94040468118237186</v>
      </c>
      <c r="K9707">
        <f>1/(COUNT(SimData5000!$C$9:$C$5008)-1)+$K$9706</f>
        <v>0.93978795759144207</v>
      </c>
    </row>
    <row r="9708" spans="8:11">
      <c r="H9708">
        <f>SMALL(SimData5000!$B$9:$B$5008,4700)</f>
        <v>0.93988547155817159</v>
      </c>
      <c r="I9708">
        <f>1/(COUNT(SimData5000!$B$9:$B$5008)-1)+$I$9707</f>
        <v>0.93998799759944363</v>
      </c>
      <c r="J9708">
        <f>SMALL(SimData5000!$C$9:$C$5008,4700)</f>
        <v>0.94086414527285456</v>
      </c>
      <c r="K9708">
        <f>1/(COUNT(SimData5000!$C$9:$C$5008)-1)+$K$9707</f>
        <v>0.93998799759944363</v>
      </c>
    </row>
    <row r="9709" spans="8:11">
      <c r="H9709">
        <f>SMALL(SimData5000!$B$9:$B$5008,4701)</f>
        <v>0.94016457870960346</v>
      </c>
      <c r="I9709">
        <f>1/(COUNT(SimData5000!$B$9:$B$5008)-1)+$I$9708</f>
        <v>0.94018803760744518</v>
      </c>
      <c r="J9709">
        <f>SMALL(SimData5000!$C$9:$C$5008,4701)</f>
        <v>0.94086769427758554</v>
      </c>
      <c r="K9709">
        <f>1/(COUNT(SimData5000!$C$9:$C$5008)-1)+$K$9708</f>
        <v>0.94018803760744518</v>
      </c>
    </row>
    <row r="9710" spans="8:11">
      <c r="H9710">
        <f>SMALL(SimData5000!$B$9:$B$5008,4702)</f>
        <v>0.94037489150892362</v>
      </c>
      <c r="I9710">
        <f>1/(COUNT(SimData5000!$B$9:$B$5008)-1)+$I$9709</f>
        <v>0.94038807761544674</v>
      </c>
      <c r="J9710">
        <f>SMALL(SimData5000!$C$9:$C$5008,4702)</f>
        <v>0.9414461300793846</v>
      </c>
      <c r="K9710">
        <f>1/(COUNT(SimData5000!$C$9:$C$5008)-1)+$K$9709</f>
        <v>0.94038807761544674</v>
      </c>
    </row>
    <row r="9711" spans="8:11">
      <c r="H9711">
        <f>SMALL(SimData5000!$B$9:$B$5008,4703)</f>
        <v>0.94049332304915712</v>
      </c>
      <c r="I9711">
        <f>1/(COUNT(SimData5000!$B$9:$B$5008)-1)+$I$9710</f>
        <v>0.94058811762344829</v>
      </c>
      <c r="J9711">
        <f>SMALL(SimData5000!$C$9:$C$5008,4703)</f>
        <v>0.94157917622305831</v>
      </c>
      <c r="K9711">
        <f>1/(COUNT(SimData5000!$C$9:$C$5008)-1)+$K$9710</f>
        <v>0.94058811762344829</v>
      </c>
    </row>
    <row r="9712" spans="8:11">
      <c r="H9712">
        <f>SMALL(SimData5000!$B$9:$B$5008,4704)</f>
        <v>0.94068108542763662</v>
      </c>
      <c r="I9712">
        <f>1/(COUNT(SimData5000!$B$9:$B$5008)-1)+$I$9711</f>
        <v>0.94078815763144985</v>
      </c>
      <c r="J9712">
        <f>SMALL(SimData5000!$C$9:$C$5008,4704)</f>
        <v>0.94171630171240395</v>
      </c>
      <c r="K9712">
        <f>1/(COUNT(SimData5000!$C$9:$C$5008)-1)+$K$9711</f>
        <v>0.94078815763144985</v>
      </c>
    </row>
    <row r="9713" spans="8:11">
      <c r="H9713">
        <f>SMALL(SimData5000!$B$9:$B$5008,4705)</f>
        <v>0.9409593372156283</v>
      </c>
      <c r="I9713">
        <f>1/(COUNT(SimData5000!$B$9:$B$5008)-1)+$I$9712</f>
        <v>0.94098819763945141</v>
      </c>
      <c r="J9713">
        <f>SMALL(SimData5000!$C$9:$C$5008,4705)</f>
        <v>0.94173529239560594</v>
      </c>
      <c r="K9713">
        <f>1/(COUNT(SimData5000!$C$9:$C$5008)-1)+$K$9712</f>
        <v>0.94098819763945141</v>
      </c>
    </row>
    <row r="9714" spans="8:11">
      <c r="H9714">
        <f>SMALL(SimData5000!$B$9:$B$5008,4706)</f>
        <v>0.94105476726737214</v>
      </c>
      <c r="I9714">
        <f>1/(COUNT(SimData5000!$B$9:$B$5008)-1)+$I$9713</f>
        <v>0.94118823764745296</v>
      </c>
      <c r="J9714">
        <f>SMALL(SimData5000!$C$9:$C$5008,4706)</f>
        <v>0.94174165076037752</v>
      </c>
      <c r="K9714">
        <f>1/(COUNT(SimData5000!$C$9:$C$5008)-1)+$K$9713</f>
        <v>0.94118823764745296</v>
      </c>
    </row>
    <row r="9715" spans="8:11">
      <c r="H9715">
        <f>SMALL(SimData5000!$B$9:$B$5008,4707)</f>
        <v>0.94138361089881128</v>
      </c>
      <c r="I9715">
        <f>1/(COUNT(SimData5000!$B$9:$B$5008)-1)+$I$9714</f>
        <v>0.94138827765545452</v>
      </c>
      <c r="J9715">
        <f>SMALL(SimData5000!$C$9:$C$5008,4707)</f>
        <v>0.94213654724990192</v>
      </c>
      <c r="K9715">
        <f>1/(COUNT(SimData5000!$C$9:$C$5008)-1)+$K$9714</f>
        <v>0.94138827765545452</v>
      </c>
    </row>
    <row r="9716" spans="8:11">
      <c r="H9716">
        <f>SMALL(SimData5000!$B$9:$B$5008,4708)</f>
        <v>0.94146667013500496</v>
      </c>
      <c r="I9716">
        <f>1/(COUNT(SimData5000!$B$9:$B$5008)-1)+$I$9715</f>
        <v>0.94158831766345608</v>
      </c>
      <c r="J9716">
        <f>SMALL(SimData5000!$C$9:$C$5008,4708)</f>
        <v>0.94234666400916467</v>
      </c>
      <c r="K9716">
        <f>1/(COUNT(SimData5000!$C$9:$C$5008)-1)+$K$9715</f>
        <v>0.94158831766345608</v>
      </c>
    </row>
    <row r="9717" spans="8:11">
      <c r="H9717">
        <f>SMALL(SimData5000!$B$9:$B$5008,4709)</f>
        <v>0.94161658004722937</v>
      </c>
      <c r="I9717">
        <f>1/(COUNT(SimData5000!$B$9:$B$5008)-1)+$I$9716</f>
        <v>0.94178835767145763</v>
      </c>
      <c r="J9717">
        <f>SMALL(SimData5000!$C$9:$C$5008,4709)</f>
        <v>0.94256741950084688</v>
      </c>
      <c r="K9717">
        <f>1/(COUNT(SimData5000!$C$9:$C$5008)-1)+$K$9716</f>
        <v>0.94178835767145763</v>
      </c>
    </row>
    <row r="9718" spans="8:11">
      <c r="H9718">
        <f>SMALL(SimData5000!$B$9:$B$5008,4710)</f>
        <v>0.94194457193765424</v>
      </c>
      <c r="I9718">
        <f>1/(COUNT(SimData5000!$B$9:$B$5008)-1)+$I$9717</f>
        <v>0.94198839767945919</v>
      </c>
      <c r="J9718">
        <f>SMALL(SimData5000!$C$9:$C$5008,4710)</f>
        <v>0.94257724396084086</v>
      </c>
      <c r="K9718">
        <f>1/(COUNT(SimData5000!$C$9:$C$5008)-1)+$K$9717</f>
        <v>0.94198839767945919</v>
      </c>
    </row>
    <row r="9719" spans="8:11">
      <c r="H9719">
        <f>SMALL(SimData5000!$B$9:$B$5008,4711)</f>
        <v>0.94210237565937038</v>
      </c>
      <c r="I9719">
        <f>1/(COUNT(SimData5000!$B$9:$B$5008)-1)+$I$9718</f>
        <v>0.94218843768746074</v>
      </c>
      <c r="J9719">
        <f>SMALL(SimData5000!$C$9:$C$5008,4711)</f>
        <v>0.94269419150532485</v>
      </c>
      <c r="K9719">
        <f>1/(COUNT(SimData5000!$C$9:$C$5008)-1)+$K$9718</f>
        <v>0.94218843768746074</v>
      </c>
    </row>
    <row r="9720" spans="8:11">
      <c r="H9720">
        <f>SMALL(SimData5000!$B$9:$B$5008,4712)</f>
        <v>0.94231323726971472</v>
      </c>
      <c r="I9720">
        <f>1/(COUNT(SimData5000!$B$9:$B$5008)-1)+$I$9719</f>
        <v>0.9423884776954623</v>
      </c>
      <c r="J9720">
        <f>SMALL(SimData5000!$C$9:$C$5008,4712)</f>
        <v>0.94277473393412947</v>
      </c>
      <c r="K9720">
        <f>1/(COUNT(SimData5000!$C$9:$C$5008)-1)+$K$9719</f>
        <v>0.9423884776954623</v>
      </c>
    </row>
    <row r="9721" spans="8:11">
      <c r="H9721">
        <f>SMALL(SimData5000!$B$9:$B$5008,4713)</f>
        <v>0.94246140430356884</v>
      </c>
      <c r="I9721">
        <f>1/(COUNT(SimData5000!$B$9:$B$5008)-1)+$I$9720</f>
        <v>0.94258851770346386</v>
      </c>
      <c r="J9721">
        <f>SMALL(SimData5000!$C$9:$C$5008,4713)</f>
        <v>0.94302221753150661</v>
      </c>
      <c r="K9721">
        <f>1/(COUNT(SimData5000!$C$9:$C$5008)-1)+$K$9720</f>
        <v>0.94258851770346386</v>
      </c>
    </row>
    <row r="9722" spans="8:11">
      <c r="H9722">
        <f>SMALL(SimData5000!$B$9:$B$5008,4714)</f>
        <v>0.94265464537796906</v>
      </c>
      <c r="I9722">
        <f>1/(COUNT(SimData5000!$B$9:$B$5008)-1)+$I$9721</f>
        <v>0.94278855771146541</v>
      </c>
      <c r="J9722">
        <f>SMALL(SimData5000!$C$9:$C$5008,4714)</f>
        <v>0.94313792360753723</v>
      </c>
      <c r="K9722">
        <f>1/(COUNT(SimData5000!$C$9:$C$5008)-1)+$K$9721</f>
        <v>0.94278855771146541</v>
      </c>
    </row>
    <row r="9723" spans="8:11">
      <c r="H9723">
        <f>SMALL(SimData5000!$B$9:$B$5008,4715)</f>
        <v>0.94284867453674048</v>
      </c>
      <c r="I9723">
        <f>1/(COUNT(SimData5000!$B$9:$B$5008)-1)+$I$9722</f>
        <v>0.94298859771946697</v>
      </c>
      <c r="J9723">
        <f>SMALL(SimData5000!$C$9:$C$5008,4715)</f>
        <v>0.94332003969793732</v>
      </c>
      <c r="K9723">
        <f>1/(COUNT(SimData5000!$C$9:$C$5008)-1)+$K$9722</f>
        <v>0.94298859771946697</v>
      </c>
    </row>
    <row r="9724" spans="8:11">
      <c r="H9724">
        <f>SMALL(SimData5000!$B$9:$B$5008,4716)</f>
        <v>0.94300215699342138</v>
      </c>
      <c r="I9724">
        <f>1/(COUNT(SimData5000!$B$9:$B$5008)-1)+$I$9723</f>
        <v>0.94318863772746853</v>
      </c>
      <c r="J9724">
        <f>SMALL(SimData5000!$C$9:$C$5008,4716)</f>
        <v>0.94363444536520547</v>
      </c>
      <c r="K9724">
        <f>1/(COUNT(SimData5000!$C$9:$C$5008)-1)+$K$9723</f>
        <v>0.94318863772746853</v>
      </c>
    </row>
    <row r="9725" spans="8:11">
      <c r="H9725">
        <f>SMALL(SimData5000!$B$9:$B$5008,4717)</f>
        <v>0.94338632917515619</v>
      </c>
      <c r="I9725">
        <f>1/(COUNT(SimData5000!$B$9:$B$5008)-1)+$I$9724</f>
        <v>0.94338867773547008</v>
      </c>
      <c r="J9725">
        <f>SMALL(SimData5000!$C$9:$C$5008,4717)</f>
        <v>0.9441647505873334</v>
      </c>
      <c r="K9725">
        <f>1/(COUNT(SimData5000!$C$9:$C$5008)-1)+$K$9724</f>
        <v>0.94338867773547008</v>
      </c>
    </row>
    <row r="9726" spans="8:11">
      <c r="H9726">
        <f>SMALL(SimData5000!$B$9:$B$5008,4718)</f>
        <v>0.94358204532125545</v>
      </c>
      <c r="I9726">
        <f>1/(COUNT(SimData5000!$B$9:$B$5008)-1)+$I$9725</f>
        <v>0.94358871774347164</v>
      </c>
      <c r="J9726">
        <f>SMALL(SimData5000!$C$9:$C$5008,4718)</f>
        <v>0.94417518112186372</v>
      </c>
      <c r="K9726">
        <f>1/(COUNT(SimData5000!$C$9:$C$5008)-1)+$K$9725</f>
        <v>0.94358871774347164</v>
      </c>
    </row>
    <row r="9727" spans="8:11">
      <c r="H9727">
        <f>SMALL(SimData5000!$B$9:$B$5008,4719)</f>
        <v>0.9436302788116574</v>
      </c>
      <c r="I9727">
        <f>1/(COUNT(SimData5000!$B$9:$B$5008)-1)+$I$9726</f>
        <v>0.9437887577514732</v>
      </c>
      <c r="J9727">
        <f>SMALL(SimData5000!$C$9:$C$5008,4719)</f>
        <v>0.94477838924285606</v>
      </c>
      <c r="K9727">
        <f>1/(COUNT(SimData5000!$C$9:$C$5008)-1)+$K$9726</f>
        <v>0.9437887577514732</v>
      </c>
    </row>
    <row r="9728" spans="8:11">
      <c r="H9728">
        <f>SMALL(SimData5000!$B$9:$B$5008,4720)</f>
        <v>0.94382759989058307</v>
      </c>
      <c r="I9728">
        <f>1/(COUNT(SimData5000!$B$9:$B$5008)-1)+$I$9727</f>
        <v>0.94398879775947475</v>
      </c>
      <c r="J9728">
        <f>SMALL(SimData5000!$C$9:$C$5008,4720)</f>
        <v>0.9450111247415407</v>
      </c>
      <c r="K9728">
        <f>1/(COUNT(SimData5000!$C$9:$C$5008)-1)+$K$9727</f>
        <v>0.94398879775947475</v>
      </c>
    </row>
    <row r="9729" spans="8:11">
      <c r="H9729">
        <f>SMALL(SimData5000!$B$9:$B$5008,4721)</f>
        <v>0.94401501034810553</v>
      </c>
      <c r="I9729">
        <f>1/(COUNT(SimData5000!$B$9:$B$5008)-1)+$I$9728</f>
        <v>0.94418883776747631</v>
      </c>
      <c r="J9729">
        <f>SMALL(SimData5000!$C$9:$C$5008,4721)</f>
        <v>0.94502472954354744</v>
      </c>
      <c r="K9729">
        <f>1/(COUNT(SimData5000!$C$9:$C$5008)-1)+$K$9728</f>
        <v>0.94418883776747631</v>
      </c>
    </row>
    <row r="9730" spans="8:11">
      <c r="H9730">
        <f>SMALL(SimData5000!$B$9:$B$5008,4722)</f>
        <v>0.94420451982212361</v>
      </c>
      <c r="I9730">
        <f>1/(COUNT(SimData5000!$B$9:$B$5008)-1)+$I$9729</f>
        <v>0.94438887777547786</v>
      </c>
      <c r="J9730">
        <f>SMALL(SimData5000!$C$9:$C$5008,4722)</f>
        <v>0.94515879090158705</v>
      </c>
      <c r="K9730">
        <f>1/(COUNT(SimData5000!$C$9:$C$5008)-1)+$K$9729</f>
        <v>0.94438887777547786</v>
      </c>
    </row>
    <row r="9731" spans="8:11">
      <c r="H9731">
        <f>SMALL(SimData5000!$B$9:$B$5008,4723)</f>
        <v>0.94441383421030223</v>
      </c>
      <c r="I9731">
        <f>1/(COUNT(SimData5000!$B$9:$B$5008)-1)+$I$9730</f>
        <v>0.94458891778347942</v>
      </c>
      <c r="J9731">
        <f>SMALL(SimData5000!$C$9:$C$5008,4723)</f>
        <v>0.94540443040023092</v>
      </c>
      <c r="K9731">
        <f>1/(COUNT(SimData5000!$C$9:$C$5008)-1)+$K$9730</f>
        <v>0.94458891778347942</v>
      </c>
    </row>
    <row r="9732" spans="8:11">
      <c r="H9732">
        <f>SMALL(SimData5000!$B$9:$B$5008,4724)</f>
        <v>0.9447011225744385</v>
      </c>
      <c r="I9732">
        <f>1/(COUNT(SimData5000!$B$9:$B$5008)-1)+$I$9731</f>
        <v>0.94478895779148098</v>
      </c>
      <c r="J9732">
        <f>SMALL(SimData5000!$C$9:$C$5008,4724)</f>
        <v>0.94541763962752157</v>
      </c>
      <c r="K9732">
        <f>1/(COUNT(SimData5000!$C$9:$C$5008)-1)+$K$9731</f>
        <v>0.94478895779148098</v>
      </c>
    </row>
    <row r="9733" spans="8:11">
      <c r="H9733">
        <f>SMALL(SimData5000!$B$9:$B$5008,4725)</f>
        <v>0.94485464992794554</v>
      </c>
      <c r="I9733">
        <f>1/(COUNT(SimData5000!$B$9:$B$5008)-1)+$I$9732</f>
        <v>0.94498899779948253</v>
      </c>
      <c r="J9733">
        <f>SMALL(SimData5000!$C$9:$C$5008,4725)</f>
        <v>0.94578847077991668</v>
      </c>
      <c r="K9733">
        <f>1/(COUNT(SimData5000!$C$9:$C$5008)-1)+$K$9732</f>
        <v>0.94498899779948253</v>
      </c>
    </row>
    <row r="9734" spans="8:11">
      <c r="H9734">
        <f>SMALL(SimData5000!$B$9:$B$5008,4726)</f>
        <v>0.94500850964687033</v>
      </c>
      <c r="I9734">
        <f>1/(COUNT(SimData5000!$B$9:$B$5008)-1)+$I$9733</f>
        <v>0.94518903780748409</v>
      </c>
      <c r="J9734">
        <f>SMALL(SimData5000!$C$9:$C$5008,4726)</f>
        <v>0.94580312153721025</v>
      </c>
      <c r="K9734">
        <f>1/(COUNT(SimData5000!$C$9:$C$5008)-1)+$K$9733</f>
        <v>0.94518903780748409</v>
      </c>
    </row>
    <row r="9735" spans="8:11">
      <c r="H9735">
        <f>SMALL(SimData5000!$B$9:$B$5008,4727)</f>
        <v>0.94532881826766046</v>
      </c>
      <c r="I9735">
        <f>1/(COUNT(SimData5000!$B$9:$B$5008)-1)+$I$9734</f>
        <v>0.94538907781548565</v>
      </c>
      <c r="J9735">
        <f>SMALL(SimData5000!$C$9:$C$5008,4727)</f>
        <v>0.94644313053868245</v>
      </c>
      <c r="K9735">
        <f>1/(COUNT(SimData5000!$C$9:$C$5008)-1)+$K$9734</f>
        <v>0.94538907781548565</v>
      </c>
    </row>
    <row r="9736" spans="8:11">
      <c r="H9736">
        <f>SMALL(SimData5000!$B$9:$B$5008,4728)</f>
        <v>0.94547026467739381</v>
      </c>
      <c r="I9736">
        <f>1/(COUNT(SimData5000!$B$9:$B$5008)-1)+$I$9735</f>
        <v>0.9455891178234872</v>
      </c>
      <c r="J9736">
        <f>SMALL(SimData5000!$C$9:$C$5008,4728)</f>
        <v>0.94671164683313691</v>
      </c>
      <c r="K9736">
        <f>1/(COUNT(SimData5000!$C$9:$C$5008)-1)+$K$9735</f>
        <v>0.9455891178234872</v>
      </c>
    </row>
    <row r="9737" spans="8:11">
      <c r="H9737">
        <f>SMALL(SimData5000!$B$9:$B$5008,4729)</f>
        <v>0.94563619888723738</v>
      </c>
      <c r="I9737">
        <f>1/(COUNT(SimData5000!$B$9:$B$5008)-1)+$I$9736</f>
        <v>0.94578915783148876</v>
      </c>
      <c r="J9737">
        <f>SMALL(SimData5000!$C$9:$C$5008,4729)</f>
        <v>0.94686615125374374</v>
      </c>
      <c r="K9737">
        <f>1/(COUNT(SimData5000!$C$9:$C$5008)-1)+$K$9736</f>
        <v>0.94578915783148876</v>
      </c>
    </row>
    <row r="9738" spans="8:11">
      <c r="H9738">
        <f>SMALL(SimData5000!$B$9:$B$5008,4730)</f>
        <v>0.945913118473234</v>
      </c>
      <c r="I9738">
        <f>1/(COUNT(SimData5000!$B$9:$B$5008)-1)+$I$9737</f>
        <v>0.94598919783949031</v>
      </c>
      <c r="J9738">
        <f>SMALL(SimData5000!$C$9:$C$5008,4730)</f>
        <v>0.9470329651294378</v>
      </c>
      <c r="K9738">
        <f>1/(COUNT(SimData5000!$C$9:$C$5008)-1)+$K$9737</f>
        <v>0.94598919783949031</v>
      </c>
    </row>
    <row r="9739" spans="8:11">
      <c r="H9739">
        <f>SMALL(SimData5000!$B$9:$B$5008,4731)</f>
        <v>0.94617796878739679</v>
      </c>
      <c r="I9739">
        <f>1/(COUNT(SimData5000!$B$9:$B$5008)-1)+$I$9738</f>
        <v>0.94618923784749187</v>
      </c>
      <c r="J9739">
        <f>SMALL(SimData5000!$C$9:$C$5008,4731)</f>
        <v>0.9477987856234904</v>
      </c>
      <c r="K9739">
        <f>1/(COUNT(SimData5000!$C$9:$C$5008)-1)+$K$9738</f>
        <v>0.94618923784749187</v>
      </c>
    </row>
    <row r="9740" spans="8:11">
      <c r="H9740">
        <f>SMALL(SimData5000!$B$9:$B$5008,4732)</f>
        <v>0.94621887848889896</v>
      </c>
      <c r="I9740">
        <f>1/(COUNT(SimData5000!$B$9:$B$5008)-1)+$I$9739</f>
        <v>0.94638927785549343</v>
      </c>
      <c r="J9740">
        <f>SMALL(SimData5000!$C$9:$C$5008,4732)</f>
        <v>0.94791112286111456</v>
      </c>
      <c r="K9740">
        <f>1/(COUNT(SimData5000!$C$9:$C$5008)-1)+$K$9739</f>
        <v>0.94638927785549343</v>
      </c>
    </row>
    <row r="9741" spans="8:11">
      <c r="H9741">
        <f>SMALL(SimData5000!$B$9:$B$5008,4733)</f>
        <v>0.9465125784365257</v>
      </c>
      <c r="I9741">
        <f>1/(COUNT(SimData5000!$B$9:$B$5008)-1)+$I$9740</f>
        <v>0.94658931786349498</v>
      </c>
      <c r="J9741">
        <f>SMALL(SimData5000!$C$9:$C$5008,4733)</f>
        <v>0.94850561833027314</v>
      </c>
      <c r="K9741">
        <f>1/(COUNT(SimData5000!$C$9:$C$5008)-1)+$K$9740</f>
        <v>0.94658931786349498</v>
      </c>
    </row>
    <row r="9742" spans="8:11">
      <c r="H9742">
        <f>SMALL(SimData5000!$B$9:$B$5008,4734)</f>
        <v>0.94674834801739749</v>
      </c>
      <c r="I9742">
        <f>1/(COUNT(SimData5000!$B$9:$B$5008)-1)+$I$9741</f>
        <v>0.94678935787149654</v>
      </c>
      <c r="J9742">
        <f>SMALL(SimData5000!$C$9:$C$5008,4734)</f>
        <v>0.94890940478762786</v>
      </c>
      <c r="K9742">
        <f>1/(COUNT(SimData5000!$C$9:$C$5008)-1)+$K$9741</f>
        <v>0.94678935787149654</v>
      </c>
    </row>
    <row r="9743" spans="8:11">
      <c r="H9743">
        <f>SMALL(SimData5000!$B$9:$B$5008,4735)</f>
        <v>0.94695926224630311</v>
      </c>
      <c r="I9743">
        <f>1/(COUNT(SimData5000!$B$9:$B$5008)-1)+$I$9742</f>
        <v>0.9469893978794981</v>
      </c>
      <c r="J9743">
        <f>SMALL(SimData5000!$C$9:$C$5008,4735)</f>
        <v>0.94951775673507655</v>
      </c>
      <c r="K9743">
        <f>1/(COUNT(SimData5000!$C$9:$C$5008)-1)+$K$9742</f>
        <v>0.9469893978794981</v>
      </c>
    </row>
    <row r="9744" spans="8:11">
      <c r="H9744">
        <f>SMALL(SimData5000!$B$9:$B$5008,4736)</f>
        <v>0.94713512465374894</v>
      </c>
      <c r="I9744">
        <f>1/(COUNT(SimData5000!$B$9:$B$5008)-1)+$I$9743</f>
        <v>0.94718943788749965</v>
      </c>
      <c r="J9744">
        <f>SMALL(SimData5000!$C$9:$C$5008,4736)</f>
        <v>0.9497367886306165</v>
      </c>
      <c r="K9744">
        <f>1/(COUNT(SimData5000!$C$9:$C$5008)-1)+$K$9743</f>
        <v>0.94718943788749965</v>
      </c>
    </row>
    <row r="9745" spans="8:11">
      <c r="H9745">
        <f>SMALL(SimData5000!$B$9:$B$5008,4737)</f>
        <v>0.94721349265957555</v>
      </c>
      <c r="I9745">
        <f>1/(COUNT(SimData5000!$B$9:$B$5008)-1)+$I$9744</f>
        <v>0.94738947789550121</v>
      </c>
      <c r="J9745">
        <f>SMALL(SimData5000!$C$9:$C$5008,4737)</f>
        <v>0.95011442648683442</v>
      </c>
      <c r="K9745">
        <f>1/(COUNT(SimData5000!$C$9:$C$5008)-1)+$K$9744</f>
        <v>0.94738947789550121</v>
      </c>
    </row>
    <row r="9746" spans="8:11">
      <c r="H9746">
        <f>SMALL(SimData5000!$B$9:$B$5008,4738)</f>
        <v>0.94746380248262174</v>
      </c>
      <c r="I9746">
        <f>1/(COUNT(SimData5000!$B$9:$B$5008)-1)+$I$9745</f>
        <v>0.94758951790350276</v>
      </c>
      <c r="J9746">
        <f>SMALL(SimData5000!$C$9:$C$5008,4738)</f>
        <v>0.95022031341250113</v>
      </c>
      <c r="K9746">
        <f>1/(COUNT(SimData5000!$C$9:$C$5008)-1)+$K$9745</f>
        <v>0.94758951790350276</v>
      </c>
    </row>
    <row r="9747" spans="8:11">
      <c r="H9747">
        <f>SMALL(SimData5000!$B$9:$B$5008,4739)</f>
        <v>0.94775826266816787</v>
      </c>
      <c r="I9747">
        <f>1/(COUNT(SimData5000!$B$9:$B$5008)-1)+$I$9746</f>
        <v>0.94778955791150432</v>
      </c>
      <c r="J9747">
        <f>SMALL(SimData5000!$C$9:$C$5008,4739)</f>
        <v>0.95047535477897327</v>
      </c>
      <c r="K9747">
        <f>1/(COUNT(SimData5000!$C$9:$C$5008)-1)+$K$9746</f>
        <v>0.94778955791150432</v>
      </c>
    </row>
    <row r="9748" spans="8:11">
      <c r="H9748">
        <f>SMALL(SimData5000!$B$9:$B$5008,4740)</f>
        <v>0.94792834297286532</v>
      </c>
      <c r="I9748">
        <f>1/(COUNT(SimData5000!$B$9:$B$5008)-1)+$I$9747</f>
        <v>0.94798959791950588</v>
      </c>
      <c r="J9748">
        <f>SMALL(SimData5000!$C$9:$C$5008,4740)</f>
        <v>0.95058711308502097</v>
      </c>
      <c r="K9748">
        <f>1/(COUNT(SimData5000!$C$9:$C$5008)-1)+$K$9747</f>
        <v>0.94798959791950588</v>
      </c>
    </row>
    <row r="9749" spans="8:11">
      <c r="H9749">
        <f>SMALL(SimData5000!$B$9:$B$5008,4741)</f>
        <v>0.94804416958788518</v>
      </c>
      <c r="I9749">
        <f>1/(COUNT(SimData5000!$B$9:$B$5008)-1)+$I$9748</f>
        <v>0.94818963792750743</v>
      </c>
      <c r="J9749">
        <f>SMALL(SimData5000!$C$9:$C$5008,4741)</f>
        <v>0.95061762069417455</v>
      </c>
      <c r="K9749">
        <f>1/(COUNT(SimData5000!$C$9:$C$5008)-1)+$K$9748</f>
        <v>0.94818963792750743</v>
      </c>
    </row>
    <row r="9750" spans="8:11">
      <c r="H9750">
        <f>SMALL(SimData5000!$B$9:$B$5008,4742)</f>
        <v>0.94829486949469299</v>
      </c>
      <c r="I9750">
        <f>1/(COUNT(SimData5000!$B$9:$B$5008)-1)+$I$9749</f>
        <v>0.94838967793550899</v>
      </c>
      <c r="J9750">
        <f>SMALL(SimData5000!$C$9:$C$5008,4742)</f>
        <v>0.95085922631736253</v>
      </c>
      <c r="K9750">
        <f>1/(COUNT(SimData5000!$C$9:$C$5008)-1)+$K$9749</f>
        <v>0.94838967793550899</v>
      </c>
    </row>
    <row r="9751" spans="8:11">
      <c r="H9751">
        <f>SMALL(SimData5000!$B$9:$B$5008,4743)</f>
        <v>0.94850284397199358</v>
      </c>
      <c r="I9751">
        <f>1/(COUNT(SimData5000!$B$9:$B$5008)-1)+$I$9750</f>
        <v>0.94858971794351055</v>
      </c>
      <c r="J9751">
        <f>SMALL(SimData5000!$C$9:$C$5008,4743)</f>
        <v>0.95088524937546026</v>
      </c>
      <c r="K9751">
        <f>1/(COUNT(SimData5000!$C$9:$C$5008)-1)+$K$9750</f>
        <v>0.94858971794351055</v>
      </c>
    </row>
    <row r="9752" spans="8:11">
      <c r="H9752">
        <f>SMALL(SimData5000!$B$9:$B$5008,4744)</f>
        <v>0.94878267317595488</v>
      </c>
      <c r="I9752">
        <f>1/(COUNT(SimData5000!$B$9:$B$5008)-1)+$I$9751</f>
        <v>0.9487897579515121</v>
      </c>
      <c r="J9752">
        <f>SMALL(SimData5000!$C$9:$C$5008,4744)</f>
        <v>0.95100714500404138</v>
      </c>
      <c r="K9752">
        <f>1/(COUNT(SimData5000!$C$9:$C$5008)-1)+$K$9751</f>
        <v>0.9487897579515121</v>
      </c>
    </row>
    <row r="9753" spans="8:11">
      <c r="H9753">
        <f>SMALL(SimData5000!$B$9:$B$5008,4745)</f>
        <v>0.94885589482655197</v>
      </c>
      <c r="I9753">
        <f>1/(COUNT(SimData5000!$B$9:$B$5008)-1)+$I$9752</f>
        <v>0.94898979795951366</v>
      </c>
      <c r="J9753">
        <f>SMALL(SimData5000!$C$9:$C$5008,4745)</f>
        <v>0.95117100837072144</v>
      </c>
      <c r="K9753">
        <f>1/(COUNT(SimData5000!$C$9:$C$5008)-1)+$K$9752</f>
        <v>0.94898979795951366</v>
      </c>
    </row>
    <row r="9754" spans="8:11">
      <c r="H9754">
        <f>SMALL(SimData5000!$B$9:$B$5008,4746)</f>
        <v>0.94916438729063701</v>
      </c>
      <c r="I9754">
        <f>1/(COUNT(SimData5000!$B$9:$B$5008)-1)+$I$9753</f>
        <v>0.94918983796751522</v>
      </c>
      <c r="J9754">
        <f>SMALL(SimData5000!$C$9:$C$5008,4746)</f>
        <v>0.95131329737614578</v>
      </c>
      <c r="K9754">
        <f>1/(COUNT(SimData5000!$C$9:$C$5008)-1)+$K$9753</f>
        <v>0.94918983796751522</v>
      </c>
    </row>
    <row r="9755" spans="8:11">
      <c r="H9755">
        <f>SMALL(SimData5000!$B$9:$B$5008,4747)</f>
        <v>0.94920966460001877</v>
      </c>
      <c r="I9755">
        <f>1/(COUNT(SimData5000!$B$9:$B$5008)-1)+$I$9754</f>
        <v>0.94938987797551677</v>
      </c>
      <c r="J9755">
        <f>SMALL(SimData5000!$C$9:$C$5008,4747)</f>
        <v>0.95141011184568924</v>
      </c>
      <c r="K9755">
        <f>1/(COUNT(SimData5000!$C$9:$C$5008)-1)+$K$9754</f>
        <v>0.94938987797551677</v>
      </c>
    </row>
    <row r="9756" spans="8:11">
      <c r="H9756">
        <f>SMALL(SimData5000!$B$9:$B$5008,4748)</f>
        <v>0.94948620258106053</v>
      </c>
      <c r="I9756">
        <f>1/(COUNT(SimData5000!$B$9:$B$5008)-1)+$I$9755</f>
        <v>0.94958991798351833</v>
      </c>
      <c r="J9756">
        <f>SMALL(SimData5000!$C$9:$C$5008,4748)</f>
        <v>0.95206475836585014</v>
      </c>
      <c r="K9756">
        <f>1/(COUNT(SimData5000!$C$9:$C$5008)-1)+$K$9755</f>
        <v>0.94958991798351833</v>
      </c>
    </row>
    <row r="9757" spans="8:11">
      <c r="H9757">
        <f>SMALL(SimData5000!$B$9:$B$5008,4749)</f>
        <v>0.94964027143792262</v>
      </c>
      <c r="I9757">
        <f>1/(COUNT(SimData5000!$B$9:$B$5008)-1)+$I$9756</f>
        <v>0.94978995799151988</v>
      </c>
      <c r="J9757">
        <f>SMALL(SimData5000!$C$9:$C$5008,4749)</f>
        <v>0.95221114253490668</v>
      </c>
      <c r="K9757">
        <f>1/(COUNT(SimData5000!$C$9:$C$5008)-1)+$K$9756</f>
        <v>0.94978995799151988</v>
      </c>
    </row>
    <row r="9758" spans="8:11">
      <c r="H9758">
        <f>SMALL(SimData5000!$B$9:$B$5008,4750)</f>
        <v>0.94984453351200659</v>
      </c>
      <c r="I9758">
        <f>1/(COUNT(SimData5000!$B$9:$B$5008)-1)+$I$9757</f>
        <v>0.94998999799952144</v>
      </c>
      <c r="J9758">
        <f>SMALL(SimData5000!$C$9:$C$5008,4750)</f>
        <v>0.9522953270443395</v>
      </c>
      <c r="K9758">
        <f>1/(COUNT(SimData5000!$C$9:$C$5008)-1)+$K$9757</f>
        <v>0.94998999799952144</v>
      </c>
    </row>
    <row r="9759" spans="8:11">
      <c r="H9759">
        <f>SMALL(SimData5000!$B$9:$B$5008,4751)</f>
        <v>0.95011767763805532</v>
      </c>
      <c r="I9759">
        <f>1/(COUNT(SimData5000!$B$9:$B$5008)-1)+$I$9758</f>
        <v>0.950190038007523</v>
      </c>
      <c r="J9759">
        <f>SMALL(SimData5000!$C$9:$C$5008,4751)</f>
        <v>0.95246021618277155</v>
      </c>
      <c r="K9759">
        <f>1/(COUNT(SimData5000!$C$9:$C$5008)-1)+$K$9758</f>
        <v>0.950190038007523</v>
      </c>
    </row>
    <row r="9760" spans="8:11">
      <c r="H9760">
        <f>SMALL(SimData5000!$B$9:$B$5008,4752)</f>
        <v>0.95034299008020739</v>
      </c>
      <c r="I9760">
        <f>1/(COUNT(SimData5000!$B$9:$B$5008)-1)+$I$9759</f>
        <v>0.95039007801552455</v>
      </c>
      <c r="J9760">
        <f>SMALL(SimData5000!$C$9:$C$5008,4752)</f>
        <v>0.95246794741979102</v>
      </c>
      <c r="K9760">
        <f>1/(COUNT(SimData5000!$C$9:$C$5008)-1)+$K$9759</f>
        <v>0.95039007801552455</v>
      </c>
    </row>
    <row r="9761" spans="8:11">
      <c r="H9761">
        <f>SMALL(SimData5000!$B$9:$B$5008,4753)</f>
        <v>0.95055800307061478</v>
      </c>
      <c r="I9761">
        <f>1/(COUNT(SimData5000!$B$9:$B$5008)-1)+$I$9760</f>
        <v>0.95059011802352611</v>
      </c>
      <c r="J9761">
        <f>SMALL(SimData5000!$C$9:$C$5008,4753)</f>
        <v>0.95304294382822263</v>
      </c>
      <c r="K9761">
        <f>1/(COUNT(SimData5000!$C$9:$C$5008)-1)+$K$9760</f>
        <v>0.95059011802352611</v>
      </c>
    </row>
    <row r="9762" spans="8:11">
      <c r="H9762">
        <f>SMALL(SimData5000!$B$9:$B$5008,4754)</f>
        <v>0.95070970772679653</v>
      </c>
      <c r="I9762">
        <f>1/(COUNT(SimData5000!$B$9:$B$5008)-1)+$I$9761</f>
        <v>0.95079015803152767</v>
      </c>
      <c r="J9762">
        <f>SMALL(SimData5000!$C$9:$C$5008,4754)</f>
        <v>0.9531654390048061</v>
      </c>
      <c r="K9762">
        <f>1/(COUNT(SimData5000!$C$9:$C$5008)-1)+$K$9761</f>
        <v>0.95079015803152767</v>
      </c>
    </row>
    <row r="9763" spans="8:11">
      <c r="H9763">
        <f>SMALL(SimData5000!$B$9:$B$5008,4755)</f>
        <v>0.95084552981658965</v>
      </c>
      <c r="I9763">
        <f>1/(COUNT(SimData5000!$B$9:$B$5008)-1)+$I$9762</f>
        <v>0.95099019803952922</v>
      </c>
      <c r="J9763">
        <f>SMALL(SimData5000!$C$9:$C$5008,4755)</f>
        <v>0.95318408704588364</v>
      </c>
      <c r="K9763">
        <f>1/(COUNT(SimData5000!$C$9:$C$5008)-1)+$K$9762</f>
        <v>0.95099019803952922</v>
      </c>
    </row>
    <row r="9764" spans="8:11">
      <c r="H9764">
        <f>SMALL(SimData5000!$B$9:$B$5008,4756)</f>
        <v>0.95102855655272234</v>
      </c>
      <c r="I9764">
        <f>1/(COUNT(SimData5000!$B$9:$B$5008)-1)+$I$9763</f>
        <v>0.95119023804753078</v>
      </c>
      <c r="J9764">
        <f>SMALL(SimData5000!$C$9:$C$5008,4756)</f>
        <v>0.95319390268468851</v>
      </c>
      <c r="K9764">
        <f>1/(COUNT(SimData5000!$C$9:$C$5008)-1)+$K$9763</f>
        <v>0.95119023804753078</v>
      </c>
    </row>
    <row r="9765" spans="8:11">
      <c r="H9765">
        <f>SMALL(SimData5000!$B$9:$B$5008,4757)</f>
        <v>0.95123831496248912</v>
      </c>
      <c r="I9765">
        <f>1/(COUNT(SimData5000!$B$9:$B$5008)-1)+$I$9764</f>
        <v>0.95139027805553233</v>
      </c>
      <c r="J9765">
        <f>SMALL(SimData5000!$C$9:$C$5008,4757)</f>
        <v>0.95358607561229292</v>
      </c>
      <c r="K9765">
        <f>1/(COUNT(SimData5000!$C$9:$C$5008)-1)+$K$9764</f>
        <v>0.95139027805553233</v>
      </c>
    </row>
    <row r="9766" spans="8:11">
      <c r="H9766">
        <f>SMALL(SimData5000!$B$9:$B$5008,4758)</f>
        <v>0.95141586565752878</v>
      </c>
      <c r="I9766">
        <f>1/(COUNT(SimData5000!$B$9:$B$5008)-1)+$I$9765</f>
        <v>0.95159031806353389</v>
      </c>
      <c r="J9766">
        <f>SMALL(SimData5000!$C$9:$C$5008,4758)</f>
        <v>0.95358668345033948</v>
      </c>
      <c r="K9766">
        <f>1/(COUNT(SimData5000!$C$9:$C$5008)-1)+$K$9765</f>
        <v>0.95159031806353389</v>
      </c>
    </row>
    <row r="9767" spans="8:11">
      <c r="H9767">
        <f>SMALL(SimData5000!$B$9:$B$5008,4759)</f>
        <v>0.95169214349591458</v>
      </c>
      <c r="I9767">
        <f>1/(COUNT(SimData5000!$B$9:$B$5008)-1)+$I$9766</f>
        <v>0.95179035807153545</v>
      </c>
      <c r="J9767">
        <f>SMALL(SimData5000!$C$9:$C$5008,4759)</f>
        <v>0.9537883624807364</v>
      </c>
      <c r="K9767">
        <f>1/(COUNT(SimData5000!$C$9:$C$5008)-1)+$K$9766</f>
        <v>0.95179035807153545</v>
      </c>
    </row>
    <row r="9768" spans="8:11">
      <c r="H9768">
        <f>SMALL(SimData5000!$B$9:$B$5008,4760)</f>
        <v>0.95193363656432683</v>
      </c>
      <c r="I9768">
        <f>1/(COUNT(SimData5000!$B$9:$B$5008)-1)+$I$9767</f>
        <v>0.951990398079537</v>
      </c>
      <c r="J9768">
        <f>SMALL(SimData5000!$C$9:$C$5008,4760)</f>
        <v>0.95379067235353432</v>
      </c>
      <c r="K9768">
        <f>1/(COUNT(SimData5000!$C$9:$C$5008)-1)+$K$9767</f>
        <v>0.951990398079537</v>
      </c>
    </row>
    <row r="9769" spans="8:11">
      <c r="H9769">
        <f>SMALL(SimData5000!$B$9:$B$5008,4761)</f>
        <v>0.95210082110140959</v>
      </c>
      <c r="I9769">
        <f>1/(COUNT(SimData5000!$B$9:$B$5008)-1)+$I$9768</f>
        <v>0.95219043808753856</v>
      </c>
      <c r="J9769">
        <f>SMALL(SimData5000!$C$9:$C$5008,4761)</f>
        <v>0.95394730077441636</v>
      </c>
      <c r="K9769">
        <f>1/(COUNT(SimData5000!$C$9:$C$5008)-1)+$K$9768</f>
        <v>0.95219043808753856</v>
      </c>
    </row>
    <row r="9770" spans="8:11">
      <c r="H9770">
        <f>SMALL(SimData5000!$B$9:$B$5008,4762)</f>
        <v>0.95239068472385191</v>
      </c>
      <c r="I9770">
        <f>1/(COUNT(SimData5000!$B$9:$B$5008)-1)+$I$9769</f>
        <v>0.95239047809554012</v>
      </c>
      <c r="J9770">
        <f>SMALL(SimData5000!$C$9:$C$5008,4762)</f>
        <v>0.9543049046797023</v>
      </c>
      <c r="K9770">
        <f>1/(COUNT(SimData5000!$C$9:$C$5008)-1)+$K$9769</f>
        <v>0.95239047809554012</v>
      </c>
    </row>
    <row r="9771" spans="8:11">
      <c r="H9771">
        <f>SMALL(SimData5000!$B$9:$B$5008,4763)</f>
        <v>0.95248560940951243</v>
      </c>
      <c r="I9771">
        <f>1/(COUNT(SimData5000!$B$9:$B$5008)-1)+$I$9770</f>
        <v>0.95259051810354167</v>
      </c>
      <c r="J9771">
        <f>SMALL(SimData5000!$C$9:$C$5008,4763)</f>
        <v>0.95431412589186948</v>
      </c>
      <c r="K9771">
        <f>1/(COUNT(SimData5000!$C$9:$C$5008)-1)+$K$9770</f>
        <v>0.95259051810354167</v>
      </c>
    </row>
    <row r="9772" spans="8:11">
      <c r="H9772">
        <f>SMALL(SimData5000!$B$9:$B$5008,4764)</f>
        <v>0.95261727046920386</v>
      </c>
      <c r="I9772">
        <f>1/(COUNT(SimData5000!$B$9:$B$5008)-1)+$I$9771</f>
        <v>0.95279055811154323</v>
      </c>
      <c r="J9772">
        <f>SMALL(SimData5000!$C$9:$C$5008,4764)</f>
        <v>0.95434787349768158</v>
      </c>
      <c r="K9772">
        <f>1/(COUNT(SimData5000!$C$9:$C$5008)-1)+$K$9771</f>
        <v>0.95279055811154323</v>
      </c>
    </row>
    <row r="9773" spans="8:11">
      <c r="H9773">
        <f>SMALL(SimData5000!$B$9:$B$5008,4765)</f>
        <v>0.95293617744830805</v>
      </c>
      <c r="I9773">
        <f>1/(COUNT(SimData5000!$B$9:$B$5008)-1)+$I$9772</f>
        <v>0.95299059811954479</v>
      </c>
      <c r="J9773">
        <f>SMALL(SimData5000!$C$9:$C$5008,4765)</f>
        <v>0.95439907383843092</v>
      </c>
      <c r="K9773">
        <f>1/(COUNT(SimData5000!$C$9:$C$5008)-1)+$K$9772</f>
        <v>0.95299059811954479</v>
      </c>
    </row>
    <row r="9774" spans="8:11">
      <c r="H9774">
        <f>SMALL(SimData5000!$B$9:$B$5008,4766)</f>
        <v>0.95306766811047405</v>
      </c>
      <c r="I9774">
        <f>1/(COUNT(SimData5000!$B$9:$B$5008)-1)+$I$9773</f>
        <v>0.95319063812754634</v>
      </c>
      <c r="J9774">
        <f>SMALL(SimData5000!$C$9:$C$5008,4766)</f>
        <v>0.95468194273507834</v>
      </c>
      <c r="K9774">
        <f>1/(COUNT(SimData5000!$C$9:$C$5008)-1)+$K$9773</f>
        <v>0.95319063812754634</v>
      </c>
    </row>
    <row r="9775" spans="8:11">
      <c r="H9775">
        <f>SMALL(SimData5000!$B$9:$B$5008,4767)</f>
        <v>0.95325611621077555</v>
      </c>
      <c r="I9775">
        <f>1/(COUNT(SimData5000!$B$9:$B$5008)-1)+$I$9774</f>
        <v>0.9533906781355479</v>
      </c>
      <c r="J9775">
        <f>SMALL(SimData5000!$C$9:$C$5008,4767)</f>
        <v>0.95497739013353566</v>
      </c>
      <c r="K9775">
        <f>1/(COUNT(SimData5000!$C$9:$C$5008)-1)+$K$9774</f>
        <v>0.9533906781355479</v>
      </c>
    </row>
    <row r="9776" spans="8:11">
      <c r="H9776">
        <f>SMALL(SimData5000!$B$9:$B$5008,4768)</f>
        <v>0.95354577080713265</v>
      </c>
      <c r="I9776">
        <f>1/(COUNT(SimData5000!$B$9:$B$5008)-1)+$I$9775</f>
        <v>0.95359071814354945</v>
      </c>
      <c r="J9776">
        <f>SMALL(SimData5000!$C$9:$C$5008,4768)</f>
        <v>0.95551331263686734</v>
      </c>
      <c r="K9776">
        <f>1/(COUNT(SimData5000!$C$9:$C$5008)-1)+$K$9775</f>
        <v>0.95359071814354945</v>
      </c>
    </row>
    <row r="9777" spans="8:11">
      <c r="H9777">
        <f>SMALL(SimData5000!$B$9:$B$5008,4769)</f>
        <v>0.95371778346843039</v>
      </c>
      <c r="I9777">
        <f>1/(COUNT(SimData5000!$B$9:$B$5008)-1)+$I$9776</f>
        <v>0.95379075815155101</v>
      </c>
      <c r="J9777">
        <f>SMALL(SimData5000!$C$9:$C$5008,4769)</f>
        <v>0.9565152609238794</v>
      </c>
      <c r="K9777">
        <f>1/(COUNT(SimData5000!$C$9:$C$5008)-1)+$K$9776</f>
        <v>0.95379075815155101</v>
      </c>
    </row>
    <row r="9778" spans="8:11">
      <c r="H9778">
        <f>SMALL(SimData5000!$B$9:$B$5008,4770)</f>
        <v>0.95399992142473344</v>
      </c>
      <c r="I9778">
        <f>1/(COUNT(SimData5000!$B$9:$B$5008)-1)+$I$9777</f>
        <v>0.95399079815955257</v>
      </c>
      <c r="J9778">
        <f>SMALL(SimData5000!$C$9:$C$5008,4770)</f>
        <v>0.9569246870578354</v>
      </c>
      <c r="K9778">
        <f>1/(COUNT(SimData5000!$C$9:$C$5008)-1)+$K$9777</f>
        <v>0.95399079815955257</v>
      </c>
    </row>
    <row r="9779" spans="8:11">
      <c r="H9779">
        <f>SMALL(SimData5000!$B$9:$B$5008,4771)</f>
        <v>0.95416867604413269</v>
      </c>
      <c r="I9779">
        <f>1/(COUNT(SimData5000!$B$9:$B$5008)-1)+$I$9778</f>
        <v>0.95419083816755412</v>
      </c>
      <c r="J9779">
        <f>SMALL(SimData5000!$C$9:$C$5008,4771)</f>
        <v>0.95725048504482402</v>
      </c>
      <c r="K9779">
        <f>1/(COUNT(SimData5000!$C$9:$C$5008)-1)+$K$9778</f>
        <v>0.95419083816755412</v>
      </c>
    </row>
    <row r="9780" spans="8:11">
      <c r="H9780">
        <f>SMALL(SimData5000!$B$9:$B$5008,4772)</f>
        <v>0.95422510350044465</v>
      </c>
      <c r="I9780">
        <f>1/(COUNT(SimData5000!$B$9:$B$5008)-1)+$I$9779</f>
        <v>0.95439087817555568</v>
      </c>
      <c r="J9780">
        <f>SMALL(SimData5000!$C$9:$C$5008,4772)</f>
        <v>0.95748066515716346</v>
      </c>
      <c r="K9780">
        <f>1/(COUNT(SimData5000!$C$9:$C$5008)-1)+$K$9779</f>
        <v>0.95439087817555568</v>
      </c>
    </row>
    <row r="9781" spans="8:11">
      <c r="H9781">
        <f>SMALL(SimData5000!$B$9:$B$5008,4773)</f>
        <v>0.95459578931811173</v>
      </c>
      <c r="I9781">
        <f>1/(COUNT(SimData5000!$B$9:$B$5008)-1)+$I$9780</f>
        <v>0.95459091818355724</v>
      </c>
      <c r="J9781">
        <f>SMALL(SimData5000!$C$9:$C$5008,4773)</f>
        <v>0.95749701141357946</v>
      </c>
      <c r="K9781">
        <f>1/(COUNT(SimData5000!$C$9:$C$5008)-1)+$K$9780</f>
        <v>0.95459091818355724</v>
      </c>
    </row>
    <row r="9782" spans="8:11">
      <c r="H9782">
        <f>SMALL(SimData5000!$B$9:$B$5008,4774)</f>
        <v>0.95466374698161705</v>
      </c>
      <c r="I9782">
        <f>1/(COUNT(SimData5000!$B$9:$B$5008)-1)+$I$9781</f>
        <v>0.95479095819155879</v>
      </c>
      <c r="J9782">
        <f>SMALL(SimData5000!$C$9:$C$5008,4774)</f>
        <v>0.95753953679286496</v>
      </c>
      <c r="K9782">
        <f>1/(COUNT(SimData5000!$C$9:$C$5008)-1)+$K$9781</f>
        <v>0.95479095819155879</v>
      </c>
    </row>
    <row r="9783" spans="8:11">
      <c r="H9783">
        <f>SMALL(SimData5000!$B$9:$B$5008,4775)</f>
        <v>0.95490005240717435</v>
      </c>
      <c r="I9783">
        <f>1/(COUNT(SimData5000!$B$9:$B$5008)-1)+$I$9782</f>
        <v>0.95499099819956035</v>
      </c>
      <c r="J9783">
        <f>SMALL(SimData5000!$C$9:$C$5008,4775)</f>
        <v>0.95799198903841898</v>
      </c>
      <c r="K9783">
        <f>1/(COUNT(SimData5000!$C$9:$C$5008)-1)+$K$9782</f>
        <v>0.95499099819956035</v>
      </c>
    </row>
    <row r="9784" spans="8:11">
      <c r="H9784">
        <f>SMALL(SimData5000!$B$9:$B$5008,4776)</f>
        <v>0.9550433869780609</v>
      </c>
      <c r="I9784">
        <f>1/(COUNT(SimData5000!$B$9:$B$5008)-1)+$I$9783</f>
        <v>0.9551910382075619</v>
      </c>
      <c r="J9784">
        <f>SMALL(SimData5000!$C$9:$C$5008,4776)</f>
        <v>0.95803528255510173</v>
      </c>
      <c r="K9784">
        <f>1/(COUNT(SimData5000!$C$9:$C$5008)-1)+$K$9783</f>
        <v>0.9551910382075619</v>
      </c>
    </row>
    <row r="9785" spans="8:11">
      <c r="H9785">
        <f>SMALL(SimData5000!$B$9:$B$5008,4777)</f>
        <v>0.95529217722115389</v>
      </c>
      <c r="I9785">
        <f>1/(COUNT(SimData5000!$B$9:$B$5008)-1)+$I$9784</f>
        <v>0.95539107821556346</v>
      </c>
      <c r="J9785">
        <f>SMALL(SimData5000!$C$9:$C$5008,4777)</f>
        <v>0.95805466383899329</v>
      </c>
      <c r="K9785">
        <f>1/(COUNT(SimData5000!$C$9:$C$5008)-1)+$K$9784</f>
        <v>0.95539107821556346</v>
      </c>
    </row>
    <row r="9786" spans="8:11">
      <c r="H9786">
        <f>SMALL(SimData5000!$B$9:$B$5008,4778)</f>
        <v>0.95548670835166394</v>
      </c>
      <c r="I9786">
        <f>1/(COUNT(SimData5000!$B$9:$B$5008)-1)+$I$9785</f>
        <v>0.95559111822356502</v>
      </c>
      <c r="J9786">
        <f>SMALL(SimData5000!$C$9:$C$5008,4778)</f>
        <v>0.95845887751329428</v>
      </c>
      <c r="K9786">
        <f>1/(COUNT(SimData5000!$C$9:$C$5008)-1)+$K$9785</f>
        <v>0.95559111822356502</v>
      </c>
    </row>
    <row r="9787" spans="8:11">
      <c r="H9787">
        <f>SMALL(SimData5000!$B$9:$B$5008,4779)</f>
        <v>0.95565569953165375</v>
      </c>
      <c r="I9787">
        <f>1/(COUNT(SimData5000!$B$9:$B$5008)-1)+$I$9786</f>
        <v>0.95579115823156657</v>
      </c>
      <c r="J9787">
        <f>SMALL(SimData5000!$C$9:$C$5008,4779)</f>
        <v>0.95860883883688075</v>
      </c>
      <c r="K9787">
        <f>1/(COUNT(SimData5000!$C$9:$C$5008)-1)+$K$9786</f>
        <v>0.95579115823156657</v>
      </c>
    </row>
    <row r="9788" spans="8:11">
      <c r="H9788">
        <f>SMALL(SimData5000!$B$9:$B$5008,4780)</f>
        <v>0.95586738540000915</v>
      </c>
      <c r="I9788">
        <f>1/(COUNT(SimData5000!$B$9:$B$5008)-1)+$I$9787</f>
        <v>0.95599119823956813</v>
      </c>
      <c r="J9788">
        <f>SMALL(SimData5000!$C$9:$C$5008,4780)</f>
        <v>0.95870249490417336</v>
      </c>
      <c r="K9788">
        <f>1/(COUNT(SimData5000!$C$9:$C$5008)-1)+$K$9787</f>
        <v>0.95599119823956813</v>
      </c>
    </row>
    <row r="9789" spans="8:11">
      <c r="H9789">
        <f>SMALL(SimData5000!$B$9:$B$5008,4781)</f>
        <v>0.95605430936027658</v>
      </c>
      <c r="I9789">
        <f>1/(COUNT(SimData5000!$B$9:$B$5008)-1)+$I$9788</f>
        <v>0.95619123824756969</v>
      </c>
      <c r="J9789">
        <f>SMALL(SimData5000!$C$9:$C$5008,4781)</f>
        <v>0.95900652110412921</v>
      </c>
      <c r="K9789">
        <f>1/(COUNT(SimData5000!$C$9:$C$5008)-1)+$K$9788</f>
        <v>0.95619123824756969</v>
      </c>
    </row>
    <row r="9790" spans="8:11">
      <c r="H9790">
        <f>SMALL(SimData5000!$B$9:$B$5008,4782)</f>
        <v>0.9563956039095286</v>
      </c>
      <c r="I9790">
        <f>1/(COUNT(SimData5000!$B$9:$B$5008)-1)+$I$9789</f>
        <v>0.95639127825557124</v>
      </c>
      <c r="J9790">
        <f>SMALL(SimData5000!$C$9:$C$5008,4782)</f>
        <v>0.95903842054485722</v>
      </c>
      <c r="K9790">
        <f>1/(COUNT(SimData5000!$C$9:$C$5008)-1)+$K$9789</f>
        <v>0.95639127825557124</v>
      </c>
    </row>
    <row r="9791" spans="8:11">
      <c r="H9791">
        <f>SMALL(SimData5000!$B$9:$B$5008,4783)</f>
        <v>0.95645192042017624</v>
      </c>
      <c r="I9791">
        <f>1/(COUNT(SimData5000!$B$9:$B$5008)-1)+$I$9790</f>
        <v>0.9565913182635728</v>
      </c>
      <c r="J9791">
        <f>SMALL(SimData5000!$C$9:$C$5008,4783)</f>
        <v>0.95907045493640908</v>
      </c>
      <c r="K9791">
        <f>1/(COUNT(SimData5000!$C$9:$C$5008)-1)+$K$9790</f>
        <v>0.9565913182635728</v>
      </c>
    </row>
    <row r="9792" spans="8:11">
      <c r="H9792">
        <f>SMALL(SimData5000!$B$9:$B$5008,4784)</f>
        <v>0.95671467762117157</v>
      </c>
      <c r="I9792">
        <f>1/(COUNT(SimData5000!$B$9:$B$5008)-1)+$I$9791</f>
        <v>0.95679135827157435</v>
      </c>
      <c r="J9792">
        <f>SMALL(SimData5000!$C$9:$C$5008,4784)</f>
        <v>0.95920269293765159</v>
      </c>
      <c r="K9792">
        <f>1/(COUNT(SimData5000!$C$9:$C$5008)-1)+$K$9791</f>
        <v>0.95679135827157435</v>
      </c>
    </row>
    <row r="9793" spans="8:11">
      <c r="H9793">
        <f>SMALL(SimData5000!$B$9:$B$5008,4785)</f>
        <v>0.95682672846792882</v>
      </c>
      <c r="I9793">
        <f>1/(COUNT(SimData5000!$B$9:$B$5008)-1)+$I$9792</f>
        <v>0.95699139827957591</v>
      </c>
      <c r="J9793">
        <f>SMALL(SimData5000!$C$9:$C$5008,4785)</f>
        <v>0.95952994057824981</v>
      </c>
      <c r="K9793">
        <f>1/(COUNT(SimData5000!$C$9:$C$5008)-1)+$K$9792</f>
        <v>0.95699139827957591</v>
      </c>
    </row>
    <row r="9794" spans="8:11">
      <c r="H9794">
        <f>SMALL(SimData5000!$B$9:$B$5008,4786)</f>
        <v>0.95712804170407539</v>
      </c>
      <c r="I9794">
        <f>1/(COUNT(SimData5000!$B$9:$B$5008)-1)+$I$9793</f>
        <v>0.95719143828757747</v>
      </c>
      <c r="J9794">
        <f>SMALL(SimData5000!$C$9:$C$5008,4786)</f>
        <v>0.95978418099730334</v>
      </c>
      <c r="K9794">
        <f>1/(COUNT(SimData5000!$C$9:$C$5008)-1)+$K$9793</f>
        <v>0.95719143828757747</v>
      </c>
    </row>
    <row r="9795" spans="8:11">
      <c r="H9795">
        <f>SMALL(SimData5000!$B$9:$B$5008,4787)</f>
        <v>0.95735242460448111</v>
      </c>
      <c r="I9795">
        <f>1/(COUNT(SimData5000!$B$9:$B$5008)-1)+$I$9794</f>
        <v>0.95739147829557902</v>
      </c>
      <c r="J9795">
        <f>SMALL(SimData5000!$C$9:$C$5008,4787)</f>
        <v>0.96035695240334462</v>
      </c>
      <c r="K9795">
        <f>1/(COUNT(SimData5000!$C$9:$C$5008)-1)+$K$9794</f>
        <v>0.95739147829557902</v>
      </c>
    </row>
    <row r="9796" spans="8:11">
      <c r="H9796">
        <f>SMALL(SimData5000!$B$9:$B$5008,4788)</f>
        <v>0.95756964100347119</v>
      </c>
      <c r="I9796">
        <f>1/(COUNT(SimData5000!$B$9:$B$5008)-1)+$I$9795</f>
        <v>0.95759151830358058</v>
      </c>
      <c r="J9796">
        <f>SMALL(SimData5000!$C$9:$C$5008,4788)</f>
        <v>0.96072016860944132</v>
      </c>
      <c r="K9796">
        <f>1/(COUNT(SimData5000!$C$9:$C$5008)-1)+$K$9795</f>
        <v>0.95759151830358058</v>
      </c>
    </row>
    <row r="9797" spans="8:11">
      <c r="H9797">
        <f>SMALL(SimData5000!$B$9:$B$5008,4789)</f>
        <v>0.9576668107825953</v>
      </c>
      <c r="I9797">
        <f>1/(COUNT(SimData5000!$B$9:$B$5008)-1)+$I$9796</f>
        <v>0.95779155831158214</v>
      </c>
      <c r="J9797">
        <f>SMALL(SimData5000!$C$9:$C$5008,4789)</f>
        <v>0.96084086059727269</v>
      </c>
      <c r="K9797">
        <f>1/(COUNT(SimData5000!$C$9:$C$5008)-1)+$K$9796</f>
        <v>0.95779155831158214</v>
      </c>
    </row>
    <row r="9798" spans="8:11">
      <c r="H9798">
        <f>SMALL(SimData5000!$B$9:$B$5008,4790)</f>
        <v>0.95787111254261603</v>
      </c>
      <c r="I9798">
        <f>1/(COUNT(SimData5000!$B$9:$B$5008)-1)+$I$9797</f>
        <v>0.95799159831958369</v>
      </c>
      <c r="J9798">
        <f>SMALL(SimData5000!$C$9:$C$5008,4790)</f>
        <v>0.96095736724873859</v>
      </c>
      <c r="K9798">
        <f>1/(COUNT(SimData5000!$C$9:$C$5008)-1)+$K$9797</f>
        <v>0.95799159831958369</v>
      </c>
    </row>
    <row r="9799" spans="8:11">
      <c r="H9799">
        <f>SMALL(SimData5000!$B$9:$B$5008,4791)</f>
        <v>0.95804403057956222</v>
      </c>
      <c r="I9799">
        <f>1/(COUNT(SimData5000!$B$9:$B$5008)-1)+$I$9798</f>
        <v>0.95819163832758525</v>
      </c>
      <c r="J9799">
        <f>SMALL(SimData5000!$C$9:$C$5008,4791)</f>
        <v>0.96118520160962362</v>
      </c>
      <c r="K9799">
        <f>1/(COUNT(SimData5000!$C$9:$C$5008)-1)+$K$9798</f>
        <v>0.95819163832758525</v>
      </c>
    </row>
    <row r="9800" spans="8:11">
      <c r="H9800">
        <f>SMALL(SimData5000!$B$9:$B$5008,4792)</f>
        <v>0.95821823763139968</v>
      </c>
      <c r="I9800">
        <f>1/(COUNT(SimData5000!$B$9:$B$5008)-1)+$I$9799</f>
        <v>0.95839167833558681</v>
      </c>
      <c r="J9800">
        <f>SMALL(SimData5000!$C$9:$C$5008,4792)</f>
        <v>0.9615134253526918</v>
      </c>
      <c r="K9800">
        <f>1/(COUNT(SimData5000!$C$9:$C$5008)-1)+$K$9799</f>
        <v>0.95839167833558681</v>
      </c>
    </row>
    <row r="9801" spans="8:11">
      <c r="H9801">
        <f>SMALL(SimData5000!$B$9:$B$5008,4793)</f>
        <v>0.9584245661830586</v>
      </c>
      <c r="I9801">
        <f>1/(COUNT(SimData5000!$B$9:$B$5008)-1)+$I$9800</f>
        <v>0.95859171834358836</v>
      </c>
      <c r="J9801">
        <f>SMALL(SimData5000!$C$9:$C$5008,4793)</f>
        <v>0.9617500798403853</v>
      </c>
      <c r="K9801">
        <f>1/(COUNT(SimData5000!$C$9:$C$5008)-1)+$K$9800</f>
        <v>0.95859171834358836</v>
      </c>
    </row>
    <row r="9802" spans="8:11">
      <c r="H9802">
        <f>SMALL(SimData5000!$B$9:$B$5008,4794)</f>
        <v>0.95869978113842658</v>
      </c>
      <c r="I9802">
        <f>1/(COUNT(SimData5000!$B$9:$B$5008)-1)+$I$9801</f>
        <v>0.95879175835158992</v>
      </c>
      <c r="J9802">
        <f>SMALL(SimData5000!$C$9:$C$5008,4794)</f>
        <v>0.96190767385542131</v>
      </c>
      <c r="K9802">
        <f>1/(COUNT(SimData5000!$C$9:$C$5008)-1)+$K$9801</f>
        <v>0.95879175835158992</v>
      </c>
    </row>
    <row r="9803" spans="8:11">
      <c r="H9803">
        <f>SMALL(SimData5000!$B$9:$B$5008,4795)</f>
        <v>0.95888094241853827</v>
      </c>
      <c r="I9803">
        <f>1/(COUNT(SimData5000!$B$9:$B$5008)-1)+$I$9802</f>
        <v>0.95899179835959147</v>
      </c>
      <c r="J9803">
        <f>SMALL(SimData5000!$C$9:$C$5008,4795)</f>
        <v>0.96195933979834081</v>
      </c>
      <c r="K9803">
        <f>1/(COUNT(SimData5000!$C$9:$C$5008)-1)+$K$9802</f>
        <v>0.95899179835959147</v>
      </c>
    </row>
    <row r="9804" spans="8:11">
      <c r="H9804">
        <f>SMALL(SimData5000!$B$9:$B$5008,4796)</f>
        <v>0.95913784513192657</v>
      </c>
      <c r="I9804">
        <f>1/(COUNT(SimData5000!$B$9:$B$5008)-1)+$I$9803</f>
        <v>0.95919183836759303</v>
      </c>
      <c r="J9804">
        <f>SMALL(SimData5000!$C$9:$C$5008,4796)</f>
        <v>0.9622238791835116</v>
      </c>
      <c r="K9804">
        <f>1/(COUNT(SimData5000!$C$9:$C$5008)-1)+$K$9803</f>
        <v>0.95919183836759303</v>
      </c>
    </row>
    <row r="9805" spans="8:11">
      <c r="H9805">
        <f>SMALL(SimData5000!$B$9:$B$5008,4797)</f>
        <v>0.95925530502131573</v>
      </c>
      <c r="I9805">
        <f>1/(COUNT(SimData5000!$B$9:$B$5008)-1)+$I$9804</f>
        <v>0.95939187837559459</v>
      </c>
      <c r="J9805">
        <f>SMALL(SimData5000!$C$9:$C$5008,4797)</f>
        <v>0.96223042877682019</v>
      </c>
      <c r="K9805">
        <f>1/(COUNT(SimData5000!$C$9:$C$5008)-1)+$K$9804</f>
        <v>0.95939187837559459</v>
      </c>
    </row>
    <row r="9806" spans="8:11">
      <c r="H9806">
        <f>SMALL(SimData5000!$B$9:$B$5008,4798)</f>
        <v>0.95943109716079922</v>
      </c>
      <c r="I9806">
        <f>1/(COUNT(SimData5000!$B$9:$B$5008)-1)+$I$9805</f>
        <v>0.95959191838359614</v>
      </c>
      <c r="J9806">
        <f>SMALL(SimData5000!$C$9:$C$5008,4798)</f>
        <v>0.96224905907001812</v>
      </c>
      <c r="K9806">
        <f>1/(COUNT(SimData5000!$C$9:$C$5008)-1)+$K$9805</f>
        <v>0.95959191838359614</v>
      </c>
    </row>
    <row r="9807" spans="8:11">
      <c r="H9807">
        <f>SMALL(SimData5000!$B$9:$B$5008,4799)</f>
        <v>0.95964043761972351</v>
      </c>
      <c r="I9807">
        <f>1/(COUNT(SimData5000!$B$9:$B$5008)-1)+$I$9806</f>
        <v>0.9597919583915977</v>
      </c>
      <c r="J9807">
        <f>SMALL(SimData5000!$C$9:$C$5008,4799)</f>
        <v>0.96326649515594909</v>
      </c>
      <c r="K9807">
        <f>1/(COUNT(SimData5000!$C$9:$C$5008)-1)+$K$9806</f>
        <v>0.9597919583915977</v>
      </c>
    </row>
    <row r="9808" spans="8:11">
      <c r="H9808">
        <f>SMALL(SimData5000!$B$9:$B$5008,4800)</f>
        <v>0.95990089388082289</v>
      </c>
      <c r="I9808">
        <f>1/(COUNT(SimData5000!$B$9:$B$5008)-1)+$I$9807</f>
        <v>0.95999199839959926</v>
      </c>
      <c r="J9808">
        <f>SMALL(SimData5000!$C$9:$C$5008,4800)</f>
        <v>0.96334437146560958</v>
      </c>
      <c r="K9808">
        <f>1/(COUNT(SimData5000!$C$9:$C$5008)-1)+$K$9807</f>
        <v>0.95999199839959926</v>
      </c>
    </row>
    <row r="9809" spans="8:11">
      <c r="H9809">
        <f>SMALL(SimData5000!$B$9:$B$5008,4801)</f>
        <v>0.96016078261215265</v>
      </c>
      <c r="I9809">
        <f>1/(COUNT(SimData5000!$B$9:$B$5008)-1)+$I$9808</f>
        <v>0.96019203840760081</v>
      </c>
      <c r="J9809">
        <f>SMALL(SimData5000!$C$9:$C$5008,4801)</f>
        <v>0.96346384969865539</v>
      </c>
      <c r="K9809">
        <f>1/(COUNT(SimData5000!$C$9:$C$5008)-1)+$K$9808</f>
        <v>0.96019203840760081</v>
      </c>
    </row>
    <row r="9810" spans="8:11">
      <c r="H9810">
        <f>SMALL(SimData5000!$B$9:$B$5008,4802)</f>
        <v>0.96024381709579465</v>
      </c>
      <c r="I9810">
        <f>1/(COUNT(SimData5000!$B$9:$B$5008)-1)+$I$9809</f>
        <v>0.96039207841560237</v>
      </c>
      <c r="J9810">
        <f>SMALL(SimData5000!$C$9:$C$5008,4802)</f>
        <v>0.96348631924229267</v>
      </c>
      <c r="K9810">
        <f>1/(COUNT(SimData5000!$C$9:$C$5008)-1)+$K$9809</f>
        <v>0.96039207841560237</v>
      </c>
    </row>
    <row r="9811" spans="8:11">
      <c r="H9811">
        <f>SMALL(SimData5000!$B$9:$B$5008,4803)</f>
        <v>0.96043733305228818</v>
      </c>
      <c r="I9811">
        <f>1/(COUNT(SimData5000!$B$9:$B$5008)-1)+$I$9810</f>
        <v>0.96059211842360392</v>
      </c>
      <c r="J9811">
        <f>SMALL(SimData5000!$C$9:$C$5008,4803)</f>
        <v>0.96381943906726519</v>
      </c>
      <c r="K9811">
        <f>1/(COUNT(SimData5000!$C$9:$C$5008)-1)+$K$9810</f>
        <v>0.96059211842360392</v>
      </c>
    </row>
    <row r="9812" spans="8:11">
      <c r="H9812">
        <f>SMALL(SimData5000!$B$9:$B$5008,4804)</f>
        <v>0.9606522702318272</v>
      </c>
      <c r="I9812">
        <f>1/(COUNT(SimData5000!$B$9:$B$5008)-1)+$I$9811</f>
        <v>0.96079215843160548</v>
      </c>
      <c r="J9812">
        <f>SMALL(SimData5000!$C$9:$C$5008,4804)</f>
        <v>0.96383154175782693</v>
      </c>
      <c r="K9812">
        <f>1/(COUNT(SimData5000!$C$9:$C$5008)-1)+$K$9811</f>
        <v>0.96079215843160548</v>
      </c>
    </row>
    <row r="9813" spans="8:11">
      <c r="H9813">
        <f>SMALL(SimData5000!$B$9:$B$5008,4805)</f>
        <v>0.96094404157040259</v>
      </c>
      <c r="I9813">
        <f>1/(COUNT(SimData5000!$B$9:$B$5008)-1)+$I$9812</f>
        <v>0.96099219843960704</v>
      </c>
      <c r="J9813">
        <f>SMALL(SimData5000!$C$9:$C$5008,4805)</f>
        <v>0.96394711375251063</v>
      </c>
      <c r="K9813">
        <f>1/(COUNT(SimData5000!$C$9:$C$5008)-1)+$K$9812</f>
        <v>0.96099219843960704</v>
      </c>
    </row>
    <row r="9814" spans="8:11">
      <c r="H9814">
        <f>SMALL(SimData5000!$B$9:$B$5008,4806)</f>
        <v>0.96103830390484968</v>
      </c>
      <c r="I9814">
        <f>1/(COUNT(SimData5000!$B$9:$B$5008)-1)+$I$9813</f>
        <v>0.96119223844760859</v>
      </c>
      <c r="J9814">
        <f>SMALL(SimData5000!$C$9:$C$5008,4806)</f>
        <v>0.96550213197770063</v>
      </c>
      <c r="K9814">
        <f>1/(COUNT(SimData5000!$C$9:$C$5008)-1)+$K$9813</f>
        <v>0.96119223844760859</v>
      </c>
    </row>
    <row r="9815" spans="8:11">
      <c r="H9815">
        <f>SMALL(SimData5000!$B$9:$B$5008,4807)</f>
        <v>0.9612123171149316</v>
      </c>
      <c r="I9815">
        <f>1/(COUNT(SimData5000!$B$9:$B$5008)-1)+$I$9814</f>
        <v>0.96139227845561015</v>
      </c>
      <c r="J9815">
        <f>SMALL(SimData5000!$C$9:$C$5008,4807)</f>
        <v>0.96569497152086115</v>
      </c>
      <c r="K9815">
        <f>1/(COUNT(SimData5000!$C$9:$C$5008)-1)+$K$9814</f>
        <v>0.96139227845561015</v>
      </c>
    </row>
    <row r="9816" spans="8:11">
      <c r="H9816">
        <f>SMALL(SimData5000!$B$9:$B$5008,4808)</f>
        <v>0.9615370075788201</v>
      </c>
      <c r="I9816">
        <f>1/(COUNT(SimData5000!$B$9:$B$5008)-1)+$I$9815</f>
        <v>0.96159231846361171</v>
      </c>
      <c r="J9816">
        <f>SMALL(SimData5000!$C$9:$C$5008,4808)</f>
        <v>0.96623306478704762</v>
      </c>
      <c r="K9816">
        <f>1/(COUNT(SimData5000!$C$9:$C$5008)-1)+$K$9815</f>
        <v>0.96159231846361171</v>
      </c>
    </row>
    <row r="9817" spans="8:11">
      <c r="H9817">
        <f>SMALL(SimData5000!$B$9:$B$5008,4809)</f>
        <v>0.96165338145444479</v>
      </c>
      <c r="I9817">
        <f>1/(COUNT(SimData5000!$B$9:$B$5008)-1)+$I$9816</f>
        <v>0.96179235847161326</v>
      </c>
      <c r="J9817">
        <f>SMALL(SimData5000!$C$9:$C$5008,4809)</f>
        <v>0.96624247824274789</v>
      </c>
      <c r="K9817">
        <f>1/(COUNT(SimData5000!$C$9:$C$5008)-1)+$K$9816</f>
        <v>0.96179235847161326</v>
      </c>
    </row>
    <row r="9818" spans="8:11">
      <c r="H9818">
        <f>SMALL(SimData5000!$B$9:$B$5008,4810)</f>
        <v>0.96199318548762081</v>
      </c>
      <c r="I9818">
        <f>1/(COUNT(SimData5000!$B$9:$B$5008)-1)+$I$9817</f>
        <v>0.96199239847961482</v>
      </c>
      <c r="J9818">
        <f>SMALL(SimData5000!$C$9:$C$5008,4810)</f>
        <v>0.96624398128642497</v>
      </c>
      <c r="K9818">
        <f>1/(COUNT(SimData5000!$C$9:$C$5008)-1)+$K$9817</f>
        <v>0.96199239847961482</v>
      </c>
    </row>
    <row r="9819" spans="8:11">
      <c r="H9819">
        <f>SMALL(SimData5000!$B$9:$B$5008,4811)</f>
        <v>0.96206222873853109</v>
      </c>
      <c r="I9819">
        <f>1/(COUNT(SimData5000!$B$9:$B$5008)-1)+$I$9818</f>
        <v>0.96219243848761637</v>
      </c>
      <c r="J9819">
        <f>SMALL(SimData5000!$C$9:$C$5008,4811)</f>
        <v>0.96627509225072572</v>
      </c>
      <c r="K9819">
        <f>1/(COUNT(SimData5000!$C$9:$C$5008)-1)+$K$9818</f>
        <v>0.96219243848761637</v>
      </c>
    </row>
    <row r="9820" spans="8:11">
      <c r="H9820">
        <f>SMALL(SimData5000!$B$9:$B$5008,4812)</f>
        <v>0.96237583223771672</v>
      </c>
      <c r="I9820">
        <f>1/(COUNT(SimData5000!$B$9:$B$5008)-1)+$I$9819</f>
        <v>0.96239247849561793</v>
      </c>
      <c r="J9820">
        <f>SMALL(SimData5000!$C$9:$C$5008,4812)</f>
        <v>0.96633301667498017</v>
      </c>
      <c r="K9820">
        <f>1/(COUNT(SimData5000!$C$9:$C$5008)-1)+$K$9819</f>
        <v>0.96239247849561793</v>
      </c>
    </row>
    <row r="9821" spans="8:11">
      <c r="H9821">
        <f>SMALL(SimData5000!$B$9:$B$5008,4813)</f>
        <v>0.96244386339384214</v>
      </c>
      <c r="I9821">
        <f>1/(COUNT(SimData5000!$B$9:$B$5008)-1)+$I$9820</f>
        <v>0.96259251850361949</v>
      </c>
      <c r="J9821">
        <f>SMALL(SimData5000!$C$9:$C$5008,4813)</f>
        <v>0.9668349384519388</v>
      </c>
      <c r="K9821">
        <f>1/(COUNT(SimData5000!$C$9:$C$5008)-1)+$K$9820</f>
        <v>0.96259251850361949</v>
      </c>
    </row>
    <row r="9822" spans="8:11">
      <c r="H9822">
        <f>SMALL(SimData5000!$B$9:$B$5008,4814)</f>
        <v>0.96268329224020321</v>
      </c>
      <c r="I9822">
        <f>1/(COUNT(SimData5000!$B$9:$B$5008)-1)+$I$9821</f>
        <v>0.96279255851162104</v>
      </c>
      <c r="J9822">
        <f>SMALL(SimData5000!$C$9:$C$5008,4814)</f>
        <v>0.966947789889673</v>
      </c>
      <c r="K9822">
        <f>1/(COUNT(SimData5000!$C$9:$C$5008)-1)+$K$9821</f>
        <v>0.96279255851162104</v>
      </c>
    </row>
    <row r="9823" spans="8:11">
      <c r="H9823">
        <f>SMALL(SimData5000!$B$9:$B$5008,4815)</f>
        <v>0.96295626327822825</v>
      </c>
      <c r="I9823">
        <f>1/(COUNT(SimData5000!$B$9:$B$5008)-1)+$I$9822</f>
        <v>0.9629925985196226</v>
      </c>
      <c r="J9823">
        <f>SMALL(SimData5000!$C$9:$C$5008,4815)</f>
        <v>0.96703538763813413</v>
      </c>
      <c r="K9823">
        <f>1/(COUNT(SimData5000!$C$9:$C$5008)-1)+$K$9822</f>
        <v>0.9629925985196226</v>
      </c>
    </row>
    <row r="9824" spans="8:11">
      <c r="H9824">
        <f>SMALL(SimData5000!$B$9:$B$5008,4816)</f>
        <v>0.96305269465410437</v>
      </c>
      <c r="I9824">
        <f>1/(COUNT(SimData5000!$B$9:$B$5008)-1)+$I$9823</f>
        <v>0.96319263852762416</v>
      </c>
      <c r="J9824">
        <f>SMALL(SimData5000!$C$9:$C$5008,4816)</f>
        <v>0.96703693738618313</v>
      </c>
      <c r="K9824">
        <f>1/(COUNT(SimData5000!$C$9:$C$5008)-1)+$K$9823</f>
        <v>0.96319263852762416</v>
      </c>
    </row>
    <row r="9825" spans="8:11">
      <c r="H9825">
        <f>SMALL(SimData5000!$B$9:$B$5008,4817)</f>
        <v>0.96332486323027988</v>
      </c>
      <c r="I9825">
        <f>1/(COUNT(SimData5000!$B$9:$B$5008)-1)+$I$9824</f>
        <v>0.96339267853562571</v>
      </c>
      <c r="J9825">
        <f>SMALL(SimData5000!$C$9:$C$5008,4817)</f>
        <v>0.96708884952204244</v>
      </c>
      <c r="K9825">
        <f>1/(COUNT(SimData5000!$C$9:$C$5008)-1)+$K$9824</f>
        <v>0.96339267853562571</v>
      </c>
    </row>
    <row r="9826" spans="8:11">
      <c r="H9826">
        <f>SMALL(SimData5000!$B$9:$B$5008,4818)</f>
        <v>0.96346889316743911</v>
      </c>
      <c r="I9826">
        <f>1/(COUNT(SimData5000!$B$9:$B$5008)-1)+$I$9825</f>
        <v>0.96359271854362727</v>
      </c>
      <c r="J9826">
        <f>SMALL(SimData5000!$C$9:$C$5008,4818)</f>
        <v>0.96713417420323822</v>
      </c>
      <c r="K9826">
        <f>1/(COUNT(SimData5000!$C$9:$C$5008)-1)+$K$9825</f>
        <v>0.96359271854362727</v>
      </c>
    </row>
    <row r="9827" spans="8:11">
      <c r="H9827">
        <f>SMALL(SimData5000!$B$9:$B$5008,4819)</f>
        <v>0.96368907390662684</v>
      </c>
      <c r="I9827">
        <f>1/(COUNT(SimData5000!$B$9:$B$5008)-1)+$I$9826</f>
        <v>0.96379275855162883</v>
      </c>
      <c r="J9827">
        <f>SMALL(SimData5000!$C$9:$C$5008,4819)</f>
        <v>0.96722212058466539</v>
      </c>
      <c r="K9827">
        <f>1/(COUNT(SimData5000!$C$9:$C$5008)-1)+$K$9826</f>
        <v>0.96379275855162883</v>
      </c>
    </row>
    <row r="9828" spans="8:11">
      <c r="H9828">
        <f>SMALL(SimData5000!$B$9:$B$5008,4820)</f>
        <v>0.96385353833377685</v>
      </c>
      <c r="I9828">
        <f>1/(COUNT(SimData5000!$B$9:$B$5008)-1)+$I$9827</f>
        <v>0.96399279855963038</v>
      </c>
      <c r="J9828">
        <f>SMALL(SimData5000!$C$9:$C$5008,4820)</f>
        <v>0.96752084687159368</v>
      </c>
      <c r="K9828">
        <f>1/(COUNT(SimData5000!$C$9:$C$5008)-1)+$K$9827</f>
        <v>0.96399279855963038</v>
      </c>
    </row>
    <row r="9829" spans="8:11">
      <c r="H9829">
        <f>SMALL(SimData5000!$B$9:$B$5008,4821)</f>
        <v>0.9641552081539192</v>
      </c>
      <c r="I9829">
        <f>1/(COUNT(SimData5000!$B$9:$B$5008)-1)+$I$9828</f>
        <v>0.96419283856763194</v>
      </c>
      <c r="J9829">
        <f>SMALL(SimData5000!$C$9:$C$5008,4821)</f>
        <v>0.96766036362259911</v>
      </c>
      <c r="K9829">
        <f>1/(COUNT(SimData5000!$C$9:$C$5008)-1)+$K$9828</f>
        <v>0.96419283856763194</v>
      </c>
    </row>
    <row r="9830" spans="8:11">
      <c r="H9830">
        <f>SMALL(SimData5000!$B$9:$B$5008,4822)</f>
        <v>0.96421906814999381</v>
      </c>
      <c r="I9830">
        <f>1/(COUNT(SimData5000!$B$9:$B$5008)-1)+$I$9829</f>
        <v>0.96439287857563349</v>
      </c>
      <c r="J9830">
        <f>SMALL(SimData5000!$C$9:$C$5008,4822)</f>
        <v>0.9676935066408987</v>
      </c>
      <c r="K9830">
        <f>1/(COUNT(SimData5000!$C$9:$C$5008)-1)+$K$9829</f>
        <v>0.96439287857563349</v>
      </c>
    </row>
    <row r="9831" spans="8:11">
      <c r="H9831">
        <f>SMALL(SimData5000!$B$9:$B$5008,4823)</f>
        <v>0.96448130102941798</v>
      </c>
      <c r="I9831">
        <f>1/(COUNT(SimData5000!$B$9:$B$5008)-1)+$I$9830</f>
        <v>0.96459291858363505</v>
      </c>
      <c r="J9831">
        <f>SMALL(SimData5000!$C$9:$C$5008,4823)</f>
        <v>0.96774565449413785</v>
      </c>
      <c r="K9831">
        <f>1/(COUNT(SimData5000!$C$9:$C$5008)-1)+$K$9830</f>
        <v>0.96459291858363505</v>
      </c>
    </row>
    <row r="9832" spans="8:11">
      <c r="H9832">
        <f>SMALL(SimData5000!$B$9:$B$5008,4824)</f>
        <v>0.96475792323592069</v>
      </c>
      <c r="I9832">
        <f>1/(COUNT(SimData5000!$B$9:$B$5008)-1)+$I$9831</f>
        <v>0.96479295859163661</v>
      </c>
      <c r="J9832">
        <f>SMALL(SimData5000!$C$9:$C$5008,4824)</f>
        <v>0.96779145267555577</v>
      </c>
      <c r="K9832">
        <f>1/(COUNT(SimData5000!$C$9:$C$5008)-1)+$K$9831</f>
        <v>0.96479295859163661</v>
      </c>
    </row>
    <row r="9833" spans="8:11">
      <c r="H9833">
        <f>SMALL(SimData5000!$B$9:$B$5008,4825)</f>
        <v>0.96490902743723928</v>
      </c>
      <c r="I9833">
        <f>1/(COUNT(SimData5000!$B$9:$B$5008)-1)+$I$9832</f>
        <v>0.96499299859963816</v>
      </c>
      <c r="J9833">
        <f>SMALL(SimData5000!$C$9:$C$5008,4825)</f>
        <v>0.96782473598250363</v>
      </c>
      <c r="K9833">
        <f>1/(COUNT(SimData5000!$C$9:$C$5008)-1)+$K$9832</f>
        <v>0.96499299859963816</v>
      </c>
    </row>
    <row r="9834" spans="8:11">
      <c r="H9834">
        <f>SMALL(SimData5000!$B$9:$B$5008,4826)</f>
        <v>0.96515034542608769</v>
      </c>
      <c r="I9834">
        <f>1/(COUNT(SimData5000!$B$9:$B$5008)-1)+$I$9833</f>
        <v>0.96519303860763972</v>
      </c>
      <c r="J9834">
        <f>SMALL(SimData5000!$C$9:$C$5008,4826)</f>
        <v>0.968197557746862</v>
      </c>
      <c r="K9834">
        <f>1/(COUNT(SimData5000!$C$9:$C$5008)-1)+$K$9833</f>
        <v>0.96519303860763972</v>
      </c>
    </row>
    <row r="9835" spans="8:11">
      <c r="H9835">
        <f>SMALL(SimData5000!$B$9:$B$5008,4827)</f>
        <v>0.96532428509744916</v>
      </c>
      <c r="I9835">
        <f>1/(COUNT(SimData5000!$B$9:$B$5008)-1)+$I$9834</f>
        <v>0.96539307861564128</v>
      </c>
      <c r="J9835">
        <f>SMALL(SimData5000!$C$9:$C$5008,4827)</f>
        <v>0.96830410839538672</v>
      </c>
      <c r="K9835">
        <f>1/(COUNT(SimData5000!$C$9:$C$5008)-1)+$K$9834</f>
        <v>0.96539307861564128</v>
      </c>
    </row>
    <row r="9836" spans="8:11">
      <c r="H9836">
        <f>SMALL(SimData5000!$B$9:$B$5008,4828)</f>
        <v>0.96554485483792252</v>
      </c>
      <c r="I9836">
        <f>1/(COUNT(SimData5000!$B$9:$B$5008)-1)+$I$9835</f>
        <v>0.96559311862364283</v>
      </c>
      <c r="J9836">
        <f>SMALL(SimData5000!$C$9:$C$5008,4828)</f>
        <v>0.96859207978650375</v>
      </c>
      <c r="K9836">
        <f>1/(COUNT(SimData5000!$C$9:$C$5008)-1)+$K$9835</f>
        <v>0.96559311862364283</v>
      </c>
    </row>
    <row r="9837" spans="8:11">
      <c r="H9837">
        <f>SMALL(SimData5000!$B$9:$B$5008,4829)</f>
        <v>0.96573348448135277</v>
      </c>
      <c r="I9837">
        <f>1/(COUNT(SimData5000!$B$9:$B$5008)-1)+$I$9836</f>
        <v>0.96579315863164439</v>
      </c>
      <c r="J9837">
        <f>SMALL(SimData5000!$C$9:$C$5008,4829)</f>
        <v>0.9686731011415759</v>
      </c>
      <c r="K9837">
        <f>1/(COUNT(SimData5000!$C$9:$C$5008)-1)+$K$9836</f>
        <v>0.96579315863164439</v>
      </c>
    </row>
    <row r="9838" spans="8:11">
      <c r="H9838">
        <f>SMALL(SimData5000!$B$9:$B$5008,4830)</f>
        <v>0.96586384710405582</v>
      </c>
      <c r="I9838">
        <f>1/(COUNT(SimData5000!$B$9:$B$5008)-1)+$I$9837</f>
        <v>0.96599319863964594</v>
      </c>
      <c r="J9838">
        <f>SMALL(SimData5000!$C$9:$C$5008,4830)</f>
        <v>0.96897396126860258</v>
      </c>
      <c r="K9838">
        <f>1/(COUNT(SimData5000!$C$9:$C$5008)-1)+$K$9837</f>
        <v>0.96599319863964594</v>
      </c>
    </row>
    <row r="9839" spans="8:11">
      <c r="H9839">
        <f>SMALL(SimData5000!$B$9:$B$5008,4831)</f>
        <v>0.96616624400098028</v>
      </c>
      <c r="I9839">
        <f>1/(COUNT(SimData5000!$B$9:$B$5008)-1)+$I$9838</f>
        <v>0.9661932386476475</v>
      </c>
      <c r="J9839">
        <f>SMALL(SimData5000!$C$9:$C$5008,4831)</f>
        <v>0.96913427352319559</v>
      </c>
      <c r="K9839">
        <f>1/(COUNT(SimData5000!$C$9:$C$5008)-1)+$K$9838</f>
        <v>0.9661932386476475</v>
      </c>
    </row>
    <row r="9840" spans="8:11">
      <c r="H9840">
        <f>SMALL(SimData5000!$B$9:$B$5008,4832)</f>
        <v>0.96620635824469059</v>
      </c>
      <c r="I9840">
        <f>1/(COUNT(SimData5000!$B$9:$B$5008)-1)+$I$9839</f>
        <v>0.96639327865564906</v>
      </c>
      <c r="J9840">
        <f>SMALL(SimData5000!$C$9:$C$5008,4832)</f>
        <v>0.96917756809489219</v>
      </c>
      <c r="K9840">
        <f>1/(COUNT(SimData5000!$C$9:$C$5008)-1)+$K$9839</f>
        <v>0.96639327865564906</v>
      </c>
    </row>
    <row r="9841" spans="8:11">
      <c r="H9841">
        <f>SMALL(SimData5000!$B$9:$B$5008,4833)</f>
        <v>0.96647697593608806</v>
      </c>
      <c r="I9841">
        <f>1/(COUNT(SimData5000!$B$9:$B$5008)-1)+$I$9840</f>
        <v>0.96659331866365061</v>
      </c>
      <c r="J9841">
        <f>SMALL(SimData5000!$C$9:$C$5008,4833)</f>
        <v>0.96919664082179224</v>
      </c>
      <c r="K9841">
        <f>1/(COUNT(SimData5000!$C$9:$C$5008)-1)+$K$9840</f>
        <v>0.96659331866365061</v>
      </c>
    </row>
    <row r="9842" spans="8:11">
      <c r="H9842">
        <f>SMALL(SimData5000!$B$9:$B$5008,4834)</f>
        <v>0.96677266813841944</v>
      </c>
      <c r="I9842">
        <f>1/(COUNT(SimData5000!$B$9:$B$5008)-1)+$I$9841</f>
        <v>0.96679335867165217</v>
      </c>
      <c r="J9842">
        <f>SMALL(SimData5000!$C$9:$C$5008,4834)</f>
        <v>0.96921431346072495</v>
      </c>
      <c r="K9842">
        <f>1/(COUNT(SimData5000!$C$9:$C$5008)-1)+$K$9841</f>
        <v>0.96679335867165217</v>
      </c>
    </row>
    <row r="9843" spans="8:11">
      <c r="H9843">
        <f>SMALL(SimData5000!$B$9:$B$5008,4835)</f>
        <v>0.96695966368321318</v>
      </c>
      <c r="I9843">
        <f>1/(COUNT(SimData5000!$B$9:$B$5008)-1)+$I$9842</f>
        <v>0.96699339867965373</v>
      </c>
      <c r="J9843">
        <f>SMALL(SimData5000!$C$9:$C$5008,4835)</f>
        <v>0.96931208805472124</v>
      </c>
      <c r="K9843">
        <f>1/(COUNT(SimData5000!$C$9:$C$5008)-1)+$K$9842</f>
        <v>0.96699339867965373</v>
      </c>
    </row>
    <row r="9844" spans="8:11">
      <c r="H9844">
        <f>SMALL(SimData5000!$B$9:$B$5008,4836)</f>
        <v>0.96714168073813001</v>
      </c>
      <c r="I9844">
        <f>1/(COUNT(SimData5000!$B$9:$B$5008)-1)+$I$9843</f>
        <v>0.96719343868765528</v>
      </c>
      <c r="J9844">
        <f>SMALL(SimData5000!$C$9:$C$5008,4836)</f>
        <v>0.96943379410549824</v>
      </c>
      <c r="K9844">
        <f>1/(COUNT(SimData5000!$C$9:$C$5008)-1)+$K$9843</f>
        <v>0.96719343868765528</v>
      </c>
    </row>
    <row r="9845" spans="8:11">
      <c r="H9845">
        <f>SMALL(SimData5000!$B$9:$B$5008,4837)</f>
        <v>0.96720303790764961</v>
      </c>
      <c r="I9845">
        <f>1/(COUNT(SimData5000!$B$9:$B$5008)-1)+$I$9844</f>
        <v>0.96739347869565684</v>
      </c>
      <c r="J9845">
        <f>SMALL(SimData5000!$C$9:$C$5008,4837)</f>
        <v>0.96984267789957812</v>
      </c>
      <c r="K9845">
        <f>1/(COUNT(SimData5000!$C$9:$C$5008)-1)+$K$9844</f>
        <v>0.96739347869565684</v>
      </c>
    </row>
    <row r="9846" spans="8:11">
      <c r="H9846">
        <f>SMALL(SimData5000!$B$9:$B$5008,4838)</f>
        <v>0.9674258742929962</v>
      </c>
      <c r="I9846">
        <f>1/(COUNT(SimData5000!$B$9:$B$5008)-1)+$I$9845</f>
        <v>0.9675935187036584</v>
      </c>
      <c r="J9846">
        <f>SMALL(SimData5000!$C$9:$C$5008,4838)</f>
        <v>0.9699871890443319</v>
      </c>
      <c r="K9846">
        <f>1/(COUNT(SimData5000!$C$9:$C$5008)-1)+$K$9845</f>
        <v>0.9675935187036584</v>
      </c>
    </row>
    <row r="9847" spans="8:11">
      <c r="H9847">
        <f>SMALL(SimData5000!$B$9:$B$5008,4839)</f>
        <v>0.96768142766158127</v>
      </c>
      <c r="I9847">
        <f>1/(COUNT(SimData5000!$B$9:$B$5008)-1)+$I$9846</f>
        <v>0.96779355871165995</v>
      </c>
      <c r="J9847">
        <f>SMALL(SimData5000!$C$9:$C$5008,4839)</f>
        <v>0.97010269441125274</v>
      </c>
      <c r="K9847">
        <f>1/(COUNT(SimData5000!$C$9:$C$5008)-1)+$K$9846</f>
        <v>0.96779355871165995</v>
      </c>
    </row>
    <row r="9848" spans="8:11">
      <c r="H9848">
        <f>SMALL(SimData5000!$B$9:$B$5008,4840)</f>
        <v>0.96782519140323275</v>
      </c>
      <c r="I9848">
        <f>1/(COUNT(SimData5000!$B$9:$B$5008)-1)+$I$9847</f>
        <v>0.96799359871966151</v>
      </c>
      <c r="J9848">
        <f>SMALL(SimData5000!$C$9:$C$5008,4840)</f>
        <v>0.97017476094697486</v>
      </c>
      <c r="K9848">
        <f>1/(COUNT(SimData5000!$C$9:$C$5008)-1)+$K$9847</f>
        <v>0.96799359871966151</v>
      </c>
    </row>
    <row r="9849" spans="8:11">
      <c r="H9849">
        <f>SMALL(SimData5000!$B$9:$B$5008,4841)</f>
        <v>0.96815010564693949</v>
      </c>
      <c r="I9849">
        <f>1/(COUNT(SimData5000!$B$9:$B$5008)-1)+$I$9848</f>
        <v>0.96819363872766306</v>
      </c>
      <c r="J9849">
        <f>SMALL(SimData5000!$C$9:$C$5008,4841)</f>
        <v>0.97036547339939716</v>
      </c>
      <c r="K9849">
        <f>1/(COUNT(SimData5000!$C$9:$C$5008)-1)+$K$9848</f>
        <v>0.96819363872766306</v>
      </c>
    </row>
    <row r="9850" spans="8:11">
      <c r="H9850">
        <f>SMALL(SimData5000!$B$9:$B$5008,4842)</f>
        <v>0.96828088883982999</v>
      </c>
      <c r="I9850">
        <f>1/(COUNT(SimData5000!$B$9:$B$5008)-1)+$I$9849</f>
        <v>0.96839367873566462</v>
      </c>
      <c r="J9850">
        <f>SMALL(SimData5000!$C$9:$C$5008,4842)</f>
        <v>0.97059307304789399</v>
      </c>
      <c r="K9850">
        <f>1/(COUNT(SimData5000!$C$9:$C$5008)-1)+$K$9849</f>
        <v>0.96839367873566462</v>
      </c>
    </row>
    <row r="9851" spans="8:11">
      <c r="H9851">
        <f>SMALL(SimData5000!$B$9:$B$5008,4843)</f>
        <v>0.96857284400555599</v>
      </c>
      <c r="I9851">
        <f>1/(COUNT(SimData5000!$B$9:$B$5008)-1)+$I$9850</f>
        <v>0.96859371874366618</v>
      </c>
      <c r="J9851">
        <f>SMALL(SimData5000!$C$9:$C$5008,4843)</f>
        <v>0.97166704940445925</v>
      </c>
      <c r="K9851">
        <f>1/(COUNT(SimData5000!$C$9:$C$5008)-1)+$K$9850</f>
        <v>0.96859371874366618</v>
      </c>
    </row>
    <row r="9852" spans="8:11">
      <c r="H9852">
        <f>SMALL(SimData5000!$B$9:$B$5008,4844)</f>
        <v>0.96876914296442862</v>
      </c>
      <c r="I9852">
        <f>1/(COUNT(SimData5000!$B$9:$B$5008)-1)+$I$9851</f>
        <v>0.96879375875166773</v>
      </c>
      <c r="J9852">
        <f>SMALL(SimData5000!$C$9:$C$5008,4844)</f>
        <v>0.97168411206348537</v>
      </c>
      <c r="K9852">
        <f>1/(COUNT(SimData5000!$C$9:$C$5008)-1)+$K$9851</f>
        <v>0.96879375875166773</v>
      </c>
    </row>
    <row r="9853" spans="8:11">
      <c r="H9853">
        <f>SMALL(SimData5000!$B$9:$B$5008,4845)</f>
        <v>0.96884901470897</v>
      </c>
      <c r="I9853">
        <f>1/(COUNT(SimData5000!$B$9:$B$5008)-1)+$I$9852</f>
        <v>0.96899379875966929</v>
      </c>
      <c r="J9853">
        <f>SMALL(SimData5000!$C$9:$C$5008,4845)</f>
        <v>0.97173783645121148</v>
      </c>
      <c r="K9853">
        <f>1/(COUNT(SimData5000!$C$9:$C$5008)-1)+$K$9852</f>
        <v>0.96899379875966929</v>
      </c>
    </row>
    <row r="9854" spans="8:11">
      <c r="H9854">
        <f>SMALL(SimData5000!$B$9:$B$5008,4846)</f>
        <v>0.96918922001169738</v>
      </c>
      <c r="I9854">
        <f>1/(COUNT(SimData5000!$B$9:$B$5008)-1)+$I$9853</f>
        <v>0.96919383876767085</v>
      </c>
      <c r="J9854">
        <f>SMALL(SimData5000!$C$9:$C$5008,4846)</f>
        <v>0.97195615884538711</v>
      </c>
      <c r="K9854">
        <f>1/(COUNT(SimData5000!$C$9:$C$5008)-1)+$K$9853</f>
        <v>0.96919383876767085</v>
      </c>
    </row>
    <row r="9855" spans="8:11">
      <c r="H9855">
        <f>SMALL(SimData5000!$B$9:$B$5008,4847)</f>
        <v>0.96929335124965132</v>
      </c>
      <c r="I9855">
        <f>1/(COUNT(SimData5000!$B$9:$B$5008)-1)+$I$9854</f>
        <v>0.9693938787756724</v>
      </c>
      <c r="J9855">
        <f>SMALL(SimData5000!$C$9:$C$5008,4847)</f>
        <v>0.97214517540760426</v>
      </c>
      <c r="K9855">
        <f>1/(COUNT(SimData5000!$C$9:$C$5008)-1)+$K$9854</f>
        <v>0.9693938787756724</v>
      </c>
    </row>
    <row r="9856" spans="8:11">
      <c r="H9856">
        <f>SMALL(SimData5000!$B$9:$B$5008,4848)</f>
        <v>0.96959069780767682</v>
      </c>
      <c r="I9856">
        <f>1/(COUNT(SimData5000!$B$9:$B$5008)-1)+$I$9855</f>
        <v>0.96959391878367396</v>
      </c>
      <c r="J9856">
        <f>SMALL(SimData5000!$C$9:$C$5008,4848)</f>
        <v>0.97217052445557783</v>
      </c>
      <c r="K9856">
        <f>1/(COUNT(SimData5000!$C$9:$C$5008)-1)+$K$9855</f>
        <v>0.96959391878367396</v>
      </c>
    </row>
    <row r="9857" spans="8:11">
      <c r="H9857">
        <f>SMALL(SimData5000!$B$9:$B$5008,4849)</f>
        <v>0.9696654288776837</v>
      </c>
      <c r="I9857">
        <f>1/(COUNT(SimData5000!$B$9:$B$5008)-1)+$I$9856</f>
        <v>0.96979395879167551</v>
      </c>
      <c r="J9857">
        <f>SMALL(SimData5000!$C$9:$C$5008,4849)</f>
        <v>0.97238766138525534</v>
      </c>
      <c r="K9857">
        <f>1/(COUNT(SimData5000!$C$9:$C$5008)-1)+$K$9856</f>
        <v>0.96979395879167551</v>
      </c>
    </row>
    <row r="9858" spans="8:11">
      <c r="H9858">
        <f>SMALL(SimData5000!$B$9:$B$5008,4850)</f>
        <v>0.96982789340727682</v>
      </c>
      <c r="I9858">
        <f>1/(COUNT(SimData5000!$B$9:$B$5008)-1)+$I$9857</f>
        <v>0.96999399879967707</v>
      </c>
      <c r="J9858">
        <f>SMALL(SimData5000!$C$9:$C$5008,4850)</f>
        <v>0.97246684772017034</v>
      </c>
      <c r="K9858">
        <f>1/(COUNT(SimData5000!$C$9:$C$5008)-1)+$K$9857</f>
        <v>0.96999399879967707</v>
      </c>
    </row>
    <row r="9859" spans="8:11">
      <c r="H9859">
        <f>SMALL(SimData5000!$B$9:$B$5008,4851)</f>
        <v>0.97012153214773211</v>
      </c>
      <c r="I9859">
        <f>1/(COUNT(SimData5000!$B$9:$B$5008)-1)+$I$9858</f>
        <v>0.97019403880767863</v>
      </c>
      <c r="J9859">
        <f>SMALL(SimData5000!$C$9:$C$5008,4851)</f>
        <v>0.97247093126952677</v>
      </c>
      <c r="K9859">
        <f>1/(COUNT(SimData5000!$C$9:$C$5008)-1)+$K$9858</f>
        <v>0.97019403880767863</v>
      </c>
    </row>
    <row r="9860" spans="8:11">
      <c r="H9860">
        <f>SMALL(SimData5000!$B$9:$B$5008,4852)</f>
        <v>0.97037111559621314</v>
      </c>
      <c r="I9860">
        <f>1/(COUNT(SimData5000!$B$9:$B$5008)-1)+$I$9859</f>
        <v>0.97039407881568018</v>
      </c>
      <c r="J9860">
        <f>SMALL(SimData5000!$C$9:$C$5008,4852)</f>
        <v>0.97252429512627714</v>
      </c>
      <c r="K9860">
        <f>1/(COUNT(SimData5000!$C$9:$C$5008)-1)+$K$9859</f>
        <v>0.97039407881568018</v>
      </c>
    </row>
    <row r="9861" spans="8:11">
      <c r="H9861">
        <f>SMALL(SimData5000!$B$9:$B$5008,4853)</f>
        <v>0.97053592852892723</v>
      </c>
      <c r="I9861">
        <f>1/(COUNT(SimData5000!$B$9:$B$5008)-1)+$I$9860</f>
        <v>0.97059411882368174</v>
      </c>
      <c r="J9861">
        <f>SMALL(SimData5000!$C$9:$C$5008,4853)</f>
        <v>0.97264941699540941</v>
      </c>
      <c r="K9861">
        <f>1/(COUNT(SimData5000!$C$9:$C$5008)-1)+$K$9860</f>
        <v>0.97059411882368174</v>
      </c>
    </row>
    <row r="9862" spans="8:11">
      <c r="H9862">
        <f>SMALL(SimData5000!$B$9:$B$5008,4854)</f>
        <v>0.97071609409086324</v>
      </c>
      <c r="I9862">
        <f>1/(COUNT(SimData5000!$B$9:$B$5008)-1)+$I$9861</f>
        <v>0.9707941588316833</v>
      </c>
      <c r="J9862">
        <f>SMALL(SimData5000!$C$9:$C$5008,4854)</f>
        <v>0.97270417831441591</v>
      </c>
      <c r="K9862">
        <f>1/(COUNT(SimData5000!$C$9:$C$5008)-1)+$K$9861</f>
        <v>0.9707941588316833</v>
      </c>
    </row>
    <row r="9863" spans="8:11">
      <c r="H9863">
        <f>SMALL(SimData5000!$B$9:$B$5008,4855)</f>
        <v>0.97097553850560814</v>
      </c>
      <c r="I9863">
        <f>1/(COUNT(SimData5000!$B$9:$B$5008)-1)+$I$9862</f>
        <v>0.97099419883968485</v>
      </c>
      <c r="J9863">
        <f>SMALL(SimData5000!$C$9:$C$5008,4855)</f>
        <v>0.97280980705727416</v>
      </c>
      <c r="K9863">
        <f>1/(COUNT(SimData5000!$C$9:$C$5008)-1)+$K$9862</f>
        <v>0.97099419883968485</v>
      </c>
    </row>
    <row r="9864" spans="8:11">
      <c r="H9864">
        <f>SMALL(SimData5000!$B$9:$B$5008,4856)</f>
        <v>0.97106420768132995</v>
      </c>
      <c r="I9864">
        <f>1/(COUNT(SimData5000!$B$9:$B$5008)-1)+$I$9863</f>
        <v>0.97119423884768641</v>
      </c>
      <c r="J9864">
        <f>SMALL(SimData5000!$C$9:$C$5008,4856)</f>
        <v>0.97299936192393943</v>
      </c>
      <c r="K9864">
        <f>1/(COUNT(SimData5000!$C$9:$C$5008)-1)+$K$9863</f>
        <v>0.97119423884768641</v>
      </c>
    </row>
    <row r="9865" spans="8:11">
      <c r="H9865">
        <f>SMALL(SimData5000!$B$9:$B$5008,4857)</f>
        <v>0.97123738022326433</v>
      </c>
      <c r="I9865">
        <f>1/(COUNT(SimData5000!$B$9:$B$5008)-1)+$I$9864</f>
        <v>0.97139427885568796</v>
      </c>
      <c r="J9865">
        <f>SMALL(SimData5000!$C$9:$C$5008,4857)</f>
        <v>0.97318077579529927</v>
      </c>
      <c r="K9865">
        <f>1/(COUNT(SimData5000!$C$9:$C$5008)-1)+$K$9864</f>
        <v>0.97139427885568796</v>
      </c>
    </row>
    <row r="9866" spans="8:11">
      <c r="H9866">
        <f>SMALL(SimData5000!$B$9:$B$5008,4858)</f>
        <v>0.97141386120231221</v>
      </c>
      <c r="I9866">
        <f>1/(COUNT(SimData5000!$B$9:$B$5008)-1)+$I$9865</f>
        <v>0.97159431886368952</v>
      </c>
      <c r="J9866">
        <f>SMALL(SimData5000!$C$9:$C$5008,4858)</f>
        <v>0.97322213038660266</v>
      </c>
      <c r="K9866">
        <f>1/(COUNT(SimData5000!$C$9:$C$5008)-1)+$K$9865</f>
        <v>0.97159431886368952</v>
      </c>
    </row>
    <row r="9867" spans="8:11">
      <c r="H9867">
        <f>SMALL(SimData5000!$B$9:$B$5008,4859)</f>
        <v>0.97173571241245049</v>
      </c>
      <c r="I9867">
        <f>1/(COUNT(SimData5000!$B$9:$B$5008)-1)+$I$9866</f>
        <v>0.97179435887169108</v>
      </c>
      <c r="J9867">
        <f>SMALL(SimData5000!$C$9:$C$5008,4859)</f>
        <v>0.97390550372983853</v>
      </c>
      <c r="K9867">
        <f>1/(COUNT(SimData5000!$C$9:$C$5008)-1)+$K$9866</f>
        <v>0.97179435887169108</v>
      </c>
    </row>
    <row r="9868" spans="8:11">
      <c r="H9868">
        <f>SMALL(SimData5000!$B$9:$B$5008,4860)</f>
        <v>0.97184998587412996</v>
      </c>
      <c r="I9868">
        <f>1/(COUNT(SimData5000!$B$9:$B$5008)-1)+$I$9867</f>
        <v>0.97199439887969263</v>
      </c>
      <c r="J9868">
        <f>SMALL(SimData5000!$C$9:$C$5008,4860)</f>
        <v>0.97438119574690063</v>
      </c>
      <c r="K9868">
        <f>1/(COUNT(SimData5000!$C$9:$C$5008)-1)+$K$9867</f>
        <v>0.97199439887969263</v>
      </c>
    </row>
    <row r="9869" spans="8:11">
      <c r="H9869">
        <f>SMALL(SimData5000!$B$9:$B$5008,4861)</f>
        <v>0.9720641250697114</v>
      </c>
      <c r="I9869">
        <f>1/(COUNT(SimData5000!$B$9:$B$5008)-1)+$I$9868</f>
        <v>0.97219443888769419</v>
      </c>
      <c r="J9869">
        <f>SMALL(SimData5000!$C$9:$C$5008,4861)</f>
        <v>0.97454731313973753</v>
      </c>
      <c r="K9869">
        <f>1/(COUNT(SimData5000!$C$9:$C$5008)-1)+$K$9868</f>
        <v>0.97219443888769419</v>
      </c>
    </row>
    <row r="9870" spans="8:11">
      <c r="H9870">
        <f>SMALL(SimData5000!$B$9:$B$5008,4862)</f>
        <v>0.97235372807112386</v>
      </c>
      <c r="I9870">
        <f>1/(COUNT(SimData5000!$B$9:$B$5008)-1)+$I$9869</f>
        <v>0.97239447889569575</v>
      </c>
      <c r="J9870">
        <f>SMALL(SimData5000!$C$9:$C$5008,4862)</f>
        <v>0.97463649251585593</v>
      </c>
      <c r="K9870">
        <f>1/(COUNT(SimData5000!$C$9:$C$5008)-1)+$K$9869</f>
        <v>0.97239447889569575</v>
      </c>
    </row>
    <row r="9871" spans="8:11">
      <c r="H9871">
        <f>SMALL(SimData5000!$B$9:$B$5008,4863)</f>
        <v>0.97241650725687301</v>
      </c>
      <c r="I9871">
        <f>1/(COUNT(SimData5000!$B$9:$B$5008)-1)+$I$9870</f>
        <v>0.9725945189036973</v>
      </c>
      <c r="J9871">
        <f>SMALL(SimData5000!$C$9:$C$5008,4863)</f>
        <v>0.97467651613533235</v>
      </c>
      <c r="K9871">
        <f>1/(COUNT(SimData5000!$C$9:$C$5008)-1)+$K$9870</f>
        <v>0.9725945189036973</v>
      </c>
    </row>
    <row r="9872" spans="8:11">
      <c r="H9872">
        <f>SMALL(SimData5000!$B$9:$B$5008,4864)</f>
        <v>0.97278000694484912</v>
      </c>
      <c r="I9872">
        <f>1/(COUNT(SimData5000!$B$9:$B$5008)-1)+$I$9871</f>
        <v>0.97279455891169886</v>
      </c>
      <c r="J9872">
        <f>SMALL(SimData5000!$C$9:$C$5008,4864)</f>
        <v>0.97473398012334656</v>
      </c>
      <c r="K9872">
        <f>1/(COUNT(SimData5000!$C$9:$C$5008)-1)+$K$9871</f>
        <v>0.97279455891169886</v>
      </c>
    </row>
    <row r="9873" spans="8:11">
      <c r="H9873">
        <f>SMALL(SimData5000!$B$9:$B$5008,4865)</f>
        <v>0.97283885688126071</v>
      </c>
      <c r="I9873">
        <f>1/(COUNT(SimData5000!$B$9:$B$5008)-1)+$I$9872</f>
        <v>0.97299459891970042</v>
      </c>
      <c r="J9873">
        <f>SMALL(SimData5000!$C$9:$C$5008,4865)</f>
        <v>0.97491901205285103</v>
      </c>
      <c r="K9873">
        <f>1/(COUNT(SimData5000!$C$9:$C$5008)-1)+$K$9872</f>
        <v>0.97299459891970042</v>
      </c>
    </row>
    <row r="9874" spans="8:11">
      <c r="H9874">
        <f>SMALL(SimData5000!$B$9:$B$5008,4866)</f>
        <v>0.97305006821641005</v>
      </c>
      <c r="I9874">
        <f>1/(COUNT(SimData5000!$B$9:$B$5008)-1)+$I$9873</f>
        <v>0.97319463892770197</v>
      </c>
      <c r="J9874">
        <f>SMALL(SimData5000!$C$9:$C$5008,4866)</f>
        <v>0.9750219809848204</v>
      </c>
      <c r="K9874">
        <f>1/(COUNT(SimData5000!$C$9:$C$5008)-1)+$K$9873</f>
        <v>0.97319463892770197</v>
      </c>
    </row>
    <row r="9875" spans="8:11">
      <c r="H9875">
        <f>SMALL(SimData5000!$B$9:$B$5008,4867)</f>
        <v>0.97325913786023377</v>
      </c>
      <c r="I9875">
        <f>1/(COUNT(SimData5000!$B$9:$B$5008)-1)+$I$9874</f>
        <v>0.97339467893570353</v>
      </c>
      <c r="J9875">
        <f>SMALL(SimData5000!$C$9:$C$5008,4867)</f>
        <v>0.97505565250867221</v>
      </c>
      <c r="K9875">
        <f>1/(COUNT(SimData5000!$C$9:$C$5008)-1)+$K$9874</f>
        <v>0.97339467893570353</v>
      </c>
    </row>
    <row r="9876" spans="8:11">
      <c r="H9876">
        <f>SMALL(SimData5000!$B$9:$B$5008,4868)</f>
        <v>0.97355589204545978</v>
      </c>
      <c r="I9876">
        <f>1/(COUNT(SimData5000!$B$9:$B$5008)-1)+$I$9875</f>
        <v>0.97359471894370508</v>
      </c>
      <c r="J9876">
        <f>SMALL(SimData5000!$C$9:$C$5008,4868)</f>
        <v>0.97527445653304312</v>
      </c>
      <c r="K9876">
        <f>1/(COUNT(SimData5000!$C$9:$C$5008)-1)+$K$9875</f>
        <v>0.97359471894370508</v>
      </c>
    </row>
    <row r="9877" spans="8:11">
      <c r="H9877">
        <f>SMALL(SimData5000!$B$9:$B$5008,4869)</f>
        <v>0.97376917950328656</v>
      </c>
      <c r="I9877">
        <f>1/(COUNT(SimData5000!$B$9:$B$5008)-1)+$I$9876</f>
        <v>0.97379475895170664</v>
      </c>
      <c r="J9877">
        <f>SMALL(SimData5000!$C$9:$C$5008,4869)</f>
        <v>0.97551775988449663</v>
      </c>
      <c r="K9877">
        <f>1/(COUNT(SimData5000!$C$9:$C$5008)-1)+$K$9876</f>
        <v>0.97379475895170664</v>
      </c>
    </row>
    <row r="9878" spans="8:11">
      <c r="H9878">
        <f>SMALL(SimData5000!$B$9:$B$5008,4870)</f>
        <v>0.97392120175923247</v>
      </c>
      <c r="I9878">
        <f>1/(COUNT(SimData5000!$B$9:$B$5008)-1)+$I$9877</f>
        <v>0.9739947989597082</v>
      </c>
      <c r="J9878">
        <f>SMALL(SimData5000!$C$9:$C$5008,4870)</f>
        <v>0.97579660529208923</v>
      </c>
      <c r="K9878">
        <f>1/(COUNT(SimData5000!$C$9:$C$5008)-1)+$K$9877</f>
        <v>0.9739947989597082</v>
      </c>
    </row>
    <row r="9879" spans="8:11">
      <c r="H9879">
        <f>SMALL(SimData5000!$B$9:$B$5008,4871)</f>
        <v>0.97410626085705732</v>
      </c>
      <c r="I9879">
        <f>1/(COUNT(SimData5000!$B$9:$B$5008)-1)+$I$9878</f>
        <v>0.97419483896770975</v>
      </c>
      <c r="J9879">
        <f>SMALL(SimData5000!$C$9:$C$5008,4871)</f>
        <v>0.97602765975989314</v>
      </c>
      <c r="K9879">
        <f>1/(COUNT(SimData5000!$C$9:$C$5008)-1)+$K$9878</f>
        <v>0.97419483896770975</v>
      </c>
    </row>
    <row r="9880" spans="8:11">
      <c r="H9880">
        <f>SMALL(SimData5000!$B$9:$B$5008,4872)</f>
        <v>0.97423089637715166</v>
      </c>
      <c r="I9880">
        <f>1/(COUNT(SimData5000!$B$9:$B$5008)-1)+$I$9879</f>
        <v>0.97439487897571131</v>
      </c>
      <c r="J9880">
        <f>SMALL(SimData5000!$C$9:$C$5008,4872)</f>
        <v>0.9761129009857541</v>
      </c>
      <c r="K9880">
        <f>1/(COUNT(SimData5000!$C$9:$C$5008)-1)+$K$9879</f>
        <v>0.97439487897571131</v>
      </c>
    </row>
    <row r="9881" spans="8:11">
      <c r="H9881">
        <f>SMALL(SimData5000!$B$9:$B$5008,4873)</f>
        <v>0.97454074352717512</v>
      </c>
      <c r="I9881">
        <f>1/(COUNT(SimData5000!$B$9:$B$5008)-1)+$I$9880</f>
        <v>0.97459491898371287</v>
      </c>
      <c r="J9881">
        <f>SMALL(SimData5000!$C$9:$C$5008,4873)</f>
        <v>0.97634391266728926</v>
      </c>
      <c r="K9881">
        <f>1/(COUNT(SimData5000!$C$9:$C$5008)-1)+$K$9880</f>
        <v>0.97459491898371287</v>
      </c>
    </row>
    <row r="9882" spans="8:11">
      <c r="H9882">
        <f>SMALL(SimData5000!$B$9:$B$5008,4874)</f>
        <v>0.97473254121456598</v>
      </c>
      <c r="I9882">
        <f>1/(COUNT(SimData5000!$B$9:$B$5008)-1)+$I$9881</f>
        <v>0.97479495899171442</v>
      </c>
      <c r="J9882">
        <f>SMALL(SimData5000!$C$9:$C$5008,4874)</f>
        <v>0.97661735502970259</v>
      </c>
      <c r="K9882">
        <f>1/(COUNT(SimData5000!$C$9:$C$5008)-1)+$K$9881</f>
        <v>0.97479495899171442</v>
      </c>
    </row>
    <row r="9883" spans="8:11">
      <c r="H9883">
        <f>SMALL(SimData5000!$B$9:$B$5008,4875)</f>
        <v>0.97488839413106632</v>
      </c>
      <c r="I9883">
        <f>1/(COUNT(SimData5000!$B$9:$B$5008)-1)+$I$9882</f>
        <v>0.97499499899971598</v>
      </c>
      <c r="J9883">
        <f>SMALL(SimData5000!$C$9:$C$5008,4875)</f>
        <v>0.97678176491535851</v>
      </c>
      <c r="K9883">
        <f>1/(COUNT(SimData5000!$C$9:$C$5008)-1)+$K$9882</f>
        <v>0.97499499899971598</v>
      </c>
    </row>
    <row r="9884" spans="8:11">
      <c r="H9884">
        <f>SMALL(SimData5000!$B$9:$B$5008,4876)</f>
        <v>0.97513282499037046</v>
      </c>
      <c r="I9884">
        <f>1/(COUNT(SimData5000!$B$9:$B$5008)-1)+$I$9883</f>
        <v>0.97519503900771753</v>
      </c>
      <c r="J9884">
        <f>SMALL(SimData5000!$C$9:$C$5008,4876)</f>
        <v>0.9767961491479582</v>
      </c>
      <c r="K9884">
        <f>1/(COUNT(SimData5000!$C$9:$C$5008)-1)+$K$9883</f>
        <v>0.97519503900771753</v>
      </c>
    </row>
    <row r="9885" spans="8:11">
      <c r="H9885">
        <f>SMALL(SimData5000!$B$9:$B$5008,4877)</f>
        <v>0.97533148365461531</v>
      </c>
      <c r="I9885">
        <f>1/(COUNT(SimData5000!$B$9:$B$5008)-1)+$I$9884</f>
        <v>0.97539507901571909</v>
      </c>
      <c r="J9885">
        <f>SMALL(SimData5000!$C$9:$C$5008,4877)</f>
        <v>0.97683650290491641</v>
      </c>
      <c r="K9885">
        <f>1/(COUNT(SimData5000!$C$9:$C$5008)-1)+$K$9884</f>
        <v>0.97539507901571909</v>
      </c>
    </row>
    <row r="9886" spans="8:11">
      <c r="H9886">
        <f>SMALL(SimData5000!$B$9:$B$5008,4878)</f>
        <v>0.97551708940917559</v>
      </c>
      <c r="I9886">
        <f>1/(COUNT(SimData5000!$B$9:$B$5008)-1)+$I$9885</f>
        <v>0.97559511902372065</v>
      </c>
      <c r="J9886">
        <f>SMALL(SimData5000!$C$9:$C$5008,4878)</f>
        <v>0.97708208585936518</v>
      </c>
      <c r="K9886">
        <f>1/(COUNT(SimData5000!$C$9:$C$5008)-1)+$K$9885</f>
        <v>0.97559511902372065</v>
      </c>
    </row>
    <row r="9887" spans="8:11">
      <c r="H9887">
        <f>SMALL(SimData5000!$B$9:$B$5008,4879)</f>
        <v>0.97578803541101244</v>
      </c>
      <c r="I9887">
        <f>1/(COUNT(SimData5000!$B$9:$B$5008)-1)+$I$9886</f>
        <v>0.9757951590317222</v>
      </c>
      <c r="J9887">
        <f>SMALL(SimData5000!$C$9:$C$5008,4879)</f>
        <v>0.97711733031064796</v>
      </c>
      <c r="K9887">
        <f>1/(COUNT(SimData5000!$C$9:$C$5008)-1)+$K$9886</f>
        <v>0.9757951590317222</v>
      </c>
    </row>
    <row r="9888" spans="8:11">
      <c r="H9888">
        <f>SMALL(SimData5000!$B$9:$B$5008,4880)</f>
        <v>0.97582938861279511</v>
      </c>
      <c r="I9888">
        <f>1/(COUNT(SimData5000!$B$9:$B$5008)-1)+$I$9887</f>
        <v>0.97599519903972376</v>
      </c>
      <c r="J9888">
        <f>SMALL(SimData5000!$C$9:$C$5008,4880)</f>
        <v>0.97768727141556155</v>
      </c>
      <c r="K9888">
        <f>1/(COUNT(SimData5000!$C$9:$C$5008)-1)+$K$9887</f>
        <v>0.97599519903972376</v>
      </c>
    </row>
    <row r="9889" spans="8:11">
      <c r="H9889">
        <f>SMALL(SimData5000!$B$9:$B$5008,4881)</f>
        <v>0.97619872888121717</v>
      </c>
      <c r="I9889">
        <f>1/(COUNT(SimData5000!$B$9:$B$5008)-1)+$I$9888</f>
        <v>0.97619523904772532</v>
      </c>
      <c r="J9889">
        <f>SMALL(SimData5000!$C$9:$C$5008,4881)</f>
        <v>0.97772947291923629</v>
      </c>
      <c r="K9889">
        <f>1/(COUNT(SimData5000!$C$9:$C$5008)-1)+$K$9888</f>
        <v>0.97619523904772532</v>
      </c>
    </row>
    <row r="9890" spans="8:11">
      <c r="H9890">
        <f>SMALL(SimData5000!$B$9:$B$5008,4882)</f>
        <v>0.97634485948009986</v>
      </c>
      <c r="I9890">
        <f>1/(COUNT(SimData5000!$B$9:$B$5008)-1)+$I$9889</f>
        <v>0.97639527905572687</v>
      </c>
      <c r="J9890">
        <f>SMALL(SimData5000!$C$9:$C$5008,4882)</f>
        <v>0.97788551290068426</v>
      </c>
      <c r="K9890">
        <f>1/(COUNT(SimData5000!$C$9:$C$5008)-1)+$K$9889</f>
        <v>0.97639527905572687</v>
      </c>
    </row>
    <row r="9891" spans="8:11">
      <c r="H9891">
        <f>SMALL(SimData5000!$B$9:$B$5008,4883)</f>
        <v>0.97650154431632286</v>
      </c>
      <c r="I9891">
        <f>1/(COUNT(SimData5000!$B$9:$B$5008)-1)+$I$9890</f>
        <v>0.97659531906372843</v>
      </c>
      <c r="J9891">
        <f>SMALL(SimData5000!$C$9:$C$5008,4883)</f>
        <v>0.97797019707286381</v>
      </c>
      <c r="K9891">
        <f>1/(COUNT(SimData5000!$C$9:$C$5008)-1)+$K$9890</f>
        <v>0.97659531906372843</v>
      </c>
    </row>
    <row r="9892" spans="8:11">
      <c r="H9892">
        <f>SMALL(SimData5000!$B$9:$B$5008,4884)</f>
        <v>0.97664836080433992</v>
      </c>
      <c r="I9892">
        <f>1/(COUNT(SimData5000!$B$9:$B$5008)-1)+$I$9891</f>
        <v>0.97679535907172998</v>
      </c>
      <c r="J9892">
        <f>SMALL(SimData5000!$C$9:$C$5008,4884)</f>
        <v>0.97807604418451888</v>
      </c>
      <c r="K9892">
        <f>1/(COUNT(SimData5000!$C$9:$C$5008)-1)+$K$9891</f>
        <v>0.97679535907172998</v>
      </c>
    </row>
    <row r="9893" spans="8:11">
      <c r="H9893">
        <f>SMALL(SimData5000!$B$9:$B$5008,4885)</f>
        <v>0.9769921867134963</v>
      </c>
      <c r="I9893">
        <f>1/(COUNT(SimData5000!$B$9:$B$5008)-1)+$I$9892</f>
        <v>0.97699539907973154</v>
      </c>
      <c r="J9893">
        <f>SMALL(SimData5000!$C$9:$C$5008,4885)</f>
        <v>0.97835654700793384</v>
      </c>
      <c r="K9893">
        <f>1/(COUNT(SimData5000!$C$9:$C$5008)-1)+$K$9892</f>
        <v>0.97699539907973154</v>
      </c>
    </row>
    <row r="9894" spans="8:11">
      <c r="H9894">
        <f>SMALL(SimData5000!$B$9:$B$5008,4886)</f>
        <v>0.97707927494307023</v>
      </c>
      <c r="I9894">
        <f>1/(COUNT(SimData5000!$B$9:$B$5008)-1)+$I$9893</f>
        <v>0.9771954390877331</v>
      </c>
      <c r="J9894">
        <f>SMALL(SimData5000!$C$9:$C$5008,4886)</f>
        <v>0.97860126326122554</v>
      </c>
      <c r="K9894">
        <f>1/(COUNT(SimData5000!$C$9:$C$5008)-1)+$K$9893</f>
        <v>0.9771954390877331</v>
      </c>
    </row>
    <row r="9895" spans="8:11">
      <c r="H9895">
        <f>SMALL(SimData5000!$B$9:$B$5008,4887)</f>
        <v>0.97728230924529069</v>
      </c>
      <c r="I9895">
        <f>1/(COUNT(SimData5000!$B$9:$B$5008)-1)+$I$9894</f>
        <v>0.97739547909573465</v>
      </c>
      <c r="J9895">
        <f>SMALL(SimData5000!$C$9:$C$5008,4887)</f>
        <v>0.97883545345302991</v>
      </c>
      <c r="K9895">
        <f>1/(COUNT(SimData5000!$C$9:$C$5008)-1)+$K$9894</f>
        <v>0.97739547909573465</v>
      </c>
    </row>
    <row r="9896" spans="8:11">
      <c r="H9896">
        <f>SMALL(SimData5000!$B$9:$B$5008,4888)</f>
        <v>0.97742044800343464</v>
      </c>
      <c r="I9896">
        <f>1/(COUNT(SimData5000!$B$9:$B$5008)-1)+$I$9895</f>
        <v>0.97759551910373621</v>
      </c>
      <c r="J9896">
        <f>SMALL(SimData5000!$C$9:$C$5008,4888)</f>
        <v>0.97887686258218309</v>
      </c>
      <c r="K9896">
        <f>1/(COUNT(SimData5000!$C$9:$C$5008)-1)+$K$9895</f>
        <v>0.97759551910373621</v>
      </c>
    </row>
    <row r="9897" spans="8:11">
      <c r="H9897">
        <f>SMALL(SimData5000!$B$9:$B$5008,4889)</f>
        <v>0.97773464173128233</v>
      </c>
      <c r="I9897">
        <f>1/(COUNT(SimData5000!$B$9:$B$5008)-1)+$I$9896</f>
        <v>0.97779555911173777</v>
      </c>
      <c r="J9897">
        <f>SMALL(SimData5000!$C$9:$C$5008,4889)</f>
        <v>0.97906427457837708</v>
      </c>
      <c r="K9897">
        <f>1/(COUNT(SimData5000!$C$9:$C$5008)-1)+$K$9896</f>
        <v>0.97779555911173777</v>
      </c>
    </row>
    <row r="9898" spans="8:11">
      <c r="H9898">
        <f>SMALL(SimData5000!$B$9:$B$5008,4890)</f>
        <v>0.97788641183620473</v>
      </c>
      <c r="I9898">
        <f>1/(COUNT(SimData5000!$B$9:$B$5008)-1)+$I$9897</f>
        <v>0.97799559911973932</v>
      </c>
      <c r="J9898">
        <f>SMALL(SimData5000!$C$9:$C$5008,4890)</f>
        <v>0.97917115961172385</v>
      </c>
      <c r="K9898">
        <f>1/(COUNT(SimData5000!$C$9:$C$5008)-1)+$K$9897</f>
        <v>0.97799559911973932</v>
      </c>
    </row>
    <row r="9899" spans="8:11">
      <c r="H9899">
        <f>SMALL(SimData5000!$B$9:$B$5008,4891)</f>
        <v>0.97800469939187273</v>
      </c>
      <c r="I9899">
        <f>1/(COUNT(SimData5000!$B$9:$B$5008)-1)+$I$9898</f>
        <v>0.97819563912774088</v>
      </c>
      <c r="J9899">
        <f>SMALL(SimData5000!$C$9:$C$5008,4891)</f>
        <v>0.97919514218847326</v>
      </c>
      <c r="K9899">
        <f>1/(COUNT(SimData5000!$C$9:$C$5008)-1)+$K$9898</f>
        <v>0.97819563912774088</v>
      </c>
    </row>
    <row r="9900" spans="8:11">
      <c r="H9900">
        <f>SMALL(SimData5000!$B$9:$B$5008,4892)</f>
        <v>0.97831235838935537</v>
      </c>
      <c r="I9900">
        <f>1/(COUNT(SimData5000!$B$9:$B$5008)-1)+$I$9899</f>
        <v>0.97839567913574244</v>
      </c>
      <c r="J9900">
        <f>SMALL(SimData5000!$C$9:$C$5008,4892)</f>
        <v>0.97947574678346427</v>
      </c>
      <c r="K9900">
        <f>1/(COUNT(SimData5000!$C$9:$C$5008)-1)+$K$9899</f>
        <v>0.97839567913574244</v>
      </c>
    </row>
    <row r="9901" spans="8:11">
      <c r="H9901">
        <f>SMALL(SimData5000!$B$9:$B$5008,4893)</f>
        <v>0.97852956796221657</v>
      </c>
      <c r="I9901">
        <f>1/(COUNT(SimData5000!$B$9:$B$5008)-1)+$I$9900</f>
        <v>0.97859571914374399</v>
      </c>
      <c r="J9901">
        <f>SMALL(SimData5000!$C$9:$C$5008,4893)</f>
        <v>0.98010973990221828</v>
      </c>
      <c r="K9901">
        <f>1/(COUNT(SimData5000!$C$9:$C$5008)-1)+$K$9900</f>
        <v>0.97859571914374399</v>
      </c>
    </row>
    <row r="9902" spans="8:11">
      <c r="H9902">
        <f>SMALL(SimData5000!$B$9:$B$5008,4894)</f>
        <v>0.97864119262803384</v>
      </c>
      <c r="I9902">
        <f>1/(COUNT(SimData5000!$B$9:$B$5008)-1)+$I$9901</f>
        <v>0.97879575915174555</v>
      </c>
      <c r="J9902">
        <f>SMALL(SimData5000!$C$9:$C$5008,4894)</f>
        <v>0.98075352376872615</v>
      </c>
      <c r="K9902">
        <f>1/(COUNT(SimData5000!$C$9:$C$5008)-1)+$K$9901</f>
        <v>0.97879575915174555</v>
      </c>
    </row>
    <row r="9903" spans="8:11">
      <c r="H9903">
        <f>SMALL(SimData5000!$B$9:$B$5008,4895)</f>
        <v>0.97894584853135658</v>
      </c>
      <c r="I9903">
        <f>1/(COUNT(SimData5000!$B$9:$B$5008)-1)+$I$9902</f>
        <v>0.9789957991597471</v>
      </c>
      <c r="J9903">
        <f>SMALL(SimData5000!$C$9:$C$5008,4895)</f>
        <v>0.98082481400888355</v>
      </c>
      <c r="K9903">
        <f>1/(COUNT(SimData5000!$C$9:$C$5008)-1)+$K$9902</f>
        <v>0.9789957991597471</v>
      </c>
    </row>
    <row r="9904" spans="8:11">
      <c r="H9904">
        <f>SMALL(SimData5000!$B$9:$B$5008,4896)</f>
        <v>0.97903657733812854</v>
      </c>
      <c r="I9904">
        <f>1/(COUNT(SimData5000!$B$9:$B$5008)-1)+$I$9903</f>
        <v>0.97919583916774866</v>
      </c>
      <c r="J9904">
        <f>SMALL(SimData5000!$C$9:$C$5008,4896)</f>
        <v>0.98090174051776557</v>
      </c>
      <c r="K9904">
        <f>1/(COUNT(SimData5000!$C$9:$C$5008)-1)+$K$9903</f>
        <v>0.97919583916774866</v>
      </c>
    </row>
    <row r="9905" spans="8:11">
      <c r="H9905">
        <f>SMALL(SimData5000!$B$9:$B$5008,4897)</f>
        <v>0.97922781046555096</v>
      </c>
      <c r="I9905">
        <f>1/(COUNT(SimData5000!$B$9:$B$5008)-1)+$I$9904</f>
        <v>0.97939587917575022</v>
      </c>
      <c r="J9905">
        <f>SMALL(SimData5000!$C$9:$C$5008,4897)</f>
        <v>0.98140132985827222</v>
      </c>
      <c r="K9905">
        <f>1/(COUNT(SimData5000!$C$9:$C$5008)-1)+$K$9904</f>
        <v>0.97939587917575022</v>
      </c>
    </row>
    <row r="9906" spans="8:11">
      <c r="H9906">
        <f>SMALL(SimData5000!$B$9:$B$5008,4898)</f>
        <v>0.97944943064536183</v>
      </c>
      <c r="I9906">
        <f>1/(COUNT(SimData5000!$B$9:$B$5008)-1)+$I$9905</f>
        <v>0.97959591918375177</v>
      </c>
      <c r="J9906">
        <f>SMALL(SimData5000!$C$9:$C$5008,4898)</f>
        <v>0.98155189183671609</v>
      </c>
      <c r="K9906">
        <f>1/(COUNT(SimData5000!$C$9:$C$5008)-1)+$K$9905</f>
        <v>0.97959591918375177</v>
      </c>
    </row>
    <row r="9907" spans="8:11">
      <c r="H9907">
        <f>SMALL(SimData5000!$B$9:$B$5008,4899)</f>
        <v>0.9797222053114143</v>
      </c>
      <c r="I9907">
        <f>1/(COUNT(SimData5000!$B$9:$B$5008)-1)+$I$9906</f>
        <v>0.97979595919175333</v>
      </c>
      <c r="J9907">
        <f>SMALL(SimData5000!$C$9:$C$5008,4899)</f>
        <v>0.98158748306650523</v>
      </c>
      <c r="K9907">
        <f>1/(COUNT(SimData5000!$C$9:$C$5008)-1)+$K$9906</f>
        <v>0.97979595919175333</v>
      </c>
    </row>
    <row r="9908" spans="8:11">
      <c r="H9908">
        <f>SMALL(SimData5000!$B$9:$B$5008,4900)</f>
        <v>0.97984966169396648</v>
      </c>
      <c r="I9908">
        <f>1/(COUNT(SimData5000!$B$9:$B$5008)-1)+$I$9907</f>
        <v>0.97999599919975489</v>
      </c>
      <c r="J9908">
        <f>SMALL(SimData5000!$C$9:$C$5008,4900)</f>
        <v>0.98167831532464334</v>
      </c>
      <c r="K9908">
        <f>1/(COUNT(SimData5000!$C$9:$C$5008)-1)+$K$9907</f>
        <v>0.97999599919975489</v>
      </c>
    </row>
    <row r="9909" spans="8:11">
      <c r="H9909">
        <f>SMALL(SimData5000!$B$9:$B$5008,4901)</f>
        <v>0.98002225228208628</v>
      </c>
      <c r="I9909">
        <f>1/(COUNT(SimData5000!$B$9:$B$5008)-1)+$I$9908</f>
        <v>0.98019603920775644</v>
      </c>
      <c r="J9909">
        <f>SMALL(SimData5000!$C$9:$C$5008,4901)</f>
        <v>0.98183069117931154</v>
      </c>
      <c r="K9909">
        <f>1/(COUNT(SimData5000!$C$9:$C$5008)-1)+$K$9908</f>
        <v>0.98019603920775644</v>
      </c>
    </row>
    <row r="9910" spans="8:11">
      <c r="H9910">
        <f>SMALL(SimData5000!$B$9:$B$5008,4902)</f>
        <v>0.98035580277986722</v>
      </c>
      <c r="I9910">
        <f>1/(COUNT(SimData5000!$B$9:$B$5008)-1)+$I$9909</f>
        <v>0.980396079215758</v>
      </c>
      <c r="J9910">
        <f>SMALL(SimData5000!$C$9:$C$5008,4902)</f>
        <v>0.98193184390038368</v>
      </c>
      <c r="K9910">
        <f>1/(COUNT(SimData5000!$C$9:$C$5008)-1)+$K$9909</f>
        <v>0.980396079215758</v>
      </c>
    </row>
    <row r="9911" spans="8:11">
      <c r="H9911">
        <f>SMALL(SimData5000!$B$9:$B$5008,4903)</f>
        <v>0.98048618388098807</v>
      </c>
      <c r="I9911">
        <f>1/(COUNT(SimData5000!$B$9:$B$5008)-1)+$I$9910</f>
        <v>0.98059611922375955</v>
      </c>
      <c r="J9911">
        <f>SMALL(SimData5000!$C$9:$C$5008,4903)</f>
        <v>0.98199585931342881</v>
      </c>
      <c r="K9911">
        <f>1/(COUNT(SimData5000!$C$9:$C$5008)-1)+$K$9910</f>
        <v>0.98059611922375955</v>
      </c>
    </row>
    <row r="9912" spans="8:11">
      <c r="H9912">
        <f>SMALL(SimData5000!$B$9:$B$5008,4904)</f>
        <v>0.98070254512133592</v>
      </c>
      <c r="I9912">
        <f>1/(COUNT(SimData5000!$B$9:$B$5008)-1)+$I$9911</f>
        <v>0.98079615923176111</v>
      </c>
      <c r="J9912">
        <f>SMALL(SimData5000!$C$9:$C$5008,4904)</f>
        <v>0.98204618050112913</v>
      </c>
      <c r="K9912">
        <f>1/(COUNT(SimData5000!$C$9:$C$5008)-1)+$K$9911</f>
        <v>0.98079615923176111</v>
      </c>
    </row>
    <row r="9913" spans="8:11">
      <c r="H9913">
        <f>SMALL(SimData5000!$B$9:$B$5008,4905)</f>
        <v>0.9808456588586898</v>
      </c>
      <c r="I9913">
        <f>1/(COUNT(SimData5000!$B$9:$B$5008)-1)+$I$9912</f>
        <v>0.98099619923976267</v>
      </c>
      <c r="J9913">
        <f>SMALL(SimData5000!$C$9:$C$5008,4905)</f>
        <v>0.98205514576147834</v>
      </c>
      <c r="K9913">
        <f>1/(COUNT(SimData5000!$C$9:$C$5008)-1)+$K$9912</f>
        <v>0.98099619923976267</v>
      </c>
    </row>
    <row r="9914" spans="8:11">
      <c r="H9914">
        <f>SMALL(SimData5000!$B$9:$B$5008,4906)</f>
        <v>0.98103794768877284</v>
      </c>
      <c r="I9914">
        <f>1/(COUNT(SimData5000!$B$9:$B$5008)-1)+$I$9913</f>
        <v>0.98119623924776422</v>
      </c>
      <c r="J9914">
        <f>SMALL(SimData5000!$C$9:$C$5008,4906)</f>
        <v>0.98234530917397933</v>
      </c>
      <c r="K9914">
        <f>1/(COUNT(SimData5000!$C$9:$C$5008)-1)+$K$9913</f>
        <v>0.98119623924776422</v>
      </c>
    </row>
    <row r="9915" spans="8:11">
      <c r="H9915">
        <f>SMALL(SimData5000!$B$9:$B$5008,4907)</f>
        <v>0.98138665128596747</v>
      </c>
      <c r="I9915">
        <f>1/(COUNT(SimData5000!$B$9:$B$5008)-1)+$I$9914</f>
        <v>0.98139627925576578</v>
      </c>
      <c r="J9915">
        <f>SMALL(SimData5000!$C$9:$C$5008,4907)</f>
        <v>0.98246662684505282</v>
      </c>
      <c r="K9915">
        <f>1/(COUNT(SimData5000!$C$9:$C$5008)-1)+$K$9914</f>
        <v>0.98139627925576578</v>
      </c>
    </row>
    <row r="9916" spans="8:11">
      <c r="H9916">
        <f>SMALL(SimData5000!$B$9:$B$5008,4908)</f>
        <v>0.98140124872089396</v>
      </c>
      <c r="I9916">
        <f>1/(COUNT(SimData5000!$B$9:$B$5008)-1)+$I$9915</f>
        <v>0.98159631926376734</v>
      </c>
      <c r="J9916">
        <f>SMALL(SimData5000!$C$9:$C$5008,4908)</f>
        <v>0.98255967562909063</v>
      </c>
      <c r="K9916">
        <f>1/(COUNT(SimData5000!$C$9:$C$5008)-1)+$K$9915</f>
        <v>0.98159631926376734</v>
      </c>
    </row>
    <row r="9917" spans="8:11">
      <c r="H9917">
        <f>SMALL(SimData5000!$B$9:$B$5008,4909)</f>
        <v>0.98169285963864372</v>
      </c>
      <c r="I9917">
        <f>1/(COUNT(SimData5000!$B$9:$B$5008)-1)+$I$9916</f>
        <v>0.98179635927176889</v>
      </c>
      <c r="J9917">
        <f>SMALL(SimData5000!$C$9:$C$5008,4909)</f>
        <v>0.9826202390868275</v>
      </c>
      <c r="K9917">
        <f>1/(COUNT(SimData5000!$C$9:$C$5008)-1)+$K$9916</f>
        <v>0.98179635927176889</v>
      </c>
    </row>
    <row r="9918" spans="8:11">
      <c r="H9918">
        <f>SMALL(SimData5000!$B$9:$B$5008,4910)</f>
        <v>0.9819041574484445</v>
      </c>
      <c r="I9918">
        <f>1/(COUNT(SimData5000!$B$9:$B$5008)-1)+$I$9917</f>
        <v>0.98199639927977045</v>
      </c>
      <c r="J9918">
        <f>SMALL(SimData5000!$C$9:$C$5008,4910)</f>
        <v>0.98275966914297896</v>
      </c>
      <c r="K9918">
        <f>1/(COUNT(SimData5000!$C$9:$C$5008)-1)+$K$9917</f>
        <v>0.98199639927977045</v>
      </c>
    </row>
    <row r="9919" spans="8:11">
      <c r="H9919">
        <f>SMALL(SimData5000!$B$9:$B$5008,4911)</f>
        <v>0.98214495795493606</v>
      </c>
      <c r="I9919">
        <f>1/(COUNT(SimData5000!$B$9:$B$5008)-1)+$I$9918</f>
        <v>0.98219643928777201</v>
      </c>
      <c r="J9919">
        <f>SMALL(SimData5000!$C$9:$C$5008,4911)</f>
        <v>0.98289822546212235</v>
      </c>
      <c r="K9919">
        <f>1/(COUNT(SimData5000!$C$9:$C$5008)-1)+$K$9918</f>
        <v>0.98219643928777201</v>
      </c>
    </row>
    <row r="9920" spans="8:11">
      <c r="H9920">
        <f>SMALL(SimData5000!$B$9:$B$5008,4912)</f>
        <v>0.98225712321173797</v>
      </c>
      <c r="I9920">
        <f>1/(COUNT(SimData5000!$B$9:$B$5008)-1)+$I$9919</f>
        <v>0.98239647929577356</v>
      </c>
      <c r="J9920">
        <f>SMALL(SimData5000!$C$9:$C$5008,4912)</f>
        <v>0.98294902720317623</v>
      </c>
      <c r="K9920">
        <f>1/(COUNT(SimData5000!$C$9:$C$5008)-1)+$K$9919</f>
        <v>0.98239647929577356</v>
      </c>
    </row>
    <row r="9921" spans="8:11">
      <c r="H9921">
        <f>SMALL(SimData5000!$B$9:$B$5008,4913)</f>
        <v>0.9824523644622537</v>
      </c>
      <c r="I9921">
        <f>1/(COUNT(SimData5000!$B$9:$B$5008)-1)+$I$9920</f>
        <v>0.98259651930377512</v>
      </c>
      <c r="J9921">
        <f>SMALL(SimData5000!$C$9:$C$5008,4913)</f>
        <v>0.98300444067808712</v>
      </c>
      <c r="K9921">
        <f>1/(COUNT(SimData5000!$C$9:$C$5008)-1)+$K$9920</f>
        <v>0.98259651930377512</v>
      </c>
    </row>
    <row r="9922" spans="8:11">
      <c r="H9922">
        <f>SMALL(SimData5000!$B$9:$B$5008,4914)</f>
        <v>0.98269232226304992</v>
      </c>
      <c r="I9922">
        <f>1/(COUNT(SimData5000!$B$9:$B$5008)-1)+$I$9921</f>
        <v>0.98279655931177667</v>
      </c>
      <c r="J9922">
        <f>SMALL(SimData5000!$C$9:$C$5008,4914)</f>
        <v>0.98320821652214363</v>
      </c>
      <c r="K9922">
        <f>1/(COUNT(SimData5000!$C$9:$C$5008)-1)+$K$9921</f>
        <v>0.98279655931177667</v>
      </c>
    </row>
    <row r="9923" spans="8:11">
      <c r="H9923">
        <f>SMALL(SimData5000!$B$9:$B$5008,4915)</f>
        <v>0.98295667844041179</v>
      </c>
      <c r="I9923">
        <f>1/(COUNT(SimData5000!$B$9:$B$5008)-1)+$I$9922</f>
        <v>0.98299659931977823</v>
      </c>
      <c r="J9923">
        <f>SMALL(SimData5000!$C$9:$C$5008,4915)</f>
        <v>0.98341220612928737</v>
      </c>
      <c r="K9923">
        <f>1/(COUNT(SimData5000!$C$9:$C$5008)-1)+$K$9922</f>
        <v>0.98299659931977823</v>
      </c>
    </row>
    <row r="9924" spans="8:11">
      <c r="H9924">
        <f>SMALL(SimData5000!$B$9:$B$5008,4916)</f>
        <v>0.9830914097523995</v>
      </c>
      <c r="I9924">
        <f>1/(COUNT(SimData5000!$B$9:$B$5008)-1)+$I$9923</f>
        <v>0.98319663932777979</v>
      </c>
      <c r="J9924">
        <f>SMALL(SimData5000!$C$9:$C$5008,4916)</f>
        <v>0.98350996096633025</v>
      </c>
      <c r="K9924">
        <f>1/(COUNT(SimData5000!$C$9:$C$5008)-1)+$K$9923</f>
        <v>0.98319663932777979</v>
      </c>
    </row>
    <row r="9925" spans="8:11">
      <c r="H9925">
        <f>SMALL(SimData5000!$B$9:$B$5008,4917)</f>
        <v>0.98324736070489693</v>
      </c>
      <c r="I9925">
        <f>1/(COUNT(SimData5000!$B$9:$B$5008)-1)+$I$9924</f>
        <v>0.98339667933578134</v>
      </c>
      <c r="J9925">
        <f>SMALL(SimData5000!$C$9:$C$5008,4917)</f>
        <v>0.98373605170127121</v>
      </c>
      <c r="K9925">
        <f>1/(COUNT(SimData5000!$C$9:$C$5008)-1)+$K$9924</f>
        <v>0.98339667933578134</v>
      </c>
    </row>
    <row r="9926" spans="8:11">
      <c r="H9926">
        <f>SMALL(SimData5000!$B$9:$B$5008,4918)</f>
        <v>0.98342712053452319</v>
      </c>
      <c r="I9926">
        <f>1/(COUNT(SimData5000!$B$9:$B$5008)-1)+$I$9925</f>
        <v>0.9835967193437829</v>
      </c>
      <c r="J9926">
        <f>SMALL(SimData5000!$C$9:$C$5008,4918)</f>
        <v>0.98391156349225639</v>
      </c>
      <c r="K9926">
        <f>1/(COUNT(SimData5000!$C$9:$C$5008)-1)+$K$9925</f>
        <v>0.9835967193437829</v>
      </c>
    </row>
    <row r="9927" spans="8:11">
      <c r="H9927">
        <f>SMALL(SimData5000!$B$9:$B$5008,4919)</f>
        <v>0.98364975274672029</v>
      </c>
      <c r="I9927">
        <f>1/(COUNT(SimData5000!$B$9:$B$5008)-1)+$I$9926</f>
        <v>0.98379675935178446</v>
      </c>
      <c r="J9927">
        <f>SMALL(SimData5000!$C$9:$C$5008,4919)</f>
        <v>0.98420486197846913</v>
      </c>
      <c r="K9927">
        <f>1/(COUNT(SimData5000!$C$9:$C$5008)-1)+$K$9926</f>
        <v>0.98379675935178446</v>
      </c>
    </row>
    <row r="9928" spans="8:11">
      <c r="H9928">
        <f>SMALL(SimData5000!$B$9:$B$5008,4920)</f>
        <v>0.98395172689574573</v>
      </c>
      <c r="I9928">
        <f>1/(COUNT(SimData5000!$B$9:$B$5008)-1)+$I$9927</f>
        <v>0.98399679935978601</v>
      </c>
      <c r="J9928">
        <f>SMALL(SimData5000!$C$9:$C$5008,4920)</f>
        <v>0.98427310982606286</v>
      </c>
      <c r="K9928">
        <f>1/(COUNT(SimData5000!$C$9:$C$5008)-1)+$K$9927</f>
        <v>0.98399679935978601</v>
      </c>
    </row>
    <row r="9929" spans="8:11">
      <c r="H9929">
        <f>SMALL(SimData5000!$B$9:$B$5008,4921)</f>
        <v>0.9840715505564287</v>
      </c>
      <c r="I9929">
        <f>1/(COUNT(SimData5000!$B$9:$B$5008)-1)+$I$9928</f>
        <v>0.98419683936778757</v>
      </c>
      <c r="J9929">
        <f>SMALL(SimData5000!$C$9:$C$5008,4921)</f>
        <v>0.98450472467993677</v>
      </c>
      <c r="K9929">
        <f>1/(COUNT(SimData5000!$C$9:$C$5008)-1)+$K$9928</f>
        <v>0.98419683936778757</v>
      </c>
    </row>
    <row r="9930" spans="8:11">
      <c r="H9930">
        <f>SMALL(SimData5000!$B$9:$B$5008,4922)</f>
        <v>0.98426937674015513</v>
      </c>
      <c r="I9930">
        <f>1/(COUNT(SimData5000!$B$9:$B$5008)-1)+$I$9929</f>
        <v>0.98439687937578912</v>
      </c>
      <c r="J9930">
        <f>SMALL(SimData5000!$C$9:$C$5008,4922)</f>
        <v>0.98473346138689521</v>
      </c>
      <c r="K9930">
        <f>1/(COUNT(SimData5000!$C$9:$C$5008)-1)+$K$9929</f>
        <v>0.98439687937578912</v>
      </c>
    </row>
    <row r="9931" spans="8:11">
      <c r="H9931">
        <f>SMALL(SimData5000!$B$9:$B$5008,4923)</f>
        <v>0.98453050126976582</v>
      </c>
      <c r="I9931">
        <f>1/(COUNT(SimData5000!$B$9:$B$5008)-1)+$I$9930</f>
        <v>0.98459691938379068</v>
      </c>
      <c r="J9931">
        <f>SMALL(SimData5000!$C$9:$C$5008,4923)</f>
        <v>0.98483198604481004</v>
      </c>
      <c r="K9931">
        <f>1/(COUNT(SimData5000!$C$9:$C$5008)-1)+$K$9930</f>
        <v>0.98459691938379068</v>
      </c>
    </row>
    <row r="9932" spans="8:11">
      <c r="H9932">
        <f>SMALL(SimData5000!$B$9:$B$5008,4924)</f>
        <v>0.98478042787108111</v>
      </c>
      <c r="I9932">
        <f>1/(COUNT(SimData5000!$B$9:$B$5008)-1)+$I$9931</f>
        <v>0.98479695939179224</v>
      </c>
      <c r="J9932">
        <f>SMALL(SimData5000!$C$9:$C$5008,4924)</f>
        <v>0.98483405780734756</v>
      </c>
      <c r="K9932">
        <f>1/(COUNT(SimData5000!$C$9:$C$5008)-1)+$K$9931</f>
        <v>0.98479695939179224</v>
      </c>
    </row>
    <row r="9933" spans="8:11">
      <c r="H9933">
        <f>SMALL(SimData5000!$B$9:$B$5008,4925)</f>
        <v>0.98490800372099219</v>
      </c>
      <c r="I9933">
        <f>1/(COUNT(SimData5000!$B$9:$B$5008)-1)+$I$9932</f>
        <v>0.98499699939979379</v>
      </c>
      <c r="J9933">
        <f>SMALL(SimData5000!$C$9:$C$5008,4925)</f>
        <v>0.98487984289295127</v>
      </c>
      <c r="K9933">
        <f>1/(COUNT(SimData5000!$C$9:$C$5008)-1)+$K$9932</f>
        <v>0.98499699939979379</v>
      </c>
    </row>
    <row r="9934" spans="8:11">
      <c r="H9934">
        <f>SMALL(SimData5000!$B$9:$B$5008,4926)</f>
        <v>0.98509272971411532</v>
      </c>
      <c r="I9934">
        <f>1/(COUNT(SimData5000!$B$9:$B$5008)-1)+$I$9933</f>
        <v>0.98519703940779535</v>
      </c>
      <c r="J9934">
        <f>SMALL(SimData5000!$C$9:$C$5008,4926)</f>
        <v>0.98509852524421149</v>
      </c>
      <c r="K9934">
        <f>1/(COUNT(SimData5000!$C$9:$C$5008)-1)+$K$9933</f>
        <v>0.98519703940779535</v>
      </c>
    </row>
    <row r="9935" spans="8:11">
      <c r="H9935">
        <f>SMALL(SimData5000!$B$9:$B$5008,4927)</f>
        <v>0.98529667829119061</v>
      </c>
      <c r="I9935">
        <f>1/(COUNT(SimData5000!$B$9:$B$5008)-1)+$I$9934</f>
        <v>0.98539707941579691</v>
      </c>
      <c r="J9935">
        <f>SMALL(SimData5000!$C$9:$C$5008,4927)</f>
        <v>0.98513015755088418</v>
      </c>
      <c r="K9935">
        <f>1/(COUNT(SimData5000!$C$9:$C$5008)-1)+$K$9934</f>
        <v>0.98539707941579691</v>
      </c>
    </row>
    <row r="9936" spans="8:11">
      <c r="H9936">
        <f>SMALL(SimData5000!$B$9:$B$5008,4928)</f>
        <v>0.98543575251717952</v>
      </c>
      <c r="I9936">
        <f>1/(COUNT(SimData5000!$B$9:$B$5008)-1)+$I$9935</f>
        <v>0.98559711942379846</v>
      </c>
      <c r="J9936">
        <f>SMALL(SimData5000!$C$9:$C$5008,4928)</f>
        <v>0.98595136389212712</v>
      </c>
      <c r="K9936">
        <f>1/(COUNT(SimData5000!$C$9:$C$5008)-1)+$K$9935</f>
        <v>0.98559711942379846</v>
      </c>
    </row>
    <row r="9937" spans="8:11">
      <c r="H9937">
        <f>SMALL(SimData5000!$B$9:$B$5008,4929)</f>
        <v>0.98571144064560334</v>
      </c>
      <c r="I9937">
        <f>1/(COUNT(SimData5000!$B$9:$B$5008)-1)+$I$9936</f>
        <v>0.98579715943180002</v>
      </c>
      <c r="J9937">
        <f>SMALL(SimData5000!$C$9:$C$5008,4929)</f>
        <v>0.98601047532883968</v>
      </c>
      <c r="K9937">
        <f>1/(COUNT(SimData5000!$C$9:$C$5008)-1)+$K$9936</f>
        <v>0.98579715943180002</v>
      </c>
    </row>
    <row r="9938" spans="8:11">
      <c r="H9938">
        <f>SMALL(SimData5000!$B$9:$B$5008,4930)</f>
        <v>0.98591906096351301</v>
      </c>
      <c r="I9938">
        <f>1/(COUNT(SimData5000!$B$9:$B$5008)-1)+$I$9937</f>
        <v>0.98599719943980157</v>
      </c>
      <c r="J9938">
        <f>SMALL(SimData5000!$C$9:$C$5008,4930)</f>
        <v>0.98662640727343387</v>
      </c>
      <c r="K9938">
        <f>1/(COUNT(SimData5000!$C$9:$C$5008)-1)+$K$9937</f>
        <v>0.98599719943980157</v>
      </c>
    </row>
    <row r="9939" spans="8:11">
      <c r="H9939">
        <f>SMALL(SimData5000!$B$9:$B$5008,4931)</f>
        <v>0.98618417502329325</v>
      </c>
      <c r="I9939">
        <f>1/(COUNT(SimData5000!$B$9:$B$5008)-1)+$I$9938</f>
        <v>0.98619723944780313</v>
      </c>
      <c r="J9939">
        <f>SMALL(SimData5000!$C$9:$C$5008,4931)</f>
        <v>0.98677954117283662</v>
      </c>
      <c r="K9939">
        <f>1/(COUNT(SimData5000!$C$9:$C$5008)-1)+$K$9938</f>
        <v>0.98619723944780313</v>
      </c>
    </row>
    <row r="9940" spans="8:11">
      <c r="H9940">
        <f>SMALL(SimData5000!$B$9:$B$5008,4932)</f>
        <v>0.98630227017232741</v>
      </c>
      <c r="I9940">
        <f>1/(COUNT(SimData5000!$B$9:$B$5008)-1)+$I$9939</f>
        <v>0.98639727945580469</v>
      </c>
      <c r="J9940">
        <f>SMALL(SimData5000!$C$9:$C$5008,4932)</f>
        <v>0.98686925607944431</v>
      </c>
      <c r="K9940">
        <f>1/(COUNT(SimData5000!$C$9:$C$5008)-1)+$K$9939</f>
        <v>0.98639727945580469</v>
      </c>
    </row>
    <row r="9941" spans="8:11">
      <c r="H9941">
        <f>SMALL(SimData5000!$B$9:$B$5008,4933)</f>
        <v>0.98657465634899566</v>
      </c>
      <c r="I9941">
        <f>1/(COUNT(SimData5000!$B$9:$B$5008)-1)+$I$9940</f>
        <v>0.98659731946380624</v>
      </c>
      <c r="J9941">
        <f>SMALL(SimData5000!$C$9:$C$5008,4933)</f>
        <v>0.98701648866699543</v>
      </c>
      <c r="K9941">
        <f>1/(COUNT(SimData5000!$C$9:$C$5008)-1)+$K$9940</f>
        <v>0.98659731946380624</v>
      </c>
    </row>
    <row r="9942" spans="8:11">
      <c r="H9942">
        <f>SMALL(SimData5000!$B$9:$B$5008,4934)</f>
        <v>0.98662347470857747</v>
      </c>
      <c r="I9942">
        <f>1/(COUNT(SimData5000!$B$9:$B$5008)-1)+$I$9941</f>
        <v>0.9867973594718078</v>
      </c>
      <c r="J9942">
        <f>SMALL(SimData5000!$C$9:$C$5008,4934)</f>
        <v>0.98717277259220282</v>
      </c>
      <c r="K9942">
        <f>1/(COUNT(SimData5000!$C$9:$C$5008)-1)+$K$9941</f>
        <v>0.9867973594718078</v>
      </c>
    </row>
    <row r="9943" spans="8:11">
      <c r="H9943">
        <f>SMALL(SimData5000!$B$9:$B$5008,4935)</f>
        <v>0.98683360516541485</v>
      </c>
      <c r="I9943">
        <f>1/(COUNT(SimData5000!$B$9:$B$5008)-1)+$I$9942</f>
        <v>0.98699739947980936</v>
      </c>
      <c r="J9943">
        <f>SMALL(SimData5000!$C$9:$C$5008,4935)</f>
        <v>0.98728901036702155</v>
      </c>
      <c r="K9943">
        <f>1/(COUNT(SimData5000!$C$9:$C$5008)-1)+$K$9942</f>
        <v>0.98699739947980936</v>
      </c>
    </row>
    <row r="9944" spans="8:11">
      <c r="H9944">
        <f>SMALL(SimData5000!$B$9:$B$5008,4936)</f>
        <v>0.98718410709923698</v>
      </c>
      <c r="I9944">
        <f>1/(COUNT(SimData5000!$B$9:$B$5008)-1)+$I$9943</f>
        <v>0.98719743948781091</v>
      </c>
      <c r="J9944">
        <f>SMALL(SimData5000!$C$9:$C$5008,4936)</f>
        <v>0.98772860472581669</v>
      </c>
      <c r="K9944">
        <f>1/(COUNT(SimData5000!$C$9:$C$5008)-1)+$K$9943</f>
        <v>0.98719743948781091</v>
      </c>
    </row>
    <row r="9945" spans="8:11">
      <c r="H9945">
        <f>SMALL(SimData5000!$B$9:$B$5008,4937)</f>
        <v>0.98727190066731341</v>
      </c>
      <c r="I9945">
        <f>1/(COUNT(SimData5000!$B$9:$B$5008)-1)+$I$9944</f>
        <v>0.98739747949581247</v>
      </c>
      <c r="J9945">
        <f>SMALL(SimData5000!$C$9:$C$5008,4937)</f>
        <v>0.9877724673042394</v>
      </c>
      <c r="K9945">
        <f>1/(COUNT(SimData5000!$C$9:$C$5008)-1)+$K$9944</f>
        <v>0.98739747949581247</v>
      </c>
    </row>
    <row r="9946" spans="8:11">
      <c r="H9946">
        <f>SMALL(SimData5000!$B$9:$B$5008,4938)</f>
        <v>0.987424169552099</v>
      </c>
      <c r="I9946">
        <f>1/(COUNT(SimData5000!$B$9:$B$5008)-1)+$I$9945</f>
        <v>0.98759751950381403</v>
      </c>
      <c r="J9946">
        <f>SMALL(SimData5000!$C$9:$C$5008,4938)</f>
        <v>0.98802454395536188</v>
      </c>
      <c r="K9946">
        <f>1/(COUNT(SimData5000!$C$9:$C$5008)-1)+$K$9945</f>
        <v>0.98759751950381403</v>
      </c>
    </row>
    <row r="9947" spans="8:11">
      <c r="H9947">
        <f>SMALL(SimData5000!$B$9:$B$5008,4939)</f>
        <v>0.98778755733105061</v>
      </c>
      <c r="I9947">
        <f>1/(COUNT(SimData5000!$B$9:$B$5008)-1)+$I$9946</f>
        <v>0.98779755951181558</v>
      </c>
      <c r="J9947">
        <f>SMALL(SimData5000!$C$9:$C$5008,4939)</f>
        <v>0.98805214066396729</v>
      </c>
      <c r="K9947">
        <f>1/(COUNT(SimData5000!$C$9:$C$5008)-1)+$K$9946</f>
        <v>0.98779755951181558</v>
      </c>
    </row>
    <row r="9948" spans="8:11">
      <c r="H9948">
        <f>SMALL(SimData5000!$B$9:$B$5008,4940)</f>
        <v>0.9878307071362693</v>
      </c>
      <c r="I9948">
        <f>1/(COUNT(SimData5000!$B$9:$B$5008)-1)+$I$9947</f>
        <v>0.98799759951981714</v>
      </c>
      <c r="J9948">
        <f>SMALL(SimData5000!$C$9:$C$5008,4940)</f>
        <v>0.98839763466003205</v>
      </c>
      <c r="K9948">
        <f>1/(COUNT(SimData5000!$C$9:$C$5008)-1)+$K$9947</f>
        <v>0.98799759951981714</v>
      </c>
    </row>
    <row r="9949" spans="8:11">
      <c r="H9949">
        <f>SMALL(SimData5000!$B$9:$B$5008,4941)</f>
        <v>0.98816280449884075</v>
      </c>
      <c r="I9949">
        <f>1/(COUNT(SimData5000!$B$9:$B$5008)-1)+$I$9948</f>
        <v>0.98819763952781869</v>
      </c>
      <c r="J9949">
        <f>SMALL(SimData5000!$C$9:$C$5008,4941)</f>
        <v>0.98847988228953909</v>
      </c>
      <c r="K9949">
        <f>1/(COUNT(SimData5000!$C$9:$C$5008)-1)+$K$9948</f>
        <v>0.98819763952781869</v>
      </c>
    </row>
    <row r="9950" spans="8:11">
      <c r="H9950">
        <f>SMALL(SimData5000!$B$9:$B$5008,4942)</f>
        <v>0.98822034516358292</v>
      </c>
      <c r="I9950">
        <f>1/(COUNT(SimData5000!$B$9:$B$5008)-1)+$I$9949</f>
        <v>0.98839767953582025</v>
      </c>
      <c r="J9950">
        <f>SMALL(SimData5000!$C$9:$C$5008,4942)</f>
        <v>0.98850650116219185</v>
      </c>
      <c r="K9950">
        <f>1/(COUNT(SimData5000!$C$9:$C$5008)-1)+$K$9949</f>
        <v>0.98839767953582025</v>
      </c>
    </row>
    <row r="9951" spans="8:11">
      <c r="H9951">
        <f>SMALL(SimData5000!$B$9:$B$5008,4943)</f>
        <v>0.98857955451299895</v>
      </c>
      <c r="I9951">
        <f>1/(COUNT(SimData5000!$B$9:$B$5008)-1)+$I$9950</f>
        <v>0.98859771954382181</v>
      </c>
      <c r="J9951">
        <f>SMALL(SimData5000!$C$9:$C$5008,4943)</f>
        <v>0.98927417709546717</v>
      </c>
      <c r="K9951">
        <f>1/(COUNT(SimData5000!$C$9:$C$5008)-1)+$K$9950</f>
        <v>0.98859771954382181</v>
      </c>
    </row>
    <row r="9952" spans="8:11">
      <c r="H9952">
        <f>SMALL(SimData5000!$B$9:$B$5008,4944)</f>
        <v>0.98868964376130375</v>
      </c>
      <c r="I9952">
        <f>1/(COUNT(SimData5000!$B$9:$B$5008)-1)+$I$9951</f>
        <v>0.98879775955182336</v>
      </c>
      <c r="J9952">
        <f>SMALL(SimData5000!$C$9:$C$5008,4944)</f>
        <v>0.98935863612406649</v>
      </c>
      <c r="K9952">
        <f>1/(COUNT(SimData5000!$C$9:$C$5008)-1)+$K$9951</f>
        <v>0.98879775955182336</v>
      </c>
    </row>
    <row r="9953" spans="8:11">
      <c r="H9953">
        <f>SMALL(SimData5000!$B$9:$B$5008,4945)</f>
        <v>0.98882280647587562</v>
      </c>
      <c r="I9953">
        <f>1/(COUNT(SimData5000!$B$9:$B$5008)-1)+$I$9952</f>
        <v>0.98899779955982492</v>
      </c>
      <c r="J9953">
        <f>SMALL(SimData5000!$C$9:$C$5008,4945)</f>
        <v>0.98950322740438423</v>
      </c>
      <c r="K9953">
        <f>1/(COUNT(SimData5000!$C$9:$C$5008)-1)+$K$9952</f>
        <v>0.98899779955982492</v>
      </c>
    </row>
    <row r="9954" spans="8:11">
      <c r="H9954">
        <f>SMALL(SimData5000!$B$9:$B$5008,4946)</f>
        <v>0.98910589256428794</v>
      </c>
      <c r="I9954">
        <f>1/(COUNT(SimData5000!$B$9:$B$5008)-1)+$I$9953</f>
        <v>0.98919783956782648</v>
      </c>
      <c r="J9954">
        <f>SMALL(SimData5000!$C$9:$C$5008,4946)</f>
        <v>0.9896224195308605</v>
      </c>
      <c r="K9954">
        <f>1/(COUNT(SimData5000!$C$9:$C$5008)-1)+$K$9953</f>
        <v>0.98919783956782648</v>
      </c>
    </row>
    <row r="9955" spans="8:11">
      <c r="H9955">
        <f>SMALL(SimData5000!$B$9:$B$5008,4947)</f>
        <v>0.98920034355497921</v>
      </c>
      <c r="I9955">
        <f>1/(COUNT(SimData5000!$B$9:$B$5008)-1)+$I$9954</f>
        <v>0.98939787957582803</v>
      </c>
      <c r="J9955">
        <f>SMALL(SimData5000!$C$9:$C$5008,4947)</f>
        <v>0.98970061321688263</v>
      </c>
      <c r="K9955">
        <f>1/(COUNT(SimData5000!$C$9:$C$5008)-1)+$K$9954</f>
        <v>0.98939787957582803</v>
      </c>
    </row>
    <row r="9956" spans="8:11">
      <c r="H9956">
        <f>SMALL(SimData5000!$B$9:$B$5008,4948)</f>
        <v>0.989416166713046</v>
      </c>
      <c r="I9956">
        <f>1/(COUNT(SimData5000!$B$9:$B$5008)-1)+$I$9955</f>
        <v>0.98959791958382959</v>
      </c>
      <c r="J9956">
        <f>SMALL(SimData5000!$C$9:$C$5008,4948)</f>
        <v>0.98996549242929177</v>
      </c>
      <c r="K9956">
        <f>1/(COUNT(SimData5000!$C$9:$C$5008)-1)+$K$9955</f>
        <v>0.98959791958382959</v>
      </c>
    </row>
    <row r="9957" spans="8:11">
      <c r="H9957">
        <f>SMALL(SimData5000!$B$9:$B$5008,4949)</f>
        <v>0.98968042411480106</v>
      </c>
      <c r="I9957">
        <f>1/(COUNT(SimData5000!$B$9:$B$5008)-1)+$I$9956</f>
        <v>0.98979795959183114</v>
      </c>
      <c r="J9957">
        <f>SMALL(SimData5000!$C$9:$C$5008,4949)</f>
        <v>0.98999118481970072</v>
      </c>
      <c r="K9957">
        <f>1/(COUNT(SimData5000!$C$9:$C$5008)-1)+$K$9956</f>
        <v>0.98979795959183114</v>
      </c>
    </row>
    <row r="9958" spans="8:11">
      <c r="H9958">
        <f>SMALL(SimData5000!$B$9:$B$5008,4950)</f>
        <v>0.98996572159453422</v>
      </c>
      <c r="I9958">
        <f>1/(COUNT(SimData5000!$B$9:$B$5008)-1)+$I$9957</f>
        <v>0.9899979995998327</v>
      </c>
      <c r="J9958">
        <f>SMALL(SimData5000!$C$9:$C$5008,4950)</f>
        <v>0.99009342639783426</v>
      </c>
      <c r="K9958">
        <f>1/(COUNT(SimData5000!$C$9:$C$5008)-1)+$K$9957</f>
        <v>0.9899979995998327</v>
      </c>
    </row>
    <row r="9959" spans="8:11">
      <c r="H9959">
        <f>SMALL(SimData5000!$B$9:$B$5008,4951)</f>
        <v>0.99004828721136984</v>
      </c>
      <c r="I9959">
        <f>1/(COUNT(SimData5000!$B$9:$B$5008)-1)+$I$9958</f>
        <v>0.99019803960783426</v>
      </c>
      <c r="J9959">
        <f>SMALL(SimData5000!$C$9:$C$5008,4951)</f>
        <v>0.99012456171567464</v>
      </c>
      <c r="K9959">
        <f>1/(COUNT(SimData5000!$C$9:$C$5008)-1)+$K$9958</f>
        <v>0.99019803960783426</v>
      </c>
    </row>
    <row r="9960" spans="8:11">
      <c r="H9960">
        <f>SMALL(SimData5000!$B$9:$B$5008,4952)</f>
        <v>0.99022952043233203</v>
      </c>
      <c r="I9960">
        <f>1/(COUNT(SimData5000!$B$9:$B$5008)-1)+$I$9959</f>
        <v>0.99039807961583581</v>
      </c>
      <c r="J9960">
        <f>SMALL(SimData5000!$C$9:$C$5008,4952)</f>
        <v>0.99056241993730509</v>
      </c>
      <c r="K9960">
        <f>1/(COUNT(SimData5000!$C$9:$C$5008)-1)+$K$9959</f>
        <v>0.99039807961583581</v>
      </c>
    </row>
    <row r="9961" spans="8:11">
      <c r="H9961">
        <f>SMALL(SimData5000!$B$9:$B$5008,4953)</f>
        <v>0.99040222383118293</v>
      </c>
      <c r="I9961">
        <f>1/(COUNT(SimData5000!$B$9:$B$5008)-1)+$I$9960</f>
        <v>0.99059811962383737</v>
      </c>
      <c r="J9961">
        <f>SMALL(SimData5000!$C$9:$C$5008,4953)</f>
        <v>0.99067082610145007</v>
      </c>
      <c r="K9961">
        <f>1/(COUNT(SimData5000!$C$9:$C$5008)-1)+$K$9960</f>
        <v>0.99059811962383737</v>
      </c>
    </row>
    <row r="9962" spans="8:11">
      <c r="H9962">
        <f>SMALL(SimData5000!$B$9:$B$5008,4954)</f>
        <v>0.99069427832683887</v>
      </c>
      <c r="I9962">
        <f>1/(COUNT(SimData5000!$B$9:$B$5008)-1)+$I$9961</f>
        <v>0.99079815963183893</v>
      </c>
      <c r="J9962">
        <f>SMALL(SimData5000!$C$9:$C$5008,4954)</f>
        <v>0.99072362889637589</v>
      </c>
      <c r="K9962">
        <f>1/(COUNT(SimData5000!$C$9:$C$5008)-1)+$K$9961</f>
        <v>0.99079815963183893</v>
      </c>
    </row>
    <row r="9963" spans="8:11">
      <c r="H9963">
        <f>SMALL(SimData5000!$B$9:$B$5008,4955)</f>
        <v>0.99085758329039852</v>
      </c>
      <c r="I9963">
        <f>1/(COUNT(SimData5000!$B$9:$B$5008)-1)+$I$9962</f>
        <v>0.99099819963984048</v>
      </c>
      <c r="J9963">
        <f>SMALL(SimData5000!$C$9:$C$5008,4955)</f>
        <v>0.99090584028454032</v>
      </c>
      <c r="K9963">
        <f>1/(COUNT(SimData5000!$C$9:$C$5008)-1)+$K$9962</f>
        <v>0.99099819963984048</v>
      </c>
    </row>
    <row r="9964" spans="8:11">
      <c r="H9964">
        <f>SMALL(SimData5000!$B$9:$B$5008,4956)</f>
        <v>0.99108919463960665</v>
      </c>
      <c r="I9964">
        <f>1/(COUNT(SimData5000!$B$9:$B$5008)-1)+$I$9963</f>
        <v>0.99119823964784204</v>
      </c>
      <c r="J9964">
        <f>SMALL(SimData5000!$C$9:$C$5008,4956)</f>
        <v>0.99111219008409535</v>
      </c>
      <c r="K9964">
        <f>1/(COUNT(SimData5000!$C$9:$C$5008)-1)+$K$9963</f>
        <v>0.99119823964784204</v>
      </c>
    </row>
    <row r="9965" spans="8:11">
      <c r="H9965">
        <f>SMALL(SimData5000!$B$9:$B$5008,4957)</f>
        <v>0.99127806855483869</v>
      </c>
      <c r="I9965">
        <f>1/(COUNT(SimData5000!$B$9:$B$5008)-1)+$I$9964</f>
        <v>0.9913982796558436</v>
      </c>
      <c r="J9965">
        <f>SMALL(SimData5000!$C$9:$C$5008,4957)</f>
        <v>0.99111842337879352</v>
      </c>
      <c r="K9965">
        <f>1/(COUNT(SimData5000!$C$9:$C$5008)-1)+$K$9964</f>
        <v>0.9913982796558436</v>
      </c>
    </row>
    <row r="9966" spans="8:11">
      <c r="H9966">
        <f>SMALL(SimData5000!$B$9:$B$5008,4958)</f>
        <v>0.9915246914850373</v>
      </c>
      <c r="I9966">
        <f>1/(COUNT(SimData5000!$B$9:$B$5008)-1)+$I$9965</f>
        <v>0.99159831966384515</v>
      </c>
      <c r="J9966">
        <f>SMALL(SimData5000!$C$9:$C$5008,4958)</f>
        <v>0.99164536551506899</v>
      </c>
      <c r="K9966">
        <f>1/(COUNT(SimData5000!$C$9:$C$5008)-1)+$K$9965</f>
        <v>0.99159831966384515</v>
      </c>
    </row>
    <row r="9967" spans="8:11">
      <c r="H9967">
        <f>SMALL(SimData5000!$B$9:$B$5008,4959)</f>
        <v>0.99161694634999553</v>
      </c>
      <c r="I9967">
        <f>1/(COUNT(SimData5000!$B$9:$B$5008)-1)+$I$9966</f>
        <v>0.99179835967184671</v>
      </c>
      <c r="J9967">
        <f>SMALL(SimData5000!$C$9:$C$5008,4959)</f>
        <v>0.99230389290636367</v>
      </c>
      <c r="K9967">
        <f>1/(COUNT(SimData5000!$C$9:$C$5008)-1)+$K$9966</f>
        <v>0.99179835967184671</v>
      </c>
    </row>
    <row r="9968" spans="8:11">
      <c r="H9968">
        <f>SMALL(SimData5000!$B$9:$B$5008,4960)</f>
        <v>0.99194566135875539</v>
      </c>
      <c r="I9968">
        <f>1/(COUNT(SimData5000!$B$9:$B$5008)-1)+$I$9967</f>
        <v>0.99199839967984826</v>
      </c>
      <c r="J9968">
        <f>SMALL(SimData5000!$C$9:$C$5008,4960)</f>
        <v>0.99264510431294184</v>
      </c>
      <c r="K9968">
        <f>1/(COUNT(SimData5000!$C$9:$C$5008)-1)+$K$9967</f>
        <v>0.99199839967984826</v>
      </c>
    </row>
    <row r="9969" spans="8:11">
      <c r="H9969">
        <f>SMALL(SimData5000!$B$9:$B$5008,4961)</f>
        <v>0.99215285130034969</v>
      </c>
      <c r="I9969">
        <f>1/(COUNT(SimData5000!$B$9:$B$5008)-1)+$I$9968</f>
        <v>0.99219843968784982</v>
      </c>
      <c r="J9969">
        <f>SMALL(SimData5000!$C$9:$C$5008,4961)</f>
        <v>0.99295588434779347</v>
      </c>
      <c r="K9969">
        <f>1/(COUNT(SimData5000!$C$9:$C$5008)-1)+$K$9968</f>
        <v>0.99219843968784982</v>
      </c>
    </row>
    <row r="9970" spans="8:11">
      <c r="H9970">
        <f>SMALL(SimData5000!$B$9:$B$5008,4962)</f>
        <v>0.99233777646574595</v>
      </c>
      <c r="I9970">
        <f>1/(COUNT(SimData5000!$B$9:$B$5008)-1)+$I$9969</f>
        <v>0.99239847969585138</v>
      </c>
      <c r="J9970">
        <f>SMALL(SimData5000!$C$9:$C$5008,4962)</f>
        <v>0.99297622105314076</v>
      </c>
      <c r="K9970">
        <f>1/(COUNT(SimData5000!$C$9:$C$5008)-1)+$K$9969</f>
        <v>0.99239847969585138</v>
      </c>
    </row>
    <row r="9971" spans="8:11">
      <c r="H9971">
        <f>SMALL(SimData5000!$B$9:$B$5008,4963)</f>
        <v>0.99258654881752717</v>
      </c>
      <c r="I9971">
        <f>1/(COUNT(SimData5000!$B$9:$B$5008)-1)+$I$9970</f>
        <v>0.99259851970385293</v>
      </c>
      <c r="J9971">
        <f>SMALL(SimData5000!$C$9:$C$5008,4963)</f>
        <v>0.99298906230342254</v>
      </c>
      <c r="K9971">
        <f>1/(COUNT(SimData5000!$C$9:$C$5008)-1)+$K$9970</f>
        <v>0.99259851970385293</v>
      </c>
    </row>
    <row r="9972" spans="8:11">
      <c r="H9972">
        <f>SMALL(SimData5000!$B$9:$B$5008,4964)</f>
        <v>0.99276219449251946</v>
      </c>
      <c r="I9972">
        <f>1/(COUNT(SimData5000!$B$9:$B$5008)-1)+$I$9971</f>
        <v>0.99279855971185449</v>
      </c>
      <c r="J9972">
        <f>SMALL(SimData5000!$C$9:$C$5008,4964)</f>
        <v>0.9930647004448474</v>
      </c>
      <c r="K9972">
        <f>1/(COUNT(SimData5000!$C$9:$C$5008)-1)+$K$9971</f>
        <v>0.99279855971185449</v>
      </c>
    </row>
    <row r="9973" spans="8:11">
      <c r="H9973">
        <f>SMALL(SimData5000!$B$9:$B$5008,4965)</f>
        <v>0.99284234450283515</v>
      </c>
      <c r="I9973">
        <f>1/(COUNT(SimData5000!$B$9:$B$5008)-1)+$I$9972</f>
        <v>0.99299859971985605</v>
      </c>
      <c r="J9973">
        <f>SMALL(SimData5000!$C$9:$C$5008,4965)</f>
        <v>0.99315684474368027</v>
      </c>
      <c r="K9973">
        <f>1/(COUNT(SimData5000!$C$9:$C$5008)-1)+$K$9972</f>
        <v>0.99299859971985605</v>
      </c>
    </row>
    <row r="9974" spans="8:11">
      <c r="H9974">
        <f>SMALL(SimData5000!$B$9:$B$5008,4966)</f>
        <v>0.99304355597385296</v>
      </c>
      <c r="I9974">
        <f>1/(COUNT(SimData5000!$B$9:$B$5008)-1)+$I$9973</f>
        <v>0.9931986397278576</v>
      </c>
      <c r="J9974">
        <f>SMALL(SimData5000!$C$9:$C$5008,4966)</f>
        <v>0.99341890534014965</v>
      </c>
      <c r="K9974">
        <f>1/(COUNT(SimData5000!$C$9:$C$5008)-1)+$K$9973</f>
        <v>0.9931986397278576</v>
      </c>
    </row>
    <row r="9975" spans="8:11">
      <c r="H9975">
        <f>SMALL(SimData5000!$B$9:$B$5008,4967)</f>
        <v>0.99332354755865493</v>
      </c>
      <c r="I9975">
        <f>1/(COUNT(SimData5000!$B$9:$B$5008)-1)+$I$9974</f>
        <v>0.99339867973585916</v>
      </c>
      <c r="J9975">
        <f>SMALL(SimData5000!$C$9:$C$5008,4967)</f>
        <v>0.99360741219970805</v>
      </c>
      <c r="K9975">
        <f>1/(COUNT(SimData5000!$C$9:$C$5008)-1)+$K$9974</f>
        <v>0.99339867973585916</v>
      </c>
    </row>
    <row r="9976" spans="8:11">
      <c r="H9976">
        <f>SMALL(SimData5000!$B$9:$B$5008,4968)</f>
        <v>0.99359461679439864</v>
      </c>
      <c r="I9976">
        <f>1/(COUNT(SimData5000!$B$9:$B$5008)-1)+$I$9975</f>
        <v>0.99359871974386071</v>
      </c>
      <c r="J9976">
        <f>SMALL(SimData5000!$C$9:$C$5008,4968)</f>
        <v>0.99371958760002599</v>
      </c>
      <c r="K9976">
        <f>1/(COUNT(SimData5000!$C$9:$C$5008)-1)+$K$9975</f>
        <v>0.99359871974386071</v>
      </c>
    </row>
    <row r="9977" spans="8:11">
      <c r="H9977">
        <f>SMALL(SimData5000!$B$9:$B$5008,4969)</f>
        <v>0.99377660885638941</v>
      </c>
      <c r="I9977">
        <f>1/(COUNT(SimData5000!$B$9:$B$5008)-1)+$I$9976</f>
        <v>0.99379875975186227</v>
      </c>
      <c r="J9977">
        <f>SMALL(SimData5000!$C$9:$C$5008,4969)</f>
        <v>0.99441296255918132</v>
      </c>
      <c r="K9977">
        <f>1/(COUNT(SimData5000!$C$9:$C$5008)-1)+$K$9976</f>
        <v>0.99379875975186227</v>
      </c>
    </row>
    <row r="9978" spans="8:11">
      <c r="H9978">
        <f>SMALL(SimData5000!$B$9:$B$5008,4970)</f>
        <v>0.99380861582737612</v>
      </c>
      <c r="I9978">
        <f>1/(COUNT(SimData5000!$B$9:$B$5008)-1)+$I$9977</f>
        <v>0.99399879975986383</v>
      </c>
      <c r="J9978">
        <f>SMALL(SimData5000!$C$9:$C$5008,4970)</f>
        <v>0.99453024857393757</v>
      </c>
      <c r="K9978">
        <f>1/(COUNT(SimData5000!$C$9:$C$5008)-1)+$K$9977</f>
        <v>0.99399879975986383</v>
      </c>
    </row>
    <row r="9979" spans="8:11">
      <c r="H9979">
        <f>SMALL(SimData5000!$B$9:$B$5008,4971)</f>
        <v>0.99404699588414447</v>
      </c>
      <c r="I9979">
        <f>1/(COUNT(SimData5000!$B$9:$B$5008)-1)+$I$9978</f>
        <v>0.99419883976786538</v>
      </c>
      <c r="J9979">
        <f>SMALL(SimData5000!$C$9:$C$5008,4971)</f>
        <v>0.99473949140428886</v>
      </c>
      <c r="K9979">
        <f>1/(COUNT(SimData5000!$C$9:$C$5008)-1)+$K$9978</f>
        <v>0.99419883976786538</v>
      </c>
    </row>
    <row r="9980" spans="8:11">
      <c r="H9980">
        <f>SMALL(SimData5000!$B$9:$B$5008,4972)</f>
        <v>0.99428745573258204</v>
      </c>
      <c r="I9980">
        <f>1/(COUNT(SimData5000!$B$9:$B$5008)-1)+$I$9979</f>
        <v>0.99439887977586694</v>
      </c>
      <c r="J9980">
        <f>SMALL(SimData5000!$C$9:$C$5008,4972)</f>
        <v>0.99482575559250108</v>
      </c>
      <c r="K9980">
        <f>1/(COUNT(SimData5000!$C$9:$C$5008)-1)+$K$9979</f>
        <v>0.99439887977586694</v>
      </c>
    </row>
    <row r="9981" spans="8:11">
      <c r="H9981">
        <f>SMALL(SimData5000!$B$9:$B$5008,4973)</f>
        <v>0.99452161421624985</v>
      </c>
      <c r="I9981">
        <f>1/(COUNT(SimData5000!$B$9:$B$5008)-1)+$I$9980</f>
        <v>0.9945989197838685</v>
      </c>
      <c r="J9981">
        <f>SMALL(SimData5000!$C$9:$C$5008,4973)</f>
        <v>0.99513181805468776</v>
      </c>
      <c r="K9981">
        <f>1/(COUNT(SimData5000!$C$9:$C$5008)-1)+$K$9980</f>
        <v>0.9945989197838685</v>
      </c>
    </row>
    <row r="9982" spans="8:11">
      <c r="H9982">
        <f>SMALL(SimData5000!$B$9:$B$5008,4974)</f>
        <v>0.99478847897764955</v>
      </c>
      <c r="I9982">
        <f>1/(COUNT(SimData5000!$B$9:$B$5008)-1)+$I$9981</f>
        <v>0.99479895979187005</v>
      </c>
      <c r="J9982">
        <f>SMALL(SimData5000!$C$9:$C$5008,4974)</f>
        <v>0.99513812617806252</v>
      </c>
      <c r="K9982">
        <f>1/(COUNT(SimData5000!$C$9:$C$5008)-1)+$K$9981</f>
        <v>0.99479895979187005</v>
      </c>
    </row>
    <row r="9983" spans="8:11">
      <c r="H9983">
        <f>SMALL(SimData5000!$B$9:$B$5008,4975)</f>
        <v>0.99495259350769971</v>
      </c>
      <c r="I9983">
        <f>1/(COUNT(SimData5000!$B$9:$B$5008)-1)+$I$9982</f>
        <v>0.99499899979987161</v>
      </c>
      <c r="J9983">
        <f>SMALL(SimData5000!$C$9:$C$5008,4975)</f>
        <v>0.99529070091375615</v>
      </c>
      <c r="K9983">
        <f>1/(COUNT(SimData5000!$C$9:$C$5008)-1)+$K$9982</f>
        <v>0.99499899979987161</v>
      </c>
    </row>
    <row r="9984" spans="8:11">
      <c r="H9984">
        <f>SMALL(SimData5000!$B$9:$B$5008,4976)</f>
        <v>0.99509542766038683</v>
      </c>
      <c r="I9984">
        <f>1/(COUNT(SimData5000!$B$9:$B$5008)-1)+$I$9983</f>
        <v>0.99519903980787316</v>
      </c>
      <c r="J9984">
        <f>SMALL(SimData5000!$C$9:$C$5008,4976)</f>
        <v>0.99529474977407517</v>
      </c>
      <c r="K9984">
        <f>1/(COUNT(SimData5000!$C$9:$C$5008)-1)+$K$9983</f>
        <v>0.99519903980787316</v>
      </c>
    </row>
    <row r="9985" spans="8:11">
      <c r="H9985">
        <f>SMALL(SimData5000!$B$9:$B$5008,4977)</f>
        <v>0.99525846767296511</v>
      </c>
      <c r="I9985">
        <f>1/(COUNT(SimData5000!$B$9:$B$5008)-1)+$I$9984</f>
        <v>0.99539907981587472</v>
      </c>
      <c r="J9985">
        <f>SMALL(SimData5000!$C$9:$C$5008,4977)</f>
        <v>0.99534035987471725</v>
      </c>
      <c r="K9985">
        <f>1/(COUNT(SimData5000!$C$9:$C$5008)-1)+$K$9984</f>
        <v>0.99539907981587472</v>
      </c>
    </row>
    <row r="9986" spans="8:11">
      <c r="H9986">
        <f>SMALL(SimData5000!$B$9:$B$5008,4978)</f>
        <v>0.99546508255411514</v>
      </c>
      <c r="I9986">
        <f>1/(COUNT(SimData5000!$B$9:$B$5008)-1)+$I$9985</f>
        <v>0.99559911982387628</v>
      </c>
      <c r="J9986">
        <f>SMALL(SimData5000!$C$9:$C$5008,4978)</f>
        <v>0.99548419030088553</v>
      </c>
      <c r="K9986">
        <f>1/(COUNT(SimData5000!$C$9:$C$5008)-1)+$K$9985</f>
        <v>0.99559911982387628</v>
      </c>
    </row>
    <row r="9987" spans="8:11">
      <c r="H9987">
        <f>SMALL(SimData5000!$B$9:$B$5008,4979)</f>
        <v>0.99574801945890012</v>
      </c>
      <c r="I9987">
        <f>1/(COUNT(SimData5000!$B$9:$B$5008)-1)+$I$9986</f>
        <v>0.99579915983187783</v>
      </c>
      <c r="J9987">
        <f>SMALL(SimData5000!$C$9:$C$5008,4979)</f>
        <v>0.99557943933450588</v>
      </c>
      <c r="K9987">
        <f>1/(COUNT(SimData5000!$C$9:$C$5008)-1)+$K$9986</f>
        <v>0.99579915983187783</v>
      </c>
    </row>
    <row r="9988" spans="8:11">
      <c r="H9988">
        <f>SMALL(SimData5000!$B$9:$B$5008,4980)</f>
        <v>0.99589482495651915</v>
      </c>
      <c r="I9988">
        <f>1/(COUNT(SimData5000!$B$9:$B$5008)-1)+$I$9987</f>
        <v>0.99599919983987939</v>
      </c>
      <c r="J9988">
        <f>SMALL(SimData5000!$C$9:$C$5008,4980)</f>
        <v>0.99625313600699883</v>
      </c>
      <c r="K9988">
        <f>1/(COUNT(SimData5000!$C$9:$C$5008)-1)+$K$9987</f>
        <v>0.99599919983987939</v>
      </c>
    </row>
    <row r="9989" spans="8:11">
      <c r="H9989">
        <f>SMALL(SimData5000!$B$9:$B$5008,4981)</f>
        <v>0.9961419988719612</v>
      </c>
      <c r="I9989">
        <f>1/(COUNT(SimData5000!$B$9:$B$5008)-1)+$I$9988</f>
        <v>0.99619923984788095</v>
      </c>
      <c r="J9989">
        <f>SMALL(SimData5000!$C$9:$C$5008,4981)</f>
        <v>0.99628631374616816</v>
      </c>
      <c r="K9989">
        <f>1/(COUNT(SimData5000!$C$9:$C$5008)-1)+$K$9988</f>
        <v>0.99619923984788095</v>
      </c>
    </row>
    <row r="9990" spans="8:11">
      <c r="H9990">
        <f>SMALL(SimData5000!$B$9:$B$5008,4982)</f>
        <v>0.99628648588496416</v>
      </c>
      <c r="I9990">
        <f>1/(COUNT(SimData5000!$B$9:$B$5008)-1)+$I$9989</f>
        <v>0.9963992798558825</v>
      </c>
      <c r="J9990">
        <f>SMALL(SimData5000!$C$9:$C$5008,4982)</f>
        <v>0.99644675730905874</v>
      </c>
      <c r="K9990">
        <f>1/(COUNT(SimData5000!$C$9:$C$5008)-1)+$K$9989</f>
        <v>0.9963992798558825</v>
      </c>
    </row>
    <row r="9991" spans="8:11">
      <c r="H9991">
        <f>SMALL(SimData5000!$B$9:$B$5008,4983)</f>
        <v>0.99646809933415337</v>
      </c>
      <c r="I9991">
        <f>1/(COUNT(SimData5000!$B$9:$B$5008)-1)+$I$9990</f>
        <v>0.99659931986388406</v>
      </c>
      <c r="J9991">
        <f>SMALL(SimData5000!$C$9:$C$5008,4983)</f>
        <v>0.99652301250807795</v>
      </c>
      <c r="K9991">
        <f>1/(COUNT(SimData5000!$C$9:$C$5008)-1)+$K$9990</f>
        <v>0.99659931986388406</v>
      </c>
    </row>
    <row r="9992" spans="8:11">
      <c r="H9992">
        <f>SMALL(SimData5000!$B$9:$B$5008,4984)</f>
        <v>0.9967671531529555</v>
      </c>
      <c r="I9992">
        <f>1/(COUNT(SimData5000!$B$9:$B$5008)-1)+$I$9991</f>
        <v>0.99679935987188562</v>
      </c>
      <c r="J9992">
        <f>SMALL(SimData5000!$C$9:$C$5008,4984)</f>
        <v>0.99658700636427966</v>
      </c>
      <c r="K9992">
        <f>1/(COUNT(SimData5000!$C$9:$C$5008)-1)+$K$9991</f>
        <v>0.99679935987188562</v>
      </c>
    </row>
    <row r="9993" spans="8:11">
      <c r="H9993">
        <f>SMALL(SimData5000!$B$9:$B$5008,4985)</f>
        <v>0.99691855479509539</v>
      </c>
      <c r="I9993">
        <f>1/(COUNT(SimData5000!$B$9:$B$5008)-1)+$I$9992</f>
        <v>0.99699939987988717</v>
      </c>
      <c r="J9993">
        <f>SMALL(SimData5000!$C$9:$C$5008,4985)</f>
        <v>0.99684677031473257</v>
      </c>
      <c r="K9993">
        <f>1/(COUNT(SimData5000!$C$9:$C$5008)-1)+$K$9992</f>
        <v>0.99699939987988717</v>
      </c>
    </row>
    <row r="9994" spans="8:11">
      <c r="H9994">
        <f>SMALL(SimData5000!$B$9:$B$5008,4986)</f>
        <v>0.99714871234822744</v>
      </c>
      <c r="I9994">
        <f>1/(COUNT(SimData5000!$B$9:$B$5008)-1)+$I$9993</f>
        <v>0.99719943988788873</v>
      </c>
      <c r="J9994">
        <f>SMALL(SimData5000!$C$9:$C$5008,4986)</f>
        <v>0.99685734270772741</v>
      </c>
      <c r="K9994">
        <f>1/(COUNT(SimData5000!$C$9:$C$5008)-1)+$K$9993</f>
        <v>0.99719943988788873</v>
      </c>
    </row>
    <row r="9995" spans="8:11">
      <c r="H9995">
        <f>SMALL(SimData5000!$B$9:$B$5008,4987)</f>
        <v>0.99720397446602671</v>
      </c>
      <c r="I9995">
        <f>1/(COUNT(SimData5000!$B$9:$B$5008)-1)+$I$9994</f>
        <v>0.99739947989589028</v>
      </c>
      <c r="J9995">
        <f>SMALL(SimData5000!$C$9:$C$5008,4987)</f>
        <v>0.99705149128476478</v>
      </c>
      <c r="K9995">
        <f>1/(COUNT(SimData5000!$C$9:$C$5008)-1)+$K$9994</f>
        <v>0.99739947989589028</v>
      </c>
    </row>
    <row r="9996" spans="8:11">
      <c r="H9996">
        <f>SMALL(SimData5000!$B$9:$B$5008,4988)</f>
        <v>0.99754741484377241</v>
      </c>
      <c r="I9996">
        <f>1/(COUNT(SimData5000!$B$9:$B$5008)-1)+$I$9995</f>
        <v>0.99759951990389184</v>
      </c>
      <c r="J9996">
        <f>SMALL(SimData5000!$C$9:$C$5008,4988)</f>
        <v>0.99708491866113036</v>
      </c>
      <c r="K9996">
        <f>1/(COUNT(SimData5000!$C$9:$C$5008)-1)+$K$9995</f>
        <v>0.99759951990389184</v>
      </c>
    </row>
    <row r="9997" spans="8:11">
      <c r="H9997">
        <f>SMALL(SimData5000!$B$9:$B$5008,4989)</f>
        <v>0.99769420739041981</v>
      </c>
      <c r="I9997">
        <f>1/(COUNT(SimData5000!$B$9:$B$5008)-1)+$I$9996</f>
        <v>0.9977995599118934</v>
      </c>
      <c r="J9997">
        <f>SMALL(SimData5000!$C$9:$C$5008,4989)</f>
        <v>0.99722340758853534</v>
      </c>
      <c r="K9997">
        <f>1/(COUNT(SimData5000!$C$9:$C$5008)-1)+$K$9996</f>
        <v>0.9977995599118934</v>
      </c>
    </row>
    <row r="9998" spans="8:11">
      <c r="H9998">
        <f>SMALL(SimData5000!$B$9:$B$5008,4990)</f>
        <v>0.99787325605984623</v>
      </c>
      <c r="I9998">
        <f>1/(COUNT(SimData5000!$B$9:$B$5008)-1)+$I$9997</f>
        <v>0.99799959991989495</v>
      </c>
      <c r="J9998">
        <f>SMALL(SimData5000!$C$9:$C$5008,4990)</f>
        <v>0.99722364246918005</v>
      </c>
      <c r="K9998">
        <f>1/(COUNT(SimData5000!$C$9:$C$5008)-1)+$K$9997</f>
        <v>0.99799959991989495</v>
      </c>
    </row>
    <row r="9999" spans="8:11">
      <c r="H9999">
        <f>SMALL(SimData5000!$B$9:$B$5008,4991)</f>
        <v>0.99805083355364643</v>
      </c>
      <c r="I9999">
        <f>1/(COUNT(SimData5000!$B$9:$B$5008)-1)+$I$9998</f>
        <v>0.99819963992789651</v>
      </c>
      <c r="J9999">
        <f>SMALL(SimData5000!$C$9:$C$5008,4991)</f>
        <v>0.997656373544487</v>
      </c>
      <c r="K9999">
        <f>1/(COUNT(SimData5000!$C$9:$C$5008)-1)+$K$9998</f>
        <v>0.99819963992789651</v>
      </c>
    </row>
    <row r="10000" spans="8:11">
      <c r="H10000">
        <f>SMALL(SimData5000!$B$9:$B$5008,4992)</f>
        <v>0.99837087968461469</v>
      </c>
      <c r="I10000">
        <f>1/(COUNT(SimData5000!$B$9:$B$5008)-1)+$I$9999</f>
        <v>0.99839967993589807</v>
      </c>
      <c r="J10000">
        <f>SMALL(SimData5000!$C$9:$C$5008,4992)</f>
        <v>0.99811727657925076</v>
      </c>
      <c r="K10000">
        <f>1/(COUNT(SimData5000!$C$9:$C$5008)-1)+$K$9999</f>
        <v>0.99839967993589807</v>
      </c>
    </row>
    <row r="10001" spans="8:11">
      <c r="H10001">
        <f>SMALL(SimData5000!$B$9:$B$5008,4993)</f>
        <v>0.99843180470127424</v>
      </c>
      <c r="I10001">
        <f>1/(COUNT(SimData5000!$B$9:$B$5008)-1)+$I$10000</f>
        <v>0.99859971994389962</v>
      </c>
      <c r="J10001">
        <f>SMALL(SimData5000!$C$9:$C$5008,4993)</f>
        <v>0.99820745901979535</v>
      </c>
      <c r="K10001">
        <f>1/(COUNT(SimData5000!$C$9:$C$5008)-1)+$K$10000</f>
        <v>0.99859971994389962</v>
      </c>
    </row>
    <row r="10002" spans="8:11">
      <c r="H10002">
        <f>SMALL(SimData5000!$B$9:$B$5008,4994)</f>
        <v>0.99867768504644683</v>
      </c>
      <c r="I10002">
        <f>1/(COUNT(SimData5000!$B$9:$B$5008)-1)+$I$10001</f>
        <v>0.99879975995190118</v>
      </c>
      <c r="J10002">
        <f>SMALL(SimData5000!$C$9:$C$5008,4994)</f>
        <v>0.99870365610604495</v>
      </c>
      <c r="K10002">
        <f>1/(COUNT(SimData5000!$C$9:$C$5008)-1)+$K$10001</f>
        <v>0.99879975995190118</v>
      </c>
    </row>
    <row r="10003" spans="8:11">
      <c r="H10003">
        <f>SMALL(SimData5000!$B$9:$B$5008,4995)</f>
        <v>0.99883887859728171</v>
      </c>
      <c r="I10003">
        <f>1/(COUNT(SimData5000!$B$9:$B$5008)-1)+$I$10002</f>
        <v>0.99899979995990273</v>
      </c>
      <c r="J10003">
        <f>SMALL(SimData5000!$C$9:$C$5008,4995)</f>
        <v>0.99878585352871596</v>
      </c>
      <c r="K10003">
        <f>1/(COUNT(SimData5000!$C$9:$C$5008)-1)+$K$10002</f>
        <v>0.99899979995990273</v>
      </c>
    </row>
    <row r="10004" spans="8:11">
      <c r="H10004">
        <f>SMALL(SimData5000!$B$9:$B$5008,4996)</f>
        <v>0.99915828955559027</v>
      </c>
      <c r="I10004">
        <f>1/(COUNT(SimData5000!$B$9:$B$5008)-1)+$I$10003</f>
        <v>0.99919983996790429</v>
      </c>
      <c r="J10004">
        <f>SMALL(SimData5000!$C$9:$C$5008,4996)</f>
        <v>0.9989028612835682</v>
      </c>
      <c r="K10004">
        <f>1/(COUNT(SimData5000!$C$9:$C$5008)-1)+$K$10003</f>
        <v>0.99919983996790429</v>
      </c>
    </row>
    <row r="10005" spans="8:11">
      <c r="H10005">
        <f>SMALL(SimData5000!$B$9:$B$5008,4997)</f>
        <v>0.9993497651514015</v>
      </c>
      <c r="I10005">
        <f>1/(COUNT(SimData5000!$B$9:$B$5008)-1)+$I$10004</f>
        <v>0.99939987997590585</v>
      </c>
      <c r="J10005">
        <f>SMALL(SimData5000!$C$9:$C$5008,4997)</f>
        <v>0.99896067874942673</v>
      </c>
      <c r="K10005">
        <f>1/(COUNT(SimData5000!$C$9:$C$5008)-1)+$K$10004</f>
        <v>0.99939987997590585</v>
      </c>
    </row>
    <row r="10006" spans="8:11">
      <c r="H10006">
        <f>SMALL(SimData5000!$B$9:$B$5008,4998)</f>
        <v>0.99957717811311064</v>
      </c>
      <c r="I10006">
        <f>1/(COUNT(SimData5000!$B$9:$B$5008)-1)+$I$10005</f>
        <v>0.9995999199839074</v>
      </c>
      <c r="J10006">
        <f>SMALL(SimData5000!$C$9:$C$5008,4998)</f>
        <v>0.99910192900824768</v>
      </c>
      <c r="K10006">
        <f>1/(COUNT(SimData5000!$C$9:$C$5008)-1)+$K$10005</f>
        <v>0.9995999199839074</v>
      </c>
    </row>
    <row r="10007" spans="8:11">
      <c r="H10007">
        <f>SMALL(SimData5000!$B$9:$B$5008,4999)</f>
        <v>0.99971750882373123</v>
      </c>
      <c r="I10007">
        <f>1/(COUNT(SimData5000!$B$9:$B$5008)-1)+$I$10006</f>
        <v>0.99979995999190896</v>
      </c>
      <c r="J10007">
        <f>SMALL(SimData5000!$C$9:$C$5008,4999)</f>
        <v>0.99976388053255505</v>
      </c>
      <c r="K10007">
        <f>1/(COUNT(SimData5000!$C$9:$C$5008)-1)+$K$10006</f>
        <v>0.99979995999190896</v>
      </c>
    </row>
    <row r="10008" spans="8:11">
      <c r="H10008">
        <f>SMALL(SimData5000!$B$9:$B$5008,5000)</f>
        <v>0.99984674193962642</v>
      </c>
      <c r="I10008">
        <f>1/(COUNT(SimData5000!$B$9:$B$5008)-1)+$I$10007</f>
        <v>0.99999999999991052</v>
      </c>
      <c r="J10008">
        <f>SMALL(SimData5000!$C$9:$C$5008,5000)</f>
        <v>0.99991806140951667</v>
      </c>
      <c r="K10008">
        <f>1/(COUNT(SimData5000!$C$9:$C$5008)-1)+$K$10007</f>
        <v>0.99999999999991052</v>
      </c>
    </row>
  </sheetData>
  <sheetCalcPr fullCalcOnLoad="1"/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showGridLines="0" topLeftCell="E1" zoomScale="50" workbookViewId="0"/>
  </sheetViews>
  <sheetFormatPr defaultRowHeight="12.75"/>
  <sheetData/>
  <phoneticPr fontId="0" type="noConversion"/>
  <pageMargins left="0.47" right="0.25" top="0.51" bottom="1" header="0.5" footer="0.5"/>
  <pageSetup scale="3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Sheet1</vt:lpstr>
      <vt:lpstr>SimData100</vt:lpstr>
      <vt:lpstr>SimData200</vt:lpstr>
      <vt:lpstr>SimData500</vt:lpstr>
      <vt:lpstr>SimData1000</vt:lpstr>
      <vt:lpstr>SimData5000</vt:lpstr>
      <vt:lpstr>SummaryCharts</vt:lpstr>
      <vt:lpstr>Sheet3</vt:lpstr>
      <vt:lpstr>Chart100</vt:lpstr>
      <vt:lpstr>Chart200</vt:lpstr>
      <vt:lpstr>Chart500</vt:lpstr>
      <vt:lpstr>Chart1000</vt:lpstr>
      <vt:lpstr>Chart5000</vt:lpstr>
      <vt:lpstr>SummaryCharts!Print_Area</vt:lpstr>
    </vt:vector>
  </TitlesOfParts>
  <Company>Department of Agricultural Economics at TAMU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Richardson</dc:creator>
  <cp:lastModifiedBy>James W. Richardson</cp:lastModifiedBy>
  <cp:lastPrinted>2001-09-13T15:02:46Z</cp:lastPrinted>
  <dcterms:created xsi:type="dcterms:W3CDTF">2001-09-12T14:23:14Z</dcterms:created>
  <dcterms:modified xsi:type="dcterms:W3CDTF">2011-02-07T04:30:16Z</dcterms:modified>
</cp:coreProperties>
</file>